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B17BDB-DB70-4B1C-94DB-12114954AAC2}" xr6:coauthVersionLast="47" xr6:coauthVersionMax="47" xr10:uidLastSave="{00000000-0000-0000-0000-000000000000}"/>
  <bookViews>
    <workbookView xWindow="-120" yWindow="-120" windowWidth="38640" windowHeight="15720" tabRatio="893" firstSheet="2" activeTab="3"/>
  </bookViews>
  <sheets>
    <sheet name="Summary" sheetId="7" r:id="rId1"/>
    <sheet name="All Inc." sheetId="22" r:id="rId2"/>
    <sheet name="IS" sheetId="4" r:id="rId3"/>
    <sheet name="UnitData" sheetId="5" r:id="rId4"/>
    <sheet name="Detail" sheetId="14" r:id="rId5"/>
    <sheet name="Assumptions" sheetId="15" r:id="rId6"/>
    <sheet name="PPA" sheetId="18" r:id="rId7"/>
    <sheet name="CoalPrice" sheetId="16" r:id="rId8"/>
    <sheet name="PTax" sheetId="9" r:id="rId9"/>
    <sheet name="A&amp;G" sheetId="10" r:id="rId10"/>
    <sheet name="FOM" sheetId="6" r:id="rId11"/>
    <sheet name="Tax Depr" sheetId="11" r:id="rId12"/>
    <sheet name="Book Depr" sheetId="23" r:id="rId13"/>
    <sheet name="GAAP Beg Depreciation" sheetId="37" r:id="rId14"/>
    <sheet name="CapAds" sheetId="13" r:id="rId15"/>
    <sheet name="EnvData" sheetId="12" r:id="rId16"/>
    <sheet name="BaseLoad" sheetId="1" r:id="rId17"/>
    <sheet name="Peak" sheetId="19" r:id="rId18"/>
    <sheet name="Base Revenue" sheetId="3" r:id="rId19"/>
    <sheet name="Peak Revenue" sheetId="20" r:id="rId20"/>
    <sheet name="Peak Hours" sheetId="21" r:id="rId21"/>
    <sheet name="Base Hours" sheetId="2" r:id="rId22"/>
  </sheets>
  <externalReferences>
    <externalReference r:id="rId23"/>
  </externalReferences>
  <definedNames>
    <definedName name="AandG">'[1]IP-Fixed Costs'!$AS$2:$BN$62</definedName>
    <definedName name="AGCost">'A&amp;G'!$A$9:$V$43</definedName>
    <definedName name="allotval">EnvData!$A$245:$V$277</definedName>
    <definedName name="Answer">Summary!$D$17:$F$49</definedName>
    <definedName name="BookDep">'Book Depr'!$A$8:$V$42</definedName>
    <definedName name="CapAds" localSheetId="13">'[1]IP-Fixed Costs'!$CK$2:$DF$62</definedName>
    <definedName name="CapAds">CapAds!$A$9:$V$43</definedName>
    <definedName name="CO2_IP">'[1]IP-CO2 Costs'!$B$2:$W$62</definedName>
    <definedName name="Coal">CoalPrice!$A$7:$V$41</definedName>
    <definedName name="Costs">FOM!$A$8:$V$42</definedName>
    <definedName name="COTWO">'[1]IP-CO2'!$B$2:$W$62</definedName>
    <definedName name="decline">0.1</definedName>
    <definedName name="Depr">'Tax Depr'!$A$8:$V$42</definedName>
    <definedName name="Depreciation">'[1]IP-Fixed Costs'!$BO$2:$CJ$62</definedName>
    <definedName name="discount_rate">0.12</definedName>
    <definedName name="EAValue">EnvData!$A$245:$W$277</definedName>
    <definedName name="ECapAds">EnvData!$A$9:$V$43</definedName>
    <definedName name="EnvCapAdds">'[1]IP-Fixed Costs'!$DG$2:$EB$62</definedName>
    <definedName name="EnvFOM">EnvData!$A$86:$V$120</definedName>
    <definedName name="EnvVOM">EnvData!$A$48:$V$82</definedName>
    <definedName name="FDG">'[1]Tech Decisions'!$C$3:$W$42</definedName>
    <definedName name="FOM">'[1]IP-Fixed Costs'!$W$2:$AR$62</definedName>
    <definedName name="Fuel_IP">'[1]IP-Fuel Costs'!$B$2:$W$62</definedName>
    <definedName name="Gas_Conv">'[1]Tech Decisions'!$C$175:$W$214</definedName>
    <definedName name="MMBtus">'[1]IP-MMBtus'!$B$2:$W$62</definedName>
    <definedName name="MWh">'[1]IP-Annual MWh'!$B$2:$W$62</definedName>
    <definedName name="NOx">'[1]IP-NOx'!$B$2:$W$62</definedName>
    <definedName name="NOx_IP">'[1]IP-NOx Costs'!$B$2:$W$62</definedName>
    <definedName name="NOx_MMBtus">'[1]IP-NOx MMBtus'!$B$2:$W$62</definedName>
    <definedName name="NOxRate">EnvData!$A$164:$V$198</definedName>
    <definedName name="Other_NOx">'[1]Tech Decisions'!$C$132:$W$171</definedName>
    <definedName name="PRB">'[1]Tech Decisions'!$C$46:$W$85</definedName>
    <definedName name="_xlnm.Print_Area" localSheetId="1">'All Inc.'!$1:$64</definedName>
    <definedName name="_xlnm.Print_Area" localSheetId="2">IS!$A$1:$W$69</definedName>
    <definedName name="Proptax">'[1]IP-Fixed Costs'!$A$2:$V$62</definedName>
    <definedName name="PTax">PTax!$A$7:$V$40</definedName>
    <definedName name="rate">0.1</definedName>
    <definedName name="Repwr">'[1]Tech Decisions'!$C$218:$W$257</definedName>
    <definedName name="SCR">'[1]Tech Decisions'!$C$89:$W$128</definedName>
    <definedName name="second_call">22</definedName>
    <definedName name="_SO2">'[1]IP-SO2'!$B$2:$W$62</definedName>
    <definedName name="SO2_IP">'[1]IP-SO2 Costs'!$B$2:$W$62</definedName>
    <definedName name="SO2Rate">EnvData!$A$125:$V$159</definedName>
    <definedName name="solver_adj" localSheetId="3" hidden="1">UnitData!$E$29</definedName>
    <definedName name="solver_cvg" localSheetId="3" hidden="1">0.001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in" localSheetId="3" hidden="1">2</definedName>
    <definedName name="solver_neg" localSheetId="3" hidden="1">2</definedName>
    <definedName name="solver_num" localSheetId="3" hidden="1">0</definedName>
    <definedName name="solver_nwt" localSheetId="3" hidden="1">1</definedName>
    <definedName name="solver_opt" localSheetId="3" hidden="1">UnitData!$C$29</definedName>
    <definedName name="solver_pre" localSheetId="3" hidden="1">0.000001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3</definedName>
    <definedName name="solver_val" localSheetId="3" hidden="1">0</definedName>
    <definedName name="Summary">'[1]IP-Valuation'!$A$4:$AI$64</definedName>
    <definedName name="Totrevs">'[1]IP-Total Revenues'!$B$2:$W$62</definedName>
    <definedName name="UnitData">UnitData!$A$10:$O$42</definedName>
    <definedName name="VOM_IP">'[1]IP-VOM'!$B$2:$W$62</definedName>
  </definedNames>
  <calcPr calcId="0" fullCalcOnLoad="1"/>
</workbook>
</file>

<file path=xl/calcChain.xml><?xml version="1.0" encoding="utf-8"?>
<calcChain xmlns="http://schemas.openxmlformats.org/spreadsheetml/2006/main">
  <c r="A11" i="10" l="1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B2" i="22"/>
  <c r="B3" i="22"/>
  <c r="A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C27" i="22"/>
  <c r="G27" i="22"/>
  <c r="C28" i="22"/>
  <c r="G28" i="22"/>
  <c r="C29" i="22"/>
  <c r="G29" i="22"/>
  <c r="C30" i="22"/>
  <c r="G30" i="22"/>
  <c r="G31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C46" i="22"/>
  <c r="C47" i="22"/>
  <c r="C48" i="22"/>
  <c r="C49" i="22"/>
  <c r="C50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T58" i="22"/>
  <c r="U58" i="22"/>
  <c r="V58" i="22"/>
  <c r="W58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T63" i="22"/>
  <c r="U63" i="22"/>
  <c r="V63" i="22"/>
  <c r="W63" i="22"/>
  <c r="A1" i="2"/>
  <c r="V8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X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X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X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X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X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X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X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X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X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X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X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Y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Y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Y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Y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Y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Y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Y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Y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Y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Y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Y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Y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Y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Y249" i="2"/>
  <c r="A1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Z10" i="3"/>
  <c r="AB10" i="3"/>
  <c r="AD10" i="3"/>
  <c r="AF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Z11" i="3"/>
  <c r="AB11" i="3"/>
  <c r="AD11" i="3"/>
  <c r="AF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Z12" i="3"/>
  <c r="AB12" i="3"/>
  <c r="AD12" i="3"/>
  <c r="AF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Z13" i="3"/>
  <c r="AB13" i="3"/>
  <c r="AD13" i="3"/>
  <c r="AF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Z14" i="3"/>
  <c r="AB14" i="3"/>
  <c r="AD14" i="3"/>
  <c r="AF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Z15" i="3"/>
  <c r="AB15" i="3"/>
  <c r="AD15" i="3"/>
  <c r="AF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Z16" i="3"/>
  <c r="AB16" i="3"/>
  <c r="AD16" i="3"/>
  <c r="AF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Z17" i="3"/>
  <c r="AB17" i="3"/>
  <c r="AD17" i="3"/>
  <c r="AF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Z18" i="3"/>
  <c r="AB18" i="3"/>
  <c r="AD18" i="3"/>
  <c r="AF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Z19" i="3"/>
  <c r="AB19" i="3"/>
  <c r="AD19" i="3"/>
  <c r="AF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Z20" i="3"/>
  <c r="AB20" i="3"/>
  <c r="AD20" i="3"/>
  <c r="AF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Z22" i="3"/>
  <c r="AB22" i="3"/>
  <c r="AD22" i="3"/>
  <c r="AF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Z23" i="3"/>
  <c r="AB23" i="3"/>
  <c r="AD23" i="3"/>
  <c r="AF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Z24" i="3"/>
  <c r="AB24" i="3"/>
  <c r="AD24" i="3"/>
  <c r="AF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Z25" i="3"/>
  <c r="AB25" i="3"/>
  <c r="AD25" i="3"/>
  <c r="AF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Z26" i="3"/>
  <c r="AB26" i="3"/>
  <c r="AD26" i="3"/>
  <c r="AF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Z27" i="3"/>
  <c r="AB27" i="3"/>
  <c r="AD27" i="3"/>
  <c r="AF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Z28" i="3"/>
  <c r="AB28" i="3"/>
  <c r="AD28" i="3"/>
  <c r="AF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Z29" i="3"/>
  <c r="AB29" i="3"/>
  <c r="AD29" i="3"/>
  <c r="AF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Z30" i="3"/>
  <c r="AB30" i="3"/>
  <c r="AD30" i="3"/>
  <c r="AF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Z31" i="3"/>
  <c r="AB31" i="3"/>
  <c r="AD31" i="3"/>
  <c r="AF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Z32" i="3"/>
  <c r="AB32" i="3"/>
  <c r="AD32" i="3"/>
  <c r="AF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Z34" i="3"/>
  <c r="AB34" i="3"/>
  <c r="AD34" i="3"/>
  <c r="AF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Z35" i="3"/>
  <c r="AB35" i="3"/>
  <c r="AD35" i="3"/>
  <c r="AF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Z36" i="3"/>
  <c r="AB36" i="3"/>
  <c r="AD36" i="3"/>
  <c r="AF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Z37" i="3"/>
  <c r="AB37" i="3"/>
  <c r="AD37" i="3"/>
  <c r="AF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Z38" i="3"/>
  <c r="AB38" i="3"/>
  <c r="AD38" i="3"/>
  <c r="AF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Z39" i="3"/>
  <c r="AB39" i="3"/>
  <c r="AD39" i="3"/>
  <c r="AF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Z40" i="3"/>
  <c r="AB40" i="3"/>
  <c r="AD40" i="3"/>
  <c r="AF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Z41" i="3"/>
  <c r="AB41" i="3"/>
  <c r="AD41" i="3"/>
  <c r="AF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Z42" i="3"/>
  <c r="AB42" i="3"/>
  <c r="AD42" i="3"/>
  <c r="AF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Z43" i="3"/>
  <c r="AB43" i="3"/>
  <c r="AD43" i="3"/>
  <c r="AF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Z44" i="3"/>
  <c r="AB44" i="3"/>
  <c r="AD44" i="3"/>
  <c r="AF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Z46" i="3"/>
  <c r="AB46" i="3"/>
  <c r="AD46" i="3"/>
  <c r="AF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Z47" i="3"/>
  <c r="AB47" i="3"/>
  <c r="AD47" i="3"/>
  <c r="AF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Z48" i="3"/>
  <c r="AB48" i="3"/>
  <c r="AD48" i="3"/>
  <c r="AF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Z49" i="3"/>
  <c r="AB49" i="3"/>
  <c r="AD49" i="3"/>
  <c r="AF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Z50" i="3"/>
  <c r="AB50" i="3"/>
  <c r="AD50" i="3"/>
  <c r="AF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Z51" i="3"/>
  <c r="AB51" i="3"/>
  <c r="AD51" i="3"/>
  <c r="AF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Z52" i="3"/>
  <c r="AB52" i="3"/>
  <c r="AD52" i="3"/>
  <c r="AF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Z53" i="3"/>
  <c r="AB53" i="3"/>
  <c r="AD53" i="3"/>
  <c r="AF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Z54" i="3"/>
  <c r="AB54" i="3"/>
  <c r="AD54" i="3"/>
  <c r="AF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Z55" i="3"/>
  <c r="AB55" i="3"/>
  <c r="AD55" i="3"/>
  <c r="AF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Z56" i="3"/>
  <c r="AB56" i="3"/>
  <c r="AD56" i="3"/>
  <c r="AF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Z58" i="3"/>
  <c r="AB58" i="3"/>
  <c r="AD58" i="3"/>
  <c r="AF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Z59" i="3"/>
  <c r="AB59" i="3"/>
  <c r="AD59" i="3"/>
  <c r="AF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Z60" i="3"/>
  <c r="AB60" i="3"/>
  <c r="AD60" i="3"/>
  <c r="AF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Z61" i="3"/>
  <c r="AB61" i="3"/>
  <c r="AD61" i="3"/>
  <c r="AF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Z62" i="3"/>
  <c r="AB62" i="3"/>
  <c r="AD62" i="3"/>
  <c r="AF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Z63" i="3"/>
  <c r="AB63" i="3"/>
  <c r="AD63" i="3"/>
  <c r="AF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Z64" i="3"/>
  <c r="AB64" i="3"/>
  <c r="AD64" i="3"/>
  <c r="AF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Z65" i="3"/>
  <c r="AB65" i="3"/>
  <c r="AD65" i="3"/>
  <c r="AF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Z66" i="3"/>
  <c r="AB66" i="3"/>
  <c r="AD66" i="3"/>
  <c r="AF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Z67" i="3"/>
  <c r="AB67" i="3"/>
  <c r="AD67" i="3"/>
  <c r="AF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Z68" i="3"/>
  <c r="AB68" i="3"/>
  <c r="AD68" i="3"/>
  <c r="AF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Z70" i="3"/>
  <c r="AB70" i="3"/>
  <c r="AD70" i="3"/>
  <c r="AF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Z71" i="3"/>
  <c r="AB71" i="3"/>
  <c r="AD71" i="3"/>
  <c r="AF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Z72" i="3"/>
  <c r="AB72" i="3"/>
  <c r="AD72" i="3"/>
  <c r="AF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Z73" i="3"/>
  <c r="AB73" i="3"/>
  <c r="AD73" i="3"/>
  <c r="AF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Z74" i="3"/>
  <c r="AB74" i="3"/>
  <c r="AD74" i="3"/>
  <c r="AF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Z75" i="3"/>
  <c r="AB75" i="3"/>
  <c r="AD75" i="3"/>
  <c r="AF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Z76" i="3"/>
  <c r="AB76" i="3"/>
  <c r="AD76" i="3"/>
  <c r="AF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Z77" i="3"/>
  <c r="AB77" i="3"/>
  <c r="AD77" i="3"/>
  <c r="AF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Z78" i="3"/>
  <c r="AB78" i="3"/>
  <c r="AD78" i="3"/>
  <c r="AF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Z79" i="3"/>
  <c r="AB79" i="3"/>
  <c r="AD79" i="3"/>
  <c r="AF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Z80" i="3"/>
  <c r="AB80" i="3"/>
  <c r="AD80" i="3"/>
  <c r="AF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Z82" i="3"/>
  <c r="AB82" i="3"/>
  <c r="AD82" i="3"/>
  <c r="AF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Z83" i="3"/>
  <c r="AB83" i="3"/>
  <c r="AD83" i="3"/>
  <c r="AF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Z84" i="3"/>
  <c r="AB84" i="3"/>
  <c r="AD84" i="3"/>
  <c r="AF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Z85" i="3"/>
  <c r="AB85" i="3"/>
  <c r="AD85" i="3"/>
  <c r="AF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Z86" i="3"/>
  <c r="AB86" i="3"/>
  <c r="AD86" i="3"/>
  <c r="AF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Z87" i="3"/>
  <c r="AB87" i="3"/>
  <c r="AD87" i="3"/>
  <c r="AF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Z88" i="3"/>
  <c r="AB88" i="3"/>
  <c r="AD88" i="3"/>
  <c r="AF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Z89" i="3"/>
  <c r="AB89" i="3"/>
  <c r="AD89" i="3"/>
  <c r="AF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Z90" i="3"/>
  <c r="AB90" i="3"/>
  <c r="AD90" i="3"/>
  <c r="AF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Z91" i="3"/>
  <c r="AB91" i="3"/>
  <c r="AD91" i="3"/>
  <c r="AF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Z92" i="3"/>
  <c r="AB92" i="3"/>
  <c r="AD92" i="3"/>
  <c r="AF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Y93" i="3"/>
  <c r="Z93" i="3"/>
  <c r="AA93" i="3"/>
  <c r="AB93" i="3"/>
  <c r="AC93" i="3"/>
  <c r="AD93" i="3"/>
  <c r="AE93" i="3"/>
  <c r="AF93" i="3"/>
  <c r="AG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Z94" i="3"/>
  <c r="AB94" i="3"/>
  <c r="AD94" i="3"/>
  <c r="AF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Z95" i="3"/>
  <c r="AB95" i="3"/>
  <c r="AD95" i="3"/>
  <c r="AF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Z96" i="3"/>
  <c r="AB96" i="3"/>
  <c r="AD96" i="3"/>
  <c r="AF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Z97" i="3"/>
  <c r="AB97" i="3"/>
  <c r="AD97" i="3"/>
  <c r="AF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Z98" i="3"/>
  <c r="AB98" i="3"/>
  <c r="AD98" i="3"/>
  <c r="AF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Z99" i="3"/>
  <c r="AB99" i="3"/>
  <c r="AD99" i="3"/>
  <c r="AF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Z100" i="3"/>
  <c r="AB100" i="3"/>
  <c r="AD100" i="3"/>
  <c r="AF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Z101" i="3"/>
  <c r="AB101" i="3"/>
  <c r="AD101" i="3"/>
  <c r="AF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Z102" i="3"/>
  <c r="AB102" i="3"/>
  <c r="AD102" i="3"/>
  <c r="AF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Z103" i="3"/>
  <c r="AB103" i="3"/>
  <c r="AD103" i="3"/>
  <c r="AF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Z104" i="3"/>
  <c r="AB104" i="3"/>
  <c r="AD104" i="3"/>
  <c r="AF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Y105" i="3"/>
  <c r="Z105" i="3"/>
  <c r="AA105" i="3"/>
  <c r="AB105" i="3"/>
  <c r="AC105" i="3"/>
  <c r="AD105" i="3"/>
  <c r="AE105" i="3"/>
  <c r="AF105" i="3"/>
  <c r="AG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Z106" i="3"/>
  <c r="AB106" i="3"/>
  <c r="AD106" i="3"/>
  <c r="AF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Z107" i="3"/>
  <c r="AB107" i="3"/>
  <c r="AD107" i="3"/>
  <c r="AF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Z108" i="3"/>
  <c r="AB108" i="3"/>
  <c r="AD108" i="3"/>
  <c r="AF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Z109" i="3"/>
  <c r="AB109" i="3"/>
  <c r="AD109" i="3"/>
  <c r="AF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Z110" i="3"/>
  <c r="AB110" i="3"/>
  <c r="AD110" i="3"/>
  <c r="AF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Z111" i="3"/>
  <c r="AB111" i="3"/>
  <c r="AD111" i="3"/>
  <c r="AF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Z112" i="3"/>
  <c r="AB112" i="3"/>
  <c r="AD112" i="3"/>
  <c r="AF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Z113" i="3"/>
  <c r="AB113" i="3"/>
  <c r="AD113" i="3"/>
  <c r="AF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Z114" i="3"/>
  <c r="AB114" i="3"/>
  <c r="AD114" i="3"/>
  <c r="AF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Z115" i="3"/>
  <c r="AB115" i="3"/>
  <c r="AD115" i="3"/>
  <c r="AF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Z116" i="3"/>
  <c r="AB116" i="3"/>
  <c r="AD116" i="3"/>
  <c r="AF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Y117" i="3"/>
  <c r="Z117" i="3"/>
  <c r="AA117" i="3"/>
  <c r="AB117" i="3"/>
  <c r="AC117" i="3"/>
  <c r="AD117" i="3"/>
  <c r="AE117" i="3"/>
  <c r="AF117" i="3"/>
  <c r="AG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Z118" i="3"/>
  <c r="AB118" i="3"/>
  <c r="AD118" i="3"/>
  <c r="AF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Z119" i="3"/>
  <c r="AB119" i="3"/>
  <c r="AD119" i="3"/>
  <c r="AF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Z120" i="3"/>
  <c r="AB120" i="3"/>
  <c r="AD120" i="3"/>
  <c r="AF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Z121" i="3"/>
  <c r="AB121" i="3"/>
  <c r="AD121" i="3"/>
  <c r="AF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Z122" i="3"/>
  <c r="AB122" i="3"/>
  <c r="AD122" i="3"/>
  <c r="AF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Z123" i="3"/>
  <c r="AB123" i="3"/>
  <c r="AD123" i="3"/>
  <c r="AF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Z124" i="3"/>
  <c r="AB124" i="3"/>
  <c r="AD124" i="3"/>
  <c r="AF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Z125" i="3"/>
  <c r="AB125" i="3"/>
  <c r="AD125" i="3"/>
  <c r="AF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Z126" i="3"/>
  <c r="AB126" i="3"/>
  <c r="AD126" i="3"/>
  <c r="AF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Z127" i="3"/>
  <c r="AB127" i="3"/>
  <c r="AD127" i="3"/>
  <c r="AF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Z128" i="3"/>
  <c r="AB128" i="3"/>
  <c r="AD128" i="3"/>
  <c r="AF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Y129" i="3"/>
  <c r="Z129" i="3"/>
  <c r="AA129" i="3"/>
  <c r="AB129" i="3"/>
  <c r="AC129" i="3"/>
  <c r="AD129" i="3"/>
  <c r="AE129" i="3"/>
  <c r="AF129" i="3"/>
  <c r="AG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Z130" i="3"/>
  <c r="AB130" i="3"/>
  <c r="AD130" i="3"/>
  <c r="AF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Z131" i="3"/>
  <c r="AB131" i="3"/>
  <c r="AD131" i="3"/>
  <c r="AF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Z132" i="3"/>
  <c r="AB132" i="3"/>
  <c r="AD132" i="3"/>
  <c r="AF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Z133" i="3"/>
  <c r="AB133" i="3"/>
  <c r="AD133" i="3"/>
  <c r="AF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Z134" i="3"/>
  <c r="AB134" i="3"/>
  <c r="AD134" i="3"/>
  <c r="AF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Z135" i="3"/>
  <c r="AB135" i="3"/>
  <c r="AD135" i="3"/>
  <c r="AF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Z136" i="3"/>
  <c r="AB136" i="3"/>
  <c r="AD136" i="3"/>
  <c r="AF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Z137" i="3"/>
  <c r="AB137" i="3"/>
  <c r="AD137" i="3"/>
  <c r="AF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Z138" i="3"/>
  <c r="AB138" i="3"/>
  <c r="AD138" i="3"/>
  <c r="AF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Z139" i="3"/>
  <c r="AB139" i="3"/>
  <c r="AD139" i="3"/>
  <c r="AF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Z140" i="3"/>
  <c r="AB140" i="3"/>
  <c r="AD140" i="3"/>
  <c r="AF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Y141" i="3"/>
  <c r="Z141" i="3"/>
  <c r="AA141" i="3"/>
  <c r="AB141" i="3"/>
  <c r="AC141" i="3"/>
  <c r="AD141" i="3"/>
  <c r="AE141" i="3"/>
  <c r="AF141" i="3"/>
  <c r="AG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Z142" i="3"/>
  <c r="AB142" i="3"/>
  <c r="AD142" i="3"/>
  <c r="AF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Z143" i="3"/>
  <c r="AB143" i="3"/>
  <c r="AD143" i="3"/>
  <c r="AF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Z144" i="3"/>
  <c r="AB144" i="3"/>
  <c r="AD144" i="3"/>
  <c r="AF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Z145" i="3"/>
  <c r="AB145" i="3"/>
  <c r="AD145" i="3"/>
  <c r="AF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Z146" i="3"/>
  <c r="AB146" i="3"/>
  <c r="AD146" i="3"/>
  <c r="AF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Z147" i="3"/>
  <c r="AB147" i="3"/>
  <c r="AD147" i="3"/>
  <c r="AF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Z148" i="3"/>
  <c r="AB148" i="3"/>
  <c r="AD148" i="3"/>
  <c r="AF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Z149" i="3"/>
  <c r="AB149" i="3"/>
  <c r="AD149" i="3"/>
  <c r="AF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Z150" i="3"/>
  <c r="AB150" i="3"/>
  <c r="AD150" i="3"/>
  <c r="AF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Z151" i="3"/>
  <c r="AB151" i="3"/>
  <c r="AD151" i="3"/>
  <c r="AF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Z152" i="3"/>
  <c r="AB152" i="3"/>
  <c r="AD152" i="3"/>
  <c r="AF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Y153" i="3"/>
  <c r="Z153" i="3"/>
  <c r="AA153" i="3"/>
  <c r="AB153" i="3"/>
  <c r="AC153" i="3"/>
  <c r="AD153" i="3"/>
  <c r="AE153" i="3"/>
  <c r="AF153" i="3"/>
  <c r="AG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Z154" i="3"/>
  <c r="AB154" i="3"/>
  <c r="AD154" i="3"/>
  <c r="AF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Z155" i="3"/>
  <c r="AB155" i="3"/>
  <c r="AD155" i="3"/>
  <c r="AF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Z156" i="3"/>
  <c r="AB156" i="3"/>
  <c r="AD156" i="3"/>
  <c r="AF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Z157" i="3"/>
  <c r="AB157" i="3"/>
  <c r="AD157" i="3"/>
  <c r="AF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Z158" i="3"/>
  <c r="AB158" i="3"/>
  <c r="AD158" i="3"/>
  <c r="AF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Z159" i="3"/>
  <c r="AB159" i="3"/>
  <c r="AD159" i="3"/>
  <c r="AF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Z160" i="3"/>
  <c r="AB160" i="3"/>
  <c r="AD160" i="3"/>
  <c r="AF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Z161" i="3"/>
  <c r="AB161" i="3"/>
  <c r="AD161" i="3"/>
  <c r="AF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Z162" i="3"/>
  <c r="AB162" i="3"/>
  <c r="AD162" i="3"/>
  <c r="AF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Z163" i="3"/>
  <c r="AB163" i="3"/>
  <c r="AD163" i="3"/>
  <c r="AF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Z164" i="3"/>
  <c r="AB164" i="3"/>
  <c r="AD164" i="3"/>
  <c r="AF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Y165" i="3"/>
  <c r="Z165" i="3"/>
  <c r="AA165" i="3"/>
  <c r="AB165" i="3"/>
  <c r="AC165" i="3"/>
  <c r="AD165" i="3"/>
  <c r="AE165" i="3"/>
  <c r="AF165" i="3"/>
  <c r="AG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Z166" i="3"/>
  <c r="AB166" i="3"/>
  <c r="AD166" i="3"/>
  <c r="AF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Z167" i="3"/>
  <c r="AB167" i="3"/>
  <c r="AD167" i="3"/>
  <c r="AF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Z168" i="3"/>
  <c r="AB168" i="3"/>
  <c r="AD168" i="3"/>
  <c r="AF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Z169" i="3"/>
  <c r="AB169" i="3"/>
  <c r="AD169" i="3"/>
  <c r="AF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Z170" i="3"/>
  <c r="AB170" i="3"/>
  <c r="AD170" i="3"/>
  <c r="AF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Z171" i="3"/>
  <c r="AB171" i="3"/>
  <c r="AD171" i="3"/>
  <c r="AF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Z172" i="3"/>
  <c r="AB172" i="3"/>
  <c r="AD172" i="3"/>
  <c r="AF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Z173" i="3"/>
  <c r="AB173" i="3"/>
  <c r="AD173" i="3"/>
  <c r="AF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Z174" i="3"/>
  <c r="AB174" i="3"/>
  <c r="AD174" i="3"/>
  <c r="AF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Z175" i="3"/>
  <c r="AB175" i="3"/>
  <c r="AD175" i="3"/>
  <c r="AF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Z176" i="3"/>
  <c r="AB176" i="3"/>
  <c r="AD176" i="3"/>
  <c r="AF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Y177" i="3"/>
  <c r="Z177" i="3"/>
  <c r="AA177" i="3"/>
  <c r="AB177" i="3"/>
  <c r="AC177" i="3"/>
  <c r="AD177" i="3"/>
  <c r="AE177" i="3"/>
  <c r="AF177" i="3"/>
  <c r="AG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Z178" i="3"/>
  <c r="AB178" i="3"/>
  <c r="AD178" i="3"/>
  <c r="AF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Z179" i="3"/>
  <c r="AB179" i="3"/>
  <c r="AD179" i="3"/>
  <c r="AF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Z180" i="3"/>
  <c r="AB180" i="3"/>
  <c r="AD180" i="3"/>
  <c r="AF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Z181" i="3"/>
  <c r="AB181" i="3"/>
  <c r="AD181" i="3"/>
  <c r="AF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Z182" i="3"/>
  <c r="AB182" i="3"/>
  <c r="AD182" i="3"/>
  <c r="AF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Z183" i="3"/>
  <c r="AB183" i="3"/>
  <c r="AD183" i="3"/>
  <c r="AF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Z184" i="3"/>
  <c r="AB184" i="3"/>
  <c r="AD184" i="3"/>
  <c r="AF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Z185" i="3"/>
  <c r="AB185" i="3"/>
  <c r="AD185" i="3"/>
  <c r="AF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Z186" i="3"/>
  <c r="AB186" i="3"/>
  <c r="AD186" i="3"/>
  <c r="AF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Z187" i="3"/>
  <c r="AB187" i="3"/>
  <c r="AD187" i="3"/>
  <c r="AF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Z188" i="3"/>
  <c r="AB188" i="3"/>
  <c r="AD188" i="3"/>
  <c r="AF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Y189" i="3"/>
  <c r="Z189" i="3"/>
  <c r="AA189" i="3"/>
  <c r="AB189" i="3"/>
  <c r="AC189" i="3"/>
  <c r="AD189" i="3"/>
  <c r="AE189" i="3"/>
  <c r="AF189" i="3"/>
  <c r="AG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Z190" i="3"/>
  <c r="AB190" i="3"/>
  <c r="AD190" i="3"/>
  <c r="AF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Z191" i="3"/>
  <c r="AB191" i="3"/>
  <c r="AD191" i="3"/>
  <c r="AF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Z192" i="3"/>
  <c r="AB192" i="3"/>
  <c r="AD192" i="3"/>
  <c r="AF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Z193" i="3"/>
  <c r="AB193" i="3"/>
  <c r="AD193" i="3"/>
  <c r="AF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Z194" i="3"/>
  <c r="AB194" i="3"/>
  <c r="AD194" i="3"/>
  <c r="AF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Z195" i="3"/>
  <c r="AB195" i="3"/>
  <c r="AD195" i="3"/>
  <c r="AF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Z196" i="3"/>
  <c r="AB196" i="3"/>
  <c r="AD196" i="3"/>
  <c r="AF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Z197" i="3"/>
  <c r="AB197" i="3"/>
  <c r="AD197" i="3"/>
  <c r="AF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Z198" i="3"/>
  <c r="AB198" i="3"/>
  <c r="AD198" i="3"/>
  <c r="AF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Z199" i="3"/>
  <c r="AB199" i="3"/>
  <c r="AD199" i="3"/>
  <c r="AF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Z200" i="3"/>
  <c r="AB200" i="3"/>
  <c r="AD200" i="3"/>
  <c r="AF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Y201" i="3"/>
  <c r="Z201" i="3"/>
  <c r="AA201" i="3"/>
  <c r="AB201" i="3"/>
  <c r="AC201" i="3"/>
  <c r="AD201" i="3"/>
  <c r="AE201" i="3"/>
  <c r="AF201" i="3"/>
  <c r="AG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Z202" i="3"/>
  <c r="AB202" i="3"/>
  <c r="AD202" i="3"/>
  <c r="AF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Z203" i="3"/>
  <c r="AB203" i="3"/>
  <c r="AD203" i="3"/>
  <c r="AF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Z204" i="3"/>
  <c r="AB204" i="3"/>
  <c r="AD204" i="3"/>
  <c r="AF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Z205" i="3"/>
  <c r="AB205" i="3"/>
  <c r="AD205" i="3"/>
  <c r="AF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Z206" i="3"/>
  <c r="AB206" i="3"/>
  <c r="AD206" i="3"/>
  <c r="AF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Z207" i="3"/>
  <c r="AB207" i="3"/>
  <c r="AD207" i="3"/>
  <c r="AF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Z208" i="3"/>
  <c r="AB208" i="3"/>
  <c r="AD208" i="3"/>
  <c r="AF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Z209" i="3"/>
  <c r="AB209" i="3"/>
  <c r="AD209" i="3"/>
  <c r="AF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Z210" i="3"/>
  <c r="AB210" i="3"/>
  <c r="AD210" i="3"/>
  <c r="AF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Z211" i="3"/>
  <c r="AB211" i="3"/>
  <c r="AD211" i="3"/>
  <c r="AF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Z212" i="3"/>
  <c r="AB212" i="3"/>
  <c r="AD212" i="3"/>
  <c r="AF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Y213" i="3"/>
  <c r="Z213" i="3"/>
  <c r="AA213" i="3"/>
  <c r="AB213" i="3"/>
  <c r="AC213" i="3"/>
  <c r="AD213" i="3"/>
  <c r="AE213" i="3"/>
  <c r="AF213" i="3"/>
  <c r="AG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Z214" i="3"/>
  <c r="AB214" i="3"/>
  <c r="AD214" i="3"/>
  <c r="AF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Z215" i="3"/>
  <c r="AB215" i="3"/>
  <c r="AD215" i="3"/>
  <c r="AF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Z216" i="3"/>
  <c r="AB216" i="3"/>
  <c r="AD216" i="3"/>
  <c r="AF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Z217" i="3"/>
  <c r="AB217" i="3"/>
  <c r="AD217" i="3"/>
  <c r="AF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Z218" i="3"/>
  <c r="AB218" i="3"/>
  <c r="AD218" i="3"/>
  <c r="AF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Z219" i="3"/>
  <c r="AB219" i="3"/>
  <c r="AD219" i="3"/>
  <c r="AF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Z220" i="3"/>
  <c r="AB220" i="3"/>
  <c r="AD220" i="3"/>
  <c r="AF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Z221" i="3"/>
  <c r="AB221" i="3"/>
  <c r="AD221" i="3"/>
  <c r="AF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Z222" i="3"/>
  <c r="AB222" i="3"/>
  <c r="AD222" i="3"/>
  <c r="AF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Z223" i="3"/>
  <c r="AB223" i="3"/>
  <c r="AD223" i="3"/>
  <c r="AF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Z224" i="3"/>
  <c r="AB224" i="3"/>
  <c r="AD224" i="3"/>
  <c r="AF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Y225" i="3"/>
  <c r="Z225" i="3"/>
  <c r="AA225" i="3"/>
  <c r="AB225" i="3"/>
  <c r="AC225" i="3"/>
  <c r="AD225" i="3"/>
  <c r="AE225" i="3"/>
  <c r="AF225" i="3"/>
  <c r="AG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Z226" i="3"/>
  <c r="AB226" i="3"/>
  <c r="AD226" i="3"/>
  <c r="AF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Z227" i="3"/>
  <c r="AB227" i="3"/>
  <c r="AD227" i="3"/>
  <c r="AF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Z228" i="3"/>
  <c r="AB228" i="3"/>
  <c r="AD228" i="3"/>
  <c r="AF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Z229" i="3"/>
  <c r="AB229" i="3"/>
  <c r="AD229" i="3"/>
  <c r="AF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Z230" i="3"/>
  <c r="AB230" i="3"/>
  <c r="AD230" i="3"/>
  <c r="AF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Z231" i="3"/>
  <c r="AB231" i="3"/>
  <c r="AD231" i="3"/>
  <c r="AF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Z232" i="3"/>
  <c r="AB232" i="3"/>
  <c r="AD232" i="3"/>
  <c r="AF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Z233" i="3"/>
  <c r="AB233" i="3"/>
  <c r="AD233" i="3"/>
  <c r="AF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Z234" i="3"/>
  <c r="AB234" i="3"/>
  <c r="AD234" i="3"/>
  <c r="AF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Z235" i="3"/>
  <c r="AB235" i="3"/>
  <c r="AD235" i="3"/>
  <c r="AF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Z236" i="3"/>
  <c r="AB236" i="3"/>
  <c r="AD236" i="3"/>
  <c r="AF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Y237" i="3"/>
  <c r="Z237" i="3"/>
  <c r="AA237" i="3"/>
  <c r="AB237" i="3"/>
  <c r="AC237" i="3"/>
  <c r="AD237" i="3"/>
  <c r="AE237" i="3"/>
  <c r="AF237" i="3"/>
  <c r="AG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Z238" i="3"/>
  <c r="AB238" i="3"/>
  <c r="AD238" i="3"/>
  <c r="AF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Z239" i="3"/>
  <c r="AB239" i="3"/>
  <c r="AD239" i="3"/>
  <c r="AF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Z240" i="3"/>
  <c r="AB240" i="3"/>
  <c r="AD240" i="3"/>
  <c r="AF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Z241" i="3"/>
  <c r="AB241" i="3"/>
  <c r="AD241" i="3"/>
  <c r="AF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Z242" i="3"/>
  <c r="AB242" i="3"/>
  <c r="AD242" i="3"/>
  <c r="AF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Z243" i="3"/>
  <c r="AB243" i="3"/>
  <c r="AD243" i="3"/>
  <c r="AF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Z244" i="3"/>
  <c r="AB244" i="3"/>
  <c r="AD244" i="3"/>
  <c r="AF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Z245" i="3"/>
  <c r="AB245" i="3"/>
  <c r="AD245" i="3"/>
  <c r="AF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Z246" i="3"/>
  <c r="AB246" i="3"/>
  <c r="AD246" i="3"/>
  <c r="AF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Z247" i="3"/>
  <c r="AB247" i="3"/>
  <c r="AD247" i="3"/>
  <c r="AF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Z248" i="3"/>
  <c r="AB248" i="3"/>
  <c r="AD248" i="3"/>
  <c r="AF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Y249" i="3"/>
  <c r="Z249" i="3"/>
  <c r="AA249" i="3"/>
  <c r="AB249" i="3"/>
  <c r="AC249" i="3"/>
  <c r="AD249" i="3"/>
  <c r="AE249" i="3"/>
  <c r="AF249" i="3"/>
  <c r="AG249" i="3"/>
  <c r="B1" i="1"/>
  <c r="C1" i="1"/>
  <c r="B7" i="1"/>
  <c r="B9" i="1"/>
  <c r="C9" i="1"/>
  <c r="D9" i="1"/>
  <c r="E9" i="1"/>
  <c r="F9" i="1"/>
  <c r="G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10" i="1"/>
  <c r="B10" i="1"/>
  <c r="C10" i="1"/>
  <c r="D10" i="1"/>
  <c r="E10" i="1"/>
  <c r="F10" i="1"/>
  <c r="G10" i="1"/>
  <c r="AB10" i="1"/>
  <c r="AC10" i="1"/>
  <c r="AD10" i="1"/>
  <c r="AE10" i="1"/>
  <c r="AF10" i="1"/>
  <c r="AG10" i="1"/>
  <c r="AH10" i="1"/>
  <c r="AI10" i="1"/>
  <c r="AJ10" i="1"/>
  <c r="AK10" i="1"/>
  <c r="A11" i="1"/>
  <c r="B11" i="1"/>
  <c r="C11" i="1"/>
  <c r="D11" i="1"/>
  <c r="E11" i="1"/>
  <c r="F11" i="1"/>
  <c r="G11" i="1"/>
  <c r="AB11" i="1"/>
  <c r="AC11" i="1"/>
  <c r="AD11" i="1"/>
  <c r="AE11" i="1"/>
  <c r="AF11" i="1"/>
  <c r="AG11" i="1"/>
  <c r="AH11" i="1"/>
  <c r="AI11" i="1"/>
  <c r="AJ11" i="1"/>
  <c r="AK11" i="1"/>
  <c r="A12" i="1"/>
  <c r="B12" i="1"/>
  <c r="C12" i="1"/>
  <c r="D12" i="1"/>
  <c r="E12" i="1"/>
  <c r="F12" i="1"/>
  <c r="G12" i="1"/>
  <c r="AB12" i="1"/>
  <c r="AC12" i="1"/>
  <c r="AD12" i="1"/>
  <c r="AE12" i="1"/>
  <c r="AF12" i="1"/>
  <c r="AG12" i="1"/>
  <c r="AH12" i="1"/>
  <c r="AI12" i="1"/>
  <c r="AJ12" i="1"/>
  <c r="AK12" i="1"/>
  <c r="A13" i="1"/>
  <c r="B13" i="1"/>
  <c r="C13" i="1"/>
  <c r="D13" i="1"/>
  <c r="E13" i="1"/>
  <c r="F13" i="1"/>
  <c r="G13" i="1"/>
  <c r="AB13" i="1"/>
  <c r="AC13" i="1"/>
  <c r="AD13" i="1"/>
  <c r="AE13" i="1"/>
  <c r="AF13" i="1"/>
  <c r="AG13" i="1"/>
  <c r="AH13" i="1"/>
  <c r="AI13" i="1"/>
  <c r="AJ13" i="1"/>
  <c r="AK13" i="1"/>
  <c r="A14" i="1"/>
  <c r="B14" i="1"/>
  <c r="C14" i="1"/>
  <c r="D14" i="1"/>
  <c r="E14" i="1"/>
  <c r="F14" i="1"/>
  <c r="G14" i="1"/>
  <c r="AB14" i="1"/>
  <c r="AC14" i="1"/>
  <c r="AD14" i="1"/>
  <c r="AE14" i="1"/>
  <c r="AF14" i="1"/>
  <c r="AG14" i="1"/>
  <c r="AH14" i="1"/>
  <c r="AI14" i="1"/>
  <c r="AJ14" i="1"/>
  <c r="AK14" i="1"/>
  <c r="A15" i="1"/>
  <c r="B15" i="1"/>
  <c r="C15" i="1"/>
  <c r="D15" i="1"/>
  <c r="E15" i="1"/>
  <c r="F15" i="1"/>
  <c r="G15" i="1"/>
  <c r="AB15" i="1"/>
  <c r="AC15" i="1"/>
  <c r="AD15" i="1"/>
  <c r="AE15" i="1"/>
  <c r="AF15" i="1"/>
  <c r="AG15" i="1"/>
  <c r="AH15" i="1"/>
  <c r="AI15" i="1"/>
  <c r="AJ15" i="1"/>
  <c r="AK15" i="1"/>
  <c r="A16" i="1"/>
  <c r="B16" i="1"/>
  <c r="C16" i="1"/>
  <c r="D16" i="1"/>
  <c r="E16" i="1"/>
  <c r="F16" i="1"/>
  <c r="G16" i="1"/>
  <c r="AB16" i="1"/>
  <c r="AC16" i="1"/>
  <c r="AD16" i="1"/>
  <c r="AE16" i="1"/>
  <c r="AF16" i="1"/>
  <c r="AG16" i="1"/>
  <c r="AH16" i="1"/>
  <c r="AI16" i="1"/>
  <c r="AJ16" i="1"/>
  <c r="AK16" i="1"/>
  <c r="A17" i="1"/>
  <c r="B17" i="1"/>
  <c r="C17" i="1"/>
  <c r="D17" i="1"/>
  <c r="E17" i="1"/>
  <c r="F17" i="1"/>
  <c r="G17" i="1"/>
  <c r="AB17" i="1"/>
  <c r="AC17" i="1"/>
  <c r="AD17" i="1"/>
  <c r="AE17" i="1"/>
  <c r="AF17" i="1"/>
  <c r="AG17" i="1"/>
  <c r="AH17" i="1"/>
  <c r="AI17" i="1"/>
  <c r="AJ17" i="1"/>
  <c r="AK17" i="1"/>
  <c r="A18" i="1"/>
  <c r="B18" i="1"/>
  <c r="C18" i="1"/>
  <c r="D18" i="1"/>
  <c r="E18" i="1"/>
  <c r="F18" i="1"/>
  <c r="G18" i="1"/>
  <c r="AB18" i="1"/>
  <c r="AC18" i="1"/>
  <c r="AD18" i="1"/>
  <c r="AE18" i="1"/>
  <c r="AF18" i="1"/>
  <c r="AG18" i="1"/>
  <c r="AH18" i="1"/>
  <c r="AI18" i="1"/>
  <c r="AJ18" i="1"/>
  <c r="AK18" i="1"/>
  <c r="A19" i="1"/>
  <c r="B19" i="1"/>
  <c r="C19" i="1"/>
  <c r="D19" i="1"/>
  <c r="E19" i="1"/>
  <c r="F19" i="1"/>
  <c r="G19" i="1"/>
  <c r="AB19" i="1"/>
  <c r="AC19" i="1"/>
  <c r="AD19" i="1"/>
  <c r="AE19" i="1"/>
  <c r="AF19" i="1"/>
  <c r="AG19" i="1"/>
  <c r="AH19" i="1"/>
  <c r="AI19" i="1"/>
  <c r="AJ19" i="1"/>
  <c r="AK19" i="1"/>
  <c r="A20" i="1"/>
  <c r="B20" i="1"/>
  <c r="C20" i="1"/>
  <c r="D20" i="1"/>
  <c r="E20" i="1"/>
  <c r="F20" i="1"/>
  <c r="G20" i="1"/>
  <c r="AB20" i="1"/>
  <c r="AC20" i="1"/>
  <c r="AD20" i="1"/>
  <c r="AE20" i="1"/>
  <c r="AF20" i="1"/>
  <c r="AG20" i="1"/>
  <c r="AH20" i="1"/>
  <c r="AI20" i="1"/>
  <c r="AJ20" i="1"/>
  <c r="AK20" i="1"/>
  <c r="A21" i="1"/>
  <c r="B21" i="1"/>
  <c r="C21" i="1"/>
  <c r="D21" i="1"/>
  <c r="E21" i="1"/>
  <c r="F21" i="1"/>
  <c r="G21" i="1"/>
  <c r="AB21" i="1"/>
  <c r="AC21" i="1"/>
  <c r="AD21" i="1"/>
  <c r="AE21" i="1"/>
  <c r="AF21" i="1"/>
  <c r="AG21" i="1"/>
  <c r="AH21" i="1"/>
  <c r="AI21" i="1"/>
  <c r="AJ21" i="1"/>
  <c r="AK21" i="1"/>
  <c r="A22" i="1"/>
  <c r="B22" i="1"/>
  <c r="C22" i="1"/>
  <c r="D22" i="1"/>
  <c r="E22" i="1"/>
  <c r="F22" i="1"/>
  <c r="G22" i="1"/>
  <c r="AB22" i="1"/>
  <c r="AC22" i="1"/>
  <c r="AD22" i="1"/>
  <c r="AE22" i="1"/>
  <c r="AF22" i="1"/>
  <c r="AG22" i="1"/>
  <c r="AH22" i="1"/>
  <c r="AI22" i="1"/>
  <c r="AJ22" i="1"/>
  <c r="AK22" i="1"/>
  <c r="A23" i="1"/>
  <c r="B23" i="1"/>
  <c r="C23" i="1"/>
  <c r="D23" i="1"/>
  <c r="E23" i="1"/>
  <c r="F23" i="1"/>
  <c r="G23" i="1"/>
  <c r="AB23" i="1"/>
  <c r="AC23" i="1"/>
  <c r="AD23" i="1"/>
  <c r="AE23" i="1"/>
  <c r="AF23" i="1"/>
  <c r="AG23" i="1"/>
  <c r="AH23" i="1"/>
  <c r="AI23" i="1"/>
  <c r="AJ23" i="1"/>
  <c r="AK23" i="1"/>
  <c r="A24" i="1"/>
  <c r="B24" i="1"/>
  <c r="C24" i="1"/>
  <c r="D24" i="1"/>
  <c r="E24" i="1"/>
  <c r="F24" i="1"/>
  <c r="G24" i="1"/>
  <c r="AB24" i="1"/>
  <c r="AC24" i="1"/>
  <c r="AD24" i="1"/>
  <c r="AE24" i="1"/>
  <c r="AF24" i="1"/>
  <c r="AG24" i="1"/>
  <c r="AH24" i="1"/>
  <c r="AI24" i="1"/>
  <c r="AJ24" i="1"/>
  <c r="AK24" i="1"/>
  <c r="A25" i="1"/>
  <c r="B25" i="1"/>
  <c r="C25" i="1"/>
  <c r="D25" i="1"/>
  <c r="E25" i="1"/>
  <c r="F25" i="1"/>
  <c r="G25" i="1"/>
  <c r="AB25" i="1"/>
  <c r="AC25" i="1"/>
  <c r="AD25" i="1"/>
  <c r="AE25" i="1"/>
  <c r="AF25" i="1"/>
  <c r="AG25" i="1"/>
  <c r="AH25" i="1"/>
  <c r="AI25" i="1"/>
  <c r="AJ25" i="1"/>
  <c r="AK25" i="1"/>
  <c r="A26" i="1"/>
  <c r="B26" i="1"/>
  <c r="C26" i="1"/>
  <c r="D26" i="1"/>
  <c r="E26" i="1"/>
  <c r="F26" i="1"/>
  <c r="G26" i="1"/>
  <c r="AB26" i="1"/>
  <c r="AC26" i="1"/>
  <c r="AD26" i="1"/>
  <c r="AE26" i="1"/>
  <c r="AF26" i="1"/>
  <c r="AG26" i="1"/>
  <c r="AH26" i="1"/>
  <c r="AI26" i="1"/>
  <c r="AJ26" i="1"/>
  <c r="AK26" i="1"/>
  <c r="A27" i="1"/>
  <c r="B27" i="1"/>
  <c r="C27" i="1"/>
  <c r="D27" i="1"/>
  <c r="E27" i="1"/>
  <c r="F27" i="1"/>
  <c r="G27" i="1"/>
  <c r="AB27" i="1"/>
  <c r="AC27" i="1"/>
  <c r="AD27" i="1"/>
  <c r="AE27" i="1"/>
  <c r="AF27" i="1"/>
  <c r="AG27" i="1"/>
  <c r="AH27" i="1"/>
  <c r="AI27" i="1"/>
  <c r="AJ27" i="1"/>
  <c r="AK27" i="1"/>
  <c r="A28" i="1"/>
  <c r="B28" i="1"/>
  <c r="C28" i="1"/>
  <c r="D28" i="1"/>
  <c r="E28" i="1"/>
  <c r="F28" i="1"/>
  <c r="G28" i="1"/>
  <c r="AB28" i="1"/>
  <c r="AC28" i="1"/>
  <c r="AD28" i="1"/>
  <c r="AE28" i="1"/>
  <c r="AF28" i="1"/>
  <c r="AG28" i="1"/>
  <c r="AH28" i="1"/>
  <c r="AI28" i="1"/>
  <c r="AJ28" i="1"/>
  <c r="AK28" i="1"/>
  <c r="A29" i="1"/>
  <c r="B29" i="1"/>
  <c r="C29" i="1"/>
  <c r="D29" i="1"/>
  <c r="E29" i="1"/>
  <c r="F29" i="1"/>
  <c r="G29" i="1"/>
  <c r="AB29" i="1"/>
  <c r="AC29" i="1"/>
  <c r="AD29" i="1"/>
  <c r="AE29" i="1"/>
  <c r="AF29" i="1"/>
  <c r="AG29" i="1"/>
  <c r="AH29" i="1"/>
  <c r="AI29" i="1"/>
  <c r="AJ29" i="1"/>
  <c r="AK29" i="1"/>
  <c r="A30" i="1"/>
  <c r="B30" i="1"/>
  <c r="C30" i="1"/>
  <c r="D30" i="1"/>
  <c r="E30" i="1"/>
  <c r="F30" i="1"/>
  <c r="G30" i="1"/>
  <c r="AB30" i="1"/>
  <c r="AC30" i="1"/>
  <c r="AD30" i="1"/>
  <c r="AE30" i="1"/>
  <c r="AF30" i="1"/>
  <c r="AG30" i="1"/>
  <c r="AH30" i="1"/>
  <c r="AI30" i="1"/>
  <c r="AJ30" i="1"/>
  <c r="AK30" i="1"/>
  <c r="A31" i="1"/>
  <c r="B31" i="1"/>
  <c r="C31" i="1"/>
  <c r="D31" i="1"/>
  <c r="E31" i="1"/>
  <c r="F31" i="1"/>
  <c r="G31" i="1"/>
  <c r="AB31" i="1"/>
  <c r="AC31" i="1"/>
  <c r="AD31" i="1"/>
  <c r="AE31" i="1"/>
  <c r="AF31" i="1"/>
  <c r="AG31" i="1"/>
  <c r="AH31" i="1"/>
  <c r="AI31" i="1"/>
  <c r="AJ31" i="1"/>
  <c r="AK31" i="1"/>
  <c r="A32" i="1"/>
  <c r="B32" i="1"/>
  <c r="C32" i="1"/>
  <c r="D32" i="1"/>
  <c r="E32" i="1"/>
  <c r="F32" i="1"/>
  <c r="G32" i="1"/>
  <c r="AB32" i="1"/>
  <c r="AC32" i="1"/>
  <c r="AD32" i="1"/>
  <c r="AE32" i="1"/>
  <c r="AF32" i="1"/>
  <c r="AG32" i="1"/>
  <c r="AH32" i="1"/>
  <c r="AI32" i="1"/>
  <c r="AJ32" i="1"/>
  <c r="AK32" i="1"/>
  <c r="A33" i="1"/>
  <c r="B33" i="1"/>
  <c r="C33" i="1"/>
  <c r="D33" i="1"/>
  <c r="E33" i="1"/>
  <c r="F33" i="1"/>
  <c r="G33" i="1"/>
  <c r="AB33" i="1"/>
  <c r="AC33" i="1"/>
  <c r="AD33" i="1"/>
  <c r="AE33" i="1"/>
  <c r="AF33" i="1"/>
  <c r="AG33" i="1"/>
  <c r="AH33" i="1"/>
  <c r="AI33" i="1"/>
  <c r="AJ33" i="1"/>
  <c r="AK33" i="1"/>
  <c r="A34" i="1"/>
  <c r="B34" i="1"/>
  <c r="C34" i="1"/>
  <c r="D34" i="1"/>
  <c r="E34" i="1"/>
  <c r="F34" i="1"/>
  <c r="G34" i="1"/>
  <c r="AB34" i="1"/>
  <c r="AC34" i="1"/>
  <c r="AD34" i="1"/>
  <c r="AE34" i="1"/>
  <c r="AF34" i="1"/>
  <c r="AG34" i="1"/>
  <c r="AH34" i="1"/>
  <c r="AI34" i="1"/>
  <c r="AJ34" i="1"/>
  <c r="AK34" i="1"/>
  <c r="A35" i="1"/>
  <c r="B35" i="1"/>
  <c r="C35" i="1"/>
  <c r="D35" i="1"/>
  <c r="E35" i="1"/>
  <c r="F35" i="1"/>
  <c r="G35" i="1"/>
  <c r="AB35" i="1"/>
  <c r="AC35" i="1"/>
  <c r="AD35" i="1"/>
  <c r="AE35" i="1"/>
  <c r="AF35" i="1"/>
  <c r="AG35" i="1"/>
  <c r="AH35" i="1"/>
  <c r="AI35" i="1"/>
  <c r="AJ35" i="1"/>
  <c r="AK35" i="1"/>
  <c r="A36" i="1"/>
  <c r="B36" i="1"/>
  <c r="C36" i="1"/>
  <c r="D36" i="1"/>
  <c r="E36" i="1"/>
  <c r="F36" i="1"/>
  <c r="G36" i="1"/>
  <c r="AB36" i="1"/>
  <c r="AC36" i="1"/>
  <c r="AD36" i="1"/>
  <c r="AE36" i="1"/>
  <c r="AF36" i="1"/>
  <c r="AG36" i="1"/>
  <c r="AH36" i="1"/>
  <c r="AI36" i="1"/>
  <c r="AJ36" i="1"/>
  <c r="AK36" i="1"/>
  <c r="A37" i="1"/>
  <c r="B37" i="1"/>
  <c r="C37" i="1"/>
  <c r="D37" i="1"/>
  <c r="E37" i="1"/>
  <c r="F37" i="1"/>
  <c r="G37" i="1"/>
  <c r="AB37" i="1"/>
  <c r="AC37" i="1"/>
  <c r="AD37" i="1"/>
  <c r="AE37" i="1"/>
  <c r="AF37" i="1"/>
  <c r="AG37" i="1"/>
  <c r="AH37" i="1"/>
  <c r="AI37" i="1"/>
  <c r="AJ37" i="1"/>
  <c r="AK37" i="1"/>
  <c r="A38" i="1"/>
  <c r="B38" i="1"/>
  <c r="C38" i="1"/>
  <c r="D38" i="1"/>
  <c r="E38" i="1"/>
  <c r="F38" i="1"/>
  <c r="G38" i="1"/>
  <c r="AB38" i="1"/>
  <c r="AC38" i="1"/>
  <c r="AD38" i="1"/>
  <c r="AE38" i="1"/>
  <c r="AF38" i="1"/>
  <c r="AG38" i="1"/>
  <c r="AH38" i="1"/>
  <c r="AI38" i="1"/>
  <c r="AJ38" i="1"/>
  <c r="AK38" i="1"/>
  <c r="A39" i="1"/>
  <c r="B39" i="1"/>
  <c r="C39" i="1"/>
  <c r="D39" i="1"/>
  <c r="E39" i="1"/>
  <c r="F39" i="1"/>
  <c r="G39" i="1"/>
  <c r="AB39" i="1"/>
  <c r="AC39" i="1"/>
  <c r="AD39" i="1"/>
  <c r="AE39" i="1"/>
  <c r="AF39" i="1"/>
  <c r="AG39" i="1"/>
  <c r="AH39" i="1"/>
  <c r="AI39" i="1"/>
  <c r="AJ39" i="1"/>
  <c r="AK39" i="1"/>
  <c r="A40" i="1"/>
  <c r="B40" i="1"/>
  <c r="C40" i="1"/>
  <c r="D40" i="1"/>
  <c r="E40" i="1"/>
  <c r="F40" i="1"/>
  <c r="G40" i="1"/>
  <c r="AB40" i="1"/>
  <c r="AC40" i="1"/>
  <c r="AD40" i="1"/>
  <c r="AE40" i="1"/>
  <c r="AF40" i="1"/>
  <c r="AG40" i="1"/>
  <c r="AH40" i="1"/>
  <c r="AI40" i="1"/>
  <c r="AJ40" i="1"/>
  <c r="AK40" i="1"/>
  <c r="A41" i="1"/>
  <c r="B41" i="1"/>
  <c r="C41" i="1"/>
  <c r="D41" i="1"/>
  <c r="E41" i="1"/>
  <c r="F41" i="1"/>
  <c r="G41" i="1"/>
  <c r="AB41" i="1"/>
  <c r="AC41" i="1"/>
  <c r="AD41" i="1"/>
  <c r="AE41" i="1"/>
  <c r="AF41" i="1"/>
  <c r="AG41" i="1"/>
  <c r="AH41" i="1"/>
  <c r="AI41" i="1"/>
  <c r="AJ41" i="1"/>
  <c r="AK41" i="1"/>
  <c r="A42" i="1"/>
  <c r="B42" i="1"/>
  <c r="C42" i="1"/>
  <c r="D42" i="1"/>
  <c r="E42" i="1"/>
  <c r="F42" i="1"/>
  <c r="G42" i="1"/>
  <c r="AB42" i="1"/>
  <c r="AC42" i="1"/>
  <c r="AD42" i="1"/>
  <c r="AE42" i="1"/>
  <c r="AF42" i="1"/>
  <c r="AG42" i="1"/>
  <c r="AH42" i="1"/>
  <c r="AI42" i="1"/>
  <c r="AJ42" i="1"/>
  <c r="AK42" i="1"/>
  <c r="A43" i="1"/>
  <c r="B43" i="1"/>
  <c r="C43" i="1"/>
  <c r="D43" i="1"/>
  <c r="E43" i="1"/>
  <c r="F43" i="1"/>
  <c r="G43" i="1"/>
  <c r="AB43" i="1"/>
  <c r="AC43" i="1"/>
  <c r="AD43" i="1"/>
  <c r="AE43" i="1"/>
  <c r="AF43" i="1"/>
  <c r="AG43" i="1"/>
  <c r="AH43" i="1"/>
  <c r="AI43" i="1"/>
  <c r="AJ43" i="1"/>
  <c r="AK43" i="1"/>
  <c r="A44" i="1"/>
  <c r="B44" i="1"/>
  <c r="C44" i="1"/>
  <c r="D44" i="1"/>
  <c r="E44" i="1"/>
  <c r="F44" i="1"/>
  <c r="G44" i="1"/>
  <c r="AB44" i="1"/>
  <c r="AC44" i="1"/>
  <c r="AD44" i="1"/>
  <c r="AE44" i="1"/>
  <c r="AF44" i="1"/>
  <c r="AG44" i="1"/>
  <c r="AH44" i="1"/>
  <c r="AI44" i="1"/>
  <c r="AJ44" i="1"/>
  <c r="AK44" i="1"/>
  <c r="A45" i="1"/>
  <c r="B45" i="1"/>
  <c r="C45" i="1"/>
  <c r="D45" i="1"/>
  <c r="E45" i="1"/>
  <c r="F45" i="1"/>
  <c r="G45" i="1"/>
  <c r="AB45" i="1"/>
  <c r="AC45" i="1"/>
  <c r="AD45" i="1"/>
  <c r="AE45" i="1"/>
  <c r="AF45" i="1"/>
  <c r="AG45" i="1"/>
  <c r="AH45" i="1"/>
  <c r="AI45" i="1"/>
  <c r="AJ45" i="1"/>
  <c r="AK45" i="1"/>
  <c r="A46" i="1"/>
  <c r="B46" i="1"/>
  <c r="C46" i="1"/>
  <c r="D46" i="1"/>
  <c r="E46" i="1"/>
  <c r="F46" i="1"/>
  <c r="G46" i="1"/>
  <c r="AB46" i="1"/>
  <c r="AC46" i="1"/>
  <c r="AD46" i="1"/>
  <c r="AE46" i="1"/>
  <c r="AF46" i="1"/>
  <c r="AG46" i="1"/>
  <c r="AH46" i="1"/>
  <c r="AI46" i="1"/>
  <c r="AJ46" i="1"/>
  <c r="AK46" i="1"/>
  <c r="A47" i="1"/>
  <c r="B47" i="1"/>
  <c r="C47" i="1"/>
  <c r="D47" i="1"/>
  <c r="E47" i="1"/>
  <c r="F47" i="1"/>
  <c r="G47" i="1"/>
  <c r="AB47" i="1"/>
  <c r="AC47" i="1"/>
  <c r="AD47" i="1"/>
  <c r="AE47" i="1"/>
  <c r="AF47" i="1"/>
  <c r="AG47" i="1"/>
  <c r="AH47" i="1"/>
  <c r="AI47" i="1"/>
  <c r="AJ47" i="1"/>
  <c r="AK47" i="1"/>
  <c r="A48" i="1"/>
  <c r="B48" i="1"/>
  <c r="C48" i="1"/>
  <c r="D48" i="1"/>
  <c r="E48" i="1"/>
  <c r="F48" i="1"/>
  <c r="G48" i="1"/>
  <c r="AB48" i="1"/>
  <c r="AC48" i="1"/>
  <c r="AD48" i="1"/>
  <c r="AE48" i="1"/>
  <c r="AF48" i="1"/>
  <c r="AG48" i="1"/>
  <c r="AH48" i="1"/>
  <c r="AI48" i="1"/>
  <c r="AJ48" i="1"/>
  <c r="AK48" i="1"/>
  <c r="A49" i="1"/>
  <c r="B49" i="1"/>
  <c r="C49" i="1"/>
  <c r="D49" i="1"/>
  <c r="E49" i="1"/>
  <c r="F49" i="1"/>
  <c r="G49" i="1"/>
  <c r="AB49" i="1"/>
  <c r="AC49" i="1"/>
  <c r="AD49" i="1"/>
  <c r="AE49" i="1"/>
  <c r="AF49" i="1"/>
  <c r="AG49" i="1"/>
  <c r="AH49" i="1"/>
  <c r="AI49" i="1"/>
  <c r="AJ49" i="1"/>
  <c r="AK49" i="1"/>
  <c r="A50" i="1"/>
  <c r="B50" i="1"/>
  <c r="C50" i="1"/>
  <c r="D50" i="1"/>
  <c r="E50" i="1"/>
  <c r="F50" i="1"/>
  <c r="G50" i="1"/>
  <c r="AB50" i="1"/>
  <c r="AC50" i="1"/>
  <c r="AD50" i="1"/>
  <c r="AE50" i="1"/>
  <c r="AF50" i="1"/>
  <c r="AG50" i="1"/>
  <c r="AH50" i="1"/>
  <c r="AI50" i="1"/>
  <c r="AJ50" i="1"/>
  <c r="AK50" i="1"/>
  <c r="A51" i="1"/>
  <c r="B51" i="1"/>
  <c r="C51" i="1"/>
  <c r="D51" i="1"/>
  <c r="E51" i="1"/>
  <c r="F51" i="1"/>
  <c r="G51" i="1"/>
  <c r="AB51" i="1"/>
  <c r="AC51" i="1"/>
  <c r="AD51" i="1"/>
  <c r="AE51" i="1"/>
  <c r="AF51" i="1"/>
  <c r="AG51" i="1"/>
  <c r="AH51" i="1"/>
  <c r="AI51" i="1"/>
  <c r="AJ51" i="1"/>
  <c r="AK51" i="1"/>
  <c r="A52" i="1"/>
  <c r="B52" i="1"/>
  <c r="C52" i="1"/>
  <c r="D52" i="1"/>
  <c r="E52" i="1"/>
  <c r="F52" i="1"/>
  <c r="G52" i="1"/>
  <c r="AB52" i="1"/>
  <c r="AC52" i="1"/>
  <c r="AD52" i="1"/>
  <c r="AE52" i="1"/>
  <c r="AF52" i="1"/>
  <c r="AG52" i="1"/>
  <c r="AH52" i="1"/>
  <c r="AI52" i="1"/>
  <c r="AJ52" i="1"/>
  <c r="AK52" i="1"/>
  <c r="A53" i="1"/>
  <c r="B53" i="1"/>
  <c r="C53" i="1"/>
  <c r="D53" i="1"/>
  <c r="E53" i="1"/>
  <c r="F53" i="1"/>
  <c r="G53" i="1"/>
  <c r="AB53" i="1"/>
  <c r="AC53" i="1"/>
  <c r="AD53" i="1"/>
  <c r="AE53" i="1"/>
  <c r="AF53" i="1"/>
  <c r="AG53" i="1"/>
  <c r="AH53" i="1"/>
  <c r="AI53" i="1"/>
  <c r="AJ53" i="1"/>
  <c r="AK53" i="1"/>
  <c r="A54" i="1"/>
  <c r="B54" i="1"/>
  <c r="C54" i="1"/>
  <c r="D54" i="1"/>
  <c r="E54" i="1"/>
  <c r="F54" i="1"/>
  <c r="G54" i="1"/>
  <c r="AB54" i="1"/>
  <c r="AC54" i="1"/>
  <c r="AD54" i="1"/>
  <c r="AE54" i="1"/>
  <c r="AF54" i="1"/>
  <c r="AG54" i="1"/>
  <c r="AH54" i="1"/>
  <c r="AI54" i="1"/>
  <c r="AJ54" i="1"/>
  <c r="AK54" i="1"/>
  <c r="A55" i="1"/>
  <c r="B55" i="1"/>
  <c r="C55" i="1"/>
  <c r="D55" i="1"/>
  <c r="E55" i="1"/>
  <c r="F55" i="1"/>
  <c r="G55" i="1"/>
  <c r="AB55" i="1"/>
  <c r="AC55" i="1"/>
  <c r="AD55" i="1"/>
  <c r="AE55" i="1"/>
  <c r="AF55" i="1"/>
  <c r="AG55" i="1"/>
  <c r="AH55" i="1"/>
  <c r="AI55" i="1"/>
  <c r="AJ55" i="1"/>
  <c r="AK55" i="1"/>
  <c r="A56" i="1"/>
  <c r="B56" i="1"/>
  <c r="C56" i="1"/>
  <c r="D56" i="1"/>
  <c r="E56" i="1"/>
  <c r="F56" i="1"/>
  <c r="G56" i="1"/>
  <c r="AB56" i="1"/>
  <c r="AC56" i="1"/>
  <c r="AD56" i="1"/>
  <c r="AE56" i="1"/>
  <c r="AF56" i="1"/>
  <c r="AG56" i="1"/>
  <c r="AH56" i="1"/>
  <c r="AI56" i="1"/>
  <c r="AJ56" i="1"/>
  <c r="AK56" i="1"/>
  <c r="A57" i="1"/>
  <c r="B57" i="1"/>
  <c r="C57" i="1"/>
  <c r="D57" i="1"/>
  <c r="E57" i="1"/>
  <c r="F57" i="1"/>
  <c r="G57" i="1"/>
  <c r="AB57" i="1"/>
  <c r="AC57" i="1"/>
  <c r="AD57" i="1"/>
  <c r="AE57" i="1"/>
  <c r="AF57" i="1"/>
  <c r="AG57" i="1"/>
  <c r="AH57" i="1"/>
  <c r="AI57" i="1"/>
  <c r="AJ57" i="1"/>
  <c r="AK57" i="1"/>
  <c r="A58" i="1"/>
  <c r="B58" i="1"/>
  <c r="C58" i="1"/>
  <c r="D58" i="1"/>
  <c r="E58" i="1"/>
  <c r="F58" i="1"/>
  <c r="G58" i="1"/>
  <c r="AB58" i="1"/>
  <c r="AC58" i="1"/>
  <c r="AD58" i="1"/>
  <c r="AE58" i="1"/>
  <c r="AF58" i="1"/>
  <c r="AG58" i="1"/>
  <c r="AH58" i="1"/>
  <c r="AI58" i="1"/>
  <c r="AJ58" i="1"/>
  <c r="AK58" i="1"/>
  <c r="A59" i="1"/>
  <c r="B59" i="1"/>
  <c r="C59" i="1"/>
  <c r="D59" i="1"/>
  <c r="E59" i="1"/>
  <c r="F59" i="1"/>
  <c r="G59" i="1"/>
  <c r="AB59" i="1"/>
  <c r="AC59" i="1"/>
  <c r="AD59" i="1"/>
  <c r="AE59" i="1"/>
  <c r="AF59" i="1"/>
  <c r="AG59" i="1"/>
  <c r="AH59" i="1"/>
  <c r="AI59" i="1"/>
  <c r="AJ59" i="1"/>
  <c r="AK59" i="1"/>
  <c r="A60" i="1"/>
  <c r="B60" i="1"/>
  <c r="C60" i="1"/>
  <c r="D60" i="1"/>
  <c r="E60" i="1"/>
  <c r="F60" i="1"/>
  <c r="G60" i="1"/>
  <c r="AB60" i="1"/>
  <c r="AC60" i="1"/>
  <c r="AD60" i="1"/>
  <c r="AE60" i="1"/>
  <c r="AF60" i="1"/>
  <c r="AG60" i="1"/>
  <c r="AH60" i="1"/>
  <c r="AI60" i="1"/>
  <c r="AJ60" i="1"/>
  <c r="AK60" i="1"/>
  <c r="A61" i="1"/>
  <c r="B61" i="1"/>
  <c r="C61" i="1"/>
  <c r="D61" i="1"/>
  <c r="E61" i="1"/>
  <c r="F61" i="1"/>
  <c r="G61" i="1"/>
  <c r="AB61" i="1"/>
  <c r="AC61" i="1"/>
  <c r="AD61" i="1"/>
  <c r="AE61" i="1"/>
  <c r="AF61" i="1"/>
  <c r="AG61" i="1"/>
  <c r="AH61" i="1"/>
  <c r="AI61" i="1"/>
  <c r="AJ61" i="1"/>
  <c r="AK61" i="1"/>
  <c r="A62" i="1"/>
  <c r="B62" i="1"/>
  <c r="C62" i="1"/>
  <c r="D62" i="1"/>
  <c r="E62" i="1"/>
  <c r="F62" i="1"/>
  <c r="G62" i="1"/>
  <c r="AB62" i="1"/>
  <c r="AC62" i="1"/>
  <c r="AD62" i="1"/>
  <c r="AE62" i="1"/>
  <c r="AF62" i="1"/>
  <c r="AG62" i="1"/>
  <c r="AH62" i="1"/>
  <c r="AI62" i="1"/>
  <c r="AJ62" i="1"/>
  <c r="AK62" i="1"/>
  <c r="A63" i="1"/>
  <c r="B63" i="1"/>
  <c r="C63" i="1"/>
  <c r="D63" i="1"/>
  <c r="E63" i="1"/>
  <c r="F63" i="1"/>
  <c r="G63" i="1"/>
  <c r="AB63" i="1"/>
  <c r="AC63" i="1"/>
  <c r="AD63" i="1"/>
  <c r="AE63" i="1"/>
  <c r="AF63" i="1"/>
  <c r="AG63" i="1"/>
  <c r="AH63" i="1"/>
  <c r="AI63" i="1"/>
  <c r="AJ63" i="1"/>
  <c r="AK63" i="1"/>
  <c r="A64" i="1"/>
  <c r="B64" i="1"/>
  <c r="C64" i="1"/>
  <c r="D64" i="1"/>
  <c r="E64" i="1"/>
  <c r="F64" i="1"/>
  <c r="G64" i="1"/>
  <c r="AB64" i="1"/>
  <c r="AC64" i="1"/>
  <c r="AD64" i="1"/>
  <c r="AE64" i="1"/>
  <c r="AF64" i="1"/>
  <c r="AG64" i="1"/>
  <c r="AH64" i="1"/>
  <c r="AI64" i="1"/>
  <c r="AJ64" i="1"/>
  <c r="AK64" i="1"/>
  <c r="A65" i="1"/>
  <c r="B65" i="1"/>
  <c r="C65" i="1"/>
  <c r="D65" i="1"/>
  <c r="E65" i="1"/>
  <c r="F65" i="1"/>
  <c r="G65" i="1"/>
  <c r="AB65" i="1"/>
  <c r="AC65" i="1"/>
  <c r="AD65" i="1"/>
  <c r="AE65" i="1"/>
  <c r="AF65" i="1"/>
  <c r="AG65" i="1"/>
  <c r="AH65" i="1"/>
  <c r="AI65" i="1"/>
  <c r="AJ65" i="1"/>
  <c r="AK65" i="1"/>
  <c r="A66" i="1"/>
  <c r="B66" i="1"/>
  <c r="C66" i="1"/>
  <c r="D66" i="1"/>
  <c r="E66" i="1"/>
  <c r="F66" i="1"/>
  <c r="G66" i="1"/>
  <c r="AB66" i="1"/>
  <c r="AC66" i="1"/>
  <c r="AD66" i="1"/>
  <c r="AE66" i="1"/>
  <c r="AF66" i="1"/>
  <c r="AG66" i="1"/>
  <c r="AH66" i="1"/>
  <c r="AI66" i="1"/>
  <c r="AJ66" i="1"/>
  <c r="AK66" i="1"/>
  <c r="A67" i="1"/>
  <c r="B67" i="1"/>
  <c r="C67" i="1"/>
  <c r="D67" i="1"/>
  <c r="E67" i="1"/>
  <c r="F67" i="1"/>
  <c r="G67" i="1"/>
  <c r="AB67" i="1"/>
  <c r="AC67" i="1"/>
  <c r="AD67" i="1"/>
  <c r="AE67" i="1"/>
  <c r="AF67" i="1"/>
  <c r="AG67" i="1"/>
  <c r="AH67" i="1"/>
  <c r="AI67" i="1"/>
  <c r="AJ67" i="1"/>
  <c r="AK67" i="1"/>
  <c r="A68" i="1"/>
  <c r="B68" i="1"/>
  <c r="C68" i="1"/>
  <c r="D68" i="1"/>
  <c r="E68" i="1"/>
  <c r="F68" i="1"/>
  <c r="G68" i="1"/>
  <c r="AB68" i="1"/>
  <c r="AC68" i="1"/>
  <c r="AD68" i="1"/>
  <c r="AE68" i="1"/>
  <c r="AF68" i="1"/>
  <c r="AG68" i="1"/>
  <c r="AH68" i="1"/>
  <c r="AI68" i="1"/>
  <c r="AJ68" i="1"/>
  <c r="AK68" i="1"/>
  <c r="A69" i="1"/>
  <c r="B69" i="1"/>
  <c r="C69" i="1"/>
  <c r="D69" i="1"/>
  <c r="E69" i="1"/>
  <c r="F69" i="1"/>
  <c r="G69" i="1"/>
  <c r="AB69" i="1"/>
  <c r="AC69" i="1"/>
  <c r="AD69" i="1"/>
  <c r="AE69" i="1"/>
  <c r="AF69" i="1"/>
  <c r="AG69" i="1"/>
  <c r="AH69" i="1"/>
  <c r="AI69" i="1"/>
  <c r="AJ69" i="1"/>
  <c r="AK69" i="1"/>
  <c r="A70" i="1"/>
  <c r="B70" i="1"/>
  <c r="C70" i="1"/>
  <c r="D70" i="1"/>
  <c r="E70" i="1"/>
  <c r="F70" i="1"/>
  <c r="G70" i="1"/>
  <c r="AB70" i="1"/>
  <c r="AC70" i="1"/>
  <c r="AD70" i="1"/>
  <c r="AE70" i="1"/>
  <c r="AF70" i="1"/>
  <c r="AG70" i="1"/>
  <c r="AH70" i="1"/>
  <c r="AI70" i="1"/>
  <c r="AJ70" i="1"/>
  <c r="AK70" i="1"/>
  <c r="A71" i="1"/>
  <c r="B71" i="1"/>
  <c r="C71" i="1"/>
  <c r="D71" i="1"/>
  <c r="E71" i="1"/>
  <c r="F71" i="1"/>
  <c r="G71" i="1"/>
  <c r="AB71" i="1"/>
  <c r="AC71" i="1"/>
  <c r="AD71" i="1"/>
  <c r="AE71" i="1"/>
  <c r="AF71" i="1"/>
  <c r="AG71" i="1"/>
  <c r="AH71" i="1"/>
  <c r="AI71" i="1"/>
  <c r="AJ71" i="1"/>
  <c r="AK71" i="1"/>
  <c r="A72" i="1"/>
  <c r="B72" i="1"/>
  <c r="C72" i="1"/>
  <c r="D72" i="1"/>
  <c r="E72" i="1"/>
  <c r="F72" i="1"/>
  <c r="G72" i="1"/>
  <c r="AB72" i="1"/>
  <c r="AC72" i="1"/>
  <c r="AD72" i="1"/>
  <c r="AE72" i="1"/>
  <c r="AF72" i="1"/>
  <c r="AG72" i="1"/>
  <c r="AH72" i="1"/>
  <c r="AI72" i="1"/>
  <c r="AJ72" i="1"/>
  <c r="AK72" i="1"/>
  <c r="A73" i="1"/>
  <c r="B73" i="1"/>
  <c r="C73" i="1"/>
  <c r="D73" i="1"/>
  <c r="E73" i="1"/>
  <c r="F73" i="1"/>
  <c r="G73" i="1"/>
  <c r="AB73" i="1"/>
  <c r="AC73" i="1"/>
  <c r="AD73" i="1"/>
  <c r="AE73" i="1"/>
  <c r="AF73" i="1"/>
  <c r="AG73" i="1"/>
  <c r="AH73" i="1"/>
  <c r="AI73" i="1"/>
  <c r="AJ73" i="1"/>
  <c r="AK73" i="1"/>
  <c r="A74" i="1"/>
  <c r="B74" i="1"/>
  <c r="C74" i="1"/>
  <c r="D74" i="1"/>
  <c r="E74" i="1"/>
  <c r="F74" i="1"/>
  <c r="G74" i="1"/>
  <c r="AB74" i="1"/>
  <c r="AC74" i="1"/>
  <c r="AD74" i="1"/>
  <c r="AE74" i="1"/>
  <c r="AF74" i="1"/>
  <c r="AG74" i="1"/>
  <c r="AH74" i="1"/>
  <c r="AI74" i="1"/>
  <c r="AJ74" i="1"/>
  <c r="AK74" i="1"/>
  <c r="A75" i="1"/>
  <c r="B75" i="1"/>
  <c r="C75" i="1"/>
  <c r="D75" i="1"/>
  <c r="E75" i="1"/>
  <c r="F75" i="1"/>
  <c r="G75" i="1"/>
  <c r="AB75" i="1"/>
  <c r="AC75" i="1"/>
  <c r="AD75" i="1"/>
  <c r="AE75" i="1"/>
  <c r="AF75" i="1"/>
  <c r="AG75" i="1"/>
  <c r="AH75" i="1"/>
  <c r="AI75" i="1"/>
  <c r="AJ75" i="1"/>
  <c r="AK75" i="1"/>
  <c r="A76" i="1"/>
  <c r="B76" i="1"/>
  <c r="C76" i="1"/>
  <c r="D76" i="1"/>
  <c r="E76" i="1"/>
  <c r="F76" i="1"/>
  <c r="G76" i="1"/>
  <c r="AB76" i="1"/>
  <c r="AC76" i="1"/>
  <c r="AD76" i="1"/>
  <c r="AE76" i="1"/>
  <c r="AF76" i="1"/>
  <c r="AG76" i="1"/>
  <c r="AH76" i="1"/>
  <c r="AI76" i="1"/>
  <c r="AJ76" i="1"/>
  <c r="AK76" i="1"/>
  <c r="A77" i="1"/>
  <c r="B77" i="1"/>
  <c r="C77" i="1"/>
  <c r="D77" i="1"/>
  <c r="E77" i="1"/>
  <c r="F77" i="1"/>
  <c r="G77" i="1"/>
  <c r="AB77" i="1"/>
  <c r="AC77" i="1"/>
  <c r="AD77" i="1"/>
  <c r="AE77" i="1"/>
  <c r="AF77" i="1"/>
  <c r="AG77" i="1"/>
  <c r="AH77" i="1"/>
  <c r="AI77" i="1"/>
  <c r="AJ77" i="1"/>
  <c r="AK77" i="1"/>
  <c r="A78" i="1"/>
  <c r="B78" i="1"/>
  <c r="C78" i="1"/>
  <c r="D78" i="1"/>
  <c r="E78" i="1"/>
  <c r="F78" i="1"/>
  <c r="G78" i="1"/>
  <c r="AB78" i="1"/>
  <c r="AC78" i="1"/>
  <c r="AD78" i="1"/>
  <c r="AE78" i="1"/>
  <c r="AF78" i="1"/>
  <c r="AG78" i="1"/>
  <c r="AH78" i="1"/>
  <c r="AI78" i="1"/>
  <c r="AJ78" i="1"/>
  <c r="AK78" i="1"/>
  <c r="A79" i="1"/>
  <c r="B79" i="1"/>
  <c r="C79" i="1"/>
  <c r="D79" i="1"/>
  <c r="E79" i="1"/>
  <c r="F79" i="1"/>
  <c r="G79" i="1"/>
  <c r="AB79" i="1"/>
  <c r="AC79" i="1"/>
  <c r="AD79" i="1"/>
  <c r="AE79" i="1"/>
  <c r="AF79" i="1"/>
  <c r="AG79" i="1"/>
  <c r="AH79" i="1"/>
  <c r="AI79" i="1"/>
  <c r="AJ79" i="1"/>
  <c r="AK79" i="1"/>
  <c r="A80" i="1"/>
  <c r="B80" i="1"/>
  <c r="C80" i="1"/>
  <c r="D80" i="1"/>
  <c r="E80" i="1"/>
  <c r="F80" i="1"/>
  <c r="G80" i="1"/>
  <c r="AB80" i="1"/>
  <c r="AC80" i="1"/>
  <c r="AD80" i="1"/>
  <c r="AE80" i="1"/>
  <c r="AF80" i="1"/>
  <c r="AG80" i="1"/>
  <c r="AH80" i="1"/>
  <c r="AI80" i="1"/>
  <c r="AJ80" i="1"/>
  <c r="AK80" i="1"/>
  <c r="A81" i="1"/>
  <c r="B81" i="1"/>
  <c r="C81" i="1"/>
  <c r="D81" i="1"/>
  <c r="E81" i="1"/>
  <c r="F81" i="1"/>
  <c r="G81" i="1"/>
  <c r="AB81" i="1"/>
  <c r="AC81" i="1"/>
  <c r="AD81" i="1"/>
  <c r="AE81" i="1"/>
  <c r="AF81" i="1"/>
  <c r="AG81" i="1"/>
  <c r="AH81" i="1"/>
  <c r="AI81" i="1"/>
  <c r="AJ81" i="1"/>
  <c r="AK81" i="1"/>
  <c r="A82" i="1"/>
  <c r="B82" i="1"/>
  <c r="C82" i="1"/>
  <c r="D82" i="1"/>
  <c r="E82" i="1"/>
  <c r="F82" i="1"/>
  <c r="G82" i="1"/>
  <c r="AB82" i="1"/>
  <c r="AC82" i="1"/>
  <c r="AD82" i="1"/>
  <c r="AE82" i="1"/>
  <c r="AF82" i="1"/>
  <c r="AG82" i="1"/>
  <c r="AH82" i="1"/>
  <c r="AI82" i="1"/>
  <c r="AJ82" i="1"/>
  <c r="AK82" i="1"/>
  <c r="A83" i="1"/>
  <c r="B83" i="1"/>
  <c r="C83" i="1"/>
  <c r="D83" i="1"/>
  <c r="E83" i="1"/>
  <c r="F83" i="1"/>
  <c r="G83" i="1"/>
  <c r="AB83" i="1"/>
  <c r="AC83" i="1"/>
  <c r="AD83" i="1"/>
  <c r="AE83" i="1"/>
  <c r="AF83" i="1"/>
  <c r="AG83" i="1"/>
  <c r="AH83" i="1"/>
  <c r="AI83" i="1"/>
  <c r="AJ83" i="1"/>
  <c r="AK83" i="1"/>
  <c r="A84" i="1"/>
  <c r="B84" i="1"/>
  <c r="C84" i="1"/>
  <c r="D84" i="1"/>
  <c r="E84" i="1"/>
  <c r="F84" i="1"/>
  <c r="G84" i="1"/>
  <c r="AB84" i="1"/>
  <c r="AC84" i="1"/>
  <c r="AD84" i="1"/>
  <c r="AE84" i="1"/>
  <c r="AF84" i="1"/>
  <c r="AG84" i="1"/>
  <c r="AH84" i="1"/>
  <c r="AI84" i="1"/>
  <c r="AJ84" i="1"/>
  <c r="AK84" i="1"/>
  <c r="A85" i="1"/>
  <c r="B85" i="1"/>
  <c r="C85" i="1"/>
  <c r="D85" i="1"/>
  <c r="E85" i="1"/>
  <c r="F85" i="1"/>
  <c r="G85" i="1"/>
  <c r="AB85" i="1"/>
  <c r="AC85" i="1"/>
  <c r="AD85" i="1"/>
  <c r="AE85" i="1"/>
  <c r="AF85" i="1"/>
  <c r="AG85" i="1"/>
  <c r="AH85" i="1"/>
  <c r="AI85" i="1"/>
  <c r="AJ85" i="1"/>
  <c r="AK85" i="1"/>
  <c r="A86" i="1"/>
  <c r="B86" i="1"/>
  <c r="C86" i="1"/>
  <c r="D86" i="1"/>
  <c r="E86" i="1"/>
  <c r="F86" i="1"/>
  <c r="G86" i="1"/>
  <c r="AB86" i="1"/>
  <c r="AC86" i="1"/>
  <c r="AD86" i="1"/>
  <c r="AE86" i="1"/>
  <c r="AF86" i="1"/>
  <c r="AG86" i="1"/>
  <c r="AH86" i="1"/>
  <c r="AI86" i="1"/>
  <c r="AJ86" i="1"/>
  <c r="AK86" i="1"/>
  <c r="A87" i="1"/>
  <c r="B87" i="1"/>
  <c r="C87" i="1"/>
  <c r="D87" i="1"/>
  <c r="E87" i="1"/>
  <c r="F87" i="1"/>
  <c r="G87" i="1"/>
  <c r="AB87" i="1"/>
  <c r="AC87" i="1"/>
  <c r="AD87" i="1"/>
  <c r="AE87" i="1"/>
  <c r="AF87" i="1"/>
  <c r="AG87" i="1"/>
  <c r="AH87" i="1"/>
  <c r="AI87" i="1"/>
  <c r="AJ87" i="1"/>
  <c r="AK87" i="1"/>
  <c r="A88" i="1"/>
  <c r="B88" i="1"/>
  <c r="C88" i="1"/>
  <c r="D88" i="1"/>
  <c r="E88" i="1"/>
  <c r="F88" i="1"/>
  <c r="G88" i="1"/>
  <c r="AB88" i="1"/>
  <c r="AC88" i="1"/>
  <c r="AD88" i="1"/>
  <c r="AE88" i="1"/>
  <c r="AF88" i="1"/>
  <c r="AG88" i="1"/>
  <c r="AH88" i="1"/>
  <c r="AI88" i="1"/>
  <c r="AJ88" i="1"/>
  <c r="AK88" i="1"/>
  <c r="A89" i="1"/>
  <c r="B89" i="1"/>
  <c r="C89" i="1"/>
  <c r="D89" i="1"/>
  <c r="E89" i="1"/>
  <c r="F89" i="1"/>
  <c r="G89" i="1"/>
  <c r="AB89" i="1"/>
  <c r="AC89" i="1"/>
  <c r="AD89" i="1"/>
  <c r="AE89" i="1"/>
  <c r="AF89" i="1"/>
  <c r="AG89" i="1"/>
  <c r="AH89" i="1"/>
  <c r="AI89" i="1"/>
  <c r="AJ89" i="1"/>
  <c r="AK89" i="1"/>
  <c r="A90" i="1"/>
  <c r="B90" i="1"/>
  <c r="C90" i="1"/>
  <c r="D90" i="1"/>
  <c r="E90" i="1"/>
  <c r="F90" i="1"/>
  <c r="G90" i="1"/>
  <c r="AB90" i="1"/>
  <c r="AC90" i="1"/>
  <c r="AD90" i="1"/>
  <c r="AE90" i="1"/>
  <c r="AF90" i="1"/>
  <c r="AG90" i="1"/>
  <c r="AH90" i="1"/>
  <c r="AI90" i="1"/>
  <c r="AJ90" i="1"/>
  <c r="AK90" i="1"/>
  <c r="A91" i="1"/>
  <c r="B91" i="1"/>
  <c r="C91" i="1"/>
  <c r="D91" i="1"/>
  <c r="E91" i="1"/>
  <c r="F91" i="1"/>
  <c r="G91" i="1"/>
  <c r="AB91" i="1"/>
  <c r="AC91" i="1"/>
  <c r="AD91" i="1"/>
  <c r="AE91" i="1"/>
  <c r="AF91" i="1"/>
  <c r="AG91" i="1"/>
  <c r="AH91" i="1"/>
  <c r="AI91" i="1"/>
  <c r="AJ91" i="1"/>
  <c r="AK91" i="1"/>
  <c r="A92" i="1"/>
  <c r="B92" i="1"/>
  <c r="C92" i="1"/>
  <c r="D92" i="1"/>
  <c r="E92" i="1"/>
  <c r="F92" i="1"/>
  <c r="G92" i="1"/>
  <c r="AB92" i="1"/>
  <c r="AC92" i="1"/>
  <c r="AD92" i="1"/>
  <c r="AE92" i="1"/>
  <c r="AF92" i="1"/>
  <c r="AG92" i="1"/>
  <c r="AH92" i="1"/>
  <c r="AI92" i="1"/>
  <c r="AJ92" i="1"/>
  <c r="AK92" i="1"/>
  <c r="A93" i="1"/>
  <c r="B93" i="1"/>
  <c r="C93" i="1"/>
  <c r="D93" i="1"/>
  <c r="E93" i="1"/>
  <c r="F93" i="1"/>
  <c r="G93" i="1"/>
  <c r="AB93" i="1"/>
  <c r="AC93" i="1"/>
  <c r="AD93" i="1"/>
  <c r="AE93" i="1"/>
  <c r="AF93" i="1"/>
  <c r="AG93" i="1"/>
  <c r="AH93" i="1"/>
  <c r="AI93" i="1"/>
  <c r="AJ93" i="1"/>
  <c r="AK93" i="1"/>
  <c r="A94" i="1"/>
  <c r="B94" i="1"/>
  <c r="C94" i="1"/>
  <c r="D94" i="1"/>
  <c r="E94" i="1"/>
  <c r="F94" i="1"/>
  <c r="G94" i="1"/>
  <c r="AB94" i="1"/>
  <c r="AC94" i="1"/>
  <c r="AD94" i="1"/>
  <c r="AE94" i="1"/>
  <c r="AF94" i="1"/>
  <c r="AG94" i="1"/>
  <c r="AH94" i="1"/>
  <c r="AI94" i="1"/>
  <c r="AJ94" i="1"/>
  <c r="AK94" i="1"/>
  <c r="A95" i="1"/>
  <c r="B95" i="1"/>
  <c r="C95" i="1"/>
  <c r="D95" i="1"/>
  <c r="E95" i="1"/>
  <c r="F95" i="1"/>
  <c r="G95" i="1"/>
  <c r="AB95" i="1"/>
  <c r="AC95" i="1"/>
  <c r="AD95" i="1"/>
  <c r="AE95" i="1"/>
  <c r="AF95" i="1"/>
  <c r="AG95" i="1"/>
  <c r="AH95" i="1"/>
  <c r="AI95" i="1"/>
  <c r="AJ95" i="1"/>
  <c r="AK95" i="1"/>
  <c r="A96" i="1"/>
  <c r="B96" i="1"/>
  <c r="C96" i="1"/>
  <c r="D96" i="1"/>
  <c r="E96" i="1"/>
  <c r="F96" i="1"/>
  <c r="G96" i="1"/>
  <c r="AB96" i="1"/>
  <c r="AC96" i="1"/>
  <c r="AD96" i="1"/>
  <c r="AE96" i="1"/>
  <c r="AF96" i="1"/>
  <c r="AG96" i="1"/>
  <c r="AH96" i="1"/>
  <c r="AI96" i="1"/>
  <c r="AJ96" i="1"/>
  <c r="AK96" i="1"/>
  <c r="A97" i="1"/>
  <c r="B97" i="1"/>
  <c r="C97" i="1"/>
  <c r="D97" i="1"/>
  <c r="E97" i="1"/>
  <c r="F97" i="1"/>
  <c r="G97" i="1"/>
  <c r="AB97" i="1"/>
  <c r="AC97" i="1"/>
  <c r="AD97" i="1"/>
  <c r="AE97" i="1"/>
  <c r="AF97" i="1"/>
  <c r="AG97" i="1"/>
  <c r="AH97" i="1"/>
  <c r="AI97" i="1"/>
  <c r="AJ97" i="1"/>
  <c r="AK97" i="1"/>
  <c r="A98" i="1"/>
  <c r="B98" i="1"/>
  <c r="C98" i="1"/>
  <c r="D98" i="1"/>
  <c r="E98" i="1"/>
  <c r="F98" i="1"/>
  <c r="G98" i="1"/>
  <c r="AB98" i="1"/>
  <c r="AC98" i="1"/>
  <c r="AD98" i="1"/>
  <c r="AE98" i="1"/>
  <c r="AF98" i="1"/>
  <c r="AG98" i="1"/>
  <c r="AH98" i="1"/>
  <c r="AI98" i="1"/>
  <c r="AJ98" i="1"/>
  <c r="AK98" i="1"/>
  <c r="A99" i="1"/>
  <c r="B99" i="1"/>
  <c r="C99" i="1"/>
  <c r="D99" i="1"/>
  <c r="E99" i="1"/>
  <c r="F99" i="1"/>
  <c r="G99" i="1"/>
  <c r="AB99" i="1"/>
  <c r="AC99" i="1"/>
  <c r="AD99" i="1"/>
  <c r="AE99" i="1"/>
  <c r="AF99" i="1"/>
  <c r="AG99" i="1"/>
  <c r="AH99" i="1"/>
  <c r="AI99" i="1"/>
  <c r="AJ99" i="1"/>
  <c r="AK99" i="1"/>
  <c r="A100" i="1"/>
  <c r="B100" i="1"/>
  <c r="C100" i="1"/>
  <c r="D100" i="1"/>
  <c r="E100" i="1"/>
  <c r="F100" i="1"/>
  <c r="G100" i="1"/>
  <c r="AB100" i="1"/>
  <c r="AC100" i="1"/>
  <c r="AD100" i="1"/>
  <c r="AE100" i="1"/>
  <c r="AF100" i="1"/>
  <c r="AG100" i="1"/>
  <c r="AH100" i="1"/>
  <c r="AI100" i="1"/>
  <c r="AJ100" i="1"/>
  <c r="AK100" i="1"/>
  <c r="A101" i="1"/>
  <c r="B101" i="1"/>
  <c r="C101" i="1"/>
  <c r="D101" i="1"/>
  <c r="E101" i="1"/>
  <c r="F101" i="1"/>
  <c r="G101" i="1"/>
  <c r="AB101" i="1"/>
  <c r="AC101" i="1"/>
  <c r="AD101" i="1"/>
  <c r="AE101" i="1"/>
  <c r="AF101" i="1"/>
  <c r="AG101" i="1"/>
  <c r="AH101" i="1"/>
  <c r="AI101" i="1"/>
  <c r="AJ101" i="1"/>
  <c r="AK101" i="1"/>
  <c r="A102" i="1"/>
  <c r="B102" i="1"/>
  <c r="C102" i="1"/>
  <c r="D102" i="1"/>
  <c r="E102" i="1"/>
  <c r="F102" i="1"/>
  <c r="G102" i="1"/>
  <c r="AB102" i="1"/>
  <c r="AC102" i="1"/>
  <c r="AD102" i="1"/>
  <c r="AE102" i="1"/>
  <c r="AF102" i="1"/>
  <c r="AG102" i="1"/>
  <c r="AH102" i="1"/>
  <c r="AI102" i="1"/>
  <c r="AJ102" i="1"/>
  <c r="AK102" i="1"/>
  <c r="A103" i="1"/>
  <c r="B103" i="1"/>
  <c r="C103" i="1"/>
  <c r="D103" i="1"/>
  <c r="E103" i="1"/>
  <c r="F103" i="1"/>
  <c r="G103" i="1"/>
  <c r="AB103" i="1"/>
  <c r="AC103" i="1"/>
  <c r="AD103" i="1"/>
  <c r="AE103" i="1"/>
  <c r="AF103" i="1"/>
  <c r="AG103" i="1"/>
  <c r="AH103" i="1"/>
  <c r="AI103" i="1"/>
  <c r="AJ103" i="1"/>
  <c r="AK103" i="1"/>
  <c r="A104" i="1"/>
  <c r="B104" i="1"/>
  <c r="C104" i="1"/>
  <c r="D104" i="1"/>
  <c r="E104" i="1"/>
  <c r="F104" i="1"/>
  <c r="G104" i="1"/>
  <c r="AB104" i="1"/>
  <c r="AC104" i="1"/>
  <c r="AD104" i="1"/>
  <c r="AE104" i="1"/>
  <c r="AF104" i="1"/>
  <c r="AG104" i="1"/>
  <c r="AH104" i="1"/>
  <c r="AI104" i="1"/>
  <c r="AJ104" i="1"/>
  <c r="AK104" i="1"/>
  <c r="A105" i="1"/>
  <c r="B105" i="1"/>
  <c r="C105" i="1"/>
  <c r="D105" i="1"/>
  <c r="E105" i="1"/>
  <c r="F105" i="1"/>
  <c r="G105" i="1"/>
  <c r="AB105" i="1"/>
  <c r="AC105" i="1"/>
  <c r="AD105" i="1"/>
  <c r="AE105" i="1"/>
  <c r="AF105" i="1"/>
  <c r="AG105" i="1"/>
  <c r="AH105" i="1"/>
  <c r="AI105" i="1"/>
  <c r="AJ105" i="1"/>
  <c r="AK105" i="1"/>
  <c r="A106" i="1"/>
  <c r="B106" i="1"/>
  <c r="C106" i="1"/>
  <c r="D106" i="1"/>
  <c r="E106" i="1"/>
  <c r="F106" i="1"/>
  <c r="G106" i="1"/>
  <c r="AB106" i="1"/>
  <c r="AC106" i="1"/>
  <c r="AD106" i="1"/>
  <c r="AE106" i="1"/>
  <c r="AF106" i="1"/>
  <c r="AG106" i="1"/>
  <c r="AH106" i="1"/>
  <c r="AI106" i="1"/>
  <c r="AJ106" i="1"/>
  <c r="AK106" i="1"/>
  <c r="A107" i="1"/>
  <c r="B107" i="1"/>
  <c r="C107" i="1"/>
  <c r="D107" i="1"/>
  <c r="E107" i="1"/>
  <c r="F107" i="1"/>
  <c r="G107" i="1"/>
  <c r="AB107" i="1"/>
  <c r="AC107" i="1"/>
  <c r="AD107" i="1"/>
  <c r="AE107" i="1"/>
  <c r="AF107" i="1"/>
  <c r="AG107" i="1"/>
  <c r="AH107" i="1"/>
  <c r="AI107" i="1"/>
  <c r="AJ107" i="1"/>
  <c r="AK107" i="1"/>
  <c r="A108" i="1"/>
  <c r="B108" i="1"/>
  <c r="C108" i="1"/>
  <c r="D108" i="1"/>
  <c r="E108" i="1"/>
  <c r="F108" i="1"/>
  <c r="G108" i="1"/>
  <c r="AB108" i="1"/>
  <c r="AC108" i="1"/>
  <c r="AD108" i="1"/>
  <c r="AE108" i="1"/>
  <c r="AF108" i="1"/>
  <c r="AG108" i="1"/>
  <c r="AH108" i="1"/>
  <c r="AI108" i="1"/>
  <c r="AJ108" i="1"/>
  <c r="AK108" i="1"/>
  <c r="A109" i="1"/>
  <c r="B109" i="1"/>
  <c r="C109" i="1"/>
  <c r="D109" i="1"/>
  <c r="E109" i="1"/>
  <c r="F109" i="1"/>
  <c r="G109" i="1"/>
  <c r="AB109" i="1"/>
  <c r="AC109" i="1"/>
  <c r="AD109" i="1"/>
  <c r="AE109" i="1"/>
  <c r="AF109" i="1"/>
  <c r="AG109" i="1"/>
  <c r="AH109" i="1"/>
  <c r="AI109" i="1"/>
  <c r="AJ109" i="1"/>
  <c r="AK109" i="1"/>
  <c r="A110" i="1"/>
  <c r="B110" i="1"/>
  <c r="C110" i="1"/>
  <c r="D110" i="1"/>
  <c r="E110" i="1"/>
  <c r="F110" i="1"/>
  <c r="G110" i="1"/>
  <c r="AB110" i="1"/>
  <c r="AC110" i="1"/>
  <c r="AD110" i="1"/>
  <c r="AE110" i="1"/>
  <c r="AF110" i="1"/>
  <c r="AG110" i="1"/>
  <c r="AH110" i="1"/>
  <c r="AI110" i="1"/>
  <c r="AJ110" i="1"/>
  <c r="AK110" i="1"/>
  <c r="A111" i="1"/>
  <c r="B111" i="1"/>
  <c r="C111" i="1"/>
  <c r="D111" i="1"/>
  <c r="E111" i="1"/>
  <c r="F111" i="1"/>
  <c r="G111" i="1"/>
  <c r="AB111" i="1"/>
  <c r="AC111" i="1"/>
  <c r="AD111" i="1"/>
  <c r="AE111" i="1"/>
  <c r="AF111" i="1"/>
  <c r="AG111" i="1"/>
  <c r="AH111" i="1"/>
  <c r="AI111" i="1"/>
  <c r="AJ111" i="1"/>
  <c r="AK111" i="1"/>
  <c r="A112" i="1"/>
  <c r="B112" i="1"/>
  <c r="C112" i="1"/>
  <c r="D112" i="1"/>
  <c r="E112" i="1"/>
  <c r="F112" i="1"/>
  <c r="G112" i="1"/>
  <c r="AB112" i="1"/>
  <c r="AC112" i="1"/>
  <c r="AD112" i="1"/>
  <c r="AE112" i="1"/>
  <c r="AF112" i="1"/>
  <c r="AG112" i="1"/>
  <c r="AH112" i="1"/>
  <c r="AI112" i="1"/>
  <c r="AJ112" i="1"/>
  <c r="AK112" i="1"/>
  <c r="A113" i="1"/>
  <c r="B113" i="1"/>
  <c r="C113" i="1"/>
  <c r="D113" i="1"/>
  <c r="E113" i="1"/>
  <c r="F113" i="1"/>
  <c r="G113" i="1"/>
  <c r="AB113" i="1"/>
  <c r="AC113" i="1"/>
  <c r="AD113" i="1"/>
  <c r="AE113" i="1"/>
  <c r="AF113" i="1"/>
  <c r="AG113" i="1"/>
  <c r="AH113" i="1"/>
  <c r="AI113" i="1"/>
  <c r="AJ113" i="1"/>
  <c r="AK113" i="1"/>
  <c r="A114" i="1"/>
  <c r="B114" i="1"/>
  <c r="C114" i="1"/>
  <c r="D114" i="1"/>
  <c r="E114" i="1"/>
  <c r="F114" i="1"/>
  <c r="G114" i="1"/>
  <c r="AB114" i="1"/>
  <c r="AC114" i="1"/>
  <c r="AD114" i="1"/>
  <c r="AE114" i="1"/>
  <c r="AF114" i="1"/>
  <c r="AG114" i="1"/>
  <c r="AH114" i="1"/>
  <c r="AI114" i="1"/>
  <c r="AJ114" i="1"/>
  <c r="AK114" i="1"/>
  <c r="A115" i="1"/>
  <c r="B115" i="1"/>
  <c r="C115" i="1"/>
  <c r="D115" i="1"/>
  <c r="E115" i="1"/>
  <c r="F115" i="1"/>
  <c r="G115" i="1"/>
  <c r="AB115" i="1"/>
  <c r="AC115" i="1"/>
  <c r="AD115" i="1"/>
  <c r="AE115" i="1"/>
  <c r="AF115" i="1"/>
  <c r="AG115" i="1"/>
  <c r="AH115" i="1"/>
  <c r="AI115" i="1"/>
  <c r="AJ115" i="1"/>
  <c r="AK115" i="1"/>
  <c r="A116" i="1"/>
  <c r="B116" i="1"/>
  <c r="C116" i="1"/>
  <c r="D116" i="1"/>
  <c r="E116" i="1"/>
  <c r="F116" i="1"/>
  <c r="G116" i="1"/>
  <c r="AB116" i="1"/>
  <c r="AC116" i="1"/>
  <c r="AD116" i="1"/>
  <c r="AE116" i="1"/>
  <c r="AF116" i="1"/>
  <c r="AG116" i="1"/>
  <c r="AH116" i="1"/>
  <c r="AI116" i="1"/>
  <c r="AJ116" i="1"/>
  <c r="AK116" i="1"/>
  <c r="A117" i="1"/>
  <c r="B117" i="1"/>
  <c r="C117" i="1"/>
  <c r="D117" i="1"/>
  <c r="E117" i="1"/>
  <c r="F117" i="1"/>
  <c r="G117" i="1"/>
  <c r="AB117" i="1"/>
  <c r="AC117" i="1"/>
  <c r="AD117" i="1"/>
  <c r="AE117" i="1"/>
  <c r="AF117" i="1"/>
  <c r="AG117" i="1"/>
  <c r="AH117" i="1"/>
  <c r="AI117" i="1"/>
  <c r="AJ117" i="1"/>
  <c r="AK117" i="1"/>
  <c r="A118" i="1"/>
  <c r="B118" i="1"/>
  <c r="C118" i="1"/>
  <c r="D118" i="1"/>
  <c r="E118" i="1"/>
  <c r="F118" i="1"/>
  <c r="G118" i="1"/>
  <c r="AB118" i="1"/>
  <c r="AC118" i="1"/>
  <c r="AD118" i="1"/>
  <c r="AE118" i="1"/>
  <c r="AF118" i="1"/>
  <c r="AG118" i="1"/>
  <c r="AH118" i="1"/>
  <c r="AI118" i="1"/>
  <c r="AJ118" i="1"/>
  <c r="AK118" i="1"/>
  <c r="A119" i="1"/>
  <c r="B119" i="1"/>
  <c r="C119" i="1"/>
  <c r="D119" i="1"/>
  <c r="E119" i="1"/>
  <c r="F119" i="1"/>
  <c r="G119" i="1"/>
  <c r="AB119" i="1"/>
  <c r="AC119" i="1"/>
  <c r="AD119" i="1"/>
  <c r="AE119" i="1"/>
  <c r="AF119" i="1"/>
  <c r="AG119" i="1"/>
  <c r="AH119" i="1"/>
  <c r="AI119" i="1"/>
  <c r="AJ119" i="1"/>
  <c r="AK119" i="1"/>
  <c r="A120" i="1"/>
  <c r="B120" i="1"/>
  <c r="C120" i="1"/>
  <c r="D120" i="1"/>
  <c r="E120" i="1"/>
  <c r="F120" i="1"/>
  <c r="G120" i="1"/>
  <c r="AB120" i="1"/>
  <c r="AC120" i="1"/>
  <c r="AD120" i="1"/>
  <c r="AE120" i="1"/>
  <c r="AF120" i="1"/>
  <c r="AG120" i="1"/>
  <c r="AH120" i="1"/>
  <c r="AI120" i="1"/>
  <c r="AJ120" i="1"/>
  <c r="AK120" i="1"/>
  <c r="A121" i="1"/>
  <c r="B121" i="1"/>
  <c r="C121" i="1"/>
  <c r="D121" i="1"/>
  <c r="E121" i="1"/>
  <c r="F121" i="1"/>
  <c r="G121" i="1"/>
  <c r="AB121" i="1"/>
  <c r="AC121" i="1"/>
  <c r="AD121" i="1"/>
  <c r="AE121" i="1"/>
  <c r="AF121" i="1"/>
  <c r="AG121" i="1"/>
  <c r="AH121" i="1"/>
  <c r="AI121" i="1"/>
  <c r="AJ121" i="1"/>
  <c r="AK121" i="1"/>
  <c r="A122" i="1"/>
  <c r="B122" i="1"/>
  <c r="C122" i="1"/>
  <c r="D122" i="1"/>
  <c r="E122" i="1"/>
  <c r="F122" i="1"/>
  <c r="G122" i="1"/>
  <c r="AB122" i="1"/>
  <c r="AC122" i="1"/>
  <c r="AD122" i="1"/>
  <c r="AE122" i="1"/>
  <c r="AF122" i="1"/>
  <c r="AG122" i="1"/>
  <c r="AH122" i="1"/>
  <c r="AI122" i="1"/>
  <c r="AJ122" i="1"/>
  <c r="AK122" i="1"/>
  <c r="A123" i="1"/>
  <c r="B123" i="1"/>
  <c r="C123" i="1"/>
  <c r="D123" i="1"/>
  <c r="E123" i="1"/>
  <c r="F123" i="1"/>
  <c r="G123" i="1"/>
  <c r="AB123" i="1"/>
  <c r="AC123" i="1"/>
  <c r="AD123" i="1"/>
  <c r="AE123" i="1"/>
  <c r="AF123" i="1"/>
  <c r="AG123" i="1"/>
  <c r="AH123" i="1"/>
  <c r="AI123" i="1"/>
  <c r="AJ123" i="1"/>
  <c r="AK123" i="1"/>
  <c r="A124" i="1"/>
  <c r="B124" i="1"/>
  <c r="C124" i="1"/>
  <c r="D124" i="1"/>
  <c r="E124" i="1"/>
  <c r="F124" i="1"/>
  <c r="G124" i="1"/>
  <c r="AB124" i="1"/>
  <c r="AC124" i="1"/>
  <c r="AD124" i="1"/>
  <c r="AE124" i="1"/>
  <c r="AF124" i="1"/>
  <c r="AG124" i="1"/>
  <c r="AH124" i="1"/>
  <c r="AI124" i="1"/>
  <c r="AJ124" i="1"/>
  <c r="AK124" i="1"/>
  <c r="A125" i="1"/>
  <c r="B125" i="1"/>
  <c r="C125" i="1"/>
  <c r="D125" i="1"/>
  <c r="E125" i="1"/>
  <c r="F125" i="1"/>
  <c r="G125" i="1"/>
  <c r="AB125" i="1"/>
  <c r="AC125" i="1"/>
  <c r="AD125" i="1"/>
  <c r="AE125" i="1"/>
  <c r="AF125" i="1"/>
  <c r="AG125" i="1"/>
  <c r="AH125" i="1"/>
  <c r="AI125" i="1"/>
  <c r="AJ125" i="1"/>
  <c r="AK125" i="1"/>
  <c r="A126" i="1"/>
  <c r="B126" i="1"/>
  <c r="C126" i="1"/>
  <c r="D126" i="1"/>
  <c r="E126" i="1"/>
  <c r="F126" i="1"/>
  <c r="G126" i="1"/>
  <c r="AB126" i="1"/>
  <c r="AC126" i="1"/>
  <c r="AD126" i="1"/>
  <c r="AE126" i="1"/>
  <c r="AF126" i="1"/>
  <c r="AG126" i="1"/>
  <c r="AH126" i="1"/>
  <c r="AI126" i="1"/>
  <c r="AJ126" i="1"/>
  <c r="AK126" i="1"/>
  <c r="A127" i="1"/>
  <c r="B127" i="1"/>
  <c r="C127" i="1"/>
  <c r="D127" i="1"/>
  <c r="E127" i="1"/>
  <c r="F127" i="1"/>
  <c r="G127" i="1"/>
  <c r="AB127" i="1"/>
  <c r="AC127" i="1"/>
  <c r="AD127" i="1"/>
  <c r="AE127" i="1"/>
  <c r="AF127" i="1"/>
  <c r="AG127" i="1"/>
  <c r="AH127" i="1"/>
  <c r="AI127" i="1"/>
  <c r="AJ127" i="1"/>
  <c r="AK127" i="1"/>
  <c r="A128" i="1"/>
  <c r="B128" i="1"/>
  <c r="C128" i="1"/>
  <c r="D128" i="1"/>
  <c r="E128" i="1"/>
  <c r="F128" i="1"/>
  <c r="G128" i="1"/>
  <c r="AB128" i="1"/>
  <c r="AC128" i="1"/>
  <c r="AD128" i="1"/>
  <c r="AE128" i="1"/>
  <c r="AF128" i="1"/>
  <c r="AG128" i="1"/>
  <c r="AH128" i="1"/>
  <c r="AI128" i="1"/>
  <c r="AJ128" i="1"/>
  <c r="AK128" i="1"/>
  <c r="A129" i="1"/>
  <c r="B129" i="1"/>
  <c r="C129" i="1"/>
  <c r="D129" i="1"/>
  <c r="E129" i="1"/>
  <c r="F129" i="1"/>
  <c r="G129" i="1"/>
  <c r="AB129" i="1"/>
  <c r="AC129" i="1"/>
  <c r="AD129" i="1"/>
  <c r="AE129" i="1"/>
  <c r="AF129" i="1"/>
  <c r="AG129" i="1"/>
  <c r="AH129" i="1"/>
  <c r="AI129" i="1"/>
  <c r="AJ129" i="1"/>
  <c r="AK129" i="1"/>
  <c r="A130" i="1"/>
  <c r="B130" i="1"/>
  <c r="C130" i="1"/>
  <c r="D130" i="1"/>
  <c r="E130" i="1"/>
  <c r="F130" i="1"/>
  <c r="G130" i="1"/>
  <c r="AB130" i="1"/>
  <c r="AC130" i="1"/>
  <c r="AD130" i="1"/>
  <c r="AE130" i="1"/>
  <c r="AF130" i="1"/>
  <c r="AG130" i="1"/>
  <c r="AH130" i="1"/>
  <c r="AI130" i="1"/>
  <c r="AJ130" i="1"/>
  <c r="AK130" i="1"/>
  <c r="A131" i="1"/>
  <c r="B131" i="1"/>
  <c r="C131" i="1"/>
  <c r="D131" i="1"/>
  <c r="E131" i="1"/>
  <c r="F131" i="1"/>
  <c r="G131" i="1"/>
  <c r="AB131" i="1"/>
  <c r="AC131" i="1"/>
  <c r="AD131" i="1"/>
  <c r="AE131" i="1"/>
  <c r="AF131" i="1"/>
  <c r="AG131" i="1"/>
  <c r="AH131" i="1"/>
  <c r="AI131" i="1"/>
  <c r="AJ131" i="1"/>
  <c r="AK131" i="1"/>
  <c r="A132" i="1"/>
  <c r="B132" i="1"/>
  <c r="C132" i="1"/>
  <c r="D132" i="1"/>
  <c r="E132" i="1"/>
  <c r="F132" i="1"/>
  <c r="G132" i="1"/>
  <c r="AB132" i="1"/>
  <c r="AC132" i="1"/>
  <c r="AD132" i="1"/>
  <c r="AE132" i="1"/>
  <c r="AF132" i="1"/>
  <c r="AG132" i="1"/>
  <c r="AH132" i="1"/>
  <c r="AI132" i="1"/>
  <c r="AJ132" i="1"/>
  <c r="AK132" i="1"/>
  <c r="A133" i="1"/>
  <c r="B133" i="1"/>
  <c r="C133" i="1"/>
  <c r="D133" i="1"/>
  <c r="E133" i="1"/>
  <c r="F133" i="1"/>
  <c r="G133" i="1"/>
  <c r="AB133" i="1"/>
  <c r="AC133" i="1"/>
  <c r="AD133" i="1"/>
  <c r="AE133" i="1"/>
  <c r="AF133" i="1"/>
  <c r="AG133" i="1"/>
  <c r="AH133" i="1"/>
  <c r="AI133" i="1"/>
  <c r="AJ133" i="1"/>
  <c r="AK133" i="1"/>
  <c r="A134" i="1"/>
  <c r="B134" i="1"/>
  <c r="C134" i="1"/>
  <c r="D134" i="1"/>
  <c r="E134" i="1"/>
  <c r="F134" i="1"/>
  <c r="G134" i="1"/>
  <c r="AB134" i="1"/>
  <c r="AC134" i="1"/>
  <c r="AD134" i="1"/>
  <c r="AE134" i="1"/>
  <c r="AF134" i="1"/>
  <c r="AG134" i="1"/>
  <c r="AH134" i="1"/>
  <c r="AI134" i="1"/>
  <c r="AJ134" i="1"/>
  <c r="AK134" i="1"/>
  <c r="A135" i="1"/>
  <c r="B135" i="1"/>
  <c r="C135" i="1"/>
  <c r="D135" i="1"/>
  <c r="E135" i="1"/>
  <c r="F135" i="1"/>
  <c r="G135" i="1"/>
  <c r="AB135" i="1"/>
  <c r="AC135" i="1"/>
  <c r="AD135" i="1"/>
  <c r="AE135" i="1"/>
  <c r="AF135" i="1"/>
  <c r="AG135" i="1"/>
  <c r="AH135" i="1"/>
  <c r="AI135" i="1"/>
  <c r="AJ135" i="1"/>
  <c r="AK135" i="1"/>
  <c r="A136" i="1"/>
  <c r="B136" i="1"/>
  <c r="C136" i="1"/>
  <c r="D136" i="1"/>
  <c r="E136" i="1"/>
  <c r="F136" i="1"/>
  <c r="G136" i="1"/>
  <c r="AB136" i="1"/>
  <c r="AC136" i="1"/>
  <c r="AD136" i="1"/>
  <c r="AE136" i="1"/>
  <c r="AF136" i="1"/>
  <c r="AG136" i="1"/>
  <c r="AH136" i="1"/>
  <c r="AI136" i="1"/>
  <c r="AJ136" i="1"/>
  <c r="AK136" i="1"/>
  <c r="A137" i="1"/>
  <c r="B137" i="1"/>
  <c r="C137" i="1"/>
  <c r="D137" i="1"/>
  <c r="E137" i="1"/>
  <c r="F137" i="1"/>
  <c r="G137" i="1"/>
  <c r="AB137" i="1"/>
  <c r="AC137" i="1"/>
  <c r="AD137" i="1"/>
  <c r="AE137" i="1"/>
  <c r="AF137" i="1"/>
  <c r="AG137" i="1"/>
  <c r="AH137" i="1"/>
  <c r="AI137" i="1"/>
  <c r="AJ137" i="1"/>
  <c r="AK137" i="1"/>
  <c r="A138" i="1"/>
  <c r="B138" i="1"/>
  <c r="C138" i="1"/>
  <c r="D138" i="1"/>
  <c r="E138" i="1"/>
  <c r="F138" i="1"/>
  <c r="G138" i="1"/>
  <c r="AB138" i="1"/>
  <c r="AC138" i="1"/>
  <c r="AD138" i="1"/>
  <c r="AE138" i="1"/>
  <c r="AF138" i="1"/>
  <c r="AG138" i="1"/>
  <c r="AH138" i="1"/>
  <c r="AI138" i="1"/>
  <c r="AJ138" i="1"/>
  <c r="AK138" i="1"/>
  <c r="A139" i="1"/>
  <c r="B139" i="1"/>
  <c r="C139" i="1"/>
  <c r="D139" i="1"/>
  <c r="E139" i="1"/>
  <c r="F139" i="1"/>
  <c r="G139" i="1"/>
  <c r="AB139" i="1"/>
  <c r="AC139" i="1"/>
  <c r="AD139" i="1"/>
  <c r="AE139" i="1"/>
  <c r="AF139" i="1"/>
  <c r="AG139" i="1"/>
  <c r="AH139" i="1"/>
  <c r="AI139" i="1"/>
  <c r="AJ139" i="1"/>
  <c r="AK139" i="1"/>
  <c r="A140" i="1"/>
  <c r="B140" i="1"/>
  <c r="C140" i="1"/>
  <c r="D140" i="1"/>
  <c r="E140" i="1"/>
  <c r="F140" i="1"/>
  <c r="G140" i="1"/>
  <c r="AB140" i="1"/>
  <c r="AC140" i="1"/>
  <c r="AD140" i="1"/>
  <c r="AE140" i="1"/>
  <c r="AF140" i="1"/>
  <c r="AG140" i="1"/>
  <c r="AH140" i="1"/>
  <c r="AI140" i="1"/>
  <c r="AJ140" i="1"/>
  <c r="AK140" i="1"/>
  <c r="A141" i="1"/>
  <c r="B141" i="1"/>
  <c r="C141" i="1"/>
  <c r="D141" i="1"/>
  <c r="E141" i="1"/>
  <c r="F141" i="1"/>
  <c r="G141" i="1"/>
  <c r="AB141" i="1"/>
  <c r="AC141" i="1"/>
  <c r="AD141" i="1"/>
  <c r="AE141" i="1"/>
  <c r="AF141" i="1"/>
  <c r="AG141" i="1"/>
  <c r="AH141" i="1"/>
  <c r="AI141" i="1"/>
  <c r="AJ141" i="1"/>
  <c r="AK141" i="1"/>
  <c r="A142" i="1"/>
  <c r="B142" i="1"/>
  <c r="C142" i="1"/>
  <c r="D142" i="1"/>
  <c r="E142" i="1"/>
  <c r="F142" i="1"/>
  <c r="G142" i="1"/>
  <c r="AB142" i="1"/>
  <c r="AC142" i="1"/>
  <c r="AD142" i="1"/>
  <c r="AE142" i="1"/>
  <c r="AF142" i="1"/>
  <c r="AG142" i="1"/>
  <c r="AH142" i="1"/>
  <c r="AI142" i="1"/>
  <c r="AJ142" i="1"/>
  <c r="AK142" i="1"/>
  <c r="A143" i="1"/>
  <c r="B143" i="1"/>
  <c r="C143" i="1"/>
  <c r="D143" i="1"/>
  <c r="E143" i="1"/>
  <c r="F143" i="1"/>
  <c r="G143" i="1"/>
  <c r="AB143" i="1"/>
  <c r="AC143" i="1"/>
  <c r="AD143" i="1"/>
  <c r="AE143" i="1"/>
  <c r="AF143" i="1"/>
  <c r="AG143" i="1"/>
  <c r="AH143" i="1"/>
  <c r="AI143" i="1"/>
  <c r="AJ143" i="1"/>
  <c r="AK143" i="1"/>
  <c r="A144" i="1"/>
  <c r="B144" i="1"/>
  <c r="C144" i="1"/>
  <c r="D144" i="1"/>
  <c r="E144" i="1"/>
  <c r="F144" i="1"/>
  <c r="G144" i="1"/>
  <c r="AB144" i="1"/>
  <c r="AC144" i="1"/>
  <c r="AD144" i="1"/>
  <c r="AE144" i="1"/>
  <c r="AF144" i="1"/>
  <c r="AG144" i="1"/>
  <c r="AH144" i="1"/>
  <c r="AI144" i="1"/>
  <c r="AJ144" i="1"/>
  <c r="AK144" i="1"/>
  <c r="A145" i="1"/>
  <c r="B145" i="1"/>
  <c r="C145" i="1"/>
  <c r="D145" i="1"/>
  <c r="E145" i="1"/>
  <c r="F145" i="1"/>
  <c r="G145" i="1"/>
  <c r="AB145" i="1"/>
  <c r="AC145" i="1"/>
  <c r="AD145" i="1"/>
  <c r="AE145" i="1"/>
  <c r="AF145" i="1"/>
  <c r="AG145" i="1"/>
  <c r="AH145" i="1"/>
  <c r="AI145" i="1"/>
  <c r="AJ145" i="1"/>
  <c r="AK145" i="1"/>
  <c r="A146" i="1"/>
  <c r="B146" i="1"/>
  <c r="C146" i="1"/>
  <c r="D146" i="1"/>
  <c r="E146" i="1"/>
  <c r="F146" i="1"/>
  <c r="G146" i="1"/>
  <c r="AB146" i="1"/>
  <c r="AC146" i="1"/>
  <c r="AD146" i="1"/>
  <c r="AE146" i="1"/>
  <c r="AF146" i="1"/>
  <c r="AG146" i="1"/>
  <c r="AH146" i="1"/>
  <c r="AI146" i="1"/>
  <c r="AJ146" i="1"/>
  <c r="AK146" i="1"/>
  <c r="A147" i="1"/>
  <c r="B147" i="1"/>
  <c r="C147" i="1"/>
  <c r="D147" i="1"/>
  <c r="E147" i="1"/>
  <c r="F147" i="1"/>
  <c r="G147" i="1"/>
  <c r="AB147" i="1"/>
  <c r="AC147" i="1"/>
  <c r="AD147" i="1"/>
  <c r="AE147" i="1"/>
  <c r="AF147" i="1"/>
  <c r="AG147" i="1"/>
  <c r="AH147" i="1"/>
  <c r="AI147" i="1"/>
  <c r="AJ147" i="1"/>
  <c r="AK147" i="1"/>
  <c r="A148" i="1"/>
  <c r="B148" i="1"/>
  <c r="C148" i="1"/>
  <c r="D148" i="1"/>
  <c r="E148" i="1"/>
  <c r="F148" i="1"/>
  <c r="G148" i="1"/>
  <c r="AB148" i="1"/>
  <c r="AC148" i="1"/>
  <c r="AD148" i="1"/>
  <c r="AE148" i="1"/>
  <c r="AF148" i="1"/>
  <c r="AG148" i="1"/>
  <c r="AH148" i="1"/>
  <c r="AI148" i="1"/>
  <c r="AJ148" i="1"/>
  <c r="AK148" i="1"/>
  <c r="A149" i="1"/>
  <c r="B149" i="1"/>
  <c r="C149" i="1"/>
  <c r="D149" i="1"/>
  <c r="E149" i="1"/>
  <c r="F149" i="1"/>
  <c r="G149" i="1"/>
  <c r="AB149" i="1"/>
  <c r="AC149" i="1"/>
  <c r="AD149" i="1"/>
  <c r="AE149" i="1"/>
  <c r="AF149" i="1"/>
  <c r="AG149" i="1"/>
  <c r="AH149" i="1"/>
  <c r="AI149" i="1"/>
  <c r="AJ149" i="1"/>
  <c r="AK149" i="1"/>
  <c r="A150" i="1"/>
  <c r="B150" i="1"/>
  <c r="C150" i="1"/>
  <c r="D150" i="1"/>
  <c r="E150" i="1"/>
  <c r="F150" i="1"/>
  <c r="G150" i="1"/>
  <c r="AB150" i="1"/>
  <c r="AC150" i="1"/>
  <c r="AD150" i="1"/>
  <c r="AE150" i="1"/>
  <c r="AF150" i="1"/>
  <c r="AG150" i="1"/>
  <c r="AH150" i="1"/>
  <c r="AI150" i="1"/>
  <c r="AJ150" i="1"/>
  <c r="AK150" i="1"/>
  <c r="A151" i="1"/>
  <c r="B151" i="1"/>
  <c r="C151" i="1"/>
  <c r="D151" i="1"/>
  <c r="E151" i="1"/>
  <c r="F151" i="1"/>
  <c r="G151" i="1"/>
  <c r="AB151" i="1"/>
  <c r="AC151" i="1"/>
  <c r="AD151" i="1"/>
  <c r="AE151" i="1"/>
  <c r="AF151" i="1"/>
  <c r="AG151" i="1"/>
  <c r="AH151" i="1"/>
  <c r="AI151" i="1"/>
  <c r="AJ151" i="1"/>
  <c r="AK151" i="1"/>
  <c r="A152" i="1"/>
  <c r="B152" i="1"/>
  <c r="C152" i="1"/>
  <c r="D152" i="1"/>
  <c r="E152" i="1"/>
  <c r="F152" i="1"/>
  <c r="G152" i="1"/>
  <c r="AB152" i="1"/>
  <c r="AC152" i="1"/>
  <c r="AD152" i="1"/>
  <c r="AE152" i="1"/>
  <c r="AF152" i="1"/>
  <c r="AG152" i="1"/>
  <c r="AH152" i="1"/>
  <c r="AI152" i="1"/>
  <c r="AJ152" i="1"/>
  <c r="AK152" i="1"/>
  <c r="A153" i="1"/>
  <c r="B153" i="1"/>
  <c r="C153" i="1"/>
  <c r="D153" i="1"/>
  <c r="E153" i="1"/>
  <c r="F153" i="1"/>
  <c r="G153" i="1"/>
  <c r="AB153" i="1"/>
  <c r="AC153" i="1"/>
  <c r="AD153" i="1"/>
  <c r="AE153" i="1"/>
  <c r="AF153" i="1"/>
  <c r="AG153" i="1"/>
  <c r="AH153" i="1"/>
  <c r="AI153" i="1"/>
  <c r="AJ153" i="1"/>
  <c r="AK153" i="1"/>
  <c r="A154" i="1"/>
  <c r="B154" i="1"/>
  <c r="C154" i="1"/>
  <c r="D154" i="1"/>
  <c r="E154" i="1"/>
  <c r="F154" i="1"/>
  <c r="G154" i="1"/>
  <c r="AB154" i="1"/>
  <c r="AC154" i="1"/>
  <c r="AD154" i="1"/>
  <c r="AE154" i="1"/>
  <c r="AF154" i="1"/>
  <c r="AG154" i="1"/>
  <c r="AH154" i="1"/>
  <c r="AI154" i="1"/>
  <c r="AJ154" i="1"/>
  <c r="AK154" i="1"/>
  <c r="A155" i="1"/>
  <c r="B155" i="1"/>
  <c r="C155" i="1"/>
  <c r="D155" i="1"/>
  <c r="E155" i="1"/>
  <c r="F155" i="1"/>
  <c r="G155" i="1"/>
  <c r="AB155" i="1"/>
  <c r="AC155" i="1"/>
  <c r="AD155" i="1"/>
  <c r="AE155" i="1"/>
  <c r="AF155" i="1"/>
  <c r="AG155" i="1"/>
  <c r="AH155" i="1"/>
  <c r="AI155" i="1"/>
  <c r="AJ155" i="1"/>
  <c r="AK155" i="1"/>
  <c r="A156" i="1"/>
  <c r="B156" i="1"/>
  <c r="C156" i="1"/>
  <c r="D156" i="1"/>
  <c r="E156" i="1"/>
  <c r="F156" i="1"/>
  <c r="G156" i="1"/>
  <c r="AB156" i="1"/>
  <c r="AC156" i="1"/>
  <c r="AD156" i="1"/>
  <c r="AE156" i="1"/>
  <c r="AF156" i="1"/>
  <c r="AG156" i="1"/>
  <c r="AH156" i="1"/>
  <c r="AI156" i="1"/>
  <c r="AJ156" i="1"/>
  <c r="AK156" i="1"/>
  <c r="A157" i="1"/>
  <c r="B157" i="1"/>
  <c r="C157" i="1"/>
  <c r="D157" i="1"/>
  <c r="E157" i="1"/>
  <c r="F157" i="1"/>
  <c r="G157" i="1"/>
  <c r="AB157" i="1"/>
  <c r="AC157" i="1"/>
  <c r="AD157" i="1"/>
  <c r="AE157" i="1"/>
  <c r="AF157" i="1"/>
  <c r="AG157" i="1"/>
  <c r="AH157" i="1"/>
  <c r="AI157" i="1"/>
  <c r="AJ157" i="1"/>
  <c r="AK157" i="1"/>
  <c r="A158" i="1"/>
  <c r="B158" i="1"/>
  <c r="C158" i="1"/>
  <c r="D158" i="1"/>
  <c r="E158" i="1"/>
  <c r="F158" i="1"/>
  <c r="G158" i="1"/>
  <c r="AB158" i="1"/>
  <c r="AC158" i="1"/>
  <c r="AD158" i="1"/>
  <c r="AE158" i="1"/>
  <c r="AF158" i="1"/>
  <c r="AG158" i="1"/>
  <c r="AH158" i="1"/>
  <c r="AI158" i="1"/>
  <c r="AJ158" i="1"/>
  <c r="AK158" i="1"/>
  <c r="A159" i="1"/>
  <c r="B159" i="1"/>
  <c r="C159" i="1"/>
  <c r="D159" i="1"/>
  <c r="E159" i="1"/>
  <c r="F159" i="1"/>
  <c r="G159" i="1"/>
  <c r="AB159" i="1"/>
  <c r="AC159" i="1"/>
  <c r="AD159" i="1"/>
  <c r="AE159" i="1"/>
  <c r="AF159" i="1"/>
  <c r="AG159" i="1"/>
  <c r="AH159" i="1"/>
  <c r="AI159" i="1"/>
  <c r="AJ159" i="1"/>
  <c r="AK159" i="1"/>
  <c r="A160" i="1"/>
  <c r="B160" i="1"/>
  <c r="C160" i="1"/>
  <c r="D160" i="1"/>
  <c r="E160" i="1"/>
  <c r="F160" i="1"/>
  <c r="G160" i="1"/>
  <c r="AB160" i="1"/>
  <c r="AC160" i="1"/>
  <c r="AD160" i="1"/>
  <c r="AE160" i="1"/>
  <c r="AF160" i="1"/>
  <c r="AG160" i="1"/>
  <c r="AH160" i="1"/>
  <c r="AI160" i="1"/>
  <c r="AJ160" i="1"/>
  <c r="AK160" i="1"/>
  <c r="A161" i="1"/>
  <c r="B161" i="1"/>
  <c r="C161" i="1"/>
  <c r="D161" i="1"/>
  <c r="E161" i="1"/>
  <c r="F161" i="1"/>
  <c r="G161" i="1"/>
  <c r="AB161" i="1"/>
  <c r="AC161" i="1"/>
  <c r="AD161" i="1"/>
  <c r="AE161" i="1"/>
  <c r="AF161" i="1"/>
  <c r="AG161" i="1"/>
  <c r="AH161" i="1"/>
  <c r="AI161" i="1"/>
  <c r="AJ161" i="1"/>
  <c r="AK161" i="1"/>
  <c r="A162" i="1"/>
  <c r="B162" i="1"/>
  <c r="C162" i="1"/>
  <c r="D162" i="1"/>
  <c r="E162" i="1"/>
  <c r="F162" i="1"/>
  <c r="G162" i="1"/>
  <c r="AB162" i="1"/>
  <c r="AC162" i="1"/>
  <c r="AD162" i="1"/>
  <c r="AE162" i="1"/>
  <c r="AF162" i="1"/>
  <c r="AG162" i="1"/>
  <c r="AH162" i="1"/>
  <c r="AI162" i="1"/>
  <c r="AJ162" i="1"/>
  <c r="AK162" i="1"/>
  <c r="A163" i="1"/>
  <c r="B163" i="1"/>
  <c r="C163" i="1"/>
  <c r="D163" i="1"/>
  <c r="E163" i="1"/>
  <c r="F163" i="1"/>
  <c r="G163" i="1"/>
  <c r="AB163" i="1"/>
  <c r="AC163" i="1"/>
  <c r="AD163" i="1"/>
  <c r="AE163" i="1"/>
  <c r="AF163" i="1"/>
  <c r="AG163" i="1"/>
  <c r="AH163" i="1"/>
  <c r="AI163" i="1"/>
  <c r="AJ163" i="1"/>
  <c r="AK163" i="1"/>
  <c r="A164" i="1"/>
  <c r="B164" i="1"/>
  <c r="C164" i="1"/>
  <c r="D164" i="1"/>
  <c r="E164" i="1"/>
  <c r="F164" i="1"/>
  <c r="G164" i="1"/>
  <c r="AB164" i="1"/>
  <c r="AC164" i="1"/>
  <c r="AD164" i="1"/>
  <c r="AE164" i="1"/>
  <c r="AF164" i="1"/>
  <c r="AG164" i="1"/>
  <c r="AH164" i="1"/>
  <c r="AI164" i="1"/>
  <c r="AJ164" i="1"/>
  <c r="AK164" i="1"/>
  <c r="A165" i="1"/>
  <c r="B165" i="1"/>
  <c r="C165" i="1"/>
  <c r="D165" i="1"/>
  <c r="E165" i="1"/>
  <c r="F165" i="1"/>
  <c r="G165" i="1"/>
  <c r="AB165" i="1"/>
  <c r="AC165" i="1"/>
  <c r="AD165" i="1"/>
  <c r="AE165" i="1"/>
  <c r="AF165" i="1"/>
  <c r="AG165" i="1"/>
  <c r="AH165" i="1"/>
  <c r="AI165" i="1"/>
  <c r="AJ165" i="1"/>
  <c r="AK165" i="1"/>
  <c r="A166" i="1"/>
  <c r="B166" i="1"/>
  <c r="C166" i="1"/>
  <c r="D166" i="1"/>
  <c r="E166" i="1"/>
  <c r="F166" i="1"/>
  <c r="G166" i="1"/>
  <c r="AB166" i="1"/>
  <c r="AC166" i="1"/>
  <c r="AD166" i="1"/>
  <c r="AE166" i="1"/>
  <c r="AF166" i="1"/>
  <c r="AG166" i="1"/>
  <c r="AH166" i="1"/>
  <c r="AI166" i="1"/>
  <c r="AJ166" i="1"/>
  <c r="AK166" i="1"/>
  <c r="A167" i="1"/>
  <c r="B167" i="1"/>
  <c r="C167" i="1"/>
  <c r="D167" i="1"/>
  <c r="E167" i="1"/>
  <c r="F167" i="1"/>
  <c r="G167" i="1"/>
  <c r="AB167" i="1"/>
  <c r="AC167" i="1"/>
  <c r="AD167" i="1"/>
  <c r="AE167" i="1"/>
  <c r="AF167" i="1"/>
  <c r="AG167" i="1"/>
  <c r="AH167" i="1"/>
  <c r="AI167" i="1"/>
  <c r="AJ167" i="1"/>
  <c r="AK167" i="1"/>
  <c r="A168" i="1"/>
  <c r="B168" i="1"/>
  <c r="C168" i="1"/>
  <c r="D168" i="1"/>
  <c r="E168" i="1"/>
  <c r="F168" i="1"/>
  <c r="G168" i="1"/>
  <c r="AB168" i="1"/>
  <c r="AC168" i="1"/>
  <c r="AD168" i="1"/>
  <c r="AE168" i="1"/>
  <c r="AF168" i="1"/>
  <c r="AG168" i="1"/>
  <c r="AH168" i="1"/>
  <c r="AI168" i="1"/>
  <c r="AJ168" i="1"/>
  <c r="AK168" i="1"/>
  <c r="A169" i="1"/>
  <c r="B169" i="1"/>
  <c r="C169" i="1"/>
  <c r="D169" i="1"/>
  <c r="E169" i="1"/>
  <c r="F169" i="1"/>
  <c r="G169" i="1"/>
  <c r="AB169" i="1"/>
  <c r="AC169" i="1"/>
  <c r="AD169" i="1"/>
  <c r="AE169" i="1"/>
  <c r="AF169" i="1"/>
  <c r="AG169" i="1"/>
  <c r="AH169" i="1"/>
  <c r="AI169" i="1"/>
  <c r="AJ169" i="1"/>
  <c r="AK169" i="1"/>
  <c r="A170" i="1"/>
  <c r="B170" i="1"/>
  <c r="C170" i="1"/>
  <c r="D170" i="1"/>
  <c r="E170" i="1"/>
  <c r="F170" i="1"/>
  <c r="G170" i="1"/>
  <c r="AB170" i="1"/>
  <c r="AC170" i="1"/>
  <c r="AD170" i="1"/>
  <c r="AE170" i="1"/>
  <c r="AF170" i="1"/>
  <c r="AG170" i="1"/>
  <c r="AH170" i="1"/>
  <c r="AI170" i="1"/>
  <c r="AJ170" i="1"/>
  <c r="AK170" i="1"/>
  <c r="A171" i="1"/>
  <c r="B171" i="1"/>
  <c r="C171" i="1"/>
  <c r="D171" i="1"/>
  <c r="E171" i="1"/>
  <c r="F171" i="1"/>
  <c r="G171" i="1"/>
  <c r="AB171" i="1"/>
  <c r="AC171" i="1"/>
  <c r="AD171" i="1"/>
  <c r="AE171" i="1"/>
  <c r="AF171" i="1"/>
  <c r="AG171" i="1"/>
  <c r="AH171" i="1"/>
  <c r="AI171" i="1"/>
  <c r="AJ171" i="1"/>
  <c r="AK171" i="1"/>
  <c r="A172" i="1"/>
  <c r="B172" i="1"/>
  <c r="C172" i="1"/>
  <c r="D172" i="1"/>
  <c r="E172" i="1"/>
  <c r="F172" i="1"/>
  <c r="G172" i="1"/>
  <c r="AB172" i="1"/>
  <c r="AC172" i="1"/>
  <c r="AD172" i="1"/>
  <c r="AE172" i="1"/>
  <c r="AF172" i="1"/>
  <c r="AG172" i="1"/>
  <c r="AH172" i="1"/>
  <c r="AI172" i="1"/>
  <c r="AJ172" i="1"/>
  <c r="AK172" i="1"/>
  <c r="A173" i="1"/>
  <c r="B173" i="1"/>
  <c r="C173" i="1"/>
  <c r="D173" i="1"/>
  <c r="E173" i="1"/>
  <c r="F173" i="1"/>
  <c r="G173" i="1"/>
  <c r="AB173" i="1"/>
  <c r="AC173" i="1"/>
  <c r="AD173" i="1"/>
  <c r="AE173" i="1"/>
  <c r="AF173" i="1"/>
  <c r="AG173" i="1"/>
  <c r="AH173" i="1"/>
  <c r="AI173" i="1"/>
  <c r="AJ173" i="1"/>
  <c r="AK173" i="1"/>
  <c r="A174" i="1"/>
  <c r="B174" i="1"/>
  <c r="C174" i="1"/>
  <c r="D174" i="1"/>
  <c r="E174" i="1"/>
  <c r="F174" i="1"/>
  <c r="G174" i="1"/>
  <c r="AB174" i="1"/>
  <c r="AC174" i="1"/>
  <c r="AD174" i="1"/>
  <c r="AE174" i="1"/>
  <c r="AF174" i="1"/>
  <c r="AG174" i="1"/>
  <c r="AH174" i="1"/>
  <c r="AI174" i="1"/>
  <c r="AJ174" i="1"/>
  <c r="AK174" i="1"/>
  <c r="A175" i="1"/>
  <c r="B175" i="1"/>
  <c r="C175" i="1"/>
  <c r="D175" i="1"/>
  <c r="E175" i="1"/>
  <c r="F175" i="1"/>
  <c r="G175" i="1"/>
  <c r="AB175" i="1"/>
  <c r="AC175" i="1"/>
  <c r="AD175" i="1"/>
  <c r="AE175" i="1"/>
  <c r="AF175" i="1"/>
  <c r="AG175" i="1"/>
  <c r="AH175" i="1"/>
  <c r="AI175" i="1"/>
  <c r="AJ175" i="1"/>
  <c r="AK175" i="1"/>
  <c r="A176" i="1"/>
  <c r="B176" i="1"/>
  <c r="C176" i="1"/>
  <c r="D176" i="1"/>
  <c r="E176" i="1"/>
  <c r="F176" i="1"/>
  <c r="G176" i="1"/>
  <c r="AB176" i="1"/>
  <c r="AC176" i="1"/>
  <c r="AD176" i="1"/>
  <c r="AE176" i="1"/>
  <c r="AF176" i="1"/>
  <c r="AG176" i="1"/>
  <c r="AH176" i="1"/>
  <c r="AI176" i="1"/>
  <c r="AJ176" i="1"/>
  <c r="AK176" i="1"/>
  <c r="A177" i="1"/>
  <c r="B177" i="1"/>
  <c r="C177" i="1"/>
  <c r="D177" i="1"/>
  <c r="E177" i="1"/>
  <c r="F177" i="1"/>
  <c r="G177" i="1"/>
  <c r="AB177" i="1"/>
  <c r="AC177" i="1"/>
  <c r="AD177" i="1"/>
  <c r="AE177" i="1"/>
  <c r="AF177" i="1"/>
  <c r="AG177" i="1"/>
  <c r="AH177" i="1"/>
  <c r="AI177" i="1"/>
  <c r="AJ177" i="1"/>
  <c r="AK177" i="1"/>
  <c r="A178" i="1"/>
  <c r="B178" i="1"/>
  <c r="C178" i="1"/>
  <c r="D178" i="1"/>
  <c r="E178" i="1"/>
  <c r="F178" i="1"/>
  <c r="G178" i="1"/>
  <c r="AB178" i="1"/>
  <c r="AC178" i="1"/>
  <c r="AD178" i="1"/>
  <c r="AE178" i="1"/>
  <c r="AF178" i="1"/>
  <c r="AG178" i="1"/>
  <c r="AH178" i="1"/>
  <c r="AI178" i="1"/>
  <c r="AJ178" i="1"/>
  <c r="AK178" i="1"/>
  <c r="A179" i="1"/>
  <c r="B179" i="1"/>
  <c r="C179" i="1"/>
  <c r="D179" i="1"/>
  <c r="E179" i="1"/>
  <c r="F179" i="1"/>
  <c r="G179" i="1"/>
  <c r="AB179" i="1"/>
  <c r="AC179" i="1"/>
  <c r="AD179" i="1"/>
  <c r="AE179" i="1"/>
  <c r="AF179" i="1"/>
  <c r="AG179" i="1"/>
  <c r="AH179" i="1"/>
  <c r="AI179" i="1"/>
  <c r="AJ179" i="1"/>
  <c r="AK179" i="1"/>
  <c r="A180" i="1"/>
  <c r="B180" i="1"/>
  <c r="C180" i="1"/>
  <c r="D180" i="1"/>
  <c r="E180" i="1"/>
  <c r="F180" i="1"/>
  <c r="G180" i="1"/>
  <c r="AB180" i="1"/>
  <c r="AC180" i="1"/>
  <c r="AD180" i="1"/>
  <c r="AE180" i="1"/>
  <c r="AF180" i="1"/>
  <c r="AG180" i="1"/>
  <c r="AH180" i="1"/>
  <c r="AI180" i="1"/>
  <c r="AJ180" i="1"/>
  <c r="AK180" i="1"/>
  <c r="A181" i="1"/>
  <c r="B181" i="1"/>
  <c r="C181" i="1"/>
  <c r="D181" i="1"/>
  <c r="E181" i="1"/>
  <c r="F181" i="1"/>
  <c r="G181" i="1"/>
  <c r="AB181" i="1"/>
  <c r="AC181" i="1"/>
  <c r="AD181" i="1"/>
  <c r="AE181" i="1"/>
  <c r="AF181" i="1"/>
  <c r="AG181" i="1"/>
  <c r="AH181" i="1"/>
  <c r="AI181" i="1"/>
  <c r="AJ181" i="1"/>
  <c r="AK181" i="1"/>
  <c r="A182" i="1"/>
  <c r="B182" i="1"/>
  <c r="C182" i="1"/>
  <c r="D182" i="1"/>
  <c r="E182" i="1"/>
  <c r="F182" i="1"/>
  <c r="G182" i="1"/>
  <c r="AB182" i="1"/>
  <c r="AC182" i="1"/>
  <c r="AD182" i="1"/>
  <c r="AE182" i="1"/>
  <c r="AF182" i="1"/>
  <c r="AG182" i="1"/>
  <c r="AH182" i="1"/>
  <c r="AI182" i="1"/>
  <c r="AJ182" i="1"/>
  <c r="AK182" i="1"/>
  <c r="A183" i="1"/>
  <c r="B183" i="1"/>
  <c r="C183" i="1"/>
  <c r="D183" i="1"/>
  <c r="E183" i="1"/>
  <c r="F183" i="1"/>
  <c r="G183" i="1"/>
  <c r="AB183" i="1"/>
  <c r="AC183" i="1"/>
  <c r="AD183" i="1"/>
  <c r="AE183" i="1"/>
  <c r="AF183" i="1"/>
  <c r="AG183" i="1"/>
  <c r="AH183" i="1"/>
  <c r="AI183" i="1"/>
  <c r="AJ183" i="1"/>
  <c r="AK183" i="1"/>
  <c r="A184" i="1"/>
  <c r="B184" i="1"/>
  <c r="C184" i="1"/>
  <c r="D184" i="1"/>
  <c r="E184" i="1"/>
  <c r="F184" i="1"/>
  <c r="G184" i="1"/>
  <c r="AB184" i="1"/>
  <c r="AC184" i="1"/>
  <c r="AD184" i="1"/>
  <c r="AE184" i="1"/>
  <c r="AF184" i="1"/>
  <c r="AG184" i="1"/>
  <c r="AH184" i="1"/>
  <c r="AI184" i="1"/>
  <c r="AJ184" i="1"/>
  <c r="AK184" i="1"/>
  <c r="A185" i="1"/>
  <c r="B185" i="1"/>
  <c r="C185" i="1"/>
  <c r="D185" i="1"/>
  <c r="E185" i="1"/>
  <c r="F185" i="1"/>
  <c r="G185" i="1"/>
  <c r="AB185" i="1"/>
  <c r="AC185" i="1"/>
  <c r="AD185" i="1"/>
  <c r="AE185" i="1"/>
  <c r="AF185" i="1"/>
  <c r="AG185" i="1"/>
  <c r="AH185" i="1"/>
  <c r="AI185" i="1"/>
  <c r="AJ185" i="1"/>
  <c r="AK185" i="1"/>
  <c r="A186" i="1"/>
  <c r="B186" i="1"/>
  <c r="C186" i="1"/>
  <c r="D186" i="1"/>
  <c r="E186" i="1"/>
  <c r="F186" i="1"/>
  <c r="G186" i="1"/>
  <c r="AB186" i="1"/>
  <c r="AC186" i="1"/>
  <c r="AD186" i="1"/>
  <c r="AE186" i="1"/>
  <c r="AF186" i="1"/>
  <c r="AG186" i="1"/>
  <c r="AH186" i="1"/>
  <c r="AI186" i="1"/>
  <c r="AJ186" i="1"/>
  <c r="AK186" i="1"/>
  <c r="A187" i="1"/>
  <c r="B187" i="1"/>
  <c r="C187" i="1"/>
  <c r="D187" i="1"/>
  <c r="E187" i="1"/>
  <c r="F187" i="1"/>
  <c r="G187" i="1"/>
  <c r="AB187" i="1"/>
  <c r="AC187" i="1"/>
  <c r="AD187" i="1"/>
  <c r="AE187" i="1"/>
  <c r="AF187" i="1"/>
  <c r="AG187" i="1"/>
  <c r="AH187" i="1"/>
  <c r="AI187" i="1"/>
  <c r="AJ187" i="1"/>
  <c r="AK187" i="1"/>
  <c r="A188" i="1"/>
  <c r="B188" i="1"/>
  <c r="C188" i="1"/>
  <c r="D188" i="1"/>
  <c r="E188" i="1"/>
  <c r="F188" i="1"/>
  <c r="G188" i="1"/>
  <c r="AB188" i="1"/>
  <c r="AC188" i="1"/>
  <c r="AD188" i="1"/>
  <c r="AE188" i="1"/>
  <c r="AF188" i="1"/>
  <c r="AG188" i="1"/>
  <c r="AH188" i="1"/>
  <c r="AI188" i="1"/>
  <c r="AJ188" i="1"/>
  <c r="AK188" i="1"/>
  <c r="A189" i="1"/>
  <c r="B189" i="1"/>
  <c r="C189" i="1"/>
  <c r="D189" i="1"/>
  <c r="E189" i="1"/>
  <c r="F189" i="1"/>
  <c r="G189" i="1"/>
  <c r="AB189" i="1"/>
  <c r="AC189" i="1"/>
  <c r="AD189" i="1"/>
  <c r="AE189" i="1"/>
  <c r="AF189" i="1"/>
  <c r="AG189" i="1"/>
  <c r="AH189" i="1"/>
  <c r="AI189" i="1"/>
  <c r="AJ189" i="1"/>
  <c r="AK189" i="1"/>
  <c r="A190" i="1"/>
  <c r="B190" i="1"/>
  <c r="C190" i="1"/>
  <c r="D190" i="1"/>
  <c r="E190" i="1"/>
  <c r="F190" i="1"/>
  <c r="G190" i="1"/>
  <c r="AB190" i="1"/>
  <c r="AC190" i="1"/>
  <c r="AD190" i="1"/>
  <c r="AE190" i="1"/>
  <c r="AF190" i="1"/>
  <c r="AG190" i="1"/>
  <c r="AH190" i="1"/>
  <c r="AI190" i="1"/>
  <c r="AJ190" i="1"/>
  <c r="AK190" i="1"/>
  <c r="A191" i="1"/>
  <c r="B191" i="1"/>
  <c r="C191" i="1"/>
  <c r="D191" i="1"/>
  <c r="E191" i="1"/>
  <c r="F191" i="1"/>
  <c r="G191" i="1"/>
  <c r="AB191" i="1"/>
  <c r="AC191" i="1"/>
  <c r="AD191" i="1"/>
  <c r="AE191" i="1"/>
  <c r="AF191" i="1"/>
  <c r="AG191" i="1"/>
  <c r="AH191" i="1"/>
  <c r="AI191" i="1"/>
  <c r="AJ191" i="1"/>
  <c r="AK191" i="1"/>
  <c r="A192" i="1"/>
  <c r="B192" i="1"/>
  <c r="C192" i="1"/>
  <c r="D192" i="1"/>
  <c r="E192" i="1"/>
  <c r="F192" i="1"/>
  <c r="G192" i="1"/>
  <c r="AB192" i="1"/>
  <c r="AC192" i="1"/>
  <c r="AD192" i="1"/>
  <c r="AE192" i="1"/>
  <c r="AF192" i="1"/>
  <c r="AG192" i="1"/>
  <c r="AH192" i="1"/>
  <c r="AI192" i="1"/>
  <c r="AJ192" i="1"/>
  <c r="AK192" i="1"/>
  <c r="A193" i="1"/>
  <c r="B193" i="1"/>
  <c r="C193" i="1"/>
  <c r="D193" i="1"/>
  <c r="E193" i="1"/>
  <c r="F193" i="1"/>
  <c r="G193" i="1"/>
  <c r="AB193" i="1"/>
  <c r="AC193" i="1"/>
  <c r="AD193" i="1"/>
  <c r="AE193" i="1"/>
  <c r="AF193" i="1"/>
  <c r="AG193" i="1"/>
  <c r="AH193" i="1"/>
  <c r="AI193" i="1"/>
  <c r="AJ193" i="1"/>
  <c r="AK193" i="1"/>
  <c r="A194" i="1"/>
  <c r="B194" i="1"/>
  <c r="C194" i="1"/>
  <c r="D194" i="1"/>
  <c r="E194" i="1"/>
  <c r="F194" i="1"/>
  <c r="G194" i="1"/>
  <c r="AB194" i="1"/>
  <c r="AC194" i="1"/>
  <c r="AD194" i="1"/>
  <c r="AE194" i="1"/>
  <c r="AF194" i="1"/>
  <c r="AG194" i="1"/>
  <c r="AH194" i="1"/>
  <c r="AI194" i="1"/>
  <c r="AJ194" i="1"/>
  <c r="AK194" i="1"/>
  <c r="A195" i="1"/>
  <c r="B195" i="1"/>
  <c r="C195" i="1"/>
  <c r="D195" i="1"/>
  <c r="E195" i="1"/>
  <c r="F195" i="1"/>
  <c r="G195" i="1"/>
  <c r="AB195" i="1"/>
  <c r="AC195" i="1"/>
  <c r="AD195" i="1"/>
  <c r="AE195" i="1"/>
  <c r="AF195" i="1"/>
  <c r="AG195" i="1"/>
  <c r="AH195" i="1"/>
  <c r="AI195" i="1"/>
  <c r="AJ195" i="1"/>
  <c r="AK195" i="1"/>
  <c r="A196" i="1"/>
  <c r="B196" i="1"/>
  <c r="C196" i="1"/>
  <c r="D196" i="1"/>
  <c r="E196" i="1"/>
  <c r="F196" i="1"/>
  <c r="G196" i="1"/>
  <c r="AB196" i="1"/>
  <c r="AC196" i="1"/>
  <c r="AD196" i="1"/>
  <c r="AE196" i="1"/>
  <c r="AF196" i="1"/>
  <c r="AG196" i="1"/>
  <c r="AH196" i="1"/>
  <c r="AI196" i="1"/>
  <c r="AJ196" i="1"/>
  <c r="AK196" i="1"/>
  <c r="A197" i="1"/>
  <c r="B197" i="1"/>
  <c r="C197" i="1"/>
  <c r="D197" i="1"/>
  <c r="E197" i="1"/>
  <c r="F197" i="1"/>
  <c r="G197" i="1"/>
  <c r="AB197" i="1"/>
  <c r="AC197" i="1"/>
  <c r="AD197" i="1"/>
  <c r="AE197" i="1"/>
  <c r="AF197" i="1"/>
  <c r="AG197" i="1"/>
  <c r="AH197" i="1"/>
  <c r="AI197" i="1"/>
  <c r="AJ197" i="1"/>
  <c r="AK197" i="1"/>
  <c r="A198" i="1"/>
  <c r="B198" i="1"/>
  <c r="C198" i="1"/>
  <c r="D198" i="1"/>
  <c r="E198" i="1"/>
  <c r="F198" i="1"/>
  <c r="G198" i="1"/>
  <c r="AB198" i="1"/>
  <c r="AC198" i="1"/>
  <c r="AD198" i="1"/>
  <c r="AE198" i="1"/>
  <c r="AF198" i="1"/>
  <c r="AG198" i="1"/>
  <c r="AH198" i="1"/>
  <c r="AI198" i="1"/>
  <c r="AJ198" i="1"/>
  <c r="AK198" i="1"/>
  <c r="A199" i="1"/>
  <c r="B199" i="1"/>
  <c r="C199" i="1"/>
  <c r="D199" i="1"/>
  <c r="E199" i="1"/>
  <c r="F199" i="1"/>
  <c r="G199" i="1"/>
  <c r="AB199" i="1"/>
  <c r="AC199" i="1"/>
  <c r="AD199" i="1"/>
  <c r="AE199" i="1"/>
  <c r="AF199" i="1"/>
  <c r="AG199" i="1"/>
  <c r="AH199" i="1"/>
  <c r="AI199" i="1"/>
  <c r="AJ199" i="1"/>
  <c r="AK199" i="1"/>
  <c r="A200" i="1"/>
  <c r="B200" i="1"/>
  <c r="C200" i="1"/>
  <c r="D200" i="1"/>
  <c r="E200" i="1"/>
  <c r="F200" i="1"/>
  <c r="G200" i="1"/>
  <c r="AB200" i="1"/>
  <c r="AC200" i="1"/>
  <c r="AD200" i="1"/>
  <c r="AE200" i="1"/>
  <c r="AF200" i="1"/>
  <c r="AG200" i="1"/>
  <c r="AH200" i="1"/>
  <c r="AI200" i="1"/>
  <c r="AJ200" i="1"/>
  <c r="AK200" i="1"/>
  <c r="A201" i="1"/>
  <c r="B201" i="1"/>
  <c r="C201" i="1"/>
  <c r="D201" i="1"/>
  <c r="E201" i="1"/>
  <c r="F201" i="1"/>
  <c r="G201" i="1"/>
  <c r="AB201" i="1"/>
  <c r="AC201" i="1"/>
  <c r="AD201" i="1"/>
  <c r="AE201" i="1"/>
  <c r="AF201" i="1"/>
  <c r="AG201" i="1"/>
  <c r="AH201" i="1"/>
  <c r="AI201" i="1"/>
  <c r="AJ201" i="1"/>
  <c r="AK201" i="1"/>
  <c r="A202" i="1"/>
  <c r="B202" i="1"/>
  <c r="C202" i="1"/>
  <c r="D202" i="1"/>
  <c r="E202" i="1"/>
  <c r="F202" i="1"/>
  <c r="G202" i="1"/>
  <c r="AB202" i="1"/>
  <c r="AC202" i="1"/>
  <c r="AD202" i="1"/>
  <c r="AE202" i="1"/>
  <c r="AF202" i="1"/>
  <c r="AG202" i="1"/>
  <c r="AH202" i="1"/>
  <c r="AI202" i="1"/>
  <c r="AJ202" i="1"/>
  <c r="AK202" i="1"/>
  <c r="A203" i="1"/>
  <c r="B203" i="1"/>
  <c r="C203" i="1"/>
  <c r="D203" i="1"/>
  <c r="E203" i="1"/>
  <c r="F203" i="1"/>
  <c r="G203" i="1"/>
  <c r="AB203" i="1"/>
  <c r="AC203" i="1"/>
  <c r="AD203" i="1"/>
  <c r="AE203" i="1"/>
  <c r="AF203" i="1"/>
  <c r="AG203" i="1"/>
  <c r="AH203" i="1"/>
  <c r="AI203" i="1"/>
  <c r="AJ203" i="1"/>
  <c r="AK203" i="1"/>
  <c r="A204" i="1"/>
  <c r="B204" i="1"/>
  <c r="C204" i="1"/>
  <c r="D204" i="1"/>
  <c r="E204" i="1"/>
  <c r="F204" i="1"/>
  <c r="G204" i="1"/>
  <c r="AB204" i="1"/>
  <c r="AC204" i="1"/>
  <c r="AD204" i="1"/>
  <c r="AE204" i="1"/>
  <c r="AF204" i="1"/>
  <c r="AG204" i="1"/>
  <c r="AH204" i="1"/>
  <c r="AI204" i="1"/>
  <c r="AJ204" i="1"/>
  <c r="AK204" i="1"/>
  <c r="A205" i="1"/>
  <c r="B205" i="1"/>
  <c r="C205" i="1"/>
  <c r="D205" i="1"/>
  <c r="E205" i="1"/>
  <c r="F205" i="1"/>
  <c r="G205" i="1"/>
  <c r="AB205" i="1"/>
  <c r="AC205" i="1"/>
  <c r="AD205" i="1"/>
  <c r="AE205" i="1"/>
  <c r="AF205" i="1"/>
  <c r="AG205" i="1"/>
  <c r="AH205" i="1"/>
  <c r="AI205" i="1"/>
  <c r="AJ205" i="1"/>
  <c r="AK205" i="1"/>
  <c r="A206" i="1"/>
  <c r="B206" i="1"/>
  <c r="C206" i="1"/>
  <c r="D206" i="1"/>
  <c r="E206" i="1"/>
  <c r="F206" i="1"/>
  <c r="G206" i="1"/>
  <c r="AB206" i="1"/>
  <c r="AC206" i="1"/>
  <c r="AD206" i="1"/>
  <c r="AE206" i="1"/>
  <c r="AF206" i="1"/>
  <c r="AG206" i="1"/>
  <c r="AH206" i="1"/>
  <c r="AI206" i="1"/>
  <c r="AJ206" i="1"/>
  <c r="AK206" i="1"/>
  <c r="A207" i="1"/>
  <c r="B207" i="1"/>
  <c r="C207" i="1"/>
  <c r="D207" i="1"/>
  <c r="E207" i="1"/>
  <c r="F207" i="1"/>
  <c r="G207" i="1"/>
  <c r="AB207" i="1"/>
  <c r="AC207" i="1"/>
  <c r="AD207" i="1"/>
  <c r="AE207" i="1"/>
  <c r="AF207" i="1"/>
  <c r="AG207" i="1"/>
  <c r="AH207" i="1"/>
  <c r="AI207" i="1"/>
  <c r="AJ207" i="1"/>
  <c r="AK207" i="1"/>
  <c r="A208" i="1"/>
  <c r="B208" i="1"/>
  <c r="C208" i="1"/>
  <c r="D208" i="1"/>
  <c r="E208" i="1"/>
  <c r="F208" i="1"/>
  <c r="G208" i="1"/>
  <c r="AB208" i="1"/>
  <c r="AC208" i="1"/>
  <c r="AD208" i="1"/>
  <c r="AE208" i="1"/>
  <c r="AF208" i="1"/>
  <c r="AG208" i="1"/>
  <c r="AH208" i="1"/>
  <c r="AI208" i="1"/>
  <c r="AJ208" i="1"/>
  <c r="AK208" i="1"/>
  <c r="A209" i="1"/>
  <c r="B209" i="1"/>
  <c r="C209" i="1"/>
  <c r="D209" i="1"/>
  <c r="E209" i="1"/>
  <c r="F209" i="1"/>
  <c r="G209" i="1"/>
  <c r="AB209" i="1"/>
  <c r="AC209" i="1"/>
  <c r="AD209" i="1"/>
  <c r="AE209" i="1"/>
  <c r="AF209" i="1"/>
  <c r="AG209" i="1"/>
  <c r="AH209" i="1"/>
  <c r="AI209" i="1"/>
  <c r="AJ209" i="1"/>
  <c r="AK209" i="1"/>
  <c r="A210" i="1"/>
  <c r="B210" i="1"/>
  <c r="C210" i="1"/>
  <c r="D210" i="1"/>
  <c r="E210" i="1"/>
  <c r="F210" i="1"/>
  <c r="G210" i="1"/>
  <c r="AB210" i="1"/>
  <c r="AC210" i="1"/>
  <c r="AD210" i="1"/>
  <c r="AE210" i="1"/>
  <c r="AF210" i="1"/>
  <c r="AG210" i="1"/>
  <c r="AH210" i="1"/>
  <c r="AI210" i="1"/>
  <c r="AJ210" i="1"/>
  <c r="AK210" i="1"/>
  <c r="A211" i="1"/>
  <c r="B211" i="1"/>
  <c r="C211" i="1"/>
  <c r="D211" i="1"/>
  <c r="E211" i="1"/>
  <c r="F211" i="1"/>
  <c r="G211" i="1"/>
  <c r="AB211" i="1"/>
  <c r="AC211" i="1"/>
  <c r="AD211" i="1"/>
  <c r="AE211" i="1"/>
  <c r="AF211" i="1"/>
  <c r="AG211" i="1"/>
  <c r="AH211" i="1"/>
  <c r="AI211" i="1"/>
  <c r="AJ211" i="1"/>
  <c r="AK211" i="1"/>
  <c r="A212" i="1"/>
  <c r="B212" i="1"/>
  <c r="C212" i="1"/>
  <c r="D212" i="1"/>
  <c r="E212" i="1"/>
  <c r="F212" i="1"/>
  <c r="G212" i="1"/>
  <c r="AB212" i="1"/>
  <c r="AC212" i="1"/>
  <c r="AD212" i="1"/>
  <c r="AE212" i="1"/>
  <c r="AF212" i="1"/>
  <c r="AG212" i="1"/>
  <c r="AH212" i="1"/>
  <c r="AI212" i="1"/>
  <c r="AJ212" i="1"/>
  <c r="AK212" i="1"/>
  <c r="A213" i="1"/>
  <c r="B213" i="1"/>
  <c r="C213" i="1"/>
  <c r="D213" i="1"/>
  <c r="E213" i="1"/>
  <c r="F213" i="1"/>
  <c r="G213" i="1"/>
  <c r="AB213" i="1"/>
  <c r="AC213" i="1"/>
  <c r="AD213" i="1"/>
  <c r="AE213" i="1"/>
  <c r="AF213" i="1"/>
  <c r="AG213" i="1"/>
  <c r="AH213" i="1"/>
  <c r="AI213" i="1"/>
  <c r="AJ213" i="1"/>
  <c r="AK213" i="1"/>
  <c r="A214" i="1"/>
  <c r="B214" i="1"/>
  <c r="C214" i="1"/>
  <c r="D214" i="1"/>
  <c r="E214" i="1"/>
  <c r="F214" i="1"/>
  <c r="G214" i="1"/>
  <c r="AB214" i="1"/>
  <c r="AC214" i="1"/>
  <c r="AD214" i="1"/>
  <c r="AE214" i="1"/>
  <c r="AF214" i="1"/>
  <c r="AG214" i="1"/>
  <c r="AH214" i="1"/>
  <c r="AI214" i="1"/>
  <c r="AJ214" i="1"/>
  <c r="AK214" i="1"/>
  <c r="A215" i="1"/>
  <c r="B215" i="1"/>
  <c r="C215" i="1"/>
  <c r="D215" i="1"/>
  <c r="E215" i="1"/>
  <c r="F215" i="1"/>
  <c r="G215" i="1"/>
  <c r="AB215" i="1"/>
  <c r="AC215" i="1"/>
  <c r="AD215" i="1"/>
  <c r="AE215" i="1"/>
  <c r="AF215" i="1"/>
  <c r="AG215" i="1"/>
  <c r="AH215" i="1"/>
  <c r="AI215" i="1"/>
  <c r="AJ215" i="1"/>
  <c r="AK215" i="1"/>
  <c r="A216" i="1"/>
  <c r="B216" i="1"/>
  <c r="C216" i="1"/>
  <c r="D216" i="1"/>
  <c r="E216" i="1"/>
  <c r="F216" i="1"/>
  <c r="G216" i="1"/>
  <c r="AB216" i="1"/>
  <c r="AC216" i="1"/>
  <c r="AD216" i="1"/>
  <c r="AE216" i="1"/>
  <c r="AF216" i="1"/>
  <c r="AG216" i="1"/>
  <c r="AH216" i="1"/>
  <c r="AI216" i="1"/>
  <c r="AJ216" i="1"/>
  <c r="AK216" i="1"/>
  <c r="A217" i="1"/>
  <c r="B217" i="1"/>
  <c r="C217" i="1"/>
  <c r="D217" i="1"/>
  <c r="E217" i="1"/>
  <c r="F217" i="1"/>
  <c r="G217" i="1"/>
  <c r="AB217" i="1"/>
  <c r="AC217" i="1"/>
  <c r="AD217" i="1"/>
  <c r="AE217" i="1"/>
  <c r="AF217" i="1"/>
  <c r="AG217" i="1"/>
  <c r="AH217" i="1"/>
  <c r="AI217" i="1"/>
  <c r="AJ217" i="1"/>
  <c r="AK217" i="1"/>
  <c r="A218" i="1"/>
  <c r="B218" i="1"/>
  <c r="C218" i="1"/>
  <c r="D218" i="1"/>
  <c r="E218" i="1"/>
  <c r="F218" i="1"/>
  <c r="G218" i="1"/>
  <c r="AB218" i="1"/>
  <c r="AC218" i="1"/>
  <c r="AD218" i="1"/>
  <c r="AE218" i="1"/>
  <c r="AF218" i="1"/>
  <c r="AG218" i="1"/>
  <c r="AH218" i="1"/>
  <c r="AI218" i="1"/>
  <c r="AJ218" i="1"/>
  <c r="AK218" i="1"/>
  <c r="A219" i="1"/>
  <c r="B219" i="1"/>
  <c r="C219" i="1"/>
  <c r="D219" i="1"/>
  <c r="E219" i="1"/>
  <c r="F219" i="1"/>
  <c r="G219" i="1"/>
  <c r="AB219" i="1"/>
  <c r="AC219" i="1"/>
  <c r="AD219" i="1"/>
  <c r="AE219" i="1"/>
  <c r="AF219" i="1"/>
  <c r="AG219" i="1"/>
  <c r="AH219" i="1"/>
  <c r="AI219" i="1"/>
  <c r="AJ219" i="1"/>
  <c r="AK219" i="1"/>
  <c r="A220" i="1"/>
  <c r="B220" i="1"/>
  <c r="C220" i="1"/>
  <c r="D220" i="1"/>
  <c r="E220" i="1"/>
  <c r="F220" i="1"/>
  <c r="G220" i="1"/>
  <c r="AB220" i="1"/>
  <c r="AC220" i="1"/>
  <c r="AD220" i="1"/>
  <c r="AE220" i="1"/>
  <c r="AF220" i="1"/>
  <c r="AG220" i="1"/>
  <c r="AH220" i="1"/>
  <c r="AI220" i="1"/>
  <c r="AJ220" i="1"/>
  <c r="AK220" i="1"/>
  <c r="A221" i="1"/>
  <c r="B221" i="1"/>
  <c r="C221" i="1"/>
  <c r="D221" i="1"/>
  <c r="E221" i="1"/>
  <c r="F221" i="1"/>
  <c r="G221" i="1"/>
  <c r="AB221" i="1"/>
  <c r="AC221" i="1"/>
  <c r="AD221" i="1"/>
  <c r="AE221" i="1"/>
  <c r="AF221" i="1"/>
  <c r="AG221" i="1"/>
  <c r="AH221" i="1"/>
  <c r="AI221" i="1"/>
  <c r="AJ221" i="1"/>
  <c r="AK221" i="1"/>
  <c r="A222" i="1"/>
  <c r="B222" i="1"/>
  <c r="C222" i="1"/>
  <c r="D222" i="1"/>
  <c r="E222" i="1"/>
  <c r="F222" i="1"/>
  <c r="G222" i="1"/>
  <c r="AB222" i="1"/>
  <c r="AC222" i="1"/>
  <c r="AD222" i="1"/>
  <c r="AE222" i="1"/>
  <c r="AF222" i="1"/>
  <c r="AG222" i="1"/>
  <c r="AH222" i="1"/>
  <c r="AI222" i="1"/>
  <c r="AJ222" i="1"/>
  <c r="AK222" i="1"/>
  <c r="A223" i="1"/>
  <c r="B223" i="1"/>
  <c r="C223" i="1"/>
  <c r="D223" i="1"/>
  <c r="E223" i="1"/>
  <c r="F223" i="1"/>
  <c r="G223" i="1"/>
  <c r="AB223" i="1"/>
  <c r="AC223" i="1"/>
  <c r="AD223" i="1"/>
  <c r="AE223" i="1"/>
  <c r="AF223" i="1"/>
  <c r="AG223" i="1"/>
  <c r="AH223" i="1"/>
  <c r="AI223" i="1"/>
  <c r="AJ223" i="1"/>
  <c r="AK223" i="1"/>
  <c r="A224" i="1"/>
  <c r="B224" i="1"/>
  <c r="C224" i="1"/>
  <c r="D224" i="1"/>
  <c r="E224" i="1"/>
  <c r="F224" i="1"/>
  <c r="G224" i="1"/>
  <c r="AB224" i="1"/>
  <c r="AC224" i="1"/>
  <c r="AD224" i="1"/>
  <c r="AE224" i="1"/>
  <c r="AF224" i="1"/>
  <c r="AG224" i="1"/>
  <c r="AH224" i="1"/>
  <c r="AI224" i="1"/>
  <c r="AJ224" i="1"/>
  <c r="AK224" i="1"/>
  <c r="A225" i="1"/>
  <c r="B225" i="1"/>
  <c r="C225" i="1"/>
  <c r="D225" i="1"/>
  <c r="E225" i="1"/>
  <c r="F225" i="1"/>
  <c r="G225" i="1"/>
  <c r="AB225" i="1"/>
  <c r="AC225" i="1"/>
  <c r="AD225" i="1"/>
  <c r="AE225" i="1"/>
  <c r="AF225" i="1"/>
  <c r="AG225" i="1"/>
  <c r="AH225" i="1"/>
  <c r="AI225" i="1"/>
  <c r="AJ225" i="1"/>
  <c r="AK225" i="1"/>
  <c r="A226" i="1"/>
  <c r="B226" i="1"/>
  <c r="C226" i="1"/>
  <c r="D226" i="1"/>
  <c r="E226" i="1"/>
  <c r="F226" i="1"/>
  <c r="G226" i="1"/>
  <c r="AB226" i="1"/>
  <c r="AC226" i="1"/>
  <c r="AD226" i="1"/>
  <c r="AE226" i="1"/>
  <c r="AF226" i="1"/>
  <c r="AG226" i="1"/>
  <c r="AH226" i="1"/>
  <c r="AI226" i="1"/>
  <c r="AJ226" i="1"/>
  <c r="AK226" i="1"/>
  <c r="A227" i="1"/>
  <c r="B227" i="1"/>
  <c r="C227" i="1"/>
  <c r="D227" i="1"/>
  <c r="E227" i="1"/>
  <c r="F227" i="1"/>
  <c r="G227" i="1"/>
  <c r="AB227" i="1"/>
  <c r="AC227" i="1"/>
  <c r="AD227" i="1"/>
  <c r="AE227" i="1"/>
  <c r="AF227" i="1"/>
  <c r="AG227" i="1"/>
  <c r="AH227" i="1"/>
  <c r="AI227" i="1"/>
  <c r="AJ227" i="1"/>
  <c r="AK227" i="1"/>
  <c r="A228" i="1"/>
  <c r="B228" i="1"/>
  <c r="C228" i="1"/>
  <c r="D228" i="1"/>
  <c r="E228" i="1"/>
  <c r="F228" i="1"/>
  <c r="G228" i="1"/>
  <c r="AB228" i="1"/>
  <c r="AC228" i="1"/>
  <c r="AD228" i="1"/>
  <c r="AE228" i="1"/>
  <c r="AF228" i="1"/>
  <c r="AG228" i="1"/>
  <c r="AH228" i="1"/>
  <c r="AI228" i="1"/>
  <c r="AJ228" i="1"/>
  <c r="AK228" i="1"/>
  <c r="A229" i="1"/>
  <c r="B229" i="1"/>
  <c r="C229" i="1"/>
  <c r="D229" i="1"/>
  <c r="E229" i="1"/>
  <c r="F229" i="1"/>
  <c r="G229" i="1"/>
  <c r="AB229" i="1"/>
  <c r="AC229" i="1"/>
  <c r="AD229" i="1"/>
  <c r="AE229" i="1"/>
  <c r="AF229" i="1"/>
  <c r="AG229" i="1"/>
  <c r="AH229" i="1"/>
  <c r="AI229" i="1"/>
  <c r="AJ229" i="1"/>
  <c r="AK229" i="1"/>
  <c r="A230" i="1"/>
  <c r="B230" i="1"/>
  <c r="C230" i="1"/>
  <c r="D230" i="1"/>
  <c r="E230" i="1"/>
  <c r="F230" i="1"/>
  <c r="G230" i="1"/>
  <c r="AB230" i="1"/>
  <c r="AC230" i="1"/>
  <c r="AD230" i="1"/>
  <c r="AE230" i="1"/>
  <c r="AF230" i="1"/>
  <c r="AG230" i="1"/>
  <c r="AH230" i="1"/>
  <c r="AI230" i="1"/>
  <c r="AJ230" i="1"/>
  <c r="AK230" i="1"/>
  <c r="A231" i="1"/>
  <c r="B231" i="1"/>
  <c r="C231" i="1"/>
  <c r="D231" i="1"/>
  <c r="E231" i="1"/>
  <c r="F231" i="1"/>
  <c r="G231" i="1"/>
  <c r="AB231" i="1"/>
  <c r="AC231" i="1"/>
  <c r="AD231" i="1"/>
  <c r="AE231" i="1"/>
  <c r="AF231" i="1"/>
  <c r="AG231" i="1"/>
  <c r="AH231" i="1"/>
  <c r="AI231" i="1"/>
  <c r="AJ231" i="1"/>
  <c r="AK231" i="1"/>
  <c r="A232" i="1"/>
  <c r="B232" i="1"/>
  <c r="C232" i="1"/>
  <c r="D232" i="1"/>
  <c r="E232" i="1"/>
  <c r="F232" i="1"/>
  <c r="G232" i="1"/>
  <c r="AB232" i="1"/>
  <c r="AC232" i="1"/>
  <c r="AD232" i="1"/>
  <c r="AE232" i="1"/>
  <c r="AF232" i="1"/>
  <c r="AG232" i="1"/>
  <c r="AH232" i="1"/>
  <c r="AI232" i="1"/>
  <c r="AJ232" i="1"/>
  <c r="AK232" i="1"/>
  <c r="A233" i="1"/>
  <c r="B233" i="1"/>
  <c r="C233" i="1"/>
  <c r="D233" i="1"/>
  <c r="E233" i="1"/>
  <c r="F233" i="1"/>
  <c r="G233" i="1"/>
  <c r="AB233" i="1"/>
  <c r="AC233" i="1"/>
  <c r="AD233" i="1"/>
  <c r="AE233" i="1"/>
  <c r="AF233" i="1"/>
  <c r="AG233" i="1"/>
  <c r="AH233" i="1"/>
  <c r="AI233" i="1"/>
  <c r="AJ233" i="1"/>
  <c r="AK233" i="1"/>
  <c r="A234" i="1"/>
  <c r="B234" i="1"/>
  <c r="C234" i="1"/>
  <c r="D234" i="1"/>
  <c r="E234" i="1"/>
  <c r="F234" i="1"/>
  <c r="G234" i="1"/>
  <c r="AB234" i="1"/>
  <c r="AC234" i="1"/>
  <c r="AD234" i="1"/>
  <c r="AE234" i="1"/>
  <c r="AF234" i="1"/>
  <c r="AG234" i="1"/>
  <c r="AH234" i="1"/>
  <c r="AI234" i="1"/>
  <c r="AJ234" i="1"/>
  <c r="AK234" i="1"/>
  <c r="A235" i="1"/>
  <c r="B235" i="1"/>
  <c r="C235" i="1"/>
  <c r="D235" i="1"/>
  <c r="E235" i="1"/>
  <c r="F235" i="1"/>
  <c r="G235" i="1"/>
  <c r="AB235" i="1"/>
  <c r="AC235" i="1"/>
  <c r="AD235" i="1"/>
  <c r="AE235" i="1"/>
  <c r="AF235" i="1"/>
  <c r="AG235" i="1"/>
  <c r="AH235" i="1"/>
  <c r="AI235" i="1"/>
  <c r="AJ235" i="1"/>
  <c r="AK235" i="1"/>
  <c r="A236" i="1"/>
  <c r="B236" i="1"/>
  <c r="C236" i="1"/>
  <c r="D236" i="1"/>
  <c r="E236" i="1"/>
  <c r="F236" i="1"/>
  <c r="G236" i="1"/>
  <c r="AB236" i="1"/>
  <c r="AC236" i="1"/>
  <c r="AD236" i="1"/>
  <c r="AE236" i="1"/>
  <c r="AF236" i="1"/>
  <c r="AG236" i="1"/>
  <c r="AH236" i="1"/>
  <c r="AI236" i="1"/>
  <c r="AJ236" i="1"/>
  <c r="AK236" i="1"/>
  <c r="A237" i="1"/>
  <c r="B237" i="1"/>
  <c r="C237" i="1"/>
  <c r="D237" i="1"/>
  <c r="E237" i="1"/>
  <c r="F237" i="1"/>
  <c r="G237" i="1"/>
  <c r="AB237" i="1"/>
  <c r="AC237" i="1"/>
  <c r="AD237" i="1"/>
  <c r="AE237" i="1"/>
  <c r="AF237" i="1"/>
  <c r="AG237" i="1"/>
  <c r="AH237" i="1"/>
  <c r="AI237" i="1"/>
  <c r="AJ237" i="1"/>
  <c r="AK237" i="1"/>
  <c r="A238" i="1"/>
  <c r="B238" i="1"/>
  <c r="C238" i="1"/>
  <c r="D238" i="1"/>
  <c r="E238" i="1"/>
  <c r="F238" i="1"/>
  <c r="G238" i="1"/>
  <c r="AB238" i="1"/>
  <c r="AC238" i="1"/>
  <c r="AD238" i="1"/>
  <c r="AE238" i="1"/>
  <c r="AF238" i="1"/>
  <c r="AG238" i="1"/>
  <c r="AH238" i="1"/>
  <c r="AI238" i="1"/>
  <c r="AJ238" i="1"/>
  <c r="AK238" i="1"/>
  <c r="A239" i="1"/>
  <c r="B239" i="1"/>
  <c r="C239" i="1"/>
  <c r="D239" i="1"/>
  <c r="E239" i="1"/>
  <c r="F239" i="1"/>
  <c r="G239" i="1"/>
  <c r="AB239" i="1"/>
  <c r="AC239" i="1"/>
  <c r="AD239" i="1"/>
  <c r="AE239" i="1"/>
  <c r="AF239" i="1"/>
  <c r="AG239" i="1"/>
  <c r="AH239" i="1"/>
  <c r="AI239" i="1"/>
  <c r="AJ239" i="1"/>
  <c r="AK239" i="1"/>
  <c r="A240" i="1"/>
  <c r="B240" i="1"/>
  <c r="C240" i="1"/>
  <c r="D240" i="1"/>
  <c r="E240" i="1"/>
  <c r="F240" i="1"/>
  <c r="G240" i="1"/>
  <c r="AB240" i="1"/>
  <c r="AC240" i="1"/>
  <c r="AD240" i="1"/>
  <c r="AE240" i="1"/>
  <c r="AF240" i="1"/>
  <c r="AG240" i="1"/>
  <c r="AH240" i="1"/>
  <c r="AI240" i="1"/>
  <c r="AJ240" i="1"/>
  <c r="AK240" i="1"/>
  <c r="A241" i="1"/>
  <c r="B241" i="1"/>
  <c r="C241" i="1"/>
  <c r="D241" i="1"/>
  <c r="E241" i="1"/>
  <c r="F241" i="1"/>
  <c r="G241" i="1"/>
  <c r="AB241" i="1"/>
  <c r="AC241" i="1"/>
  <c r="AD241" i="1"/>
  <c r="AE241" i="1"/>
  <c r="AF241" i="1"/>
  <c r="AG241" i="1"/>
  <c r="AH241" i="1"/>
  <c r="AI241" i="1"/>
  <c r="AJ241" i="1"/>
  <c r="AK241" i="1"/>
  <c r="A242" i="1"/>
  <c r="B242" i="1"/>
  <c r="C242" i="1"/>
  <c r="D242" i="1"/>
  <c r="E242" i="1"/>
  <c r="F242" i="1"/>
  <c r="G242" i="1"/>
  <c r="AB242" i="1"/>
  <c r="AC242" i="1"/>
  <c r="AD242" i="1"/>
  <c r="AE242" i="1"/>
  <c r="AF242" i="1"/>
  <c r="AG242" i="1"/>
  <c r="AH242" i="1"/>
  <c r="AI242" i="1"/>
  <c r="AJ242" i="1"/>
  <c r="AK242" i="1"/>
  <c r="A243" i="1"/>
  <c r="B243" i="1"/>
  <c r="C243" i="1"/>
  <c r="D243" i="1"/>
  <c r="E243" i="1"/>
  <c r="F243" i="1"/>
  <c r="G243" i="1"/>
  <c r="AB243" i="1"/>
  <c r="AC243" i="1"/>
  <c r="AD243" i="1"/>
  <c r="AE243" i="1"/>
  <c r="AF243" i="1"/>
  <c r="AG243" i="1"/>
  <c r="AH243" i="1"/>
  <c r="AI243" i="1"/>
  <c r="AJ243" i="1"/>
  <c r="AK243" i="1"/>
  <c r="A244" i="1"/>
  <c r="B244" i="1"/>
  <c r="C244" i="1"/>
  <c r="D244" i="1"/>
  <c r="E244" i="1"/>
  <c r="F244" i="1"/>
  <c r="G244" i="1"/>
  <c r="AB244" i="1"/>
  <c r="AC244" i="1"/>
  <c r="AD244" i="1"/>
  <c r="AE244" i="1"/>
  <c r="AF244" i="1"/>
  <c r="AG244" i="1"/>
  <c r="AH244" i="1"/>
  <c r="AI244" i="1"/>
  <c r="AJ244" i="1"/>
  <c r="AK244" i="1"/>
  <c r="A245" i="1"/>
  <c r="B245" i="1"/>
  <c r="C245" i="1"/>
  <c r="D245" i="1"/>
  <c r="E245" i="1"/>
  <c r="F245" i="1"/>
  <c r="G245" i="1"/>
  <c r="AB245" i="1"/>
  <c r="AC245" i="1"/>
  <c r="AD245" i="1"/>
  <c r="AE245" i="1"/>
  <c r="AF245" i="1"/>
  <c r="AG245" i="1"/>
  <c r="AH245" i="1"/>
  <c r="AI245" i="1"/>
  <c r="AJ245" i="1"/>
  <c r="AK245" i="1"/>
  <c r="A246" i="1"/>
  <c r="B246" i="1"/>
  <c r="C246" i="1"/>
  <c r="D246" i="1"/>
  <c r="E246" i="1"/>
  <c r="F246" i="1"/>
  <c r="G246" i="1"/>
  <c r="AB246" i="1"/>
  <c r="AC246" i="1"/>
  <c r="AD246" i="1"/>
  <c r="AE246" i="1"/>
  <c r="AF246" i="1"/>
  <c r="AG246" i="1"/>
  <c r="AH246" i="1"/>
  <c r="AI246" i="1"/>
  <c r="AJ246" i="1"/>
  <c r="AK246" i="1"/>
  <c r="A247" i="1"/>
  <c r="B247" i="1"/>
  <c r="C247" i="1"/>
  <c r="D247" i="1"/>
  <c r="E247" i="1"/>
  <c r="F247" i="1"/>
  <c r="G247" i="1"/>
  <c r="AB247" i="1"/>
  <c r="AC247" i="1"/>
  <c r="AD247" i="1"/>
  <c r="AE247" i="1"/>
  <c r="AF247" i="1"/>
  <c r="AG247" i="1"/>
  <c r="AH247" i="1"/>
  <c r="AI247" i="1"/>
  <c r="AJ247" i="1"/>
  <c r="AK247" i="1"/>
  <c r="A248" i="1"/>
  <c r="B248" i="1"/>
  <c r="C248" i="1"/>
  <c r="D248" i="1"/>
  <c r="E248" i="1"/>
  <c r="F248" i="1"/>
  <c r="G248" i="1"/>
  <c r="AB248" i="1"/>
  <c r="AC248" i="1"/>
  <c r="AD248" i="1"/>
  <c r="AE248" i="1"/>
  <c r="AF248" i="1"/>
  <c r="AG248" i="1"/>
  <c r="AH248" i="1"/>
  <c r="AI248" i="1"/>
  <c r="AJ248" i="1"/>
  <c r="AK248" i="1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AG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AD30" i="23"/>
  <c r="AE30" i="23"/>
  <c r="AF30" i="23"/>
  <c r="AG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AG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AE37" i="23"/>
  <c r="AF37" i="23"/>
  <c r="AG37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AD38" i="23"/>
  <c r="AE38" i="23"/>
  <c r="AF38" i="23"/>
  <c r="AG38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T57" i="23"/>
  <c r="U57" i="23"/>
  <c r="V57" i="23"/>
  <c r="B58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T62" i="23"/>
  <c r="U62" i="23"/>
  <c r="V62" i="23"/>
  <c r="E63" i="23"/>
  <c r="F63" i="23"/>
  <c r="G63" i="23"/>
  <c r="H63" i="23"/>
  <c r="I63" i="23"/>
  <c r="J63" i="23"/>
  <c r="K63" i="23"/>
  <c r="L63" i="23"/>
  <c r="M63" i="23"/>
  <c r="N63" i="23"/>
  <c r="O63" i="23"/>
  <c r="P63" i="23"/>
  <c r="Q63" i="23"/>
  <c r="R63" i="23"/>
  <c r="S63" i="23"/>
  <c r="T63" i="23"/>
  <c r="U63" i="23"/>
  <c r="V63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I67" i="23"/>
  <c r="J67" i="23"/>
  <c r="K67" i="23"/>
  <c r="L67" i="23"/>
  <c r="M67" i="23"/>
  <c r="N67" i="23"/>
  <c r="O67" i="23"/>
  <c r="P67" i="23"/>
  <c r="Q67" i="23"/>
  <c r="R67" i="23"/>
  <c r="S67" i="23"/>
  <c r="T67" i="23"/>
  <c r="U67" i="23"/>
  <c r="V67" i="23"/>
  <c r="J68" i="23"/>
  <c r="K68" i="23"/>
  <c r="L68" i="23"/>
  <c r="M68" i="23"/>
  <c r="N68" i="23"/>
  <c r="O68" i="23"/>
  <c r="P68" i="23"/>
  <c r="Q68" i="23"/>
  <c r="R68" i="23"/>
  <c r="S68" i="23"/>
  <c r="T68" i="23"/>
  <c r="U68" i="23"/>
  <c r="V68" i="23"/>
  <c r="K69" i="23"/>
  <c r="L69" i="23"/>
  <c r="M69" i="23"/>
  <c r="N69" i="23"/>
  <c r="O69" i="23"/>
  <c r="P69" i="23"/>
  <c r="Q69" i="23"/>
  <c r="R69" i="23"/>
  <c r="S69" i="23"/>
  <c r="T69" i="23"/>
  <c r="U69" i="23"/>
  <c r="V69" i="23"/>
  <c r="L70" i="23"/>
  <c r="M70" i="23"/>
  <c r="N70" i="23"/>
  <c r="O70" i="23"/>
  <c r="P70" i="23"/>
  <c r="Q70" i="23"/>
  <c r="R70" i="23"/>
  <c r="S70" i="23"/>
  <c r="T70" i="23"/>
  <c r="U70" i="23"/>
  <c r="V70" i="23"/>
  <c r="M71" i="23"/>
  <c r="N71" i="23"/>
  <c r="O71" i="23"/>
  <c r="P71" i="23"/>
  <c r="Q71" i="23"/>
  <c r="R71" i="23"/>
  <c r="S71" i="23"/>
  <c r="T71" i="23"/>
  <c r="U71" i="23"/>
  <c r="V71" i="23"/>
  <c r="N72" i="23"/>
  <c r="O72" i="23"/>
  <c r="P72" i="23"/>
  <c r="Q72" i="23"/>
  <c r="R72" i="23"/>
  <c r="S72" i="23"/>
  <c r="T72" i="23"/>
  <c r="U72" i="23"/>
  <c r="V72" i="23"/>
  <c r="O73" i="23"/>
  <c r="P73" i="23"/>
  <c r="Q73" i="23"/>
  <c r="R73" i="23"/>
  <c r="S73" i="23"/>
  <c r="T73" i="23"/>
  <c r="U73" i="23"/>
  <c r="V73" i="23"/>
  <c r="P74" i="23"/>
  <c r="Q74" i="23"/>
  <c r="R74" i="23"/>
  <c r="S74" i="23"/>
  <c r="T74" i="23"/>
  <c r="U74" i="23"/>
  <c r="V74" i="23"/>
  <c r="Q75" i="23"/>
  <c r="R75" i="23"/>
  <c r="S75" i="23"/>
  <c r="T75" i="23"/>
  <c r="U75" i="23"/>
  <c r="V75" i="23"/>
  <c r="R76" i="23"/>
  <c r="S76" i="23"/>
  <c r="T76" i="23"/>
  <c r="U76" i="23"/>
  <c r="V76" i="23"/>
  <c r="S77" i="23"/>
  <c r="T77" i="23"/>
  <c r="U77" i="23"/>
  <c r="V77" i="23"/>
  <c r="T78" i="23"/>
  <c r="U78" i="23"/>
  <c r="V78" i="23"/>
  <c r="U79" i="23"/>
  <c r="V79" i="23"/>
  <c r="V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C86" i="23"/>
  <c r="D86" i="23"/>
  <c r="E86" i="23"/>
  <c r="F86" i="23"/>
  <c r="G86" i="23"/>
  <c r="H86" i="23"/>
  <c r="I86" i="23"/>
  <c r="J86" i="23"/>
  <c r="K86" i="23"/>
  <c r="L86" i="23"/>
  <c r="M86" i="23"/>
  <c r="N86" i="23"/>
  <c r="O86" i="23"/>
  <c r="P86" i="23"/>
  <c r="Q86" i="23"/>
  <c r="R86" i="23"/>
  <c r="S86" i="23"/>
  <c r="T86" i="23"/>
  <c r="U86" i="23"/>
  <c r="V86" i="23"/>
  <c r="B87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O90" i="23"/>
  <c r="P90" i="23"/>
  <c r="Q90" i="23"/>
  <c r="R90" i="23"/>
  <c r="S90" i="23"/>
  <c r="T90" i="23"/>
  <c r="U90" i="23"/>
  <c r="V90" i="23"/>
  <c r="D91" i="23"/>
  <c r="E91" i="23"/>
  <c r="F91" i="23"/>
  <c r="G91" i="23"/>
  <c r="H91" i="23"/>
  <c r="I91" i="23"/>
  <c r="J91" i="23"/>
  <c r="K91" i="23"/>
  <c r="L91" i="23"/>
  <c r="M91" i="23"/>
  <c r="N91" i="23"/>
  <c r="O91" i="23"/>
  <c r="P91" i="23"/>
  <c r="Q91" i="23"/>
  <c r="R91" i="23"/>
  <c r="S91" i="23"/>
  <c r="T91" i="23"/>
  <c r="U91" i="23"/>
  <c r="V91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Q92" i="23"/>
  <c r="R92" i="23"/>
  <c r="S92" i="23"/>
  <c r="T92" i="23"/>
  <c r="U92" i="23"/>
  <c r="V92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R93" i="23"/>
  <c r="S93" i="23"/>
  <c r="T93" i="23"/>
  <c r="U93" i="23"/>
  <c r="V93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S94" i="23"/>
  <c r="T94" i="23"/>
  <c r="U94" i="23"/>
  <c r="V94" i="23"/>
  <c r="H95" i="23"/>
  <c r="I95" i="23"/>
  <c r="J95" i="23"/>
  <c r="K95" i="23"/>
  <c r="L95" i="23"/>
  <c r="M95" i="23"/>
  <c r="N95" i="23"/>
  <c r="O95" i="23"/>
  <c r="P95" i="23"/>
  <c r="Q95" i="23"/>
  <c r="R95" i="23"/>
  <c r="S95" i="23"/>
  <c r="T95" i="23"/>
  <c r="U95" i="23"/>
  <c r="V95" i="23"/>
  <c r="I96" i="23"/>
  <c r="J96" i="23"/>
  <c r="K96" i="23"/>
  <c r="L96" i="23"/>
  <c r="M96" i="23"/>
  <c r="N96" i="23"/>
  <c r="O96" i="23"/>
  <c r="P96" i="23"/>
  <c r="Q96" i="23"/>
  <c r="R96" i="23"/>
  <c r="S96" i="23"/>
  <c r="T96" i="23"/>
  <c r="U96" i="23"/>
  <c r="V96" i="23"/>
  <c r="J97" i="23"/>
  <c r="K97" i="23"/>
  <c r="L97" i="23"/>
  <c r="M97" i="23"/>
  <c r="N97" i="23"/>
  <c r="O97" i="23"/>
  <c r="P97" i="23"/>
  <c r="Q97" i="23"/>
  <c r="R97" i="23"/>
  <c r="S97" i="23"/>
  <c r="T97" i="23"/>
  <c r="U97" i="23"/>
  <c r="V97" i="23"/>
  <c r="K98" i="23"/>
  <c r="L98" i="23"/>
  <c r="M98" i="23"/>
  <c r="N98" i="23"/>
  <c r="O98" i="23"/>
  <c r="P98" i="23"/>
  <c r="Q98" i="23"/>
  <c r="R98" i="23"/>
  <c r="S98" i="23"/>
  <c r="T98" i="23"/>
  <c r="U98" i="23"/>
  <c r="V98" i="23"/>
  <c r="L99" i="23"/>
  <c r="M99" i="23"/>
  <c r="N99" i="23"/>
  <c r="O99" i="23"/>
  <c r="P99" i="23"/>
  <c r="Q99" i="23"/>
  <c r="R99" i="23"/>
  <c r="S99" i="23"/>
  <c r="T99" i="23"/>
  <c r="U99" i="23"/>
  <c r="V99" i="23"/>
  <c r="M100" i="23"/>
  <c r="N100" i="23"/>
  <c r="O100" i="23"/>
  <c r="P100" i="23"/>
  <c r="Q100" i="23"/>
  <c r="R100" i="23"/>
  <c r="S100" i="23"/>
  <c r="T100" i="23"/>
  <c r="U100" i="23"/>
  <c r="V100" i="23"/>
  <c r="N101" i="23"/>
  <c r="O101" i="23"/>
  <c r="P101" i="23"/>
  <c r="Q101" i="23"/>
  <c r="R101" i="23"/>
  <c r="S101" i="23"/>
  <c r="T101" i="23"/>
  <c r="U101" i="23"/>
  <c r="V101" i="23"/>
  <c r="O102" i="23"/>
  <c r="P102" i="23"/>
  <c r="Q102" i="23"/>
  <c r="R102" i="23"/>
  <c r="S102" i="23"/>
  <c r="T102" i="23"/>
  <c r="U102" i="23"/>
  <c r="V102" i="23"/>
  <c r="P103" i="23"/>
  <c r="Q103" i="23"/>
  <c r="R103" i="23"/>
  <c r="S103" i="23"/>
  <c r="T103" i="23"/>
  <c r="U103" i="23"/>
  <c r="V103" i="23"/>
  <c r="Q104" i="23"/>
  <c r="R104" i="23"/>
  <c r="S104" i="23"/>
  <c r="T104" i="23"/>
  <c r="U104" i="23"/>
  <c r="V104" i="23"/>
  <c r="R105" i="23"/>
  <c r="S105" i="23"/>
  <c r="T105" i="23"/>
  <c r="U105" i="23"/>
  <c r="V105" i="23"/>
  <c r="S106" i="23"/>
  <c r="T106" i="23"/>
  <c r="U106" i="23"/>
  <c r="V106" i="23"/>
  <c r="T107" i="23"/>
  <c r="U107" i="23"/>
  <c r="V107" i="23"/>
  <c r="U108" i="23"/>
  <c r="V108" i="23"/>
  <c r="V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R110" i="23"/>
  <c r="S110" i="23"/>
  <c r="T110" i="23"/>
  <c r="U110" i="23"/>
  <c r="V110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O112" i="23"/>
  <c r="P112" i="23"/>
  <c r="Q112" i="23"/>
  <c r="R112" i="23"/>
  <c r="S112" i="23"/>
  <c r="T112" i="23"/>
  <c r="U112" i="23"/>
  <c r="V112" i="23"/>
  <c r="C114" i="23"/>
  <c r="D114" i="23"/>
  <c r="E114" i="23"/>
  <c r="F114" i="23"/>
  <c r="G114" i="23"/>
  <c r="H114" i="23"/>
  <c r="I114" i="23"/>
  <c r="J114" i="23"/>
  <c r="K114" i="23"/>
  <c r="L114" i="23"/>
  <c r="M114" i="23"/>
  <c r="N114" i="23"/>
  <c r="O114" i="23"/>
  <c r="P114" i="23"/>
  <c r="Q114" i="23"/>
  <c r="R114" i="23"/>
  <c r="S114" i="23"/>
  <c r="T114" i="23"/>
  <c r="U114" i="23"/>
  <c r="V114" i="2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A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A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A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A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A76" i="12"/>
  <c r="A77" i="12"/>
  <c r="A78" i="12"/>
  <c r="A79" i="12"/>
  <c r="A80" i="12"/>
  <c r="A81" i="12"/>
  <c r="A82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A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A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A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A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A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A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A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A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A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A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A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A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A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A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A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A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A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A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A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A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A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A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A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A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A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A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A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A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A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A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A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A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A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A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A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A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A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A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A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A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A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A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A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A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A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A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A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A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A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A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A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A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A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A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A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A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A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A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A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A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A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A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A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A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A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A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A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A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A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A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A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A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A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A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A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A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A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A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A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A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A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A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A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A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A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A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A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A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A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A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A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A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A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A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A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A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A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A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A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AO3" i="37"/>
  <c r="J7" i="37"/>
  <c r="L7" i="37"/>
  <c r="M7" i="37"/>
  <c r="N7" i="37"/>
  <c r="O7" i="37"/>
  <c r="P7" i="37"/>
  <c r="Q7" i="37"/>
  <c r="R7" i="37"/>
  <c r="AQ7" i="37"/>
  <c r="J8" i="37"/>
  <c r="L8" i="37"/>
  <c r="M8" i="37"/>
  <c r="N8" i="37"/>
  <c r="O8" i="37"/>
  <c r="P8" i="37"/>
  <c r="Q8" i="37"/>
  <c r="R8" i="37"/>
  <c r="S8" i="37"/>
  <c r="T8" i="37"/>
  <c r="U8" i="37"/>
  <c r="AQ8" i="37"/>
  <c r="J9" i="37"/>
  <c r="L9" i="37"/>
  <c r="M9" i="37"/>
  <c r="N9" i="37"/>
  <c r="O9" i="37"/>
  <c r="P9" i="37"/>
  <c r="Q9" i="37"/>
  <c r="R9" i="37"/>
  <c r="S9" i="37"/>
  <c r="T9" i="37"/>
  <c r="AQ9" i="37"/>
  <c r="J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Q10" i="37"/>
  <c r="J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Q11" i="37"/>
  <c r="E13" i="37"/>
  <c r="G13" i="37"/>
  <c r="I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AN13" i="37"/>
  <c r="AO13" i="37"/>
  <c r="AQ13" i="37"/>
  <c r="J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Q16" i="37"/>
  <c r="J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Q17" i="37"/>
  <c r="J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Q18" i="37"/>
  <c r="J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Q19" i="37"/>
  <c r="J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Q20" i="37"/>
  <c r="J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Q21" i="37"/>
  <c r="J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Q22" i="37"/>
  <c r="J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Q23" i="37"/>
  <c r="E25" i="37"/>
  <c r="G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AI25" i="37"/>
  <c r="AJ25" i="37"/>
  <c r="AK25" i="37"/>
  <c r="AL25" i="37"/>
  <c r="AM25" i="37"/>
  <c r="AN25" i="37"/>
  <c r="AO25" i="37"/>
  <c r="AQ25" i="37"/>
  <c r="J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Q27" i="37"/>
  <c r="J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Q30" i="37"/>
  <c r="J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Q32" i="37"/>
  <c r="J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Q34" i="37"/>
  <c r="J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Q36" i="37"/>
  <c r="J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AC38" i="37"/>
  <c r="AD38" i="37"/>
  <c r="AE38" i="37"/>
  <c r="AF38" i="37"/>
  <c r="AG38" i="37"/>
  <c r="AH38" i="37"/>
  <c r="AI38" i="37"/>
  <c r="AJ38" i="37"/>
  <c r="AK38" i="37"/>
  <c r="AL38" i="37"/>
  <c r="AM38" i="37"/>
  <c r="AN38" i="37"/>
  <c r="AQ38" i="37"/>
  <c r="J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AC40" i="37"/>
  <c r="AD40" i="37"/>
  <c r="AE40" i="37"/>
  <c r="AF40" i="37"/>
  <c r="AG40" i="37"/>
  <c r="AH40" i="37"/>
  <c r="AI40" i="37"/>
  <c r="AJ40" i="37"/>
  <c r="AK40" i="37"/>
  <c r="AL40" i="37"/>
  <c r="AM40" i="37"/>
  <c r="AN40" i="37"/>
  <c r="AQ40" i="37"/>
  <c r="AQ41" i="37"/>
  <c r="E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AC42" i="37"/>
  <c r="AD42" i="37"/>
  <c r="AE42" i="37"/>
  <c r="AF42" i="37"/>
  <c r="AG42" i="37"/>
  <c r="AH42" i="37"/>
  <c r="AI42" i="37"/>
  <c r="AJ42" i="37"/>
  <c r="AK42" i="37"/>
  <c r="AL42" i="37"/>
  <c r="AM42" i="37"/>
  <c r="AN42" i="37"/>
  <c r="AO42" i="37"/>
  <c r="AQ42" i="37"/>
  <c r="AQ57" i="37"/>
  <c r="J58" i="37"/>
  <c r="L58" i="37"/>
  <c r="M58" i="37"/>
  <c r="N58" i="37"/>
  <c r="O58" i="37"/>
  <c r="P58" i="37"/>
  <c r="Q58" i="37"/>
  <c r="R58" i="37"/>
  <c r="S58" i="37"/>
  <c r="T58" i="37"/>
  <c r="U58" i="37"/>
  <c r="V58" i="37"/>
  <c r="W58" i="37"/>
  <c r="X58" i="37"/>
  <c r="Y58" i="37"/>
  <c r="Z58" i="37"/>
  <c r="AA58" i="37"/>
  <c r="AB58" i="37"/>
  <c r="AC58" i="37"/>
  <c r="AD58" i="37"/>
  <c r="AE58" i="37"/>
  <c r="AF58" i="37"/>
  <c r="AG58" i="37"/>
  <c r="AH58" i="37"/>
  <c r="AI58" i="37"/>
  <c r="AJ58" i="37"/>
  <c r="AK58" i="37"/>
  <c r="AL58" i="37"/>
  <c r="AM58" i="37"/>
  <c r="AN58" i="37"/>
  <c r="AO58" i="37"/>
  <c r="AQ58" i="37"/>
  <c r="J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Z59" i="37"/>
  <c r="AA59" i="37"/>
  <c r="AB59" i="37"/>
  <c r="AC59" i="37"/>
  <c r="AD59" i="37"/>
  <c r="AE59" i="37"/>
  <c r="AF59" i="37"/>
  <c r="AG59" i="37"/>
  <c r="AH59" i="37"/>
  <c r="AI59" i="37"/>
  <c r="AJ59" i="37"/>
  <c r="AK59" i="37"/>
  <c r="AL59" i="37"/>
  <c r="AM59" i="37"/>
  <c r="AN59" i="37"/>
  <c r="AO59" i="37"/>
  <c r="AQ59" i="37"/>
  <c r="J60" i="37"/>
  <c r="L60" i="37"/>
  <c r="M60" i="37"/>
  <c r="N60" i="37"/>
  <c r="O60" i="37"/>
  <c r="P60" i="37"/>
  <c r="Q60" i="37"/>
  <c r="R60" i="37"/>
  <c r="S60" i="37"/>
  <c r="T60" i="37"/>
  <c r="U60" i="37"/>
  <c r="V60" i="37"/>
  <c r="W60" i="37"/>
  <c r="X60" i="37"/>
  <c r="Y60" i="37"/>
  <c r="Z60" i="37"/>
  <c r="AA60" i="37"/>
  <c r="AB60" i="37"/>
  <c r="AC60" i="37"/>
  <c r="AD60" i="37"/>
  <c r="AE60" i="37"/>
  <c r="AF60" i="37"/>
  <c r="AG60" i="37"/>
  <c r="AH60" i="37"/>
  <c r="AI60" i="37"/>
  <c r="AJ60" i="37"/>
  <c r="AK60" i="37"/>
  <c r="AL60" i="37"/>
  <c r="AM60" i="37"/>
  <c r="AN60" i="37"/>
  <c r="AO60" i="37"/>
  <c r="AQ60" i="37"/>
  <c r="E62" i="37"/>
  <c r="G62" i="37"/>
  <c r="I62" i="37"/>
  <c r="K62" i="37"/>
  <c r="L62" i="37"/>
  <c r="M62" i="37"/>
  <c r="N62" i="37"/>
  <c r="O62" i="37"/>
  <c r="P62" i="37"/>
  <c r="Q62" i="37"/>
  <c r="R62" i="37"/>
  <c r="S62" i="37"/>
  <c r="T62" i="37"/>
  <c r="U62" i="37"/>
  <c r="V62" i="37"/>
  <c r="W62" i="37"/>
  <c r="X62" i="37"/>
  <c r="Y62" i="37"/>
  <c r="Z62" i="37"/>
  <c r="AA62" i="37"/>
  <c r="AB62" i="37"/>
  <c r="AC62" i="37"/>
  <c r="AD62" i="37"/>
  <c r="AE62" i="37"/>
  <c r="AF62" i="37"/>
  <c r="AG62" i="37"/>
  <c r="AH62" i="37"/>
  <c r="AI62" i="37"/>
  <c r="AJ62" i="37"/>
  <c r="AK62" i="37"/>
  <c r="AL62" i="37"/>
  <c r="AM62" i="37"/>
  <c r="AN62" i="37"/>
  <c r="AO62" i="37"/>
  <c r="AQ62" i="37"/>
  <c r="J64" i="37"/>
  <c r="L64" i="37"/>
  <c r="M64" i="37"/>
  <c r="N64" i="37"/>
  <c r="O64" i="37"/>
  <c r="P64" i="37"/>
  <c r="Q64" i="37"/>
  <c r="R64" i="37"/>
  <c r="S64" i="37"/>
  <c r="T64" i="37"/>
  <c r="U64" i="37"/>
  <c r="V64" i="37"/>
  <c r="W64" i="37"/>
  <c r="X64" i="37"/>
  <c r="Y64" i="37"/>
  <c r="Z64" i="37"/>
  <c r="AA64" i="37"/>
  <c r="AB64" i="37"/>
  <c r="AC64" i="37"/>
  <c r="AD64" i="37"/>
  <c r="AE64" i="37"/>
  <c r="AF64" i="37"/>
  <c r="AG64" i="37"/>
  <c r="AH64" i="37"/>
  <c r="AI64" i="37"/>
  <c r="AJ64" i="37"/>
  <c r="AK64" i="37"/>
  <c r="AL64" i="37"/>
  <c r="AM64" i="37"/>
  <c r="AN64" i="37"/>
  <c r="AO64" i="37"/>
  <c r="AQ64" i="37"/>
  <c r="J65" i="37"/>
  <c r="L65" i="37"/>
  <c r="M65" i="37"/>
  <c r="N65" i="37"/>
  <c r="O65" i="37"/>
  <c r="P65" i="37"/>
  <c r="Q65" i="37"/>
  <c r="R65" i="37"/>
  <c r="S65" i="37"/>
  <c r="T65" i="37"/>
  <c r="U65" i="37"/>
  <c r="V65" i="37"/>
  <c r="W65" i="37"/>
  <c r="X65" i="37"/>
  <c r="Y65" i="37"/>
  <c r="Z65" i="37"/>
  <c r="AA65" i="37"/>
  <c r="AB65" i="37"/>
  <c r="AC65" i="37"/>
  <c r="AD65" i="37"/>
  <c r="AE65" i="37"/>
  <c r="AF65" i="37"/>
  <c r="AG65" i="37"/>
  <c r="AH65" i="37"/>
  <c r="AI65" i="37"/>
  <c r="AJ65" i="37"/>
  <c r="AK65" i="37"/>
  <c r="AL65" i="37"/>
  <c r="AM65" i="37"/>
  <c r="AN65" i="37"/>
  <c r="AO65" i="37"/>
  <c r="AQ65" i="37"/>
  <c r="J66" i="37"/>
  <c r="L66" i="37"/>
  <c r="M66" i="37"/>
  <c r="N66" i="37"/>
  <c r="O66" i="37"/>
  <c r="P66" i="37"/>
  <c r="Q66" i="37"/>
  <c r="R66" i="37"/>
  <c r="S66" i="37"/>
  <c r="T66" i="37"/>
  <c r="U66" i="37"/>
  <c r="V66" i="37"/>
  <c r="W66" i="37"/>
  <c r="X66" i="37"/>
  <c r="Y66" i="37"/>
  <c r="Z66" i="37"/>
  <c r="AA66" i="37"/>
  <c r="AB66" i="37"/>
  <c r="AC66" i="37"/>
  <c r="AD66" i="37"/>
  <c r="AE66" i="37"/>
  <c r="AF66" i="37"/>
  <c r="AG66" i="37"/>
  <c r="AH66" i="37"/>
  <c r="AI66" i="37"/>
  <c r="AJ66" i="37"/>
  <c r="AK66" i="37"/>
  <c r="AL66" i="37"/>
  <c r="AM66" i="37"/>
  <c r="AN66" i="37"/>
  <c r="AO66" i="37"/>
  <c r="AQ66" i="37"/>
  <c r="J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X67" i="37"/>
  <c r="Y67" i="37"/>
  <c r="Z67" i="37"/>
  <c r="AA67" i="37"/>
  <c r="AB67" i="37"/>
  <c r="AC67" i="37"/>
  <c r="AD67" i="37"/>
  <c r="AE67" i="37"/>
  <c r="AF67" i="37"/>
  <c r="AG67" i="37"/>
  <c r="AH67" i="37"/>
  <c r="AI67" i="37"/>
  <c r="AJ67" i="37"/>
  <c r="AK67" i="37"/>
  <c r="AL67" i="37"/>
  <c r="AM67" i="37"/>
  <c r="AN67" i="37"/>
  <c r="AO67" i="37"/>
  <c r="AQ67" i="37"/>
  <c r="E69" i="37"/>
  <c r="G69" i="37"/>
  <c r="I69" i="37"/>
  <c r="J69" i="37"/>
  <c r="K69" i="37"/>
  <c r="L69" i="37"/>
  <c r="M69" i="37"/>
  <c r="N69" i="37"/>
  <c r="O69" i="37"/>
  <c r="P69" i="37"/>
  <c r="Q69" i="37"/>
  <c r="R69" i="37"/>
  <c r="S69" i="37"/>
  <c r="T69" i="37"/>
  <c r="U69" i="37"/>
  <c r="V69" i="37"/>
  <c r="W69" i="37"/>
  <c r="X69" i="37"/>
  <c r="Y69" i="37"/>
  <c r="Z69" i="37"/>
  <c r="AA69" i="37"/>
  <c r="AB69" i="37"/>
  <c r="AC69" i="37"/>
  <c r="AD69" i="37"/>
  <c r="AE69" i="37"/>
  <c r="AF69" i="37"/>
  <c r="AG69" i="37"/>
  <c r="AH69" i="37"/>
  <c r="AI69" i="37"/>
  <c r="AJ69" i="37"/>
  <c r="AK69" i="37"/>
  <c r="AL69" i="37"/>
  <c r="AM69" i="37"/>
  <c r="AN69" i="37"/>
  <c r="AO69" i="37"/>
  <c r="AQ69" i="37"/>
  <c r="J71" i="37"/>
  <c r="L71" i="37"/>
  <c r="M71" i="37"/>
  <c r="N71" i="37"/>
  <c r="O71" i="37"/>
  <c r="P71" i="37"/>
  <c r="Q71" i="37"/>
  <c r="R71" i="37"/>
  <c r="S71" i="37"/>
  <c r="T71" i="37"/>
  <c r="U71" i="37"/>
  <c r="V71" i="37"/>
  <c r="W71" i="37"/>
  <c r="X71" i="37"/>
  <c r="Y71" i="37"/>
  <c r="Z71" i="37"/>
  <c r="AA71" i="37"/>
  <c r="AB71" i="37"/>
  <c r="AC71" i="37"/>
  <c r="AD71" i="37"/>
  <c r="AE71" i="37"/>
  <c r="AF71" i="37"/>
  <c r="AG71" i="37"/>
  <c r="AH71" i="37"/>
  <c r="AI71" i="37"/>
  <c r="AJ71" i="37"/>
  <c r="AK71" i="37"/>
  <c r="AL71" i="37"/>
  <c r="AM71" i="37"/>
  <c r="AN71" i="37"/>
  <c r="AO71" i="37"/>
  <c r="AQ71" i="37"/>
  <c r="J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AI73" i="37"/>
  <c r="AJ73" i="37"/>
  <c r="AK73" i="37"/>
  <c r="AL73" i="37"/>
  <c r="AM73" i="37"/>
  <c r="AN73" i="37"/>
  <c r="AO73" i="37"/>
  <c r="AQ73" i="37"/>
  <c r="J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AI75" i="37"/>
  <c r="AJ75" i="37"/>
  <c r="AK75" i="37"/>
  <c r="AL75" i="37"/>
  <c r="AM75" i="37"/>
  <c r="AN75" i="37"/>
  <c r="AO75" i="37"/>
  <c r="AQ75" i="37"/>
  <c r="J77" i="37"/>
  <c r="L77" i="37"/>
  <c r="M77" i="37"/>
  <c r="N77" i="37"/>
  <c r="O77" i="37"/>
  <c r="P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AD77" i="37"/>
  <c r="AE77" i="37"/>
  <c r="AF77" i="37"/>
  <c r="AG77" i="37"/>
  <c r="AH77" i="37"/>
  <c r="AI77" i="37"/>
  <c r="AJ77" i="37"/>
  <c r="AK77" i="37"/>
  <c r="AL77" i="37"/>
  <c r="AM77" i="37"/>
  <c r="AN77" i="37"/>
  <c r="AO77" i="37"/>
  <c r="AQ77" i="37"/>
  <c r="J79" i="37"/>
  <c r="L79" i="37"/>
  <c r="M79" i="37"/>
  <c r="N79" i="37"/>
  <c r="O79" i="37"/>
  <c r="P79" i="37"/>
  <c r="Q79" i="37"/>
  <c r="R79" i="37"/>
  <c r="S79" i="37"/>
  <c r="T79" i="37"/>
  <c r="U79" i="37"/>
  <c r="V79" i="37"/>
  <c r="W79" i="37"/>
  <c r="X79" i="37"/>
  <c r="Y79" i="37"/>
  <c r="Z79" i="37"/>
  <c r="AA79" i="37"/>
  <c r="AB79" i="37"/>
  <c r="AC79" i="37"/>
  <c r="AD79" i="37"/>
  <c r="AE79" i="37"/>
  <c r="AF79" i="37"/>
  <c r="AG79" i="37"/>
  <c r="AH79" i="37"/>
  <c r="AI79" i="37"/>
  <c r="AJ79" i="37"/>
  <c r="AK79" i="37"/>
  <c r="AL79" i="37"/>
  <c r="AM79" i="37"/>
  <c r="AN79" i="37"/>
  <c r="AO79" i="37"/>
  <c r="AQ79" i="37"/>
  <c r="J81" i="37"/>
  <c r="L81" i="37"/>
  <c r="M81" i="37"/>
  <c r="N81" i="37"/>
  <c r="O81" i="37"/>
  <c r="P81" i="37"/>
  <c r="Q81" i="37"/>
  <c r="R81" i="37"/>
  <c r="S81" i="37"/>
  <c r="T81" i="37"/>
  <c r="U81" i="37"/>
  <c r="V81" i="37"/>
  <c r="W81" i="37"/>
  <c r="X81" i="37"/>
  <c r="Y81" i="37"/>
  <c r="Z81" i="37"/>
  <c r="AA81" i="37"/>
  <c r="AB81" i="37"/>
  <c r="AC81" i="37"/>
  <c r="AD81" i="37"/>
  <c r="AE81" i="37"/>
  <c r="AF81" i="37"/>
  <c r="AG81" i="37"/>
  <c r="AH81" i="37"/>
  <c r="AI81" i="37"/>
  <c r="AJ81" i="37"/>
  <c r="AK81" i="37"/>
  <c r="AL81" i="37"/>
  <c r="AM81" i="37"/>
  <c r="AN81" i="37"/>
  <c r="AO81" i="37"/>
  <c r="AQ81" i="37"/>
  <c r="AQ82" i="37"/>
  <c r="E83" i="37"/>
  <c r="G83" i="37"/>
  <c r="I83" i="37"/>
  <c r="J83" i="37"/>
  <c r="K83" i="37"/>
  <c r="L83" i="37"/>
  <c r="M83" i="37"/>
  <c r="N83" i="37"/>
  <c r="O83" i="37"/>
  <c r="P83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AD83" i="37"/>
  <c r="AE83" i="37"/>
  <c r="AF83" i="37"/>
  <c r="AG83" i="37"/>
  <c r="AH83" i="37"/>
  <c r="AI83" i="37"/>
  <c r="AJ83" i="37"/>
  <c r="AK83" i="37"/>
  <c r="AL83" i="37"/>
  <c r="AM83" i="37"/>
  <c r="AN83" i="37"/>
  <c r="AO83" i="37"/>
  <c r="AQ83" i="37"/>
  <c r="E86" i="37"/>
  <c r="G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AF86" i="37"/>
  <c r="AG86" i="37"/>
  <c r="AH86" i="37"/>
  <c r="AI86" i="37"/>
  <c r="AJ86" i="37"/>
  <c r="AK86" i="37"/>
  <c r="AL86" i="37"/>
  <c r="AM86" i="37"/>
  <c r="AN86" i="37"/>
  <c r="AO86" i="37"/>
  <c r="AQ86" i="37"/>
  <c r="E92" i="37"/>
  <c r="G92" i="37"/>
  <c r="I92" i="37"/>
  <c r="J92" i="37"/>
  <c r="K92" i="37"/>
  <c r="L92" i="37"/>
  <c r="M92" i="37"/>
  <c r="N92" i="37"/>
  <c r="O92" i="37"/>
  <c r="P92" i="37"/>
  <c r="Q92" i="37"/>
  <c r="R92" i="37"/>
  <c r="S92" i="37"/>
  <c r="T92" i="37"/>
  <c r="U92" i="37"/>
  <c r="V92" i="37"/>
  <c r="W92" i="37"/>
  <c r="X92" i="37"/>
  <c r="Y92" i="37"/>
  <c r="Z92" i="37"/>
  <c r="AA92" i="37"/>
  <c r="AB92" i="37"/>
  <c r="AC92" i="37"/>
  <c r="AD92" i="37"/>
  <c r="AE92" i="37"/>
  <c r="AF92" i="37"/>
  <c r="AG92" i="37"/>
  <c r="AH92" i="37"/>
  <c r="AI92" i="37"/>
  <c r="AJ92" i="37"/>
  <c r="AK92" i="37"/>
  <c r="AL92" i="37"/>
  <c r="AM92" i="37"/>
  <c r="AN92" i="37"/>
  <c r="AO92" i="37"/>
  <c r="AQ92" i="37"/>
  <c r="E93" i="37"/>
  <c r="G93" i="37"/>
  <c r="I93" i="37"/>
  <c r="J93" i="37"/>
  <c r="K93" i="37"/>
  <c r="L93" i="37"/>
  <c r="M93" i="37"/>
  <c r="N93" i="37"/>
  <c r="O93" i="37"/>
  <c r="P93" i="37"/>
  <c r="Q93" i="37"/>
  <c r="R93" i="37"/>
  <c r="S93" i="37"/>
  <c r="T93" i="37"/>
  <c r="U93" i="37"/>
  <c r="V93" i="37"/>
  <c r="W93" i="37"/>
  <c r="X93" i="37"/>
  <c r="Y93" i="37"/>
  <c r="Z93" i="37"/>
  <c r="AA93" i="37"/>
  <c r="AB93" i="37"/>
  <c r="AC93" i="37"/>
  <c r="AD93" i="37"/>
  <c r="AE93" i="37"/>
  <c r="AF93" i="37"/>
  <c r="AG93" i="37"/>
  <c r="AH93" i="37"/>
  <c r="AI93" i="37"/>
  <c r="AJ93" i="37"/>
  <c r="AK93" i="37"/>
  <c r="AL93" i="37"/>
  <c r="AM93" i="37"/>
  <c r="AN93" i="37"/>
  <c r="AO93" i="37"/>
  <c r="AQ93" i="37"/>
  <c r="E94" i="37"/>
  <c r="G94" i="37"/>
  <c r="I94" i="37"/>
  <c r="J94" i="37"/>
  <c r="K94" i="37"/>
  <c r="L94" i="37"/>
  <c r="M94" i="37"/>
  <c r="N94" i="37"/>
  <c r="O94" i="37"/>
  <c r="P94" i="37"/>
  <c r="Q94" i="37"/>
  <c r="R94" i="37"/>
  <c r="S94" i="37"/>
  <c r="T94" i="37"/>
  <c r="U94" i="37"/>
  <c r="V94" i="37"/>
  <c r="W94" i="37"/>
  <c r="X94" i="37"/>
  <c r="Y94" i="37"/>
  <c r="Z94" i="37"/>
  <c r="AA94" i="37"/>
  <c r="AB94" i="37"/>
  <c r="AC94" i="37"/>
  <c r="AD94" i="37"/>
  <c r="AE94" i="37"/>
  <c r="AF94" i="37"/>
  <c r="AG94" i="37"/>
  <c r="AH94" i="37"/>
  <c r="AI94" i="37"/>
  <c r="AJ94" i="37"/>
  <c r="AK94" i="37"/>
  <c r="AL94" i="37"/>
  <c r="AM94" i="37"/>
  <c r="AN94" i="37"/>
  <c r="AO94" i="37"/>
  <c r="AQ94" i="37"/>
  <c r="E95" i="37"/>
  <c r="G95" i="37"/>
  <c r="I95" i="37"/>
  <c r="J95" i="37"/>
  <c r="K95" i="37"/>
  <c r="L95" i="37"/>
  <c r="M95" i="37"/>
  <c r="N95" i="37"/>
  <c r="O95" i="37"/>
  <c r="P95" i="37"/>
  <c r="Q95" i="37"/>
  <c r="R95" i="37"/>
  <c r="S95" i="37"/>
  <c r="T95" i="37"/>
  <c r="U95" i="37"/>
  <c r="V95" i="37"/>
  <c r="W95" i="37"/>
  <c r="X95" i="37"/>
  <c r="Y95" i="37"/>
  <c r="Z95" i="37"/>
  <c r="AA95" i="37"/>
  <c r="AB95" i="37"/>
  <c r="AC95" i="37"/>
  <c r="AD95" i="37"/>
  <c r="AE95" i="37"/>
  <c r="AF95" i="37"/>
  <c r="AG95" i="37"/>
  <c r="AH95" i="37"/>
  <c r="AI95" i="37"/>
  <c r="AJ95" i="37"/>
  <c r="AK95" i="37"/>
  <c r="AL95" i="37"/>
  <c r="AM95" i="37"/>
  <c r="AN95" i="37"/>
  <c r="AO95" i="37"/>
  <c r="AQ95" i="37"/>
  <c r="E96" i="37"/>
  <c r="G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AF96" i="37"/>
  <c r="AG96" i="37"/>
  <c r="AH96" i="37"/>
  <c r="AI96" i="37"/>
  <c r="AJ96" i="37"/>
  <c r="AK96" i="37"/>
  <c r="AL96" i="37"/>
  <c r="AM96" i="37"/>
  <c r="AN96" i="37"/>
  <c r="AO96" i="37"/>
  <c r="AQ96" i="37"/>
  <c r="E97" i="37"/>
  <c r="G97" i="37"/>
  <c r="I97" i="37"/>
  <c r="J97" i="37"/>
  <c r="K97" i="37"/>
  <c r="L97" i="37"/>
  <c r="M97" i="37"/>
  <c r="N97" i="37"/>
  <c r="O97" i="37"/>
  <c r="P97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AF97" i="37"/>
  <c r="AG97" i="37"/>
  <c r="AH97" i="37"/>
  <c r="AI97" i="37"/>
  <c r="AJ97" i="37"/>
  <c r="AK97" i="37"/>
  <c r="AL97" i="37"/>
  <c r="AM97" i="37"/>
  <c r="AN97" i="37"/>
  <c r="AO97" i="37"/>
  <c r="AQ97" i="37"/>
  <c r="E98" i="37"/>
  <c r="G98" i="37"/>
  <c r="I98" i="37"/>
  <c r="J98" i="37"/>
  <c r="K98" i="37"/>
  <c r="L98" i="37"/>
  <c r="M98" i="37"/>
  <c r="N98" i="37"/>
  <c r="O98" i="37"/>
  <c r="P98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AF98" i="37"/>
  <c r="AG98" i="37"/>
  <c r="AH98" i="37"/>
  <c r="AI98" i="37"/>
  <c r="AJ98" i="37"/>
  <c r="AK98" i="37"/>
  <c r="AL98" i="37"/>
  <c r="AM98" i="37"/>
  <c r="AN98" i="37"/>
  <c r="AO98" i="37"/>
  <c r="AQ98" i="37"/>
  <c r="E99" i="37"/>
  <c r="G99" i="37"/>
  <c r="I99" i="37"/>
  <c r="J99" i="37"/>
  <c r="K99" i="37"/>
  <c r="L99" i="37"/>
  <c r="M99" i="37"/>
  <c r="N99" i="37"/>
  <c r="O99" i="37"/>
  <c r="P99" i="37"/>
  <c r="Q99" i="37"/>
  <c r="R99" i="37"/>
  <c r="S99" i="37"/>
  <c r="T99" i="37"/>
  <c r="U99" i="37"/>
  <c r="V99" i="37"/>
  <c r="W99" i="37"/>
  <c r="X99" i="37"/>
  <c r="Y99" i="37"/>
  <c r="Z99" i="37"/>
  <c r="AA99" i="37"/>
  <c r="AB99" i="37"/>
  <c r="AC99" i="37"/>
  <c r="AD99" i="37"/>
  <c r="AE99" i="37"/>
  <c r="AF99" i="37"/>
  <c r="AG99" i="37"/>
  <c r="AH99" i="37"/>
  <c r="AI99" i="37"/>
  <c r="AJ99" i="37"/>
  <c r="AK99" i="37"/>
  <c r="AL99" i="37"/>
  <c r="AM99" i="37"/>
  <c r="AN99" i="37"/>
  <c r="AO99" i="37"/>
  <c r="AQ99" i="37"/>
  <c r="E100" i="37"/>
  <c r="G100" i="37"/>
  <c r="I100" i="37"/>
  <c r="J100" i="37"/>
  <c r="K100" i="37"/>
  <c r="L100" i="37"/>
  <c r="M100" i="37"/>
  <c r="N100" i="37"/>
  <c r="O100" i="37"/>
  <c r="P100" i="37"/>
  <c r="Q100" i="37"/>
  <c r="R100" i="37"/>
  <c r="S100" i="37"/>
  <c r="T100" i="37"/>
  <c r="U100" i="37"/>
  <c r="V100" i="37"/>
  <c r="W100" i="37"/>
  <c r="X100" i="37"/>
  <c r="Y100" i="37"/>
  <c r="Z100" i="37"/>
  <c r="AA100" i="37"/>
  <c r="AB100" i="37"/>
  <c r="AC100" i="37"/>
  <c r="AD100" i="37"/>
  <c r="AE100" i="37"/>
  <c r="AF100" i="37"/>
  <c r="AG100" i="37"/>
  <c r="AH100" i="37"/>
  <c r="AI100" i="37"/>
  <c r="AJ100" i="37"/>
  <c r="AK100" i="37"/>
  <c r="AL100" i="37"/>
  <c r="AM100" i="37"/>
  <c r="AN100" i="37"/>
  <c r="AO100" i="37"/>
  <c r="AQ100" i="37"/>
  <c r="E102" i="37"/>
  <c r="G102" i="37"/>
  <c r="I102" i="37"/>
  <c r="J102" i="37"/>
  <c r="K102" i="37"/>
  <c r="L102" i="37"/>
  <c r="M102" i="37"/>
  <c r="N102" i="37"/>
  <c r="O102" i="37"/>
  <c r="P102" i="37"/>
  <c r="Q102" i="37"/>
  <c r="R102" i="37"/>
  <c r="S102" i="37"/>
  <c r="T102" i="37"/>
  <c r="U102" i="37"/>
  <c r="V102" i="37"/>
  <c r="W102" i="37"/>
  <c r="X102" i="37"/>
  <c r="Y102" i="37"/>
  <c r="Z102" i="37"/>
  <c r="AA102" i="37"/>
  <c r="AB102" i="37"/>
  <c r="AC102" i="37"/>
  <c r="AD102" i="37"/>
  <c r="AE102" i="37"/>
  <c r="AF102" i="37"/>
  <c r="AG102" i="37"/>
  <c r="AH102" i="37"/>
  <c r="AI102" i="37"/>
  <c r="AJ102" i="37"/>
  <c r="AK102" i="37"/>
  <c r="AL102" i="37"/>
  <c r="AM102" i="37"/>
  <c r="AN102" i="37"/>
  <c r="AO102" i="37"/>
  <c r="AQ102" i="37"/>
  <c r="K106" i="37"/>
  <c r="L106" i="37"/>
  <c r="M106" i="37"/>
  <c r="N106" i="37"/>
  <c r="O106" i="37"/>
  <c r="P106" i="37"/>
  <c r="Q106" i="37"/>
  <c r="R106" i="37"/>
  <c r="S106" i="37"/>
  <c r="T106" i="37"/>
  <c r="U106" i="37"/>
  <c r="V106" i="37"/>
  <c r="W106" i="37"/>
  <c r="X106" i="37"/>
  <c r="Y106" i="37"/>
  <c r="Z106" i="37"/>
  <c r="AA106" i="37"/>
  <c r="AB106" i="37"/>
  <c r="AC106" i="37"/>
  <c r="AD106" i="37"/>
  <c r="AE106" i="37"/>
  <c r="AF106" i="37"/>
  <c r="AG106" i="37"/>
  <c r="AH106" i="37"/>
  <c r="AI106" i="37"/>
  <c r="AJ106" i="37"/>
  <c r="AK106" i="37"/>
  <c r="AL106" i="37"/>
  <c r="AM106" i="37"/>
  <c r="AN106" i="37"/>
  <c r="AO106" i="37"/>
  <c r="I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AI108" i="37"/>
  <c r="AJ108" i="37"/>
  <c r="AK108" i="37"/>
  <c r="AL108" i="37"/>
  <c r="AM108" i="37"/>
  <c r="AN108" i="37"/>
  <c r="AQ108" i="37"/>
  <c r="I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AI109" i="37"/>
  <c r="AJ109" i="37"/>
  <c r="AK109" i="37"/>
  <c r="AL109" i="37"/>
  <c r="AM109" i="37"/>
  <c r="AN109" i="37"/>
  <c r="AQ109" i="37"/>
  <c r="I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AI110" i="37"/>
  <c r="AJ110" i="37"/>
  <c r="AK110" i="37"/>
  <c r="AL110" i="37"/>
  <c r="AM110" i="37"/>
  <c r="AN110" i="37"/>
  <c r="AQ110" i="37"/>
  <c r="I111" i="37"/>
  <c r="K111" i="37"/>
  <c r="L111" i="37"/>
  <c r="M111" i="37"/>
  <c r="N111" i="37"/>
  <c r="O111" i="37"/>
  <c r="P111" i="37"/>
  <c r="Q111" i="37"/>
  <c r="R111" i="37"/>
  <c r="S111" i="37"/>
  <c r="T111" i="37"/>
  <c r="U111" i="37"/>
  <c r="V111" i="37"/>
  <c r="W111" i="37"/>
  <c r="X111" i="37"/>
  <c r="Y111" i="37"/>
  <c r="Z111" i="37"/>
  <c r="AA111" i="37"/>
  <c r="AB111" i="37"/>
  <c r="AC111" i="37"/>
  <c r="AD111" i="37"/>
  <c r="AE111" i="37"/>
  <c r="AF111" i="37"/>
  <c r="AG111" i="37"/>
  <c r="AH111" i="37"/>
  <c r="AI111" i="37"/>
  <c r="AJ111" i="37"/>
  <c r="AK111" i="37"/>
  <c r="AL111" i="37"/>
  <c r="AM111" i="37"/>
  <c r="AN111" i="37"/>
  <c r="AQ111" i="37"/>
  <c r="I112" i="37"/>
  <c r="K112" i="37"/>
  <c r="L112" i="37"/>
  <c r="M112" i="37"/>
  <c r="N112" i="37"/>
  <c r="O112" i="37"/>
  <c r="P112" i="37"/>
  <c r="Q112" i="37"/>
  <c r="R112" i="37"/>
  <c r="S112" i="37"/>
  <c r="T112" i="37"/>
  <c r="U112" i="37"/>
  <c r="V112" i="37"/>
  <c r="W112" i="37"/>
  <c r="X112" i="37"/>
  <c r="Y112" i="37"/>
  <c r="Z112" i="37"/>
  <c r="AA112" i="37"/>
  <c r="AB112" i="37"/>
  <c r="AC112" i="37"/>
  <c r="AD112" i="37"/>
  <c r="AE112" i="37"/>
  <c r="AF112" i="37"/>
  <c r="AG112" i="37"/>
  <c r="AH112" i="37"/>
  <c r="AI112" i="37"/>
  <c r="AJ112" i="37"/>
  <c r="AK112" i="37"/>
  <c r="AL112" i="37"/>
  <c r="AM112" i="37"/>
  <c r="AN112" i="37"/>
  <c r="AQ112" i="37"/>
  <c r="I113" i="37"/>
  <c r="K113" i="37"/>
  <c r="L113" i="37"/>
  <c r="M113" i="37"/>
  <c r="N113" i="37"/>
  <c r="O113" i="37"/>
  <c r="P113" i="37"/>
  <c r="Q113" i="37"/>
  <c r="R113" i="37"/>
  <c r="S113" i="37"/>
  <c r="T113" i="37"/>
  <c r="U113" i="37"/>
  <c r="V113" i="37"/>
  <c r="W113" i="37"/>
  <c r="X113" i="37"/>
  <c r="Y113" i="37"/>
  <c r="Z113" i="37"/>
  <c r="AA113" i="37"/>
  <c r="AB113" i="37"/>
  <c r="AC113" i="37"/>
  <c r="AD113" i="37"/>
  <c r="AE113" i="37"/>
  <c r="AF113" i="37"/>
  <c r="AG113" i="37"/>
  <c r="AH113" i="37"/>
  <c r="AI113" i="37"/>
  <c r="AJ113" i="37"/>
  <c r="AK113" i="37"/>
  <c r="AL113" i="37"/>
  <c r="AM113" i="37"/>
  <c r="AN113" i="37"/>
  <c r="AQ113" i="37"/>
  <c r="I114" i="37"/>
  <c r="K114" i="37"/>
  <c r="L114" i="37"/>
  <c r="M114" i="37"/>
  <c r="N114" i="37"/>
  <c r="O114" i="37"/>
  <c r="P114" i="37"/>
  <c r="Q114" i="37"/>
  <c r="R114" i="37"/>
  <c r="S114" i="37"/>
  <c r="T114" i="37"/>
  <c r="U114" i="37"/>
  <c r="V114" i="37"/>
  <c r="W114" i="37"/>
  <c r="X114" i="37"/>
  <c r="Y114" i="37"/>
  <c r="Z114" i="37"/>
  <c r="AA114" i="37"/>
  <c r="AB114" i="37"/>
  <c r="AC114" i="37"/>
  <c r="AD114" i="37"/>
  <c r="AE114" i="37"/>
  <c r="AF114" i="37"/>
  <c r="AG114" i="37"/>
  <c r="AH114" i="37"/>
  <c r="AI114" i="37"/>
  <c r="AJ114" i="37"/>
  <c r="AK114" i="37"/>
  <c r="AL114" i="37"/>
  <c r="AM114" i="37"/>
  <c r="AN114" i="37"/>
  <c r="AQ114" i="37"/>
  <c r="I115" i="37"/>
  <c r="K115" i="37"/>
  <c r="L115" i="37"/>
  <c r="M115" i="37"/>
  <c r="N115" i="37"/>
  <c r="O115" i="37"/>
  <c r="P115" i="37"/>
  <c r="Q115" i="37"/>
  <c r="R115" i="37"/>
  <c r="S115" i="37"/>
  <c r="T115" i="37"/>
  <c r="U115" i="37"/>
  <c r="V115" i="37"/>
  <c r="W115" i="37"/>
  <c r="X115" i="37"/>
  <c r="Y115" i="37"/>
  <c r="Z115" i="37"/>
  <c r="AA115" i="37"/>
  <c r="AB115" i="37"/>
  <c r="AC115" i="37"/>
  <c r="AD115" i="37"/>
  <c r="AE115" i="37"/>
  <c r="AF115" i="37"/>
  <c r="AG115" i="37"/>
  <c r="AH115" i="37"/>
  <c r="AI115" i="37"/>
  <c r="AJ115" i="37"/>
  <c r="AK115" i="37"/>
  <c r="AL115" i="37"/>
  <c r="AM115" i="37"/>
  <c r="AN115" i="37"/>
  <c r="AQ115" i="37"/>
  <c r="I116" i="37"/>
  <c r="K116" i="37"/>
  <c r="L116" i="37"/>
  <c r="M116" i="37"/>
  <c r="N116" i="37"/>
  <c r="O116" i="37"/>
  <c r="P116" i="37"/>
  <c r="Q116" i="37"/>
  <c r="R116" i="37"/>
  <c r="S116" i="37"/>
  <c r="T116" i="37"/>
  <c r="U116" i="37"/>
  <c r="V116" i="37"/>
  <c r="W116" i="37"/>
  <c r="X116" i="37"/>
  <c r="Y116" i="37"/>
  <c r="Z116" i="37"/>
  <c r="AA116" i="37"/>
  <c r="AB116" i="37"/>
  <c r="AC116" i="37"/>
  <c r="AD116" i="37"/>
  <c r="AQ116" i="37"/>
  <c r="I118" i="37"/>
  <c r="K118" i="37"/>
  <c r="L118" i="37"/>
  <c r="M118" i="37"/>
  <c r="N118" i="37"/>
  <c r="O118" i="37"/>
  <c r="P118" i="37"/>
  <c r="Q118" i="37"/>
  <c r="R118" i="37"/>
  <c r="S118" i="37"/>
  <c r="T118" i="37"/>
  <c r="U118" i="37"/>
  <c r="V118" i="37"/>
  <c r="W118" i="37"/>
  <c r="X118" i="37"/>
  <c r="Y118" i="37"/>
  <c r="Z118" i="37"/>
  <c r="AA118" i="37"/>
  <c r="AB118" i="37"/>
  <c r="AC118" i="37"/>
  <c r="AD118" i="37"/>
  <c r="AE118" i="37"/>
  <c r="AF118" i="37"/>
  <c r="AG118" i="37"/>
  <c r="AH118" i="37"/>
  <c r="AI118" i="37"/>
  <c r="AJ118" i="37"/>
  <c r="AK118" i="37"/>
  <c r="AL118" i="37"/>
  <c r="AM118" i="37"/>
  <c r="AN118" i="37"/>
  <c r="AO118" i="37"/>
  <c r="AQ118" i="37"/>
  <c r="I121" i="37"/>
  <c r="L121" i="37"/>
  <c r="M121" i="37"/>
  <c r="N121" i="37"/>
  <c r="O121" i="37"/>
  <c r="P121" i="37"/>
  <c r="Q121" i="37"/>
  <c r="R121" i="37"/>
  <c r="S121" i="37"/>
  <c r="T121" i="37"/>
  <c r="U121" i="37"/>
  <c r="V121" i="37"/>
  <c r="W121" i="37"/>
  <c r="X121" i="37"/>
  <c r="Y121" i="37"/>
  <c r="Z121" i="37"/>
  <c r="AA121" i="37"/>
  <c r="AB121" i="37"/>
  <c r="AC121" i="37"/>
  <c r="AD121" i="37"/>
  <c r="AE121" i="37"/>
  <c r="AF121" i="37"/>
  <c r="AG121" i="37"/>
  <c r="AH121" i="37"/>
  <c r="AI121" i="37"/>
  <c r="AJ121" i="37"/>
  <c r="AK121" i="37"/>
  <c r="AL121" i="37"/>
  <c r="AM121" i="37"/>
  <c r="AN121" i="37"/>
  <c r="AO121" i="37"/>
  <c r="AQ121" i="37"/>
  <c r="I122" i="37"/>
  <c r="L122" i="37"/>
  <c r="M122" i="37"/>
  <c r="N122" i="37"/>
  <c r="O122" i="37"/>
  <c r="P122" i="37"/>
  <c r="Q122" i="37"/>
  <c r="R122" i="37"/>
  <c r="S122" i="37"/>
  <c r="T122" i="37"/>
  <c r="U122" i="37"/>
  <c r="V122" i="37"/>
  <c r="W122" i="37"/>
  <c r="X122" i="37"/>
  <c r="Y122" i="37"/>
  <c r="Z122" i="37"/>
  <c r="AA122" i="37"/>
  <c r="AB122" i="37"/>
  <c r="AC122" i="37"/>
  <c r="AD122" i="37"/>
  <c r="AE122" i="37"/>
  <c r="AF122" i="37"/>
  <c r="AG122" i="37"/>
  <c r="AH122" i="37"/>
  <c r="AI122" i="37"/>
  <c r="AJ122" i="37"/>
  <c r="AK122" i="37"/>
  <c r="AL122" i="37"/>
  <c r="AM122" i="37"/>
  <c r="AN122" i="37"/>
  <c r="AO122" i="37"/>
  <c r="AQ122" i="37"/>
  <c r="I123" i="37"/>
  <c r="L123" i="37"/>
  <c r="M123" i="37"/>
  <c r="N123" i="37"/>
  <c r="O123" i="37"/>
  <c r="P123" i="37"/>
  <c r="Q123" i="37"/>
  <c r="R123" i="37"/>
  <c r="S123" i="37"/>
  <c r="T123" i="37"/>
  <c r="U123" i="37"/>
  <c r="V123" i="37"/>
  <c r="W123" i="37"/>
  <c r="X123" i="37"/>
  <c r="Y123" i="37"/>
  <c r="Z123" i="37"/>
  <c r="AA123" i="37"/>
  <c r="AB123" i="37"/>
  <c r="AC123" i="37"/>
  <c r="AD123" i="37"/>
  <c r="AE123" i="37"/>
  <c r="AF123" i="37"/>
  <c r="AG123" i="37"/>
  <c r="AH123" i="37"/>
  <c r="AI123" i="37"/>
  <c r="AJ123" i="37"/>
  <c r="AK123" i="37"/>
  <c r="AL123" i="37"/>
  <c r="AM123" i="37"/>
  <c r="AN123" i="37"/>
  <c r="AO123" i="37"/>
  <c r="AQ123" i="37"/>
  <c r="I124" i="37"/>
  <c r="L124" i="37"/>
  <c r="M124" i="37"/>
  <c r="N124" i="37"/>
  <c r="O124" i="37"/>
  <c r="P124" i="37"/>
  <c r="Q124" i="37"/>
  <c r="R124" i="37"/>
  <c r="S124" i="37"/>
  <c r="T124" i="37"/>
  <c r="U124" i="37"/>
  <c r="V124" i="37"/>
  <c r="W124" i="37"/>
  <c r="X124" i="37"/>
  <c r="Y124" i="37"/>
  <c r="Z124" i="37"/>
  <c r="AA124" i="37"/>
  <c r="AB124" i="37"/>
  <c r="AC124" i="37"/>
  <c r="AD124" i="37"/>
  <c r="AE124" i="37"/>
  <c r="AF124" i="37"/>
  <c r="AG124" i="37"/>
  <c r="AH124" i="37"/>
  <c r="AI124" i="37"/>
  <c r="AJ124" i="37"/>
  <c r="AK124" i="37"/>
  <c r="AL124" i="37"/>
  <c r="AM124" i="37"/>
  <c r="AN124" i="37"/>
  <c r="AO124" i="37"/>
  <c r="AQ124" i="37"/>
  <c r="I125" i="37"/>
  <c r="L125" i="37"/>
  <c r="M125" i="37"/>
  <c r="N125" i="37"/>
  <c r="O125" i="37"/>
  <c r="P125" i="37"/>
  <c r="Q125" i="37"/>
  <c r="R125" i="37"/>
  <c r="S125" i="37"/>
  <c r="T125" i="37"/>
  <c r="U125" i="37"/>
  <c r="V125" i="37"/>
  <c r="W125" i="37"/>
  <c r="X125" i="37"/>
  <c r="Y125" i="37"/>
  <c r="Z125" i="37"/>
  <c r="AA125" i="37"/>
  <c r="AB125" i="37"/>
  <c r="AC125" i="37"/>
  <c r="AD125" i="37"/>
  <c r="AE125" i="37"/>
  <c r="AF125" i="37"/>
  <c r="AG125" i="37"/>
  <c r="AH125" i="37"/>
  <c r="AI125" i="37"/>
  <c r="AJ125" i="37"/>
  <c r="AK125" i="37"/>
  <c r="AL125" i="37"/>
  <c r="AM125" i="37"/>
  <c r="AN125" i="37"/>
  <c r="AO125" i="37"/>
  <c r="AQ125" i="37"/>
  <c r="I126" i="37"/>
  <c r="L126" i="37"/>
  <c r="M126" i="37"/>
  <c r="N126" i="37"/>
  <c r="O126" i="37"/>
  <c r="P126" i="37"/>
  <c r="Q126" i="37"/>
  <c r="R126" i="37"/>
  <c r="S126" i="37"/>
  <c r="T126" i="37"/>
  <c r="U126" i="37"/>
  <c r="V126" i="37"/>
  <c r="W126" i="37"/>
  <c r="X126" i="37"/>
  <c r="Y126" i="37"/>
  <c r="Z126" i="37"/>
  <c r="AA126" i="37"/>
  <c r="AB126" i="37"/>
  <c r="AC126" i="37"/>
  <c r="AD126" i="37"/>
  <c r="AE126" i="37"/>
  <c r="AF126" i="37"/>
  <c r="AG126" i="37"/>
  <c r="AH126" i="37"/>
  <c r="AI126" i="37"/>
  <c r="AJ126" i="37"/>
  <c r="AK126" i="37"/>
  <c r="AL126" i="37"/>
  <c r="AM126" i="37"/>
  <c r="AN126" i="37"/>
  <c r="AO126" i="37"/>
  <c r="AQ126" i="37"/>
  <c r="I127" i="37"/>
  <c r="L127" i="37"/>
  <c r="M127" i="37"/>
  <c r="N127" i="37"/>
  <c r="O127" i="37"/>
  <c r="P127" i="37"/>
  <c r="Q127" i="37"/>
  <c r="R127" i="37"/>
  <c r="S127" i="37"/>
  <c r="T127" i="37"/>
  <c r="U127" i="37"/>
  <c r="V127" i="37"/>
  <c r="W127" i="37"/>
  <c r="X127" i="37"/>
  <c r="Y127" i="37"/>
  <c r="Z127" i="37"/>
  <c r="AA127" i="37"/>
  <c r="AB127" i="37"/>
  <c r="AC127" i="37"/>
  <c r="AD127" i="37"/>
  <c r="AE127" i="37"/>
  <c r="AF127" i="37"/>
  <c r="AG127" i="37"/>
  <c r="AH127" i="37"/>
  <c r="AI127" i="37"/>
  <c r="AJ127" i="37"/>
  <c r="AK127" i="37"/>
  <c r="AL127" i="37"/>
  <c r="AM127" i="37"/>
  <c r="AN127" i="37"/>
  <c r="AO127" i="37"/>
  <c r="AQ127" i="37"/>
  <c r="I128" i="37"/>
  <c r="L128" i="37"/>
  <c r="M128" i="37"/>
  <c r="N128" i="37"/>
  <c r="O128" i="37"/>
  <c r="P128" i="37"/>
  <c r="Q128" i="37"/>
  <c r="R128" i="37"/>
  <c r="S128" i="37"/>
  <c r="T128" i="37"/>
  <c r="U128" i="37"/>
  <c r="V128" i="37"/>
  <c r="W128" i="37"/>
  <c r="X128" i="37"/>
  <c r="Y128" i="37"/>
  <c r="Z128" i="37"/>
  <c r="AA128" i="37"/>
  <c r="AB128" i="37"/>
  <c r="AC128" i="37"/>
  <c r="AD128" i="37"/>
  <c r="AE128" i="37"/>
  <c r="AF128" i="37"/>
  <c r="AG128" i="37"/>
  <c r="AH128" i="37"/>
  <c r="AI128" i="37"/>
  <c r="AJ128" i="37"/>
  <c r="AK128" i="37"/>
  <c r="AL128" i="37"/>
  <c r="AM128" i="37"/>
  <c r="AN128" i="37"/>
  <c r="AO128" i="37"/>
  <c r="AQ128" i="37"/>
  <c r="I129" i="37"/>
  <c r="L129" i="37"/>
  <c r="M129" i="37"/>
  <c r="N129" i="37"/>
  <c r="O129" i="37"/>
  <c r="P129" i="37"/>
  <c r="Q129" i="37"/>
  <c r="R129" i="37"/>
  <c r="S129" i="37"/>
  <c r="T129" i="37"/>
  <c r="U129" i="37"/>
  <c r="V129" i="37"/>
  <c r="W129" i="37"/>
  <c r="X129" i="37"/>
  <c r="Y129" i="37"/>
  <c r="Z129" i="37"/>
  <c r="AA129" i="37"/>
  <c r="AB129" i="37"/>
  <c r="AC129" i="37"/>
  <c r="AD129" i="37"/>
  <c r="AE129" i="37"/>
  <c r="AF129" i="37"/>
  <c r="AG129" i="37"/>
  <c r="AH129" i="37"/>
  <c r="AI129" i="37"/>
  <c r="AJ129" i="37"/>
  <c r="AK129" i="37"/>
  <c r="AL129" i="37"/>
  <c r="AM129" i="37"/>
  <c r="AN129" i="37"/>
  <c r="AO129" i="37"/>
  <c r="AQ129" i="37"/>
  <c r="L130" i="37"/>
  <c r="M130" i="37"/>
  <c r="N130" i="37"/>
  <c r="O130" i="37"/>
  <c r="P130" i="37"/>
  <c r="Q130" i="37"/>
  <c r="R130" i="37"/>
  <c r="S130" i="37"/>
  <c r="T130" i="37"/>
  <c r="U130" i="37"/>
  <c r="V130" i="37"/>
  <c r="W130" i="37"/>
  <c r="X130" i="37"/>
  <c r="Y130" i="37"/>
  <c r="Z130" i="37"/>
  <c r="AA130" i="37"/>
  <c r="AB130" i="37"/>
  <c r="AC130" i="37"/>
  <c r="AD130" i="37"/>
  <c r="AE130" i="37"/>
  <c r="AF130" i="37"/>
  <c r="AG130" i="37"/>
  <c r="AH130" i="37"/>
  <c r="AI130" i="37"/>
  <c r="AJ130" i="37"/>
  <c r="AK130" i="37"/>
  <c r="AL130" i="37"/>
  <c r="AM130" i="37"/>
  <c r="AN130" i="37"/>
  <c r="AO130" i="37"/>
  <c r="AQ130" i="37"/>
  <c r="I131" i="37"/>
  <c r="K131" i="37"/>
  <c r="L131" i="37"/>
  <c r="M131" i="37"/>
  <c r="N131" i="37"/>
  <c r="O131" i="37"/>
  <c r="P131" i="37"/>
  <c r="Q131" i="37"/>
  <c r="R131" i="37"/>
  <c r="S131" i="37"/>
  <c r="T131" i="37"/>
  <c r="U131" i="37"/>
  <c r="V131" i="37"/>
  <c r="W131" i="37"/>
  <c r="X131" i="37"/>
  <c r="Y131" i="37"/>
  <c r="Z131" i="37"/>
  <c r="AA131" i="37"/>
  <c r="AB131" i="37"/>
  <c r="AC131" i="37"/>
  <c r="AD131" i="37"/>
  <c r="AE131" i="37"/>
  <c r="AF131" i="37"/>
  <c r="AG131" i="37"/>
  <c r="AH131" i="37"/>
  <c r="AI131" i="37"/>
  <c r="AJ131" i="37"/>
  <c r="AK131" i="37"/>
  <c r="AL131" i="37"/>
  <c r="AM131" i="37"/>
  <c r="AN131" i="37"/>
  <c r="AO131" i="37"/>
  <c r="AQ131" i="37"/>
  <c r="I132" i="37"/>
  <c r="B2" i="4"/>
  <c r="C2" i="4"/>
  <c r="B3" i="4"/>
  <c r="B4" i="4"/>
  <c r="B6" i="4"/>
  <c r="B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C27" i="4"/>
  <c r="F27" i="4"/>
  <c r="G27" i="4"/>
  <c r="C28" i="4"/>
  <c r="F28" i="4"/>
  <c r="G28" i="4"/>
  <c r="C29" i="4"/>
  <c r="F29" i="4"/>
  <c r="G29" i="4"/>
  <c r="C30" i="4"/>
  <c r="F30" i="4"/>
  <c r="G30" i="4"/>
  <c r="F31" i="4"/>
  <c r="G31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C46" i="4"/>
  <c r="C47" i="4"/>
  <c r="C48" i="4"/>
  <c r="C49" i="4"/>
  <c r="C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C65" i="4"/>
  <c r="C66" i="4"/>
  <c r="C67" i="4"/>
  <c r="C68" i="4"/>
  <c r="C69" i="4"/>
  <c r="A78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B1" i="19"/>
  <c r="C1" i="19"/>
  <c r="B9" i="19"/>
  <c r="B11" i="19"/>
  <c r="C11" i="19"/>
  <c r="D11" i="19"/>
  <c r="E11" i="19"/>
  <c r="F11" i="19"/>
  <c r="G11" i="19"/>
  <c r="AB11" i="19"/>
  <c r="AC11" i="19"/>
  <c r="AD11" i="19"/>
  <c r="AE11" i="19"/>
  <c r="AG11" i="19"/>
  <c r="AH11" i="19"/>
  <c r="AI11" i="19"/>
  <c r="AJ11" i="19"/>
  <c r="AK11" i="19"/>
  <c r="AL11" i="19"/>
  <c r="AM11" i="19"/>
  <c r="AN11" i="19"/>
  <c r="AO11" i="19"/>
  <c r="AP11" i="19"/>
  <c r="A12" i="19"/>
  <c r="B12" i="19"/>
  <c r="C12" i="19"/>
  <c r="D12" i="19"/>
  <c r="E12" i="19"/>
  <c r="F12" i="19"/>
  <c r="G12" i="19"/>
  <c r="AB12" i="19"/>
  <c r="AC12" i="19"/>
  <c r="AD12" i="19"/>
  <c r="AE12" i="19"/>
  <c r="AG12" i="19"/>
  <c r="AH12" i="19"/>
  <c r="AI12" i="19"/>
  <c r="AJ12" i="19"/>
  <c r="AK12" i="19"/>
  <c r="A13" i="19"/>
  <c r="B13" i="19"/>
  <c r="C13" i="19"/>
  <c r="D13" i="19"/>
  <c r="E13" i="19"/>
  <c r="F13" i="19"/>
  <c r="G13" i="19"/>
  <c r="AB13" i="19"/>
  <c r="AC13" i="19"/>
  <c r="AD13" i="19"/>
  <c r="AE13" i="19"/>
  <c r="AG13" i="19"/>
  <c r="AH13" i="19"/>
  <c r="AI13" i="19"/>
  <c r="AJ13" i="19"/>
  <c r="AK13" i="19"/>
  <c r="A14" i="19"/>
  <c r="B14" i="19"/>
  <c r="C14" i="19"/>
  <c r="D14" i="19"/>
  <c r="E14" i="19"/>
  <c r="F14" i="19"/>
  <c r="G14" i="19"/>
  <c r="AB14" i="19"/>
  <c r="AC14" i="19"/>
  <c r="AD14" i="19"/>
  <c r="AE14" i="19"/>
  <c r="AG14" i="19"/>
  <c r="AH14" i="19"/>
  <c r="AI14" i="19"/>
  <c r="AJ14" i="19"/>
  <c r="AK14" i="19"/>
  <c r="A15" i="19"/>
  <c r="B15" i="19"/>
  <c r="C15" i="19"/>
  <c r="D15" i="19"/>
  <c r="E15" i="19"/>
  <c r="F15" i="19"/>
  <c r="G15" i="19"/>
  <c r="AB15" i="19"/>
  <c r="AC15" i="19"/>
  <c r="AD15" i="19"/>
  <c r="AE15" i="19"/>
  <c r="AG15" i="19"/>
  <c r="AH15" i="19"/>
  <c r="AI15" i="19"/>
  <c r="AJ15" i="19"/>
  <c r="AK15" i="19"/>
  <c r="A16" i="19"/>
  <c r="B16" i="19"/>
  <c r="C16" i="19"/>
  <c r="D16" i="19"/>
  <c r="E16" i="19"/>
  <c r="F16" i="19"/>
  <c r="G16" i="19"/>
  <c r="AB16" i="19"/>
  <c r="AC16" i="19"/>
  <c r="AD16" i="19"/>
  <c r="AE16" i="19"/>
  <c r="AG16" i="19"/>
  <c r="AH16" i="19"/>
  <c r="AI16" i="19"/>
  <c r="AJ16" i="19"/>
  <c r="AK16" i="19"/>
  <c r="A17" i="19"/>
  <c r="B17" i="19"/>
  <c r="C17" i="19"/>
  <c r="D17" i="19"/>
  <c r="E17" i="19"/>
  <c r="F17" i="19"/>
  <c r="G17" i="19"/>
  <c r="AB17" i="19"/>
  <c r="AC17" i="19"/>
  <c r="AD17" i="19"/>
  <c r="AE17" i="19"/>
  <c r="AG17" i="19"/>
  <c r="AH17" i="19"/>
  <c r="AI17" i="19"/>
  <c r="AJ17" i="19"/>
  <c r="AK17" i="19"/>
  <c r="A18" i="19"/>
  <c r="B18" i="19"/>
  <c r="C18" i="19"/>
  <c r="D18" i="19"/>
  <c r="E18" i="19"/>
  <c r="F18" i="19"/>
  <c r="G18" i="19"/>
  <c r="AB18" i="19"/>
  <c r="AC18" i="19"/>
  <c r="AD18" i="19"/>
  <c r="AE18" i="19"/>
  <c r="AG18" i="19"/>
  <c r="AH18" i="19"/>
  <c r="AI18" i="19"/>
  <c r="AJ18" i="19"/>
  <c r="AK18" i="19"/>
  <c r="A19" i="19"/>
  <c r="B19" i="19"/>
  <c r="C19" i="19"/>
  <c r="D19" i="19"/>
  <c r="E19" i="19"/>
  <c r="F19" i="19"/>
  <c r="G19" i="19"/>
  <c r="AB19" i="19"/>
  <c r="AC19" i="19"/>
  <c r="AD19" i="19"/>
  <c r="AE19" i="19"/>
  <c r="AG19" i="19"/>
  <c r="AH19" i="19"/>
  <c r="AI19" i="19"/>
  <c r="AJ19" i="19"/>
  <c r="AK19" i="19"/>
  <c r="A20" i="19"/>
  <c r="B20" i="19"/>
  <c r="C20" i="19"/>
  <c r="D20" i="19"/>
  <c r="E20" i="19"/>
  <c r="F20" i="19"/>
  <c r="G20" i="19"/>
  <c r="AB20" i="19"/>
  <c r="AC20" i="19"/>
  <c r="AD20" i="19"/>
  <c r="AE20" i="19"/>
  <c r="AG20" i="19"/>
  <c r="AH20" i="19"/>
  <c r="AI20" i="19"/>
  <c r="AJ20" i="19"/>
  <c r="AK20" i="19"/>
  <c r="A21" i="19"/>
  <c r="B21" i="19"/>
  <c r="C21" i="19"/>
  <c r="D21" i="19"/>
  <c r="E21" i="19"/>
  <c r="F21" i="19"/>
  <c r="G21" i="19"/>
  <c r="AB21" i="19"/>
  <c r="AC21" i="19"/>
  <c r="AD21" i="19"/>
  <c r="AE21" i="19"/>
  <c r="AG21" i="19"/>
  <c r="AH21" i="19"/>
  <c r="AI21" i="19"/>
  <c r="AJ21" i="19"/>
  <c r="AK21" i="19"/>
  <c r="A22" i="19"/>
  <c r="B22" i="19"/>
  <c r="C22" i="19"/>
  <c r="D22" i="19"/>
  <c r="E22" i="19"/>
  <c r="F22" i="19"/>
  <c r="G22" i="19"/>
  <c r="AB22" i="19"/>
  <c r="AC22" i="19"/>
  <c r="AD22" i="19"/>
  <c r="AE22" i="19"/>
  <c r="AG22" i="19"/>
  <c r="AH22" i="19"/>
  <c r="AI22" i="19"/>
  <c r="AJ22" i="19"/>
  <c r="AK22" i="19"/>
  <c r="A23" i="19"/>
  <c r="B23" i="19"/>
  <c r="C23" i="19"/>
  <c r="D23" i="19"/>
  <c r="E23" i="19"/>
  <c r="F23" i="19"/>
  <c r="G23" i="19"/>
  <c r="AB23" i="19"/>
  <c r="AC23" i="19"/>
  <c r="AD23" i="19"/>
  <c r="AE23" i="19"/>
  <c r="AG23" i="19"/>
  <c r="AH23" i="19"/>
  <c r="AI23" i="19"/>
  <c r="AJ23" i="19"/>
  <c r="AK23" i="19"/>
  <c r="A24" i="19"/>
  <c r="B24" i="19"/>
  <c r="C24" i="19"/>
  <c r="D24" i="19"/>
  <c r="E24" i="19"/>
  <c r="F24" i="19"/>
  <c r="G24" i="19"/>
  <c r="AB24" i="19"/>
  <c r="AC24" i="19"/>
  <c r="AD24" i="19"/>
  <c r="AE24" i="19"/>
  <c r="AG24" i="19"/>
  <c r="AH24" i="19"/>
  <c r="AI24" i="19"/>
  <c r="AJ24" i="19"/>
  <c r="AK24" i="19"/>
  <c r="A25" i="19"/>
  <c r="B25" i="19"/>
  <c r="C25" i="19"/>
  <c r="D25" i="19"/>
  <c r="E25" i="19"/>
  <c r="F25" i="19"/>
  <c r="G25" i="19"/>
  <c r="AB25" i="19"/>
  <c r="AC25" i="19"/>
  <c r="AD25" i="19"/>
  <c r="AE25" i="19"/>
  <c r="AG25" i="19"/>
  <c r="AH25" i="19"/>
  <c r="AI25" i="19"/>
  <c r="AJ25" i="19"/>
  <c r="AK25" i="19"/>
  <c r="A26" i="19"/>
  <c r="B26" i="19"/>
  <c r="C26" i="19"/>
  <c r="D26" i="19"/>
  <c r="E26" i="19"/>
  <c r="F26" i="19"/>
  <c r="G26" i="19"/>
  <c r="AB26" i="19"/>
  <c r="AC26" i="19"/>
  <c r="AD26" i="19"/>
  <c r="AE26" i="19"/>
  <c r="AG26" i="19"/>
  <c r="AH26" i="19"/>
  <c r="AI26" i="19"/>
  <c r="AJ26" i="19"/>
  <c r="AK26" i="19"/>
  <c r="A27" i="19"/>
  <c r="B27" i="19"/>
  <c r="C27" i="19"/>
  <c r="D27" i="19"/>
  <c r="E27" i="19"/>
  <c r="F27" i="19"/>
  <c r="G27" i="19"/>
  <c r="AB27" i="19"/>
  <c r="AC27" i="19"/>
  <c r="AD27" i="19"/>
  <c r="AE27" i="19"/>
  <c r="AG27" i="19"/>
  <c r="AH27" i="19"/>
  <c r="AI27" i="19"/>
  <c r="AJ27" i="19"/>
  <c r="AK27" i="19"/>
  <c r="A28" i="19"/>
  <c r="B28" i="19"/>
  <c r="C28" i="19"/>
  <c r="D28" i="19"/>
  <c r="E28" i="19"/>
  <c r="F28" i="19"/>
  <c r="G28" i="19"/>
  <c r="AB28" i="19"/>
  <c r="AC28" i="19"/>
  <c r="AD28" i="19"/>
  <c r="AE28" i="19"/>
  <c r="AG28" i="19"/>
  <c r="AH28" i="19"/>
  <c r="AI28" i="19"/>
  <c r="AJ28" i="19"/>
  <c r="AK28" i="19"/>
  <c r="A29" i="19"/>
  <c r="B29" i="19"/>
  <c r="C29" i="19"/>
  <c r="D29" i="19"/>
  <c r="E29" i="19"/>
  <c r="F29" i="19"/>
  <c r="G29" i="19"/>
  <c r="AB29" i="19"/>
  <c r="AC29" i="19"/>
  <c r="AD29" i="19"/>
  <c r="AE29" i="19"/>
  <c r="AG29" i="19"/>
  <c r="AH29" i="19"/>
  <c r="AI29" i="19"/>
  <c r="AJ29" i="19"/>
  <c r="AK29" i="19"/>
  <c r="A30" i="19"/>
  <c r="B30" i="19"/>
  <c r="C30" i="19"/>
  <c r="D30" i="19"/>
  <c r="E30" i="19"/>
  <c r="F30" i="19"/>
  <c r="G30" i="19"/>
  <c r="AB30" i="19"/>
  <c r="AC30" i="19"/>
  <c r="AD30" i="19"/>
  <c r="AE30" i="19"/>
  <c r="AG30" i="19"/>
  <c r="AH30" i="19"/>
  <c r="AI30" i="19"/>
  <c r="AJ30" i="19"/>
  <c r="AK30" i="19"/>
  <c r="A31" i="19"/>
  <c r="B31" i="19"/>
  <c r="C31" i="19"/>
  <c r="D31" i="19"/>
  <c r="E31" i="19"/>
  <c r="F31" i="19"/>
  <c r="G31" i="19"/>
  <c r="AB31" i="19"/>
  <c r="AC31" i="19"/>
  <c r="AD31" i="19"/>
  <c r="AE31" i="19"/>
  <c r="AG31" i="19"/>
  <c r="AH31" i="19"/>
  <c r="AI31" i="19"/>
  <c r="AJ31" i="19"/>
  <c r="AK31" i="19"/>
  <c r="A32" i="19"/>
  <c r="B32" i="19"/>
  <c r="C32" i="19"/>
  <c r="D32" i="19"/>
  <c r="E32" i="19"/>
  <c r="F32" i="19"/>
  <c r="G32" i="19"/>
  <c r="AB32" i="19"/>
  <c r="AC32" i="19"/>
  <c r="AD32" i="19"/>
  <c r="AE32" i="19"/>
  <c r="AG32" i="19"/>
  <c r="AH32" i="19"/>
  <c r="AI32" i="19"/>
  <c r="AJ32" i="19"/>
  <c r="AK32" i="19"/>
  <c r="A33" i="19"/>
  <c r="B33" i="19"/>
  <c r="C33" i="19"/>
  <c r="D33" i="19"/>
  <c r="E33" i="19"/>
  <c r="F33" i="19"/>
  <c r="G33" i="19"/>
  <c r="AB33" i="19"/>
  <c r="AC33" i="19"/>
  <c r="AD33" i="19"/>
  <c r="AE33" i="19"/>
  <c r="AG33" i="19"/>
  <c r="AH33" i="19"/>
  <c r="AI33" i="19"/>
  <c r="AJ33" i="19"/>
  <c r="AK33" i="19"/>
  <c r="A34" i="19"/>
  <c r="B34" i="19"/>
  <c r="C34" i="19"/>
  <c r="D34" i="19"/>
  <c r="E34" i="19"/>
  <c r="F34" i="19"/>
  <c r="G34" i="19"/>
  <c r="AB34" i="19"/>
  <c r="AC34" i="19"/>
  <c r="AD34" i="19"/>
  <c r="AE34" i="19"/>
  <c r="AG34" i="19"/>
  <c r="AH34" i="19"/>
  <c r="AI34" i="19"/>
  <c r="AJ34" i="19"/>
  <c r="AK34" i="19"/>
  <c r="A35" i="19"/>
  <c r="B35" i="19"/>
  <c r="C35" i="19"/>
  <c r="D35" i="19"/>
  <c r="E35" i="19"/>
  <c r="F35" i="19"/>
  <c r="G35" i="19"/>
  <c r="AB35" i="19"/>
  <c r="AC35" i="19"/>
  <c r="AD35" i="19"/>
  <c r="AE35" i="19"/>
  <c r="AG35" i="19"/>
  <c r="AH35" i="19"/>
  <c r="AI35" i="19"/>
  <c r="AJ35" i="19"/>
  <c r="AK35" i="19"/>
  <c r="A36" i="19"/>
  <c r="B36" i="19"/>
  <c r="C36" i="19"/>
  <c r="D36" i="19"/>
  <c r="E36" i="19"/>
  <c r="F36" i="19"/>
  <c r="G36" i="19"/>
  <c r="AB36" i="19"/>
  <c r="AC36" i="19"/>
  <c r="AD36" i="19"/>
  <c r="AE36" i="19"/>
  <c r="AG36" i="19"/>
  <c r="AH36" i="19"/>
  <c r="AI36" i="19"/>
  <c r="AJ36" i="19"/>
  <c r="AK36" i="19"/>
  <c r="A37" i="19"/>
  <c r="B37" i="19"/>
  <c r="C37" i="19"/>
  <c r="D37" i="19"/>
  <c r="E37" i="19"/>
  <c r="F37" i="19"/>
  <c r="G37" i="19"/>
  <c r="AB37" i="19"/>
  <c r="AC37" i="19"/>
  <c r="AD37" i="19"/>
  <c r="AE37" i="19"/>
  <c r="AG37" i="19"/>
  <c r="AH37" i="19"/>
  <c r="AI37" i="19"/>
  <c r="AJ37" i="19"/>
  <c r="AK37" i="19"/>
  <c r="A38" i="19"/>
  <c r="B38" i="19"/>
  <c r="C38" i="19"/>
  <c r="D38" i="19"/>
  <c r="E38" i="19"/>
  <c r="F38" i="19"/>
  <c r="G38" i="19"/>
  <c r="AB38" i="19"/>
  <c r="AC38" i="19"/>
  <c r="AD38" i="19"/>
  <c r="AE38" i="19"/>
  <c r="AG38" i="19"/>
  <c r="AH38" i="19"/>
  <c r="AI38" i="19"/>
  <c r="AJ38" i="19"/>
  <c r="AK38" i="19"/>
  <c r="A39" i="19"/>
  <c r="B39" i="19"/>
  <c r="C39" i="19"/>
  <c r="D39" i="19"/>
  <c r="E39" i="19"/>
  <c r="F39" i="19"/>
  <c r="G39" i="19"/>
  <c r="AB39" i="19"/>
  <c r="AC39" i="19"/>
  <c r="AD39" i="19"/>
  <c r="AE39" i="19"/>
  <c r="AG39" i="19"/>
  <c r="AH39" i="19"/>
  <c r="AI39" i="19"/>
  <c r="AJ39" i="19"/>
  <c r="AK39" i="19"/>
  <c r="A40" i="19"/>
  <c r="B40" i="19"/>
  <c r="C40" i="19"/>
  <c r="D40" i="19"/>
  <c r="E40" i="19"/>
  <c r="F40" i="19"/>
  <c r="G40" i="19"/>
  <c r="AB40" i="19"/>
  <c r="AC40" i="19"/>
  <c r="AD40" i="19"/>
  <c r="AE40" i="19"/>
  <c r="AG40" i="19"/>
  <c r="AH40" i="19"/>
  <c r="AI40" i="19"/>
  <c r="AJ40" i="19"/>
  <c r="AK40" i="19"/>
  <c r="A41" i="19"/>
  <c r="B41" i="19"/>
  <c r="C41" i="19"/>
  <c r="D41" i="19"/>
  <c r="E41" i="19"/>
  <c r="F41" i="19"/>
  <c r="G41" i="19"/>
  <c r="AB41" i="19"/>
  <c r="AC41" i="19"/>
  <c r="AD41" i="19"/>
  <c r="AE41" i="19"/>
  <c r="AG41" i="19"/>
  <c r="AH41" i="19"/>
  <c r="AI41" i="19"/>
  <c r="AJ41" i="19"/>
  <c r="AK41" i="19"/>
  <c r="A42" i="19"/>
  <c r="B42" i="19"/>
  <c r="C42" i="19"/>
  <c r="D42" i="19"/>
  <c r="E42" i="19"/>
  <c r="F42" i="19"/>
  <c r="G42" i="19"/>
  <c r="AB42" i="19"/>
  <c r="AC42" i="19"/>
  <c r="AD42" i="19"/>
  <c r="AE42" i="19"/>
  <c r="AG42" i="19"/>
  <c r="AH42" i="19"/>
  <c r="AI42" i="19"/>
  <c r="AJ42" i="19"/>
  <c r="AK42" i="19"/>
  <c r="A43" i="19"/>
  <c r="B43" i="19"/>
  <c r="C43" i="19"/>
  <c r="D43" i="19"/>
  <c r="E43" i="19"/>
  <c r="F43" i="19"/>
  <c r="G43" i="19"/>
  <c r="AB43" i="19"/>
  <c r="AC43" i="19"/>
  <c r="AD43" i="19"/>
  <c r="AE43" i="19"/>
  <c r="AG43" i="19"/>
  <c r="AH43" i="19"/>
  <c r="AI43" i="19"/>
  <c r="AJ43" i="19"/>
  <c r="AK43" i="19"/>
  <c r="A44" i="19"/>
  <c r="B44" i="19"/>
  <c r="C44" i="19"/>
  <c r="D44" i="19"/>
  <c r="E44" i="19"/>
  <c r="F44" i="19"/>
  <c r="G44" i="19"/>
  <c r="AB44" i="19"/>
  <c r="AC44" i="19"/>
  <c r="AD44" i="19"/>
  <c r="AE44" i="19"/>
  <c r="AG44" i="19"/>
  <c r="AH44" i="19"/>
  <c r="AI44" i="19"/>
  <c r="AJ44" i="19"/>
  <c r="AK44" i="19"/>
  <c r="A45" i="19"/>
  <c r="B45" i="19"/>
  <c r="C45" i="19"/>
  <c r="D45" i="19"/>
  <c r="E45" i="19"/>
  <c r="F45" i="19"/>
  <c r="G45" i="19"/>
  <c r="AB45" i="19"/>
  <c r="AC45" i="19"/>
  <c r="AD45" i="19"/>
  <c r="AE45" i="19"/>
  <c r="AG45" i="19"/>
  <c r="AH45" i="19"/>
  <c r="AI45" i="19"/>
  <c r="AJ45" i="19"/>
  <c r="AK45" i="19"/>
  <c r="A46" i="19"/>
  <c r="B46" i="19"/>
  <c r="C46" i="19"/>
  <c r="D46" i="19"/>
  <c r="E46" i="19"/>
  <c r="F46" i="19"/>
  <c r="G46" i="19"/>
  <c r="AB46" i="19"/>
  <c r="AC46" i="19"/>
  <c r="AD46" i="19"/>
  <c r="AE46" i="19"/>
  <c r="AG46" i="19"/>
  <c r="AH46" i="19"/>
  <c r="AI46" i="19"/>
  <c r="AJ46" i="19"/>
  <c r="AK46" i="19"/>
  <c r="A47" i="19"/>
  <c r="B47" i="19"/>
  <c r="C47" i="19"/>
  <c r="D47" i="19"/>
  <c r="E47" i="19"/>
  <c r="F47" i="19"/>
  <c r="G47" i="19"/>
  <c r="AB47" i="19"/>
  <c r="AC47" i="19"/>
  <c r="AD47" i="19"/>
  <c r="AE47" i="19"/>
  <c r="AF47" i="19"/>
  <c r="AG47" i="19"/>
  <c r="AH47" i="19"/>
  <c r="AI47" i="19"/>
  <c r="AJ47" i="19"/>
  <c r="AK47" i="19"/>
  <c r="A48" i="19"/>
  <c r="B48" i="19"/>
  <c r="C48" i="19"/>
  <c r="D48" i="19"/>
  <c r="E48" i="19"/>
  <c r="F48" i="19"/>
  <c r="G48" i="19"/>
  <c r="AB48" i="19"/>
  <c r="AC48" i="19"/>
  <c r="AD48" i="19"/>
  <c r="AE48" i="19"/>
  <c r="AF48" i="19"/>
  <c r="AG48" i="19"/>
  <c r="AH48" i="19"/>
  <c r="AI48" i="19"/>
  <c r="AJ48" i="19"/>
  <c r="AK48" i="19"/>
  <c r="A49" i="19"/>
  <c r="B49" i="19"/>
  <c r="C49" i="19"/>
  <c r="D49" i="19"/>
  <c r="E49" i="19"/>
  <c r="F49" i="19"/>
  <c r="G49" i="19"/>
  <c r="AB49" i="19"/>
  <c r="AC49" i="19"/>
  <c r="AD49" i="19"/>
  <c r="AE49" i="19"/>
  <c r="AF49" i="19"/>
  <c r="AG49" i="19"/>
  <c r="AH49" i="19"/>
  <c r="AI49" i="19"/>
  <c r="AJ49" i="19"/>
  <c r="AK49" i="19"/>
  <c r="A50" i="19"/>
  <c r="B50" i="19"/>
  <c r="C50" i="19"/>
  <c r="D50" i="19"/>
  <c r="E50" i="19"/>
  <c r="F50" i="19"/>
  <c r="G50" i="19"/>
  <c r="AB50" i="19"/>
  <c r="AC50" i="19"/>
  <c r="AD50" i="19"/>
  <c r="AE50" i="19"/>
  <c r="AF50" i="19"/>
  <c r="AG50" i="19"/>
  <c r="AH50" i="19"/>
  <c r="AI50" i="19"/>
  <c r="AJ50" i="19"/>
  <c r="AK50" i="19"/>
  <c r="A51" i="19"/>
  <c r="B51" i="19"/>
  <c r="C51" i="19"/>
  <c r="D51" i="19"/>
  <c r="E51" i="19"/>
  <c r="F51" i="19"/>
  <c r="G51" i="19"/>
  <c r="AB51" i="19"/>
  <c r="AC51" i="19"/>
  <c r="AD51" i="19"/>
  <c r="AE51" i="19"/>
  <c r="AG51" i="19"/>
  <c r="AH51" i="19"/>
  <c r="AI51" i="19"/>
  <c r="AJ51" i="19"/>
  <c r="AK51" i="19"/>
  <c r="A52" i="19"/>
  <c r="B52" i="19"/>
  <c r="C52" i="19"/>
  <c r="D52" i="19"/>
  <c r="E52" i="19"/>
  <c r="F52" i="19"/>
  <c r="G52" i="19"/>
  <c r="AB52" i="19"/>
  <c r="AC52" i="19"/>
  <c r="AD52" i="19"/>
  <c r="AE52" i="19"/>
  <c r="AG52" i="19"/>
  <c r="AH52" i="19"/>
  <c r="AI52" i="19"/>
  <c r="AJ52" i="19"/>
  <c r="AK52" i="19"/>
  <c r="A53" i="19"/>
  <c r="B53" i="19"/>
  <c r="C53" i="19"/>
  <c r="D53" i="19"/>
  <c r="E53" i="19"/>
  <c r="F53" i="19"/>
  <c r="G53" i="19"/>
  <c r="AB53" i="19"/>
  <c r="AC53" i="19"/>
  <c r="AD53" i="19"/>
  <c r="AE53" i="19"/>
  <c r="AG53" i="19"/>
  <c r="AH53" i="19"/>
  <c r="AI53" i="19"/>
  <c r="AJ53" i="19"/>
  <c r="AK53" i="19"/>
  <c r="A54" i="19"/>
  <c r="B54" i="19"/>
  <c r="C54" i="19"/>
  <c r="D54" i="19"/>
  <c r="E54" i="19"/>
  <c r="F54" i="19"/>
  <c r="G54" i="19"/>
  <c r="AB54" i="19"/>
  <c r="AC54" i="19"/>
  <c r="AD54" i="19"/>
  <c r="AE54" i="19"/>
  <c r="AG54" i="19"/>
  <c r="AH54" i="19"/>
  <c r="AI54" i="19"/>
  <c r="AJ54" i="19"/>
  <c r="AK54" i="19"/>
  <c r="A55" i="19"/>
  <c r="B55" i="19"/>
  <c r="C55" i="19"/>
  <c r="D55" i="19"/>
  <c r="E55" i="19"/>
  <c r="F55" i="19"/>
  <c r="G55" i="19"/>
  <c r="AB55" i="19"/>
  <c r="AC55" i="19"/>
  <c r="AD55" i="19"/>
  <c r="AE55" i="19"/>
  <c r="AG55" i="19"/>
  <c r="AH55" i="19"/>
  <c r="AI55" i="19"/>
  <c r="AJ55" i="19"/>
  <c r="AK55" i="19"/>
  <c r="A56" i="19"/>
  <c r="B56" i="19"/>
  <c r="C56" i="19"/>
  <c r="D56" i="19"/>
  <c r="E56" i="19"/>
  <c r="F56" i="19"/>
  <c r="G56" i="19"/>
  <c r="AB56" i="19"/>
  <c r="AC56" i="19"/>
  <c r="AD56" i="19"/>
  <c r="AE56" i="19"/>
  <c r="AF56" i="19"/>
  <c r="AG56" i="19"/>
  <c r="AH56" i="19"/>
  <c r="AI56" i="19"/>
  <c r="AJ56" i="19"/>
  <c r="AK56" i="19"/>
  <c r="A57" i="19"/>
  <c r="B57" i="19"/>
  <c r="C57" i="19"/>
  <c r="D57" i="19"/>
  <c r="E57" i="19"/>
  <c r="F57" i="19"/>
  <c r="G57" i="19"/>
  <c r="AB57" i="19"/>
  <c r="AC57" i="19"/>
  <c r="AD57" i="19"/>
  <c r="AE57" i="19"/>
  <c r="AF57" i="19"/>
  <c r="AG57" i="19"/>
  <c r="AH57" i="19"/>
  <c r="AI57" i="19"/>
  <c r="AJ57" i="19"/>
  <c r="AK57" i="19"/>
  <c r="A58" i="19"/>
  <c r="B58" i="19"/>
  <c r="C58" i="19"/>
  <c r="D58" i="19"/>
  <c r="E58" i="19"/>
  <c r="F58" i="19"/>
  <c r="G58" i="19"/>
  <c r="AB58" i="19"/>
  <c r="AC58" i="19"/>
  <c r="AD58" i="19"/>
  <c r="AE58" i="19"/>
  <c r="AF58" i="19"/>
  <c r="AG58" i="19"/>
  <c r="AH58" i="19"/>
  <c r="AI58" i="19"/>
  <c r="AJ58" i="19"/>
  <c r="AK58" i="19"/>
  <c r="A59" i="19"/>
  <c r="B59" i="19"/>
  <c r="C59" i="19"/>
  <c r="D59" i="19"/>
  <c r="E59" i="19"/>
  <c r="F59" i="19"/>
  <c r="G59" i="19"/>
  <c r="AB59" i="19"/>
  <c r="AC59" i="19"/>
  <c r="AD59" i="19"/>
  <c r="AE59" i="19"/>
  <c r="AF59" i="19"/>
  <c r="AG59" i="19"/>
  <c r="AH59" i="19"/>
  <c r="AI59" i="19"/>
  <c r="AJ59" i="19"/>
  <c r="AK59" i="19"/>
  <c r="A60" i="19"/>
  <c r="B60" i="19"/>
  <c r="C60" i="19"/>
  <c r="D60" i="19"/>
  <c r="E60" i="19"/>
  <c r="F60" i="19"/>
  <c r="G60" i="19"/>
  <c r="AB60" i="19"/>
  <c r="AC60" i="19"/>
  <c r="AD60" i="19"/>
  <c r="AE60" i="19"/>
  <c r="AF60" i="19"/>
  <c r="AG60" i="19"/>
  <c r="AH60" i="19"/>
  <c r="AI60" i="19"/>
  <c r="AJ60" i="19"/>
  <c r="AK60" i="19"/>
  <c r="A61" i="19"/>
  <c r="B61" i="19"/>
  <c r="C61" i="19"/>
  <c r="D61" i="19"/>
  <c r="E61" i="19"/>
  <c r="F61" i="19"/>
  <c r="G61" i="19"/>
  <c r="AB61" i="19"/>
  <c r="AC61" i="19"/>
  <c r="AD61" i="19"/>
  <c r="AE61" i="19"/>
  <c r="AF61" i="19"/>
  <c r="AG61" i="19"/>
  <c r="AH61" i="19"/>
  <c r="AI61" i="19"/>
  <c r="AJ61" i="19"/>
  <c r="AK61" i="19"/>
  <c r="A62" i="19"/>
  <c r="B62" i="19"/>
  <c r="C62" i="19"/>
  <c r="D62" i="19"/>
  <c r="E62" i="19"/>
  <c r="F62" i="19"/>
  <c r="G62" i="19"/>
  <c r="AB62" i="19"/>
  <c r="AC62" i="19"/>
  <c r="AD62" i="19"/>
  <c r="AE62" i="19"/>
  <c r="AF62" i="19"/>
  <c r="AG62" i="19"/>
  <c r="AH62" i="19"/>
  <c r="AI62" i="19"/>
  <c r="AJ62" i="19"/>
  <c r="AK62" i="19"/>
  <c r="A63" i="19"/>
  <c r="B63" i="19"/>
  <c r="C63" i="19"/>
  <c r="D63" i="19"/>
  <c r="E63" i="19"/>
  <c r="F63" i="19"/>
  <c r="G63" i="19"/>
  <c r="AB63" i="19"/>
  <c r="AC63" i="19"/>
  <c r="AD63" i="19"/>
  <c r="AE63" i="19"/>
  <c r="AG63" i="19"/>
  <c r="AH63" i="19"/>
  <c r="AI63" i="19"/>
  <c r="AJ63" i="19"/>
  <c r="AK63" i="19"/>
  <c r="A64" i="19"/>
  <c r="B64" i="19"/>
  <c r="C64" i="19"/>
  <c r="D64" i="19"/>
  <c r="E64" i="19"/>
  <c r="F64" i="19"/>
  <c r="G64" i="19"/>
  <c r="AB64" i="19"/>
  <c r="AC64" i="19"/>
  <c r="AD64" i="19"/>
  <c r="AE64" i="19"/>
  <c r="AG64" i="19"/>
  <c r="AH64" i="19"/>
  <c r="AI64" i="19"/>
  <c r="AJ64" i="19"/>
  <c r="AK64" i="19"/>
  <c r="A65" i="19"/>
  <c r="B65" i="19"/>
  <c r="C65" i="19"/>
  <c r="D65" i="19"/>
  <c r="E65" i="19"/>
  <c r="F65" i="19"/>
  <c r="G65" i="19"/>
  <c r="AB65" i="19"/>
  <c r="AC65" i="19"/>
  <c r="AD65" i="19"/>
  <c r="AE65" i="19"/>
  <c r="AG65" i="19"/>
  <c r="AH65" i="19"/>
  <c r="AI65" i="19"/>
  <c r="AJ65" i="19"/>
  <c r="AK65" i="19"/>
  <c r="A66" i="19"/>
  <c r="B66" i="19"/>
  <c r="C66" i="19"/>
  <c r="D66" i="19"/>
  <c r="E66" i="19"/>
  <c r="F66" i="19"/>
  <c r="G66" i="19"/>
  <c r="AB66" i="19"/>
  <c r="AC66" i="19"/>
  <c r="AD66" i="19"/>
  <c r="AE66" i="19"/>
  <c r="AG66" i="19"/>
  <c r="AH66" i="19"/>
  <c r="AI66" i="19"/>
  <c r="AJ66" i="19"/>
  <c r="AK66" i="19"/>
  <c r="A67" i="19"/>
  <c r="B67" i="19"/>
  <c r="C67" i="19"/>
  <c r="D67" i="19"/>
  <c r="E67" i="19"/>
  <c r="F67" i="19"/>
  <c r="G67" i="19"/>
  <c r="AB67" i="19"/>
  <c r="AC67" i="19"/>
  <c r="AD67" i="19"/>
  <c r="AE67" i="19"/>
  <c r="AG67" i="19"/>
  <c r="AH67" i="19"/>
  <c r="AI67" i="19"/>
  <c r="AJ67" i="19"/>
  <c r="AK67" i="19"/>
  <c r="A68" i="19"/>
  <c r="B68" i="19"/>
  <c r="C68" i="19"/>
  <c r="D68" i="19"/>
  <c r="E68" i="19"/>
  <c r="F68" i="19"/>
  <c r="G68" i="19"/>
  <c r="AB68" i="19"/>
  <c r="AC68" i="19"/>
  <c r="AD68" i="19"/>
  <c r="AE68" i="19"/>
  <c r="AF68" i="19"/>
  <c r="AG68" i="19"/>
  <c r="AH68" i="19"/>
  <c r="AI68" i="19"/>
  <c r="AJ68" i="19"/>
  <c r="AK68" i="19"/>
  <c r="A69" i="19"/>
  <c r="B69" i="19"/>
  <c r="C69" i="19"/>
  <c r="D69" i="19"/>
  <c r="E69" i="19"/>
  <c r="F69" i="19"/>
  <c r="G69" i="19"/>
  <c r="AB69" i="19"/>
  <c r="AC69" i="19"/>
  <c r="AD69" i="19"/>
  <c r="AE69" i="19"/>
  <c r="AF69" i="19"/>
  <c r="AG69" i="19"/>
  <c r="AH69" i="19"/>
  <c r="AI69" i="19"/>
  <c r="AJ69" i="19"/>
  <c r="AK69" i="19"/>
  <c r="A70" i="19"/>
  <c r="B70" i="19"/>
  <c r="C70" i="19"/>
  <c r="D70" i="19"/>
  <c r="E70" i="19"/>
  <c r="F70" i="19"/>
  <c r="G70" i="19"/>
  <c r="AB70" i="19"/>
  <c r="AC70" i="19"/>
  <c r="AD70" i="19"/>
  <c r="AE70" i="19"/>
  <c r="AF70" i="19"/>
  <c r="AG70" i="19"/>
  <c r="AH70" i="19"/>
  <c r="AI70" i="19"/>
  <c r="AJ70" i="19"/>
  <c r="AK70" i="19"/>
  <c r="A71" i="19"/>
  <c r="B71" i="19"/>
  <c r="C71" i="19"/>
  <c r="D71" i="19"/>
  <c r="E71" i="19"/>
  <c r="F71" i="19"/>
  <c r="G71" i="19"/>
  <c r="AB71" i="19"/>
  <c r="AC71" i="19"/>
  <c r="AD71" i="19"/>
  <c r="AE71" i="19"/>
  <c r="AF71" i="19"/>
  <c r="AG71" i="19"/>
  <c r="AH71" i="19"/>
  <c r="AI71" i="19"/>
  <c r="AJ71" i="19"/>
  <c r="AK71" i="19"/>
  <c r="A72" i="19"/>
  <c r="B72" i="19"/>
  <c r="C72" i="19"/>
  <c r="D72" i="19"/>
  <c r="E72" i="19"/>
  <c r="F72" i="19"/>
  <c r="G72" i="19"/>
  <c r="AB72" i="19"/>
  <c r="AC72" i="19"/>
  <c r="AD72" i="19"/>
  <c r="AE72" i="19"/>
  <c r="AF72" i="19"/>
  <c r="AG72" i="19"/>
  <c r="AH72" i="19"/>
  <c r="AI72" i="19"/>
  <c r="AJ72" i="19"/>
  <c r="AK72" i="19"/>
  <c r="A73" i="19"/>
  <c r="B73" i="19"/>
  <c r="C73" i="19"/>
  <c r="D73" i="19"/>
  <c r="E73" i="19"/>
  <c r="F73" i="19"/>
  <c r="G73" i="19"/>
  <c r="AB73" i="19"/>
  <c r="AC73" i="19"/>
  <c r="AD73" i="19"/>
  <c r="AE73" i="19"/>
  <c r="AF73" i="19"/>
  <c r="AG73" i="19"/>
  <c r="AH73" i="19"/>
  <c r="AI73" i="19"/>
  <c r="AJ73" i="19"/>
  <c r="AK73" i="19"/>
  <c r="A74" i="19"/>
  <c r="B74" i="19"/>
  <c r="C74" i="19"/>
  <c r="D74" i="19"/>
  <c r="E74" i="19"/>
  <c r="F74" i="19"/>
  <c r="G74" i="19"/>
  <c r="AB74" i="19"/>
  <c r="AC74" i="19"/>
  <c r="AD74" i="19"/>
  <c r="AE74" i="19"/>
  <c r="AF74" i="19"/>
  <c r="AG74" i="19"/>
  <c r="AH74" i="19"/>
  <c r="AI74" i="19"/>
  <c r="AJ74" i="19"/>
  <c r="AK74" i="19"/>
  <c r="A75" i="19"/>
  <c r="B75" i="19"/>
  <c r="C75" i="19"/>
  <c r="D75" i="19"/>
  <c r="E75" i="19"/>
  <c r="F75" i="19"/>
  <c r="G75" i="19"/>
  <c r="AB75" i="19"/>
  <c r="AC75" i="19"/>
  <c r="AD75" i="19"/>
  <c r="AE75" i="19"/>
  <c r="AG75" i="19"/>
  <c r="AH75" i="19"/>
  <c r="AI75" i="19"/>
  <c r="AJ75" i="19"/>
  <c r="AK75" i="19"/>
  <c r="A76" i="19"/>
  <c r="B76" i="19"/>
  <c r="C76" i="19"/>
  <c r="D76" i="19"/>
  <c r="E76" i="19"/>
  <c r="F76" i="19"/>
  <c r="G76" i="19"/>
  <c r="AB76" i="19"/>
  <c r="AC76" i="19"/>
  <c r="AD76" i="19"/>
  <c r="AE76" i="19"/>
  <c r="AG76" i="19"/>
  <c r="AH76" i="19"/>
  <c r="AI76" i="19"/>
  <c r="AJ76" i="19"/>
  <c r="AK76" i="19"/>
  <c r="A77" i="19"/>
  <c r="B77" i="19"/>
  <c r="C77" i="19"/>
  <c r="D77" i="19"/>
  <c r="E77" i="19"/>
  <c r="F77" i="19"/>
  <c r="G77" i="19"/>
  <c r="AB77" i="19"/>
  <c r="AC77" i="19"/>
  <c r="AD77" i="19"/>
  <c r="AE77" i="19"/>
  <c r="AG77" i="19"/>
  <c r="AH77" i="19"/>
  <c r="AI77" i="19"/>
  <c r="AJ77" i="19"/>
  <c r="AK77" i="19"/>
  <c r="A78" i="19"/>
  <c r="B78" i="19"/>
  <c r="C78" i="19"/>
  <c r="D78" i="19"/>
  <c r="E78" i="19"/>
  <c r="F78" i="19"/>
  <c r="G78" i="19"/>
  <c r="AB78" i="19"/>
  <c r="AC78" i="19"/>
  <c r="AD78" i="19"/>
  <c r="AE78" i="19"/>
  <c r="AG78" i="19"/>
  <c r="AH78" i="19"/>
  <c r="AI78" i="19"/>
  <c r="AJ78" i="19"/>
  <c r="AK78" i="19"/>
  <c r="A79" i="19"/>
  <c r="B79" i="19"/>
  <c r="C79" i="19"/>
  <c r="D79" i="19"/>
  <c r="E79" i="19"/>
  <c r="F79" i="19"/>
  <c r="G79" i="19"/>
  <c r="AB79" i="19"/>
  <c r="AC79" i="19"/>
  <c r="AD79" i="19"/>
  <c r="AE79" i="19"/>
  <c r="AG79" i="19"/>
  <c r="AH79" i="19"/>
  <c r="AI79" i="19"/>
  <c r="AJ79" i="19"/>
  <c r="AK79" i="19"/>
  <c r="A80" i="19"/>
  <c r="B80" i="19"/>
  <c r="C80" i="19"/>
  <c r="D80" i="19"/>
  <c r="E80" i="19"/>
  <c r="F80" i="19"/>
  <c r="G80" i="19"/>
  <c r="AB80" i="19"/>
  <c r="AC80" i="19"/>
  <c r="AD80" i="19"/>
  <c r="AE80" i="19"/>
  <c r="AF80" i="19"/>
  <c r="AG80" i="19"/>
  <c r="AH80" i="19"/>
  <c r="AI80" i="19"/>
  <c r="AJ80" i="19"/>
  <c r="AK80" i="19"/>
  <c r="A81" i="19"/>
  <c r="B81" i="19"/>
  <c r="C81" i="19"/>
  <c r="D81" i="19"/>
  <c r="E81" i="19"/>
  <c r="F81" i="19"/>
  <c r="G81" i="19"/>
  <c r="AB81" i="19"/>
  <c r="AC81" i="19"/>
  <c r="AD81" i="19"/>
  <c r="AE81" i="19"/>
  <c r="AF81" i="19"/>
  <c r="AG81" i="19"/>
  <c r="AH81" i="19"/>
  <c r="AI81" i="19"/>
  <c r="AJ81" i="19"/>
  <c r="AK81" i="19"/>
  <c r="A82" i="19"/>
  <c r="B82" i="19"/>
  <c r="C82" i="19"/>
  <c r="D82" i="19"/>
  <c r="E82" i="19"/>
  <c r="F82" i="19"/>
  <c r="G82" i="19"/>
  <c r="AB82" i="19"/>
  <c r="AC82" i="19"/>
  <c r="AD82" i="19"/>
  <c r="AE82" i="19"/>
  <c r="AF82" i="19"/>
  <c r="AG82" i="19"/>
  <c r="AH82" i="19"/>
  <c r="AI82" i="19"/>
  <c r="AJ82" i="19"/>
  <c r="AK82" i="19"/>
  <c r="A83" i="19"/>
  <c r="B83" i="19"/>
  <c r="C83" i="19"/>
  <c r="D83" i="19"/>
  <c r="E83" i="19"/>
  <c r="F83" i="19"/>
  <c r="G83" i="19"/>
  <c r="AB83" i="19"/>
  <c r="AC83" i="19"/>
  <c r="AD83" i="19"/>
  <c r="AE83" i="19"/>
  <c r="AF83" i="19"/>
  <c r="AG83" i="19"/>
  <c r="AH83" i="19"/>
  <c r="AI83" i="19"/>
  <c r="AJ83" i="19"/>
  <c r="AK83" i="19"/>
  <c r="A84" i="19"/>
  <c r="B84" i="19"/>
  <c r="C84" i="19"/>
  <c r="D84" i="19"/>
  <c r="E84" i="19"/>
  <c r="F84" i="19"/>
  <c r="G84" i="19"/>
  <c r="AB84" i="19"/>
  <c r="AC84" i="19"/>
  <c r="AD84" i="19"/>
  <c r="AE84" i="19"/>
  <c r="AF84" i="19"/>
  <c r="AG84" i="19"/>
  <c r="AH84" i="19"/>
  <c r="AI84" i="19"/>
  <c r="AJ84" i="19"/>
  <c r="AK84" i="19"/>
  <c r="A85" i="19"/>
  <c r="B85" i="19"/>
  <c r="C85" i="19"/>
  <c r="D85" i="19"/>
  <c r="E85" i="19"/>
  <c r="F85" i="19"/>
  <c r="G85" i="19"/>
  <c r="AB85" i="19"/>
  <c r="AC85" i="19"/>
  <c r="AD85" i="19"/>
  <c r="AE85" i="19"/>
  <c r="AF85" i="19"/>
  <c r="AG85" i="19"/>
  <c r="AH85" i="19"/>
  <c r="AI85" i="19"/>
  <c r="AJ85" i="19"/>
  <c r="AK85" i="19"/>
  <c r="A86" i="19"/>
  <c r="B86" i="19"/>
  <c r="C86" i="19"/>
  <c r="D86" i="19"/>
  <c r="E86" i="19"/>
  <c r="F86" i="19"/>
  <c r="G86" i="19"/>
  <c r="AB86" i="19"/>
  <c r="AC86" i="19"/>
  <c r="AD86" i="19"/>
  <c r="AE86" i="19"/>
  <c r="AF86" i="19"/>
  <c r="AG86" i="19"/>
  <c r="AH86" i="19"/>
  <c r="AI86" i="19"/>
  <c r="AJ86" i="19"/>
  <c r="AK86" i="19"/>
  <c r="A87" i="19"/>
  <c r="B87" i="19"/>
  <c r="C87" i="19"/>
  <c r="D87" i="19"/>
  <c r="E87" i="19"/>
  <c r="F87" i="19"/>
  <c r="G87" i="19"/>
  <c r="AB87" i="19"/>
  <c r="AC87" i="19"/>
  <c r="AD87" i="19"/>
  <c r="AE87" i="19"/>
  <c r="AG87" i="19"/>
  <c r="AH87" i="19"/>
  <c r="AI87" i="19"/>
  <c r="AJ87" i="19"/>
  <c r="AK87" i="19"/>
  <c r="A88" i="19"/>
  <c r="B88" i="19"/>
  <c r="C88" i="19"/>
  <c r="D88" i="19"/>
  <c r="E88" i="19"/>
  <c r="F88" i="19"/>
  <c r="G88" i="19"/>
  <c r="AB88" i="19"/>
  <c r="AC88" i="19"/>
  <c r="AD88" i="19"/>
  <c r="AE88" i="19"/>
  <c r="AG88" i="19"/>
  <c r="AH88" i="19"/>
  <c r="AI88" i="19"/>
  <c r="AJ88" i="19"/>
  <c r="AK88" i="19"/>
  <c r="A89" i="19"/>
  <c r="B89" i="19"/>
  <c r="C89" i="19"/>
  <c r="D89" i="19"/>
  <c r="E89" i="19"/>
  <c r="F89" i="19"/>
  <c r="G89" i="19"/>
  <c r="AB89" i="19"/>
  <c r="AC89" i="19"/>
  <c r="AD89" i="19"/>
  <c r="AE89" i="19"/>
  <c r="AG89" i="19"/>
  <c r="AH89" i="19"/>
  <c r="AI89" i="19"/>
  <c r="AJ89" i="19"/>
  <c r="AK89" i="19"/>
  <c r="A90" i="19"/>
  <c r="B90" i="19"/>
  <c r="C90" i="19"/>
  <c r="D90" i="19"/>
  <c r="E90" i="19"/>
  <c r="F90" i="19"/>
  <c r="G90" i="19"/>
  <c r="AB90" i="19"/>
  <c r="AC90" i="19"/>
  <c r="AD90" i="19"/>
  <c r="AE90" i="19"/>
  <c r="AG90" i="19"/>
  <c r="AH90" i="19"/>
  <c r="AI90" i="19"/>
  <c r="AJ90" i="19"/>
  <c r="AK90" i="19"/>
  <c r="A91" i="19"/>
  <c r="B91" i="19"/>
  <c r="C91" i="19"/>
  <c r="D91" i="19"/>
  <c r="E91" i="19"/>
  <c r="F91" i="19"/>
  <c r="G91" i="19"/>
  <c r="AB91" i="19"/>
  <c r="AC91" i="19"/>
  <c r="AD91" i="19"/>
  <c r="AE91" i="19"/>
  <c r="AG91" i="19"/>
  <c r="AH91" i="19"/>
  <c r="AI91" i="19"/>
  <c r="AJ91" i="19"/>
  <c r="AK91" i="19"/>
  <c r="A92" i="19"/>
  <c r="B92" i="19"/>
  <c r="C92" i="19"/>
  <c r="D92" i="19"/>
  <c r="E92" i="19"/>
  <c r="F92" i="19"/>
  <c r="G92" i="19"/>
  <c r="AB92" i="19"/>
  <c r="AC92" i="19"/>
  <c r="AD92" i="19"/>
  <c r="AE92" i="19"/>
  <c r="AF92" i="19"/>
  <c r="AG92" i="19"/>
  <c r="AH92" i="19"/>
  <c r="AI92" i="19"/>
  <c r="AJ92" i="19"/>
  <c r="AK92" i="19"/>
  <c r="A93" i="19"/>
  <c r="B93" i="19"/>
  <c r="C93" i="19"/>
  <c r="D93" i="19"/>
  <c r="E93" i="19"/>
  <c r="F93" i="19"/>
  <c r="G93" i="19"/>
  <c r="AB93" i="19"/>
  <c r="AC93" i="19"/>
  <c r="AD93" i="19"/>
  <c r="AE93" i="19"/>
  <c r="AF93" i="19"/>
  <c r="AG93" i="19"/>
  <c r="AH93" i="19"/>
  <c r="AI93" i="19"/>
  <c r="AJ93" i="19"/>
  <c r="AK93" i="19"/>
  <c r="A94" i="19"/>
  <c r="B94" i="19"/>
  <c r="C94" i="19"/>
  <c r="D94" i="19"/>
  <c r="E94" i="19"/>
  <c r="F94" i="19"/>
  <c r="G94" i="19"/>
  <c r="AB94" i="19"/>
  <c r="AC94" i="19"/>
  <c r="AD94" i="19"/>
  <c r="AE94" i="19"/>
  <c r="AF94" i="19"/>
  <c r="AG94" i="19"/>
  <c r="AH94" i="19"/>
  <c r="AI94" i="19"/>
  <c r="AJ94" i="19"/>
  <c r="AK94" i="19"/>
  <c r="A95" i="19"/>
  <c r="B95" i="19"/>
  <c r="C95" i="19"/>
  <c r="D95" i="19"/>
  <c r="E95" i="19"/>
  <c r="F95" i="19"/>
  <c r="G95" i="19"/>
  <c r="AB95" i="19"/>
  <c r="AC95" i="19"/>
  <c r="AD95" i="19"/>
  <c r="AE95" i="19"/>
  <c r="AF95" i="19"/>
  <c r="AG95" i="19"/>
  <c r="AH95" i="19"/>
  <c r="AI95" i="19"/>
  <c r="AJ95" i="19"/>
  <c r="AK95" i="19"/>
  <c r="A96" i="19"/>
  <c r="B96" i="19"/>
  <c r="C96" i="19"/>
  <c r="D96" i="19"/>
  <c r="E96" i="19"/>
  <c r="F96" i="19"/>
  <c r="G96" i="19"/>
  <c r="AB96" i="19"/>
  <c r="AC96" i="19"/>
  <c r="AD96" i="19"/>
  <c r="AE96" i="19"/>
  <c r="AF96" i="19"/>
  <c r="AG96" i="19"/>
  <c r="AH96" i="19"/>
  <c r="AI96" i="19"/>
  <c r="AJ96" i="19"/>
  <c r="AK96" i="19"/>
  <c r="A97" i="19"/>
  <c r="B97" i="19"/>
  <c r="C97" i="19"/>
  <c r="D97" i="19"/>
  <c r="E97" i="19"/>
  <c r="F97" i="19"/>
  <c r="G97" i="19"/>
  <c r="AB97" i="19"/>
  <c r="AC97" i="19"/>
  <c r="AD97" i="19"/>
  <c r="AE97" i="19"/>
  <c r="AF97" i="19"/>
  <c r="AG97" i="19"/>
  <c r="AH97" i="19"/>
  <c r="AI97" i="19"/>
  <c r="AJ97" i="19"/>
  <c r="AK97" i="19"/>
  <c r="A98" i="19"/>
  <c r="B98" i="19"/>
  <c r="C98" i="19"/>
  <c r="D98" i="19"/>
  <c r="E98" i="19"/>
  <c r="F98" i="19"/>
  <c r="G98" i="19"/>
  <c r="AB98" i="19"/>
  <c r="AC98" i="19"/>
  <c r="AD98" i="19"/>
  <c r="AE98" i="19"/>
  <c r="AF98" i="19"/>
  <c r="AG98" i="19"/>
  <c r="AH98" i="19"/>
  <c r="AI98" i="19"/>
  <c r="AJ98" i="19"/>
  <c r="AK98" i="19"/>
  <c r="A99" i="19"/>
  <c r="B99" i="19"/>
  <c r="C99" i="19"/>
  <c r="D99" i="19"/>
  <c r="E99" i="19"/>
  <c r="F99" i="19"/>
  <c r="G99" i="19"/>
  <c r="AB99" i="19"/>
  <c r="AC99" i="19"/>
  <c r="AD99" i="19"/>
  <c r="AE99" i="19"/>
  <c r="AG99" i="19"/>
  <c r="AH99" i="19"/>
  <c r="AI99" i="19"/>
  <c r="AJ99" i="19"/>
  <c r="AK99" i="19"/>
  <c r="A100" i="19"/>
  <c r="B100" i="19"/>
  <c r="C100" i="19"/>
  <c r="D100" i="19"/>
  <c r="E100" i="19"/>
  <c r="F100" i="19"/>
  <c r="G100" i="19"/>
  <c r="AB100" i="19"/>
  <c r="AC100" i="19"/>
  <c r="AD100" i="19"/>
  <c r="AE100" i="19"/>
  <c r="AG100" i="19"/>
  <c r="AH100" i="19"/>
  <c r="AI100" i="19"/>
  <c r="AJ100" i="19"/>
  <c r="AK100" i="19"/>
  <c r="A101" i="19"/>
  <c r="B101" i="19"/>
  <c r="C101" i="19"/>
  <c r="D101" i="19"/>
  <c r="E101" i="19"/>
  <c r="F101" i="19"/>
  <c r="G101" i="19"/>
  <c r="AB101" i="19"/>
  <c r="AC101" i="19"/>
  <c r="AD101" i="19"/>
  <c r="AE101" i="19"/>
  <c r="AG101" i="19"/>
  <c r="AH101" i="19"/>
  <c r="AI101" i="19"/>
  <c r="AJ101" i="19"/>
  <c r="AK101" i="19"/>
  <c r="A102" i="19"/>
  <c r="B102" i="19"/>
  <c r="C102" i="19"/>
  <c r="D102" i="19"/>
  <c r="E102" i="19"/>
  <c r="F102" i="19"/>
  <c r="G102" i="19"/>
  <c r="AB102" i="19"/>
  <c r="AC102" i="19"/>
  <c r="AD102" i="19"/>
  <c r="AE102" i="19"/>
  <c r="AG102" i="19"/>
  <c r="AH102" i="19"/>
  <c r="AI102" i="19"/>
  <c r="AJ102" i="19"/>
  <c r="AK102" i="19"/>
  <c r="A103" i="19"/>
  <c r="B103" i="19"/>
  <c r="C103" i="19"/>
  <c r="D103" i="19"/>
  <c r="E103" i="19"/>
  <c r="F103" i="19"/>
  <c r="G103" i="19"/>
  <c r="AB103" i="19"/>
  <c r="AC103" i="19"/>
  <c r="AD103" i="19"/>
  <c r="AE103" i="19"/>
  <c r="AG103" i="19"/>
  <c r="AH103" i="19"/>
  <c r="AI103" i="19"/>
  <c r="AJ103" i="19"/>
  <c r="AK103" i="19"/>
  <c r="A104" i="19"/>
  <c r="B104" i="19"/>
  <c r="C104" i="19"/>
  <c r="D104" i="19"/>
  <c r="E104" i="19"/>
  <c r="F104" i="19"/>
  <c r="G104" i="19"/>
  <c r="AB104" i="19"/>
  <c r="AC104" i="19"/>
  <c r="AD104" i="19"/>
  <c r="AE104" i="19"/>
  <c r="AF104" i="19"/>
  <c r="AG104" i="19"/>
  <c r="AH104" i="19"/>
  <c r="AI104" i="19"/>
  <c r="AJ104" i="19"/>
  <c r="AK104" i="19"/>
  <c r="A105" i="19"/>
  <c r="B105" i="19"/>
  <c r="C105" i="19"/>
  <c r="D105" i="19"/>
  <c r="E105" i="19"/>
  <c r="F105" i="19"/>
  <c r="G105" i="19"/>
  <c r="AB105" i="19"/>
  <c r="AC105" i="19"/>
  <c r="AD105" i="19"/>
  <c r="AE105" i="19"/>
  <c r="AF105" i="19"/>
  <c r="AG105" i="19"/>
  <c r="AH105" i="19"/>
  <c r="AI105" i="19"/>
  <c r="AJ105" i="19"/>
  <c r="AK105" i="19"/>
  <c r="A106" i="19"/>
  <c r="B106" i="19"/>
  <c r="C106" i="19"/>
  <c r="D106" i="19"/>
  <c r="E106" i="19"/>
  <c r="F106" i="19"/>
  <c r="G106" i="19"/>
  <c r="AB106" i="19"/>
  <c r="AC106" i="19"/>
  <c r="AD106" i="19"/>
  <c r="AE106" i="19"/>
  <c r="AF106" i="19"/>
  <c r="AG106" i="19"/>
  <c r="AH106" i="19"/>
  <c r="AI106" i="19"/>
  <c r="AJ106" i="19"/>
  <c r="AK106" i="19"/>
  <c r="A107" i="19"/>
  <c r="B107" i="19"/>
  <c r="C107" i="19"/>
  <c r="D107" i="19"/>
  <c r="E107" i="19"/>
  <c r="F107" i="19"/>
  <c r="G107" i="19"/>
  <c r="AB107" i="19"/>
  <c r="AC107" i="19"/>
  <c r="AD107" i="19"/>
  <c r="AE107" i="19"/>
  <c r="AF107" i="19"/>
  <c r="AG107" i="19"/>
  <c r="AH107" i="19"/>
  <c r="AI107" i="19"/>
  <c r="AJ107" i="19"/>
  <c r="AK107" i="19"/>
  <c r="A108" i="19"/>
  <c r="B108" i="19"/>
  <c r="C108" i="19"/>
  <c r="D108" i="19"/>
  <c r="E108" i="19"/>
  <c r="F108" i="19"/>
  <c r="G108" i="19"/>
  <c r="AB108" i="19"/>
  <c r="AC108" i="19"/>
  <c r="AD108" i="19"/>
  <c r="AE108" i="19"/>
  <c r="AF108" i="19"/>
  <c r="AG108" i="19"/>
  <c r="AH108" i="19"/>
  <c r="AI108" i="19"/>
  <c r="AJ108" i="19"/>
  <c r="AK108" i="19"/>
  <c r="A109" i="19"/>
  <c r="B109" i="19"/>
  <c r="C109" i="19"/>
  <c r="D109" i="19"/>
  <c r="E109" i="19"/>
  <c r="F109" i="19"/>
  <c r="G109" i="19"/>
  <c r="AB109" i="19"/>
  <c r="AC109" i="19"/>
  <c r="AD109" i="19"/>
  <c r="AE109" i="19"/>
  <c r="AF109" i="19"/>
  <c r="AG109" i="19"/>
  <c r="AH109" i="19"/>
  <c r="AI109" i="19"/>
  <c r="AJ109" i="19"/>
  <c r="AK109" i="19"/>
  <c r="A110" i="19"/>
  <c r="B110" i="19"/>
  <c r="C110" i="19"/>
  <c r="D110" i="19"/>
  <c r="E110" i="19"/>
  <c r="F110" i="19"/>
  <c r="G110" i="19"/>
  <c r="AB110" i="19"/>
  <c r="AC110" i="19"/>
  <c r="AD110" i="19"/>
  <c r="AE110" i="19"/>
  <c r="AF110" i="19"/>
  <c r="AG110" i="19"/>
  <c r="AH110" i="19"/>
  <c r="AI110" i="19"/>
  <c r="AJ110" i="19"/>
  <c r="AK110" i="19"/>
  <c r="A111" i="19"/>
  <c r="B111" i="19"/>
  <c r="C111" i="19"/>
  <c r="D111" i="19"/>
  <c r="E111" i="19"/>
  <c r="F111" i="19"/>
  <c r="G111" i="19"/>
  <c r="AB111" i="19"/>
  <c r="AC111" i="19"/>
  <c r="AD111" i="19"/>
  <c r="AE111" i="19"/>
  <c r="AG111" i="19"/>
  <c r="AH111" i="19"/>
  <c r="AI111" i="19"/>
  <c r="AJ111" i="19"/>
  <c r="AK111" i="19"/>
  <c r="A112" i="19"/>
  <c r="B112" i="19"/>
  <c r="C112" i="19"/>
  <c r="D112" i="19"/>
  <c r="E112" i="19"/>
  <c r="F112" i="19"/>
  <c r="G112" i="19"/>
  <c r="AB112" i="19"/>
  <c r="AC112" i="19"/>
  <c r="AD112" i="19"/>
  <c r="AE112" i="19"/>
  <c r="AG112" i="19"/>
  <c r="AH112" i="19"/>
  <c r="AI112" i="19"/>
  <c r="AJ112" i="19"/>
  <c r="AK112" i="19"/>
  <c r="A113" i="19"/>
  <c r="B113" i="19"/>
  <c r="C113" i="19"/>
  <c r="D113" i="19"/>
  <c r="E113" i="19"/>
  <c r="F113" i="19"/>
  <c r="G113" i="19"/>
  <c r="AB113" i="19"/>
  <c r="AC113" i="19"/>
  <c r="AD113" i="19"/>
  <c r="AE113" i="19"/>
  <c r="AG113" i="19"/>
  <c r="AH113" i="19"/>
  <c r="AI113" i="19"/>
  <c r="AJ113" i="19"/>
  <c r="AK113" i="19"/>
  <c r="A114" i="19"/>
  <c r="B114" i="19"/>
  <c r="C114" i="19"/>
  <c r="D114" i="19"/>
  <c r="E114" i="19"/>
  <c r="F114" i="19"/>
  <c r="G114" i="19"/>
  <c r="AB114" i="19"/>
  <c r="AC114" i="19"/>
  <c r="AD114" i="19"/>
  <c r="AE114" i="19"/>
  <c r="AG114" i="19"/>
  <c r="AH114" i="19"/>
  <c r="AI114" i="19"/>
  <c r="AJ114" i="19"/>
  <c r="AK114" i="19"/>
  <c r="A115" i="19"/>
  <c r="B115" i="19"/>
  <c r="C115" i="19"/>
  <c r="D115" i="19"/>
  <c r="E115" i="19"/>
  <c r="F115" i="19"/>
  <c r="G115" i="19"/>
  <c r="AB115" i="19"/>
  <c r="AC115" i="19"/>
  <c r="AD115" i="19"/>
  <c r="AE115" i="19"/>
  <c r="AG115" i="19"/>
  <c r="AH115" i="19"/>
  <c r="AI115" i="19"/>
  <c r="AJ115" i="19"/>
  <c r="AK115" i="19"/>
  <c r="A116" i="19"/>
  <c r="B116" i="19"/>
  <c r="C116" i="19"/>
  <c r="D116" i="19"/>
  <c r="E116" i="19"/>
  <c r="F116" i="19"/>
  <c r="G116" i="19"/>
  <c r="AB116" i="19"/>
  <c r="AC116" i="19"/>
  <c r="AD116" i="19"/>
  <c r="AE116" i="19"/>
  <c r="AF116" i="19"/>
  <c r="AG116" i="19"/>
  <c r="AH116" i="19"/>
  <c r="AI116" i="19"/>
  <c r="AJ116" i="19"/>
  <c r="AK116" i="19"/>
  <c r="A117" i="19"/>
  <c r="B117" i="19"/>
  <c r="C117" i="19"/>
  <c r="D117" i="19"/>
  <c r="E117" i="19"/>
  <c r="F117" i="19"/>
  <c r="G117" i="19"/>
  <c r="AB117" i="19"/>
  <c r="AC117" i="19"/>
  <c r="AD117" i="19"/>
  <c r="AE117" i="19"/>
  <c r="AF117" i="19"/>
  <c r="AG117" i="19"/>
  <c r="AH117" i="19"/>
  <c r="AI117" i="19"/>
  <c r="AJ117" i="19"/>
  <c r="AK117" i="19"/>
  <c r="A118" i="19"/>
  <c r="B118" i="19"/>
  <c r="C118" i="19"/>
  <c r="D118" i="19"/>
  <c r="E118" i="19"/>
  <c r="F118" i="19"/>
  <c r="G118" i="19"/>
  <c r="AB118" i="19"/>
  <c r="AC118" i="19"/>
  <c r="AD118" i="19"/>
  <c r="AE118" i="19"/>
  <c r="AF118" i="19"/>
  <c r="AG118" i="19"/>
  <c r="AH118" i="19"/>
  <c r="AI118" i="19"/>
  <c r="AJ118" i="19"/>
  <c r="AK118" i="19"/>
  <c r="A119" i="19"/>
  <c r="B119" i="19"/>
  <c r="C119" i="19"/>
  <c r="D119" i="19"/>
  <c r="E119" i="19"/>
  <c r="F119" i="19"/>
  <c r="G119" i="19"/>
  <c r="AB119" i="19"/>
  <c r="AC119" i="19"/>
  <c r="AD119" i="19"/>
  <c r="AE119" i="19"/>
  <c r="AF119" i="19"/>
  <c r="AG119" i="19"/>
  <c r="AH119" i="19"/>
  <c r="AI119" i="19"/>
  <c r="AJ119" i="19"/>
  <c r="AK119" i="19"/>
  <c r="A120" i="19"/>
  <c r="B120" i="19"/>
  <c r="C120" i="19"/>
  <c r="D120" i="19"/>
  <c r="E120" i="19"/>
  <c r="F120" i="19"/>
  <c r="G120" i="19"/>
  <c r="AB120" i="19"/>
  <c r="AC120" i="19"/>
  <c r="AD120" i="19"/>
  <c r="AE120" i="19"/>
  <c r="AF120" i="19"/>
  <c r="AG120" i="19"/>
  <c r="AH120" i="19"/>
  <c r="AI120" i="19"/>
  <c r="AJ120" i="19"/>
  <c r="AK120" i="19"/>
  <c r="A121" i="19"/>
  <c r="B121" i="19"/>
  <c r="C121" i="19"/>
  <c r="D121" i="19"/>
  <c r="E121" i="19"/>
  <c r="F121" i="19"/>
  <c r="G121" i="19"/>
  <c r="AB121" i="19"/>
  <c r="AC121" i="19"/>
  <c r="AD121" i="19"/>
  <c r="AE121" i="19"/>
  <c r="AF121" i="19"/>
  <c r="AG121" i="19"/>
  <c r="AH121" i="19"/>
  <c r="AI121" i="19"/>
  <c r="AJ121" i="19"/>
  <c r="AK121" i="19"/>
  <c r="A122" i="19"/>
  <c r="B122" i="19"/>
  <c r="C122" i="19"/>
  <c r="D122" i="19"/>
  <c r="E122" i="19"/>
  <c r="F122" i="19"/>
  <c r="G122" i="19"/>
  <c r="AB122" i="19"/>
  <c r="AC122" i="19"/>
  <c r="AD122" i="19"/>
  <c r="AE122" i="19"/>
  <c r="AF122" i="19"/>
  <c r="AG122" i="19"/>
  <c r="AH122" i="19"/>
  <c r="AI122" i="19"/>
  <c r="AJ122" i="19"/>
  <c r="AK122" i="19"/>
  <c r="A123" i="19"/>
  <c r="B123" i="19"/>
  <c r="C123" i="19"/>
  <c r="D123" i="19"/>
  <c r="E123" i="19"/>
  <c r="F123" i="19"/>
  <c r="G123" i="19"/>
  <c r="AB123" i="19"/>
  <c r="AC123" i="19"/>
  <c r="AD123" i="19"/>
  <c r="AE123" i="19"/>
  <c r="AG123" i="19"/>
  <c r="AH123" i="19"/>
  <c r="AI123" i="19"/>
  <c r="AJ123" i="19"/>
  <c r="AK123" i="19"/>
  <c r="A124" i="19"/>
  <c r="B124" i="19"/>
  <c r="C124" i="19"/>
  <c r="D124" i="19"/>
  <c r="E124" i="19"/>
  <c r="F124" i="19"/>
  <c r="G124" i="19"/>
  <c r="AB124" i="19"/>
  <c r="AC124" i="19"/>
  <c r="AD124" i="19"/>
  <c r="AE124" i="19"/>
  <c r="AG124" i="19"/>
  <c r="AH124" i="19"/>
  <c r="AI124" i="19"/>
  <c r="AJ124" i="19"/>
  <c r="AK124" i="19"/>
  <c r="A125" i="19"/>
  <c r="B125" i="19"/>
  <c r="C125" i="19"/>
  <c r="D125" i="19"/>
  <c r="E125" i="19"/>
  <c r="F125" i="19"/>
  <c r="G125" i="19"/>
  <c r="AB125" i="19"/>
  <c r="AC125" i="19"/>
  <c r="AD125" i="19"/>
  <c r="AE125" i="19"/>
  <c r="AG125" i="19"/>
  <c r="AH125" i="19"/>
  <c r="AI125" i="19"/>
  <c r="AJ125" i="19"/>
  <c r="AK125" i="19"/>
  <c r="A126" i="19"/>
  <c r="B126" i="19"/>
  <c r="C126" i="19"/>
  <c r="D126" i="19"/>
  <c r="E126" i="19"/>
  <c r="F126" i="19"/>
  <c r="G126" i="19"/>
  <c r="AB126" i="19"/>
  <c r="AC126" i="19"/>
  <c r="AD126" i="19"/>
  <c r="AE126" i="19"/>
  <c r="AG126" i="19"/>
  <c r="AH126" i="19"/>
  <c r="AI126" i="19"/>
  <c r="AJ126" i="19"/>
  <c r="AK126" i="19"/>
  <c r="A127" i="19"/>
  <c r="B127" i="19"/>
  <c r="C127" i="19"/>
  <c r="D127" i="19"/>
  <c r="E127" i="19"/>
  <c r="F127" i="19"/>
  <c r="G127" i="19"/>
  <c r="AB127" i="19"/>
  <c r="AC127" i="19"/>
  <c r="AD127" i="19"/>
  <c r="AE127" i="19"/>
  <c r="AG127" i="19"/>
  <c r="AH127" i="19"/>
  <c r="AI127" i="19"/>
  <c r="AJ127" i="19"/>
  <c r="AK127" i="19"/>
  <c r="A128" i="19"/>
  <c r="B128" i="19"/>
  <c r="C128" i="19"/>
  <c r="D128" i="19"/>
  <c r="E128" i="19"/>
  <c r="F128" i="19"/>
  <c r="G128" i="19"/>
  <c r="AB128" i="19"/>
  <c r="AC128" i="19"/>
  <c r="AD128" i="19"/>
  <c r="AE128" i="19"/>
  <c r="AF128" i="19"/>
  <c r="AG128" i="19"/>
  <c r="AH128" i="19"/>
  <c r="AI128" i="19"/>
  <c r="AJ128" i="19"/>
  <c r="AK128" i="19"/>
  <c r="A129" i="19"/>
  <c r="B129" i="19"/>
  <c r="C129" i="19"/>
  <c r="D129" i="19"/>
  <c r="E129" i="19"/>
  <c r="F129" i="19"/>
  <c r="G129" i="19"/>
  <c r="AB129" i="19"/>
  <c r="AC129" i="19"/>
  <c r="AD129" i="19"/>
  <c r="AE129" i="19"/>
  <c r="AF129" i="19"/>
  <c r="AG129" i="19"/>
  <c r="AH129" i="19"/>
  <c r="AI129" i="19"/>
  <c r="AJ129" i="19"/>
  <c r="AK129" i="19"/>
  <c r="A130" i="19"/>
  <c r="B130" i="19"/>
  <c r="C130" i="19"/>
  <c r="D130" i="19"/>
  <c r="E130" i="19"/>
  <c r="F130" i="19"/>
  <c r="G130" i="19"/>
  <c r="AB130" i="19"/>
  <c r="AC130" i="19"/>
  <c r="AD130" i="19"/>
  <c r="AE130" i="19"/>
  <c r="AF130" i="19"/>
  <c r="AG130" i="19"/>
  <c r="AH130" i="19"/>
  <c r="AI130" i="19"/>
  <c r="AJ130" i="19"/>
  <c r="AK130" i="19"/>
  <c r="A131" i="19"/>
  <c r="B131" i="19"/>
  <c r="C131" i="19"/>
  <c r="D131" i="19"/>
  <c r="E131" i="19"/>
  <c r="F131" i="19"/>
  <c r="G131" i="19"/>
  <c r="AB131" i="19"/>
  <c r="AC131" i="19"/>
  <c r="AD131" i="19"/>
  <c r="AE131" i="19"/>
  <c r="AF131" i="19"/>
  <c r="AG131" i="19"/>
  <c r="AH131" i="19"/>
  <c r="AI131" i="19"/>
  <c r="AJ131" i="19"/>
  <c r="AK131" i="19"/>
  <c r="A132" i="19"/>
  <c r="B132" i="19"/>
  <c r="C132" i="19"/>
  <c r="D132" i="19"/>
  <c r="E132" i="19"/>
  <c r="F132" i="19"/>
  <c r="G132" i="19"/>
  <c r="AB132" i="19"/>
  <c r="AC132" i="19"/>
  <c r="AD132" i="19"/>
  <c r="AE132" i="19"/>
  <c r="AF132" i="19"/>
  <c r="AG132" i="19"/>
  <c r="AH132" i="19"/>
  <c r="AI132" i="19"/>
  <c r="AJ132" i="19"/>
  <c r="AK132" i="19"/>
  <c r="A133" i="19"/>
  <c r="B133" i="19"/>
  <c r="C133" i="19"/>
  <c r="D133" i="19"/>
  <c r="E133" i="19"/>
  <c r="F133" i="19"/>
  <c r="G133" i="19"/>
  <c r="AB133" i="19"/>
  <c r="AC133" i="19"/>
  <c r="AD133" i="19"/>
  <c r="AE133" i="19"/>
  <c r="AF133" i="19"/>
  <c r="AG133" i="19"/>
  <c r="AH133" i="19"/>
  <c r="AI133" i="19"/>
  <c r="AJ133" i="19"/>
  <c r="AK133" i="19"/>
  <c r="A134" i="19"/>
  <c r="B134" i="19"/>
  <c r="C134" i="19"/>
  <c r="D134" i="19"/>
  <c r="E134" i="19"/>
  <c r="F134" i="19"/>
  <c r="G134" i="19"/>
  <c r="AB134" i="19"/>
  <c r="AC134" i="19"/>
  <c r="AD134" i="19"/>
  <c r="AE134" i="19"/>
  <c r="AF134" i="19"/>
  <c r="AG134" i="19"/>
  <c r="AH134" i="19"/>
  <c r="AI134" i="19"/>
  <c r="AJ134" i="19"/>
  <c r="AK134" i="19"/>
  <c r="A135" i="19"/>
  <c r="B135" i="19"/>
  <c r="C135" i="19"/>
  <c r="D135" i="19"/>
  <c r="E135" i="19"/>
  <c r="F135" i="19"/>
  <c r="G135" i="19"/>
  <c r="AB135" i="19"/>
  <c r="AC135" i="19"/>
  <c r="AD135" i="19"/>
  <c r="AE135" i="19"/>
  <c r="AG135" i="19"/>
  <c r="AH135" i="19"/>
  <c r="AI135" i="19"/>
  <c r="AJ135" i="19"/>
  <c r="AK135" i="19"/>
  <c r="A136" i="19"/>
  <c r="B136" i="19"/>
  <c r="C136" i="19"/>
  <c r="D136" i="19"/>
  <c r="E136" i="19"/>
  <c r="F136" i="19"/>
  <c r="G136" i="19"/>
  <c r="AB136" i="19"/>
  <c r="AC136" i="19"/>
  <c r="AD136" i="19"/>
  <c r="AE136" i="19"/>
  <c r="AG136" i="19"/>
  <c r="AH136" i="19"/>
  <c r="AI136" i="19"/>
  <c r="AJ136" i="19"/>
  <c r="AK136" i="19"/>
  <c r="A137" i="19"/>
  <c r="B137" i="19"/>
  <c r="C137" i="19"/>
  <c r="D137" i="19"/>
  <c r="E137" i="19"/>
  <c r="F137" i="19"/>
  <c r="G137" i="19"/>
  <c r="AB137" i="19"/>
  <c r="AC137" i="19"/>
  <c r="AD137" i="19"/>
  <c r="AE137" i="19"/>
  <c r="AG137" i="19"/>
  <c r="AH137" i="19"/>
  <c r="AI137" i="19"/>
  <c r="AJ137" i="19"/>
  <c r="AK137" i="19"/>
  <c r="A138" i="19"/>
  <c r="B138" i="19"/>
  <c r="C138" i="19"/>
  <c r="D138" i="19"/>
  <c r="E138" i="19"/>
  <c r="F138" i="19"/>
  <c r="G138" i="19"/>
  <c r="AB138" i="19"/>
  <c r="AC138" i="19"/>
  <c r="AD138" i="19"/>
  <c r="AE138" i="19"/>
  <c r="AG138" i="19"/>
  <c r="AH138" i="19"/>
  <c r="AI138" i="19"/>
  <c r="AJ138" i="19"/>
  <c r="AK138" i="19"/>
  <c r="A139" i="19"/>
  <c r="B139" i="19"/>
  <c r="C139" i="19"/>
  <c r="D139" i="19"/>
  <c r="E139" i="19"/>
  <c r="F139" i="19"/>
  <c r="G139" i="19"/>
  <c r="AB139" i="19"/>
  <c r="AC139" i="19"/>
  <c r="AD139" i="19"/>
  <c r="AE139" i="19"/>
  <c r="AG139" i="19"/>
  <c r="AH139" i="19"/>
  <c r="AI139" i="19"/>
  <c r="AJ139" i="19"/>
  <c r="AK139" i="19"/>
  <c r="A140" i="19"/>
  <c r="B140" i="19"/>
  <c r="C140" i="19"/>
  <c r="D140" i="19"/>
  <c r="E140" i="19"/>
  <c r="F140" i="19"/>
  <c r="G140" i="19"/>
  <c r="AB140" i="19"/>
  <c r="AC140" i="19"/>
  <c r="AD140" i="19"/>
  <c r="AE140" i="19"/>
  <c r="AF140" i="19"/>
  <c r="AG140" i="19"/>
  <c r="AH140" i="19"/>
  <c r="AI140" i="19"/>
  <c r="AJ140" i="19"/>
  <c r="AK140" i="19"/>
  <c r="A141" i="19"/>
  <c r="B141" i="19"/>
  <c r="C141" i="19"/>
  <c r="D141" i="19"/>
  <c r="E141" i="19"/>
  <c r="F141" i="19"/>
  <c r="G141" i="19"/>
  <c r="AB141" i="19"/>
  <c r="AC141" i="19"/>
  <c r="AD141" i="19"/>
  <c r="AE141" i="19"/>
  <c r="AF141" i="19"/>
  <c r="AG141" i="19"/>
  <c r="AH141" i="19"/>
  <c r="AI141" i="19"/>
  <c r="AJ141" i="19"/>
  <c r="AK141" i="19"/>
  <c r="A142" i="19"/>
  <c r="B142" i="19"/>
  <c r="C142" i="19"/>
  <c r="D142" i="19"/>
  <c r="E142" i="19"/>
  <c r="F142" i="19"/>
  <c r="G142" i="19"/>
  <c r="AB142" i="19"/>
  <c r="AC142" i="19"/>
  <c r="AD142" i="19"/>
  <c r="AE142" i="19"/>
  <c r="AF142" i="19"/>
  <c r="AG142" i="19"/>
  <c r="AH142" i="19"/>
  <c r="AI142" i="19"/>
  <c r="AJ142" i="19"/>
  <c r="AK142" i="19"/>
  <c r="A143" i="19"/>
  <c r="B143" i="19"/>
  <c r="C143" i="19"/>
  <c r="D143" i="19"/>
  <c r="E143" i="19"/>
  <c r="F143" i="19"/>
  <c r="G143" i="19"/>
  <c r="AB143" i="19"/>
  <c r="AC143" i="19"/>
  <c r="AD143" i="19"/>
  <c r="AE143" i="19"/>
  <c r="AF143" i="19"/>
  <c r="AG143" i="19"/>
  <c r="AH143" i="19"/>
  <c r="AI143" i="19"/>
  <c r="AJ143" i="19"/>
  <c r="AK143" i="19"/>
  <c r="A144" i="19"/>
  <c r="B144" i="19"/>
  <c r="C144" i="19"/>
  <c r="D144" i="19"/>
  <c r="E144" i="19"/>
  <c r="F144" i="19"/>
  <c r="G144" i="19"/>
  <c r="AB144" i="19"/>
  <c r="AC144" i="19"/>
  <c r="AD144" i="19"/>
  <c r="AE144" i="19"/>
  <c r="AF144" i="19"/>
  <c r="AG144" i="19"/>
  <c r="AH144" i="19"/>
  <c r="AI144" i="19"/>
  <c r="AJ144" i="19"/>
  <c r="AK144" i="19"/>
  <c r="A145" i="19"/>
  <c r="B145" i="19"/>
  <c r="C145" i="19"/>
  <c r="D145" i="19"/>
  <c r="E145" i="19"/>
  <c r="F145" i="19"/>
  <c r="G145" i="19"/>
  <c r="AB145" i="19"/>
  <c r="AC145" i="19"/>
  <c r="AD145" i="19"/>
  <c r="AE145" i="19"/>
  <c r="AF145" i="19"/>
  <c r="AG145" i="19"/>
  <c r="AH145" i="19"/>
  <c r="AI145" i="19"/>
  <c r="AJ145" i="19"/>
  <c r="AK145" i="19"/>
  <c r="A146" i="19"/>
  <c r="B146" i="19"/>
  <c r="C146" i="19"/>
  <c r="D146" i="19"/>
  <c r="E146" i="19"/>
  <c r="F146" i="19"/>
  <c r="G146" i="19"/>
  <c r="AB146" i="19"/>
  <c r="AC146" i="19"/>
  <c r="AD146" i="19"/>
  <c r="AE146" i="19"/>
  <c r="AF146" i="19"/>
  <c r="AG146" i="19"/>
  <c r="AH146" i="19"/>
  <c r="AI146" i="19"/>
  <c r="AJ146" i="19"/>
  <c r="AK146" i="19"/>
  <c r="A147" i="19"/>
  <c r="B147" i="19"/>
  <c r="C147" i="19"/>
  <c r="D147" i="19"/>
  <c r="E147" i="19"/>
  <c r="F147" i="19"/>
  <c r="G147" i="19"/>
  <c r="AB147" i="19"/>
  <c r="AC147" i="19"/>
  <c r="AD147" i="19"/>
  <c r="AE147" i="19"/>
  <c r="AG147" i="19"/>
  <c r="AH147" i="19"/>
  <c r="AI147" i="19"/>
  <c r="AJ147" i="19"/>
  <c r="AK147" i="19"/>
  <c r="A148" i="19"/>
  <c r="B148" i="19"/>
  <c r="C148" i="19"/>
  <c r="D148" i="19"/>
  <c r="E148" i="19"/>
  <c r="F148" i="19"/>
  <c r="G148" i="19"/>
  <c r="AB148" i="19"/>
  <c r="AC148" i="19"/>
  <c r="AD148" i="19"/>
  <c r="AE148" i="19"/>
  <c r="AG148" i="19"/>
  <c r="AH148" i="19"/>
  <c r="AI148" i="19"/>
  <c r="AJ148" i="19"/>
  <c r="AK148" i="19"/>
  <c r="A149" i="19"/>
  <c r="B149" i="19"/>
  <c r="C149" i="19"/>
  <c r="D149" i="19"/>
  <c r="E149" i="19"/>
  <c r="F149" i="19"/>
  <c r="G149" i="19"/>
  <c r="AB149" i="19"/>
  <c r="AC149" i="19"/>
  <c r="AD149" i="19"/>
  <c r="AE149" i="19"/>
  <c r="AG149" i="19"/>
  <c r="AH149" i="19"/>
  <c r="AI149" i="19"/>
  <c r="AJ149" i="19"/>
  <c r="AK149" i="19"/>
  <c r="A150" i="19"/>
  <c r="B150" i="19"/>
  <c r="C150" i="19"/>
  <c r="D150" i="19"/>
  <c r="E150" i="19"/>
  <c r="F150" i="19"/>
  <c r="G150" i="19"/>
  <c r="AB150" i="19"/>
  <c r="AC150" i="19"/>
  <c r="AD150" i="19"/>
  <c r="AE150" i="19"/>
  <c r="AG150" i="19"/>
  <c r="AH150" i="19"/>
  <c r="AI150" i="19"/>
  <c r="AJ150" i="19"/>
  <c r="AK150" i="19"/>
  <c r="A151" i="19"/>
  <c r="B151" i="19"/>
  <c r="C151" i="19"/>
  <c r="D151" i="19"/>
  <c r="E151" i="19"/>
  <c r="F151" i="19"/>
  <c r="G151" i="19"/>
  <c r="AB151" i="19"/>
  <c r="AC151" i="19"/>
  <c r="AD151" i="19"/>
  <c r="AE151" i="19"/>
  <c r="AG151" i="19"/>
  <c r="AH151" i="19"/>
  <c r="AI151" i="19"/>
  <c r="AJ151" i="19"/>
  <c r="AK151" i="19"/>
  <c r="A152" i="19"/>
  <c r="B152" i="19"/>
  <c r="C152" i="19"/>
  <c r="D152" i="19"/>
  <c r="E152" i="19"/>
  <c r="F152" i="19"/>
  <c r="G152" i="19"/>
  <c r="AB152" i="19"/>
  <c r="AC152" i="19"/>
  <c r="AD152" i="19"/>
  <c r="AE152" i="19"/>
  <c r="AF152" i="19"/>
  <c r="AG152" i="19"/>
  <c r="AH152" i="19"/>
  <c r="AI152" i="19"/>
  <c r="AJ152" i="19"/>
  <c r="AK152" i="19"/>
  <c r="A153" i="19"/>
  <c r="B153" i="19"/>
  <c r="C153" i="19"/>
  <c r="D153" i="19"/>
  <c r="E153" i="19"/>
  <c r="F153" i="19"/>
  <c r="G153" i="19"/>
  <c r="AB153" i="19"/>
  <c r="AC153" i="19"/>
  <c r="AD153" i="19"/>
  <c r="AE153" i="19"/>
  <c r="AF153" i="19"/>
  <c r="AG153" i="19"/>
  <c r="AH153" i="19"/>
  <c r="AI153" i="19"/>
  <c r="AJ153" i="19"/>
  <c r="AK153" i="19"/>
  <c r="A154" i="19"/>
  <c r="B154" i="19"/>
  <c r="C154" i="19"/>
  <c r="D154" i="19"/>
  <c r="E154" i="19"/>
  <c r="F154" i="19"/>
  <c r="G154" i="19"/>
  <c r="AB154" i="19"/>
  <c r="AC154" i="19"/>
  <c r="AD154" i="19"/>
  <c r="AE154" i="19"/>
  <c r="AF154" i="19"/>
  <c r="AG154" i="19"/>
  <c r="AH154" i="19"/>
  <c r="AI154" i="19"/>
  <c r="AJ154" i="19"/>
  <c r="AK154" i="19"/>
  <c r="A155" i="19"/>
  <c r="B155" i="19"/>
  <c r="C155" i="19"/>
  <c r="D155" i="19"/>
  <c r="E155" i="19"/>
  <c r="F155" i="19"/>
  <c r="G155" i="19"/>
  <c r="AB155" i="19"/>
  <c r="AC155" i="19"/>
  <c r="AD155" i="19"/>
  <c r="AE155" i="19"/>
  <c r="AF155" i="19"/>
  <c r="AG155" i="19"/>
  <c r="AH155" i="19"/>
  <c r="AI155" i="19"/>
  <c r="AJ155" i="19"/>
  <c r="AK155" i="19"/>
  <c r="A156" i="19"/>
  <c r="B156" i="19"/>
  <c r="C156" i="19"/>
  <c r="D156" i="19"/>
  <c r="E156" i="19"/>
  <c r="F156" i="19"/>
  <c r="G156" i="19"/>
  <c r="AB156" i="19"/>
  <c r="AC156" i="19"/>
  <c r="AD156" i="19"/>
  <c r="AE156" i="19"/>
  <c r="AF156" i="19"/>
  <c r="AG156" i="19"/>
  <c r="AH156" i="19"/>
  <c r="AI156" i="19"/>
  <c r="AJ156" i="19"/>
  <c r="AK156" i="19"/>
  <c r="A157" i="19"/>
  <c r="B157" i="19"/>
  <c r="C157" i="19"/>
  <c r="D157" i="19"/>
  <c r="E157" i="19"/>
  <c r="F157" i="19"/>
  <c r="G157" i="19"/>
  <c r="AB157" i="19"/>
  <c r="AC157" i="19"/>
  <c r="AD157" i="19"/>
  <c r="AE157" i="19"/>
  <c r="AF157" i="19"/>
  <c r="AG157" i="19"/>
  <c r="AH157" i="19"/>
  <c r="AI157" i="19"/>
  <c r="AJ157" i="19"/>
  <c r="AK157" i="19"/>
  <c r="A158" i="19"/>
  <c r="B158" i="19"/>
  <c r="C158" i="19"/>
  <c r="D158" i="19"/>
  <c r="E158" i="19"/>
  <c r="F158" i="19"/>
  <c r="G158" i="19"/>
  <c r="AB158" i="19"/>
  <c r="AC158" i="19"/>
  <c r="AD158" i="19"/>
  <c r="AE158" i="19"/>
  <c r="AF158" i="19"/>
  <c r="AG158" i="19"/>
  <c r="AH158" i="19"/>
  <c r="AI158" i="19"/>
  <c r="AJ158" i="19"/>
  <c r="AK158" i="19"/>
  <c r="A159" i="19"/>
  <c r="B159" i="19"/>
  <c r="C159" i="19"/>
  <c r="D159" i="19"/>
  <c r="E159" i="19"/>
  <c r="F159" i="19"/>
  <c r="G159" i="19"/>
  <c r="AB159" i="19"/>
  <c r="AC159" i="19"/>
  <c r="AD159" i="19"/>
  <c r="AE159" i="19"/>
  <c r="AG159" i="19"/>
  <c r="AH159" i="19"/>
  <c r="AI159" i="19"/>
  <c r="AJ159" i="19"/>
  <c r="AK159" i="19"/>
  <c r="A160" i="19"/>
  <c r="B160" i="19"/>
  <c r="C160" i="19"/>
  <c r="D160" i="19"/>
  <c r="E160" i="19"/>
  <c r="F160" i="19"/>
  <c r="G160" i="19"/>
  <c r="AB160" i="19"/>
  <c r="AC160" i="19"/>
  <c r="AD160" i="19"/>
  <c r="AE160" i="19"/>
  <c r="AG160" i="19"/>
  <c r="AH160" i="19"/>
  <c r="AI160" i="19"/>
  <c r="AJ160" i="19"/>
  <c r="AK160" i="19"/>
  <c r="A161" i="19"/>
  <c r="B161" i="19"/>
  <c r="C161" i="19"/>
  <c r="D161" i="19"/>
  <c r="E161" i="19"/>
  <c r="F161" i="19"/>
  <c r="G161" i="19"/>
  <c r="AB161" i="19"/>
  <c r="AC161" i="19"/>
  <c r="AD161" i="19"/>
  <c r="AE161" i="19"/>
  <c r="AG161" i="19"/>
  <c r="AH161" i="19"/>
  <c r="AI161" i="19"/>
  <c r="AJ161" i="19"/>
  <c r="AK161" i="19"/>
  <c r="A162" i="19"/>
  <c r="B162" i="19"/>
  <c r="C162" i="19"/>
  <c r="D162" i="19"/>
  <c r="E162" i="19"/>
  <c r="F162" i="19"/>
  <c r="G162" i="19"/>
  <c r="AB162" i="19"/>
  <c r="AC162" i="19"/>
  <c r="AD162" i="19"/>
  <c r="AE162" i="19"/>
  <c r="AG162" i="19"/>
  <c r="AH162" i="19"/>
  <c r="AI162" i="19"/>
  <c r="AJ162" i="19"/>
  <c r="AK162" i="19"/>
  <c r="A163" i="19"/>
  <c r="B163" i="19"/>
  <c r="C163" i="19"/>
  <c r="D163" i="19"/>
  <c r="E163" i="19"/>
  <c r="F163" i="19"/>
  <c r="G163" i="19"/>
  <c r="AB163" i="19"/>
  <c r="AC163" i="19"/>
  <c r="AD163" i="19"/>
  <c r="AE163" i="19"/>
  <c r="AG163" i="19"/>
  <c r="AH163" i="19"/>
  <c r="AI163" i="19"/>
  <c r="AJ163" i="19"/>
  <c r="AK163" i="19"/>
  <c r="A164" i="19"/>
  <c r="B164" i="19"/>
  <c r="C164" i="19"/>
  <c r="D164" i="19"/>
  <c r="E164" i="19"/>
  <c r="F164" i="19"/>
  <c r="G164" i="19"/>
  <c r="AB164" i="19"/>
  <c r="AC164" i="19"/>
  <c r="AD164" i="19"/>
  <c r="AE164" i="19"/>
  <c r="AF164" i="19"/>
  <c r="AG164" i="19"/>
  <c r="AH164" i="19"/>
  <c r="AI164" i="19"/>
  <c r="AJ164" i="19"/>
  <c r="AK164" i="19"/>
  <c r="A165" i="19"/>
  <c r="B165" i="19"/>
  <c r="C165" i="19"/>
  <c r="D165" i="19"/>
  <c r="E165" i="19"/>
  <c r="F165" i="19"/>
  <c r="G165" i="19"/>
  <c r="AB165" i="19"/>
  <c r="AC165" i="19"/>
  <c r="AD165" i="19"/>
  <c r="AE165" i="19"/>
  <c r="AF165" i="19"/>
  <c r="AG165" i="19"/>
  <c r="AH165" i="19"/>
  <c r="AI165" i="19"/>
  <c r="AJ165" i="19"/>
  <c r="AK165" i="19"/>
  <c r="A166" i="19"/>
  <c r="B166" i="19"/>
  <c r="C166" i="19"/>
  <c r="D166" i="19"/>
  <c r="E166" i="19"/>
  <c r="F166" i="19"/>
  <c r="G166" i="19"/>
  <c r="AB166" i="19"/>
  <c r="AC166" i="19"/>
  <c r="AD166" i="19"/>
  <c r="AE166" i="19"/>
  <c r="AF166" i="19"/>
  <c r="AG166" i="19"/>
  <c r="AH166" i="19"/>
  <c r="AI166" i="19"/>
  <c r="AJ166" i="19"/>
  <c r="AK166" i="19"/>
  <c r="A167" i="19"/>
  <c r="B167" i="19"/>
  <c r="C167" i="19"/>
  <c r="D167" i="19"/>
  <c r="E167" i="19"/>
  <c r="F167" i="19"/>
  <c r="G167" i="19"/>
  <c r="AB167" i="19"/>
  <c r="AC167" i="19"/>
  <c r="AD167" i="19"/>
  <c r="AE167" i="19"/>
  <c r="AF167" i="19"/>
  <c r="AG167" i="19"/>
  <c r="AH167" i="19"/>
  <c r="AI167" i="19"/>
  <c r="AJ167" i="19"/>
  <c r="AK167" i="19"/>
  <c r="A168" i="19"/>
  <c r="B168" i="19"/>
  <c r="C168" i="19"/>
  <c r="D168" i="19"/>
  <c r="E168" i="19"/>
  <c r="F168" i="19"/>
  <c r="G168" i="19"/>
  <c r="AB168" i="19"/>
  <c r="AC168" i="19"/>
  <c r="AD168" i="19"/>
  <c r="AE168" i="19"/>
  <c r="AF168" i="19"/>
  <c r="AG168" i="19"/>
  <c r="AH168" i="19"/>
  <c r="AI168" i="19"/>
  <c r="AJ168" i="19"/>
  <c r="AK168" i="19"/>
  <c r="A169" i="19"/>
  <c r="B169" i="19"/>
  <c r="C169" i="19"/>
  <c r="D169" i="19"/>
  <c r="E169" i="19"/>
  <c r="F169" i="19"/>
  <c r="G169" i="19"/>
  <c r="AB169" i="19"/>
  <c r="AC169" i="19"/>
  <c r="AD169" i="19"/>
  <c r="AE169" i="19"/>
  <c r="AF169" i="19"/>
  <c r="AG169" i="19"/>
  <c r="AH169" i="19"/>
  <c r="AI169" i="19"/>
  <c r="AJ169" i="19"/>
  <c r="AK169" i="19"/>
  <c r="A170" i="19"/>
  <c r="B170" i="19"/>
  <c r="C170" i="19"/>
  <c r="D170" i="19"/>
  <c r="E170" i="19"/>
  <c r="F170" i="19"/>
  <c r="G170" i="19"/>
  <c r="AB170" i="19"/>
  <c r="AC170" i="19"/>
  <c r="AD170" i="19"/>
  <c r="AE170" i="19"/>
  <c r="AF170" i="19"/>
  <c r="AG170" i="19"/>
  <c r="AH170" i="19"/>
  <c r="AI170" i="19"/>
  <c r="AJ170" i="19"/>
  <c r="AK170" i="19"/>
  <c r="A171" i="19"/>
  <c r="B171" i="19"/>
  <c r="C171" i="19"/>
  <c r="D171" i="19"/>
  <c r="E171" i="19"/>
  <c r="F171" i="19"/>
  <c r="G171" i="19"/>
  <c r="AB171" i="19"/>
  <c r="AC171" i="19"/>
  <c r="AD171" i="19"/>
  <c r="AE171" i="19"/>
  <c r="AG171" i="19"/>
  <c r="AH171" i="19"/>
  <c r="AI171" i="19"/>
  <c r="AJ171" i="19"/>
  <c r="AK171" i="19"/>
  <c r="A172" i="19"/>
  <c r="B172" i="19"/>
  <c r="C172" i="19"/>
  <c r="D172" i="19"/>
  <c r="E172" i="19"/>
  <c r="F172" i="19"/>
  <c r="G172" i="19"/>
  <c r="AB172" i="19"/>
  <c r="AC172" i="19"/>
  <c r="AD172" i="19"/>
  <c r="AE172" i="19"/>
  <c r="AG172" i="19"/>
  <c r="AH172" i="19"/>
  <c r="AI172" i="19"/>
  <c r="AJ172" i="19"/>
  <c r="AK172" i="19"/>
  <c r="A173" i="19"/>
  <c r="B173" i="19"/>
  <c r="C173" i="19"/>
  <c r="D173" i="19"/>
  <c r="E173" i="19"/>
  <c r="F173" i="19"/>
  <c r="G173" i="19"/>
  <c r="AB173" i="19"/>
  <c r="AC173" i="19"/>
  <c r="AD173" i="19"/>
  <c r="AE173" i="19"/>
  <c r="AG173" i="19"/>
  <c r="AH173" i="19"/>
  <c r="AI173" i="19"/>
  <c r="AJ173" i="19"/>
  <c r="AK173" i="19"/>
  <c r="A174" i="19"/>
  <c r="B174" i="19"/>
  <c r="C174" i="19"/>
  <c r="D174" i="19"/>
  <c r="E174" i="19"/>
  <c r="F174" i="19"/>
  <c r="G174" i="19"/>
  <c r="AB174" i="19"/>
  <c r="AC174" i="19"/>
  <c r="AD174" i="19"/>
  <c r="AE174" i="19"/>
  <c r="AG174" i="19"/>
  <c r="AH174" i="19"/>
  <c r="AI174" i="19"/>
  <c r="AJ174" i="19"/>
  <c r="AK174" i="19"/>
  <c r="A175" i="19"/>
  <c r="B175" i="19"/>
  <c r="C175" i="19"/>
  <c r="D175" i="19"/>
  <c r="E175" i="19"/>
  <c r="F175" i="19"/>
  <c r="G175" i="19"/>
  <c r="AB175" i="19"/>
  <c r="AC175" i="19"/>
  <c r="AD175" i="19"/>
  <c r="AE175" i="19"/>
  <c r="AG175" i="19"/>
  <c r="AH175" i="19"/>
  <c r="AI175" i="19"/>
  <c r="AJ175" i="19"/>
  <c r="AK175" i="19"/>
  <c r="A176" i="19"/>
  <c r="B176" i="19"/>
  <c r="C176" i="19"/>
  <c r="D176" i="19"/>
  <c r="E176" i="19"/>
  <c r="F176" i="19"/>
  <c r="G176" i="19"/>
  <c r="AB176" i="19"/>
  <c r="AC176" i="19"/>
  <c r="AD176" i="19"/>
  <c r="AE176" i="19"/>
  <c r="AF176" i="19"/>
  <c r="AG176" i="19"/>
  <c r="AH176" i="19"/>
  <c r="AI176" i="19"/>
  <c r="AJ176" i="19"/>
  <c r="AK176" i="19"/>
  <c r="A177" i="19"/>
  <c r="B177" i="19"/>
  <c r="C177" i="19"/>
  <c r="D177" i="19"/>
  <c r="E177" i="19"/>
  <c r="F177" i="19"/>
  <c r="G177" i="19"/>
  <c r="AB177" i="19"/>
  <c r="AC177" i="19"/>
  <c r="AD177" i="19"/>
  <c r="AE177" i="19"/>
  <c r="AF177" i="19"/>
  <c r="AG177" i="19"/>
  <c r="AH177" i="19"/>
  <c r="AI177" i="19"/>
  <c r="AJ177" i="19"/>
  <c r="AK177" i="19"/>
  <c r="A178" i="19"/>
  <c r="B178" i="19"/>
  <c r="C178" i="19"/>
  <c r="D178" i="19"/>
  <c r="E178" i="19"/>
  <c r="F178" i="19"/>
  <c r="G178" i="19"/>
  <c r="AB178" i="19"/>
  <c r="AC178" i="19"/>
  <c r="AD178" i="19"/>
  <c r="AE178" i="19"/>
  <c r="AF178" i="19"/>
  <c r="AG178" i="19"/>
  <c r="AH178" i="19"/>
  <c r="AI178" i="19"/>
  <c r="AJ178" i="19"/>
  <c r="AK178" i="19"/>
  <c r="A179" i="19"/>
  <c r="B179" i="19"/>
  <c r="C179" i="19"/>
  <c r="D179" i="19"/>
  <c r="E179" i="19"/>
  <c r="F179" i="19"/>
  <c r="G179" i="19"/>
  <c r="AB179" i="19"/>
  <c r="AC179" i="19"/>
  <c r="AD179" i="19"/>
  <c r="AE179" i="19"/>
  <c r="AF179" i="19"/>
  <c r="AG179" i="19"/>
  <c r="AH179" i="19"/>
  <c r="AI179" i="19"/>
  <c r="AJ179" i="19"/>
  <c r="AK179" i="19"/>
  <c r="A180" i="19"/>
  <c r="B180" i="19"/>
  <c r="C180" i="19"/>
  <c r="D180" i="19"/>
  <c r="E180" i="19"/>
  <c r="F180" i="19"/>
  <c r="G180" i="19"/>
  <c r="AB180" i="19"/>
  <c r="AC180" i="19"/>
  <c r="AD180" i="19"/>
  <c r="AE180" i="19"/>
  <c r="AF180" i="19"/>
  <c r="AG180" i="19"/>
  <c r="AH180" i="19"/>
  <c r="AI180" i="19"/>
  <c r="AJ180" i="19"/>
  <c r="AK180" i="19"/>
  <c r="A181" i="19"/>
  <c r="B181" i="19"/>
  <c r="C181" i="19"/>
  <c r="D181" i="19"/>
  <c r="E181" i="19"/>
  <c r="F181" i="19"/>
  <c r="G181" i="19"/>
  <c r="AB181" i="19"/>
  <c r="AC181" i="19"/>
  <c r="AD181" i="19"/>
  <c r="AE181" i="19"/>
  <c r="AF181" i="19"/>
  <c r="AG181" i="19"/>
  <c r="AH181" i="19"/>
  <c r="AI181" i="19"/>
  <c r="AJ181" i="19"/>
  <c r="AK181" i="19"/>
  <c r="A182" i="19"/>
  <c r="B182" i="19"/>
  <c r="C182" i="19"/>
  <c r="D182" i="19"/>
  <c r="E182" i="19"/>
  <c r="F182" i="19"/>
  <c r="G182" i="19"/>
  <c r="AB182" i="19"/>
  <c r="AC182" i="19"/>
  <c r="AD182" i="19"/>
  <c r="AE182" i="19"/>
  <c r="AF182" i="19"/>
  <c r="AG182" i="19"/>
  <c r="AH182" i="19"/>
  <c r="AI182" i="19"/>
  <c r="AJ182" i="19"/>
  <c r="AK182" i="19"/>
  <c r="A183" i="19"/>
  <c r="B183" i="19"/>
  <c r="C183" i="19"/>
  <c r="D183" i="19"/>
  <c r="E183" i="19"/>
  <c r="F183" i="19"/>
  <c r="G183" i="19"/>
  <c r="AB183" i="19"/>
  <c r="AC183" i="19"/>
  <c r="AD183" i="19"/>
  <c r="AE183" i="19"/>
  <c r="AG183" i="19"/>
  <c r="AH183" i="19"/>
  <c r="AI183" i="19"/>
  <c r="AJ183" i="19"/>
  <c r="AK183" i="19"/>
  <c r="A184" i="19"/>
  <c r="B184" i="19"/>
  <c r="C184" i="19"/>
  <c r="D184" i="19"/>
  <c r="E184" i="19"/>
  <c r="F184" i="19"/>
  <c r="G184" i="19"/>
  <c r="AB184" i="19"/>
  <c r="AC184" i="19"/>
  <c r="AD184" i="19"/>
  <c r="AE184" i="19"/>
  <c r="AG184" i="19"/>
  <c r="AH184" i="19"/>
  <c r="AI184" i="19"/>
  <c r="AJ184" i="19"/>
  <c r="AK184" i="19"/>
  <c r="A185" i="19"/>
  <c r="B185" i="19"/>
  <c r="C185" i="19"/>
  <c r="D185" i="19"/>
  <c r="E185" i="19"/>
  <c r="F185" i="19"/>
  <c r="G185" i="19"/>
  <c r="AB185" i="19"/>
  <c r="AC185" i="19"/>
  <c r="AD185" i="19"/>
  <c r="AE185" i="19"/>
  <c r="AG185" i="19"/>
  <c r="AH185" i="19"/>
  <c r="AI185" i="19"/>
  <c r="AJ185" i="19"/>
  <c r="AK185" i="19"/>
  <c r="A186" i="19"/>
  <c r="B186" i="19"/>
  <c r="C186" i="19"/>
  <c r="D186" i="19"/>
  <c r="E186" i="19"/>
  <c r="F186" i="19"/>
  <c r="G186" i="19"/>
  <c r="AB186" i="19"/>
  <c r="AC186" i="19"/>
  <c r="AD186" i="19"/>
  <c r="AE186" i="19"/>
  <c r="AG186" i="19"/>
  <c r="AH186" i="19"/>
  <c r="AI186" i="19"/>
  <c r="AJ186" i="19"/>
  <c r="AK186" i="19"/>
  <c r="A187" i="19"/>
  <c r="B187" i="19"/>
  <c r="C187" i="19"/>
  <c r="D187" i="19"/>
  <c r="E187" i="19"/>
  <c r="F187" i="19"/>
  <c r="G187" i="19"/>
  <c r="AB187" i="19"/>
  <c r="AC187" i="19"/>
  <c r="AD187" i="19"/>
  <c r="AE187" i="19"/>
  <c r="AG187" i="19"/>
  <c r="AH187" i="19"/>
  <c r="AI187" i="19"/>
  <c r="AJ187" i="19"/>
  <c r="AK187" i="19"/>
  <c r="A188" i="19"/>
  <c r="B188" i="19"/>
  <c r="C188" i="19"/>
  <c r="D188" i="19"/>
  <c r="E188" i="19"/>
  <c r="F188" i="19"/>
  <c r="G188" i="19"/>
  <c r="AB188" i="19"/>
  <c r="AC188" i="19"/>
  <c r="AD188" i="19"/>
  <c r="AE188" i="19"/>
  <c r="AF188" i="19"/>
  <c r="AG188" i="19"/>
  <c r="AH188" i="19"/>
  <c r="AI188" i="19"/>
  <c r="AJ188" i="19"/>
  <c r="AK188" i="19"/>
  <c r="A189" i="19"/>
  <c r="B189" i="19"/>
  <c r="C189" i="19"/>
  <c r="D189" i="19"/>
  <c r="E189" i="19"/>
  <c r="F189" i="19"/>
  <c r="G189" i="19"/>
  <c r="AB189" i="19"/>
  <c r="AC189" i="19"/>
  <c r="AD189" i="19"/>
  <c r="AE189" i="19"/>
  <c r="AF189" i="19"/>
  <c r="AG189" i="19"/>
  <c r="AH189" i="19"/>
  <c r="AI189" i="19"/>
  <c r="AJ189" i="19"/>
  <c r="AK189" i="19"/>
  <c r="A190" i="19"/>
  <c r="B190" i="19"/>
  <c r="C190" i="19"/>
  <c r="D190" i="19"/>
  <c r="E190" i="19"/>
  <c r="F190" i="19"/>
  <c r="G190" i="19"/>
  <c r="AB190" i="19"/>
  <c r="AC190" i="19"/>
  <c r="AD190" i="19"/>
  <c r="AE190" i="19"/>
  <c r="AF190" i="19"/>
  <c r="AG190" i="19"/>
  <c r="AH190" i="19"/>
  <c r="AI190" i="19"/>
  <c r="AJ190" i="19"/>
  <c r="AK190" i="19"/>
  <c r="A191" i="19"/>
  <c r="B191" i="19"/>
  <c r="C191" i="19"/>
  <c r="D191" i="19"/>
  <c r="E191" i="19"/>
  <c r="F191" i="19"/>
  <c r="G191" i="19"/>
  <c r="AB191" i="19"/>
  <c r="AC191" i="19"/>
  <c r="AD191" i="19"/>
  <c r="AE191" i="19"/>
  <c r="AF191" i="19"/>
  <c r="AG191" i="19"/>
  <c r="AH191" i="19"/>
  <c r="AI191" i="19"/>
  <c r="AJ191" i="19"/>
  <c r="AK191" i="19"/>
  <c r="A192" i="19"/>
  <c r="B192" i="19"/>
  <c r="C192" i="19"/>
  <c r="D192" i="19"/>
  <c r="E192" i="19"/>
  <c r="F192" i="19"/>
  <c r="G192" i="19"/>
  <c r="AB192" i="19"/>
  <c r="AC192" i="19"/>
  <c r="AD192" i="19"/>
  <c r="AE192" i="19"/>
  <c r="AF192" i="19"/>
  <c r="AG192" i="19"/>
  <c r="AH192" i="19"/>
  <c r="AI192" i="19"/>
  <c r="AJ192" i="19"/>
  <c r="AK192" i="19"/>
  <c r="A193" i="19"/>
  <c r="B193" i="19"/>
  <c r="C193" i="19"/>
  <c r="D193" i="19"/>
  <c r="E193" i="19"/>
  <c r="F193" i="19"/>
  <c r="G193" i="19"/>
  <c r="AB193" i="19"/>
  <c r="AC193" i="19"/>
  <c r="AD193" i="19"/>
  <c r="AE193" i="19"/>
  <c r="AF193" i="19"/>
  <c r="AG193" i="19"/>
  <c r="AH193" i="19"/>
  <c r="AI193" i="19"/>
  <c r="AJ193" i="19"/>
  <c r="AK193" i="19"/>
  <c r="A194" i="19"/>
  <c r="B194" i="19"/>
  <c r="C194" i="19"/>
  <c r="D194" i="19"/>
  <c r="E194" i="19"/>
  <c r="F194" i="19"/>
  <c r="G194" i="19"/>
  <c r="AB194" i="19"/>
  <c r="AC194" i="19"/>
  <c r="AD194" i="19"/>
  <c r="AE194" i="19"/>
  <c r="AF194" i="19"/>
  <c r="AG194" i="19"/>
  <c r="AH194" i="19"/>
  <c r="AI194" i="19"/>
  <c r="AJ194" i="19"/>
  <c r="AK194" i="19"/>
  <c r="A195" i="19"/>
  <c r="B195" i="19"/>
  <c r="C195" i="19"/>
  <c r="D195" i="19"/>
  <c r="E195" i="19"/>
  <c r="F195" i="19"/>
  <c r="G195" i="19"/>
  <c r="AB195" i="19"/>
  <c r="AC195" i="19"/>
  <c r="AD195" i="19"/>
  <c r="AE195" i="19"/>
  <c r="AG195" i="19"/>
  <c r="AH195" i="19"/>
  <c r="AI195" i="19"/>
  <c r="AJ195" i="19"/>
  <c r="AK195" i="19"/>
  <c r="A196" i="19"/>
  <c r="B196" i="19"/>
  <c r="C196" i="19"/>
  <c r="D196" i="19"/>
  <c r="E196" i="19"/>
  <c r="F196" i="19"/>
  <c r="G196" i="19"/>
  <c r="AB196" i="19"/>
  <c r="AC196" i="19"/>
  <c r="AD196" i="19"/>
  <c r="AE196" i="19"/>
  <c r="AG196" i="19"/>
  <c r="AH196" i="19"/>
  <c r="AI196" i="19"/>
  <c r="AJ196" i="19"/>
  <c r="AK196" i="19"/>
  <c r="A197" i="19"/>
  <c r="B197" i="19"/>
  <c r="C197" i="19"/>
  <c r="D197" i="19"/>
  <c r="E197" i="19"/>
  <c r="F197" i="19"/>
  <c r="G197" i="19"/>
  <c r="AB197" i="19"/>
  <c r="AC197" i="19"/>
  <c r="AD197" i="19"/>
  <c r="AE197" i="19"/>
  <c r="AG197" i="19"/>
  <c r="AH197" i="19"/>
  <c r="AI197" i="19"/>
  <c r="AJ197" i="19"/>
  <c r="AK197" i="19"/>
  <c r="A198" i="19"/>
  <c r="B198" i="19"/>
  <c r="C198" i="19"/>
  <c r="D198" i="19"/>
  <c r="E198" i="19"/>
  <c r="F198" i="19"/>
  <c r="G198" i="19"/>
  <c r="AB198" i="19"/>
  <c r="AC198" i="19"/>
  <c r="AD198" i="19"/>
  <c r="AE198" i="19"/>
  <c r="AG198" i="19"/>
  <c r="AH198" i="19"/>
  <c r="AI198" i="19"/>
  <c r="AJ198" i="19"/>
  <c r="AK198" i="19"/>
  <c r="A199" i="19"/>
  <c r="B199" i="19"/>
  <c r="C199" i="19"/>
  <c r="D199" i="19"/>
  <c r="E199" i="19"/>
  <c r="F199" i="19"/>
  <c r="G199" i="19"/>
  <c r="AB199" i="19"/>
  <c r="AC199" i="19"/>
  <c r="AD199" i="19"/>
  <c r="AE199" i="19"/>
  <c r="AG199" i="19"/>
  <c r="AH199" i="19"/>
  <c r="AI199" i="19"/>
  <c r="AJ199" i="19"/>
  <c r="AK199" i="19"/>
  <c r="A200" i="19"/>
  <c r="B200" i="19"/>
  <c r="C200" i="19"/>
  <c r="D200" i="19"/>
  <c r="E200" i="19"/>
  <c r="F200" i="19"/>
  <c r="G200" i="19"/>
  <c r="AB200" i="19"/>
  <c r="AC200" i="19"/>
  <c r="AD200" i="19"/>
  <c r="AE200" i="19"/>
  <c r="AF200" i="19"/>
  <c r="AG200" i="19"/>
  <c r="AH200" i="19"/>
  <c r="AI200" i="19"/>
  <c r="AJ200" i="19"/>
  <c r="AK200" i="19"/>
  <c r="A201" i="19"/>
  <c r="B201" i="19"/>
  <c r="C201" i="19"/>
  <c r="D201" i="19"/>
  <c r="E201" i="19"/>
  <c r="F201" i="19"/>
  <c r="G201" i="19"/>
  <c r="AB201" i="19"/>
  <c r="AC201" i="19"/>
  <c r="AD201" i="19"/>
  <c r="AE201" i="19"/>
  <c r="AF201" i="19"/>
  <c r="AG201" i="19"/>
  <c r="AH201" i="19"/>
  <c r="AI201" i="19"/>
  <c r="AJ201" i="19"/>
  <c r="AK201" i="19"/>
  <c r="A202" i="19"/>
  <c r="B202" i="19"/>
  <c r="C202" i="19"/>
  <c r="D202" i="19"/>
  <c r="E202" i="19"/>
  <c r="F202" i="19"/>
  <c r="G202" i="19"/>
  <c r="AB202" i="19"/>
  <c r="AC202" i="19"/>
  <c r="AD202" i="19"/>
  <c r="AE202" i="19"/>
  <c r="AF202" i="19"/>
  <c r="AG202" i="19"/>
  <c r="AH202" i="19"/>
  <c r="AI202" i="19"/>
  <c r="AJ202" i="19"/>
  <c r="AK202" i="19"/>
  <c r="A203" i="19"/>
  <c r="B203" i="19"/>
  <c r="C203" i="19"/>
  <c r="D203" i="19"/>
  <c r="E203" i="19"/>
  <c r="F203" i="19"/>
  <c r="G203" i="19"/>
  <c r="AB203" i="19"/>
  <c r="AC203" i="19"/>
  <c r="AD203" i="19"/>
  <c r="AE203" i="19"/>
  <c r="AF203" i="19"/>
  <c r="AG203" i="19"/>
  <c r="AH203" i="19"/>
  <c r="AI203" i="19"/>
  <c r="AJ203" i="19"/>
  <c r="AK203" i="19"/>
  <c r="A204" i="19"/>
  <c r="B204" i="19"/>
  <c r="C204" i="19"/>
  <c r="D204" i="19"/>
  <c r="E204" i="19"/>
  <c r="F204" i="19"/>
  <c r="G204" i="19"/>
  <c r="AB204" i="19"/>
  <c r="AC204" i="19"/>
  <c r="AD204" i="19"/>
  <c r="AE204" i="19"/>
  <c r="AF204" i="19"/>
  <c r="AG204" i="19"/>
  <c r="AH204" i="19"/>
  <c r="AI204" i="19"/>
  <c r="AJ204" i="19"/>
  <c r="AK204" i="19"/>
  <c r="A205" i="19"/>
  <c r="B205" i="19"/>
  <c r="C205" i="19"/>
  <c r="D205" i="19"/>
  <c r="E205" i="19"/>
  <c r="F205" i="19"/>
  <c r="G205" i="19"/>
  <c r="AB205" i="19"/>
  <c r="AC205" i="19"/>
  <c r="AD205" i="19"/>
  <c r="AE205" i="19"/>
  <c r="AF205" i="19"/>
  <c r="AG205" i="19"/>
  <c r="AH205" i="19"/>
  <c r="AI205" i="19"/>
  <c r="AJ205" i="19"/>
  <c r="AK205" i="19"/>
  <c r="A206" i="19"/>
  <c r="B206" i="19"/>
  <c r="C206" i="19"/>
  <c r="D206" i="19"/>
  <c r="E206" i="19"/>
  <c r="F206" i="19"/>
  <c r="G206" i="19"/>
  <c r="AB206" i="19"/>
  <c r="AC206" i="19"/>
  <c r="AD206" i="19"/>
  <c r="AE206" i="19"/>
  <c r="AF206" i="19"/>
  <c r="AG206" i="19"/>
  <c r="AH206" i="19"/>
  <c r="AI206" i="19"/>
  <c r="AJ206" i="19"/>
  <c r="AK206" i="19"/>
  <c r="A207" i="19"/>
  <c r="B207" i="19"/>
  <c r="C207" i="19"/>
  <c r="D207" i="19"/>
  <c r="E207" i="19"/>
  <c r="F207" i="19"/>
  <c r="G207" i="19"/>
  <c r="AB207" i="19"/>
  <c r="AC207" i="19"/>
  <c r="AD207" i="19"/>
  <c r="AE207" i="19"/>
  <c r="AG207" i="19"/>
  <c r="AH207" i="19"/>
  <c r="AI207" i="19"/>
  <c r="AJ207" i="19"/>
  <c r="AK207" i="19"/>
  <c r="A208" i="19"/>
  <c r="B208" i="19"/>
  <c r="C208" i="19"/>
  <c r="D208" i="19"/>
  <c r="E208" i="19"/>
  <c r="F208" i="19"/>
  <c r="G208" i="19"/>
  <c r="AB208" i="19"/>
  <c r="AC208" i="19"/>
  <c r="AD208" i="19"/>
  <c r="AE208" i="19"/>
  <c r="AG208" i="19"/>
  <c r="AH208" i="19"/>
  <c r="AI208" i="19"/>
  <c r="AJ208" i="19"/>
  <c r="AK208" i="19"/>
  <c r="A209" i="19"/>
  <c r="B209" i="19"/>
  <c r="C209" i="19"/>
  <c r="D209" i="19"/>
  <c r="E209" i="19"/>
  <c r="F209" i="19"/>
  <c r="G209" i="19"/>
  <c r="AB209" i="19"/>
  <c r="AC209" i="19"/>
  <c r="AD209" i="19"/>
  <c r="AE209" i="19"/>
  <c r="AG209" i="19"/>
  <c r="AH209" i="19"/>
  <c r="AI209" i="19"/>
  <c r="AJ209" i="19"/>
  <c r="AK209" i="19"/>
  <c r="A210" i="19"/>
  <c r="B210" i="19"/>
  <c r="C210" i="19"/>
  <c r="D210" i="19"/>
  <c r="E210" i="19"/>
  <c r="F210" i="19"/>
  <c r="G210" i="19"/>
  <c r="AB210" i="19"/>
  <c r="AC210" i="19"/>
  <c r="AD210" i="19"/>
  <c r="AE210" i="19"/>
  <c r="AG210" i="19"/>
  <c r="AH210" i="19"/>
  <c r="AI210" i="19"/>
  <c r="AJ210" i="19"/>
  <c r="AK210" i="19"/>
  <c r="A211" i="19"/>
  <c r="B211" i="19"/>
  <c r="C211" i="19"/>
  <c r="D211" i="19"/>
  <c r="E211" i="19"/>
  <c r="F211" i="19"/>
  <c r="G211" i="19"/>
  <c r="AB211" i="19"/>
  <c r="AC211" i="19"/>
  <c r="AD211" i="19"/>
  <c r="AE211" i="19"/>
  <c r="AG211" i="19"/>
  <c r="AH211" i="19"/>
  <c r="AI211" i="19"/>
  <c r="AJ211" i="19"/>
  <c r="AK211" i="19"/>
  <c r="A212" i="19"/>
  <c r="B212" i="19"/>
  <c r="C212" i="19"/>
  <c r="D212" i="19"/>
  <c r="E212" i="19"/>
  <c r="F212" i="19"/>
  <c r="G212" i="19"/>
  <c r="AB212" i="19"/>
  <c r="AC212" i="19"/>
  <c r="AD212" i="19"/>
  <c r="AE212" i="19"/>
  <c r="AF212" i="19"/>
  <c r="AG212" i="19"/>
  <c r="AH212" i="19"/>
  <c r="AI212" i="19"/>
  <c r="AJ212" i="19"/>
  <c r="AK212" i="19"/>
  <c r="A213" i="19"/>
  <c r="B213" i="19"/>
  <c r="C213" i="19"/>
  <c r="D213" i="19"/>
  <c r="E213" i="19"/>
  <c r="F213" i="19"/>
  <c r="G213" i="19"/>
  <c r="AB213" i="19"/>
  <c r="AC213" i="19"/>
  <c r="AD213" i="19"/>
  <c r="AE213" i="19"/>
  <c r="AF213" i="19"/>
  <c r="AG213" i="19"/>
  <c r="AH213" i="19"/>
  <c r="AI213" i="19"/>
  <c r="AJ213" i="19"/>
  <c r="AK213" i="19"/>
  <c r="A214" i="19"/>
  <c r="B214" i="19"/>
  <c r="C214" i="19"/>
  <c r="D214" i="19"/>
  <c r="E214" i="19"/>
  <c r="F214" i="19"/>
  <c r="G214" i="19"/>
  <c r="AB214" i="19"/>
  <c r="AC214" i="19"/>
  <c r="AD214" i="19"/>
  <c r="AE214" i="19"/>
  <c r="AF214" i="19"/>
  <c r="AG214" i="19"/>
  <c r="AH214" i="19"/>
  <c r="AI214" i="19"/>
  <c r="AJ214" i="19"/>
  <c r="AK214" i="19"/>
  <c r="A215" i="19"/>
  <c r="B215" i="19"/>
  <c r="C215" i="19"/>
  <c r="D215" i="19"/>
  <c r="E215" i="19"/>
  <c r="F215" i="19"/>
  <c r="G215" i="19"/>
  <c r="AB215" i="19"/>
  <c r="AC215" i="19"/>
  <c r="AD215" i="19"/>
  <c r="AE215" i="19"/>
  <c r="AF215" i="19"/>
  <c r="AG215" i="19"/>
  <c r="AH215" i="19"/>
  <c r="AI215" i="19"/>
  <c r="AJ215" i="19"/>
  <c r="AK215" i="19"/>
  <c r="A216" i="19"/>
  <c r="B216" i="19"/>
  <c r="C216" i="19"/>
  <c r="D216" i="19"/>
  <c r="E216" i="19"/>
  <c r="F216" i="19"/>
  <c r="G216" i="19"/>
  <c r="AB216" i="19"/>
  <c r="AC216" i="19"/>
  <c r="AD216" i="19"/>
  <c r="AE216" i="19"/>
  <c r="AF216" i="19"/>
  <c r="AG216" i="19"/>
  <c r="AH216" i="19"/>
  <c r="AI216" i="19"/>
  <c r="AJ216" i="19"/>
  <c r="AK216" i="19"/>
  <c r="A217" i="19"/>
  <c r="B217" i="19"/>
  <c r="C217" i="19"/>
  <c r="D217" i="19"/>
  <c r="E217" i="19"/>
  <c r="F217" i="19"/>
  <c r="G217" i="19"/>
  <c r="AB217" i="19"/>
  <c r="AC217" i="19"/>
  <c r="AD217" i="19"/>
  <c r="AE217" i="19"/>
  <c r="AF217" i="19"/>
  <c r="AG217" i="19"/>
  <c r="AH217" i="19"/>
  <c r="AI217" i="19"/>
  <c r="AJ217" i="19"/>
  <c r="AK217" i="19"/>
  <c r="A218" i="19"/>
  <c r="B218" i="19"/>
  <c r="C218" i="19"/>
  <c r="D218" i="19"/>
  <c r="E218" i="19"/>
  <c r="F218" i="19"/>
  <c r="G218" i="19"/>
  <c r="AB218" i="19"/>
  <c r="AC218" i="19"/>
  <c r="AD218" i="19"/>
  <c r="AE218" i="19"/>
  <c r="AF218" i="19"/>
  <c r="AG218" i="19"/>
  <c r="AH218" i="19"/>
  <c r="AI218" i="19"/>
  <c r="AJ218" i="19"/>
  <c r="AK218" i="19"/>
  <c r="A219" i="19"/>
  <c r="B219" i="19"/>
  <c r="C219" i="19"/>
  <c r="D219" i="19"/>
  <c r="E219" i="19"/>
  <c r="F219" i="19"/>
  <c r="G219" i="19"/>
  <c r="AB219" i="19"/>
  <c r="AC219" i="19"/>
  <c r="AD219" i="19"/>
  <c r="AE219" i="19"/>
  <c r="AG219" i="19"/>
  <c r="AH219" i="19"/>
  <c r="AI219" i="19"/>
  <c r="AJ219" i="19"/>
  <c r="AK219" i="19"/>
  <c r="A220" i="19"/>
  <c r="B220" i="19"/>
  <c r="C220" i="19"/>
  <c r="D220" i="19"/>
  <c r="E220" i="19"/>
  <c r="F220" i="19"/>
  <c r="G220" i="19"/>
  <c r="AB220" i="19"/>
  <c r="AC220" i="19"/>
  <c r="AD220" i="19"/>
  <c r="AE220" i="19"/>
  <c r="AG220" i="19"/>
  <c r="AH220" i="19"/>
  <c r="AI220" i="19"/>
  <c r="AJ220" i="19"/>
  <c r="AK220" i="19"/>
  <c r="A221" i="19"/>
  <c r="B221" i="19"/>
  <c r="C221" i="19"/>
  <c r="D221" i="19"/>
  <c r="E221" i="19"/>
  <c r="F221" i="19"/>
  <c r="G221" i="19"/>
  <c r="AB221" i="19"/>
  <c r="AC221" i="19"/>
  <c r="AD221" i="19"/>
  <c r="AE221" i="19"/>
  <c r="AG221" i="19"/>
  <c r="AH221" i="19"/>
  <c r="AI221" i="19"/>
  <c r="AJ221" i="19"/>
  <c r="AK221" i="19"/>
  <c r="A222" i="19"/>
  <c r="B222" i="19"/>
  <c r="C222" i="19"/>
  <c r="D222" i="19"/>
  <c r="E222" i="19"/>
  <c r="F222" i="19"/>
  <c r="G222" i="19"/>
  <c r="AB222" i="19"/>
  <c r="AC222" i="19"/>
  <c r="AD222" i="19"/>
  <c r="AE222" i="19"/>
  <c r="AG222" i="19"/>
  <c r="AH222" i="19"/>
  <c r="AI222" i="19"/>
  <c r="AJ222" i="19"/>
  <c r="AK222" i="19"/>
  <c r="A223" i="19"/>
  <c r="B223" i="19"/>
  <c r="C223" i="19"/>
  <c r="D223" i="19"/>
  <c r="E223" i="19"/>
  <c r="F223" i="19"/>
  <c r="G223" i="19"/>
  <c r="AB223" i="19"/>
  <c r="AC223" i="19"/>
  <c r="AD223" i="19"/>
  <c r="AE223" i="19"/>
  <c r="AG223" i="19"/>
  <c r="AH223" i="19"/>
  <c r="AI223" i="19"/>
  <c r="AJ223" i="19"/>
  <c r="AK223" i="19"/>
  <c r="A224" i="19"/>
  <c r="B224" i="19"/>
  <c r="C224" i="19"/>
  <c r="D224" i="19"/>
  <c r="E224" i="19"/>
  <c r="F224" i="19"/>
  <c r="G224" i="19"/>
  <c r="AB224" i="19"/>
  <c r="AC224" i="19"/>
  <c r="AD224" i="19"/>
  <c r="AE224" i="19"/>
  <c r="AF224" i="19"/>
  <c r="AG224" i="19"/>
  <c r="AH224" i="19"/>
  <c r="AI224" i="19"/>
  <c r="AJ224" i="19"/>
  <c r="AK224" i="19"/>
  <c r="A225" i="19"/>
  <c r="B225" i="19"/>
  <c r="C225" i="19"/>
  <c r="D225" i="19"/>
  <c r="E225" i="19"/>
  <c r="F225" i="19"/>
  <c r="G225" i="19"/>
  <c r="AB225" i="19"/>
  <c r="AC225" i="19"/>
  <c r="AD225" i="19"/>
  <c r="AE225" i="19"/>
  <c r="AF225" i="19"/>
  <c r="AG225" i="19"/>
  <c r="AH225" i="19"/>
  <c r="AI225" i="19"/>
  <c r="AJ225" i="19"/>
  <c r="AK225" i="19"/>
  <c r="A226" i="19"/>
  <c r="B226" i="19"/>
  <c r="C226" i="19"/>
  <c r="D226" i="19"/>
  <c r="E226" i="19"/>
  <c r="F226" i="19"/>
  <c r="G226" i="19"/>
  <c r="AB226" i="19"/>
  <c r="AC226" i="19"/>
  <c r="AD226" i="19"/>
  <c r="AE226" i="19"/>
  <c r="AF226" i="19"/>
  <c r="AG226" i="19"/>
  <c r="AH226" i="19"/>
  <c r="AI226" i="19"/>
  <c r="AJ226" i="19"/>
  <c r="AK226" i="19"/>
  <c r="A227" i="19"/>
  <c r="B227" i="19"/>
  <c r="C227" i="19"/>
  <c r="D227" i="19"/>
  <c r="E227" i="19"/>
  <c r="F227" i="19"/>
  <c r="G227" i="19"/>
  <c r="AB227" i="19"/>
  <c r="AC227" i="19"/>
  <c r="AD227" i="19"/>
  <c r="AE227" i="19"/>
  <c r="AF227" i="19"/>
  <c r="AG227" i="19"/>
  <c r="AH227" i="19"/>
  <c r="AI227" i="19"/>
  <c r="AJ227" i="19"/>
  <c r="AK227" i="19"/>
  <c r="A228" i="19"/>
  <c r="B228" i="19"/>
  <c r="C228" i="19"/>
  <c r="D228" i="19"/>
  <c r="E228" i="19"/>
  <c r="F228" i="19"/>
  <c r="G228" i="19"/>
  <c r="AB228" i="19"/>
  <c r="AC228" i="19"/>
  <c r="AD228" i="19"/>
  <c r="AE228" i="19"/>
  <c r="AF228" i="19"/>
  <c r="AG228" i="19"/>
  <c r="AH228" i="19"/>
  <c r="AI228" i="19"/>
  <c r="AJ228" i="19"/>
  <c r="AK228" i="19"/>
  <c r="A229" i="19"/>
  <c r="B229" i="19"/>
  <c r="C229" i="19"/>
  <c r="D229" i="19"/>
  <c r="E229" i="19"/>
  <c r="F229" i="19"/>
  <c r="G229" i="19"/>
  <c r="AB229" i="19"/>
  <c r="AC229" i="19"/>
  <c r="AD229" i="19"/>
  <c r="AE229" i="19"/>
  <c r="AF229" i="19"/>
  <c r="AG229" i="19"/>
  <c r="AH229" i="19"/>
  <c r="AI229" i="19"/>
  <c r="AJ229" i="19"/>
  <c r="AK229" i="19"/>
  <c r="A230" i="19"/>
  <c r="B230" i="19"/>
  <c r="C230" i="19"/>
  <c r="D230" i="19"/>
  <c r="E230" i="19"/>
  <c r="F230" i="19"/>
  <c r="G230" i="19"/>
  <c r="AB230" i="19"/>
  <c r="AC230" i="19"/>
  <c r="AD230" i="19"/>
  <c r="AE230" i="19"/>
  <c r="AF230" i="19"/>
  <c r="AG230" i="19"/>
  <c r="AH230" i="19"/>
  <c r="AI230" i="19"/>
  <c r="AJ230" i="19"/>
  <c r="AK230" i="19"/>
  <c r="A231" i="19"/>
  <c r="B231" i="19"/>
  <c r="C231" i="19"/>
  <c r="D231" i="19"/>
  <c r="E231" i="19"/>
  <c r="F231" i="19"/>
  <c r="G231" i="19"/>
  <c r="AB231" i="19"/>
  <c r="AC231" i="19"/>
  <c r="AD231" i="19"/>
  <c r="AE231" i="19"/>
  <c r="AG231" i="19"/>
  <c r="AH231" i="19"/>
  <c r="AI231" i="19"/>
  <c r="AJ231" i="19"/>
  <c r="AK231" i="19"/>
  <c r="A232" i="19"/>
  <c r="B232" i="19"/>
  <c r="C232" i="19"/>
  <c r="D232" i="19"/>
  <c r="E232" i="19"/>
  <c r="F232" i="19"/>
  <c r="G232" i="19"/>
  <c r="AB232" i="19"/>
  <c r="AC232" i="19"/>
  <c r="AD232" i="19"/>
  <c r="AE232" i="19"/>
  <c r="AG232" i="19"/>
  <c r="AH232" i="19"/>
  <c r="AI232" i="19"/>
  <c r="AJ232" i="19"/>
  <c r="AK232" i="19"/>
  <c r="A233" i="19"/>
  <c r="B233" i="19"/>
  <c r="C233" i="19"/>
  <c r="D233" i="19"/>
  <c r="E233" i="19"/>
  <c r="F233" i="19"/>
  <c r="G233" i="19"/>
  <c r="AB233" i="19"/>
  <c r="AC233" i="19"/>
  <c r="AD233" i="19"/>
  <c r="AE233" i="19"/>
  <c r="AG233" i="19"/>
  <c r="AH233" i="19"/>
  <c r="AI233" i="19"/>
  <c r="AJ233" i="19"/>
  <c r="AK233" i="19"/>
  <c r="A234" i="19"/>
  <c r="B234" i="19"/>
  <c r="C234" i="19"/>
  <c r="D234" i="19"/>
  <c r="E234" i="19"/>
  <c r="F234" i="19"/>
  <c r="G234" i="19"/>
  <c r="AB234" i="19"/>
  <c r="AC234" i="19"/>
  <c r="AD234" i="19"/>
  <c r="AE234" i="19"/>
  <c r="AG234" i="19"/>
  <c r="AH234" i="19"/>
  <c r="AI234" i="19"/>
  <c r="AJ234" i="19"/>
  <c r="AK234" i="19"/>
  <c r="A235" i="19"/>
  <c r="B235" i="19"/>
  <c r="C235" i="19"/>
  <c r="D235" i="19"/>
  <c r="E235" i="19"/>
  <c r="F235" i="19"/>
  <c r="G235" i="19"/>
  <c r="AB235" i="19"/>
  <c r="AC235" i="19"/>
  <c r="AD235" i="19"/>
  <c r="AE235" i="19"/>
  <c r="AG235" i="19"/>
  <c r="AH235" i="19"/>
  <c r="AI235" i="19"/>
  <c r="AJ235" i="19"/>
  <c r="AK235" i="19"/>
  <c r="A236" i="19"/>
  <c r="B236" i="19"/>
  <c r="C236" i="19"/>
  <c r="D236" i="19"/>
  <c r="E236" i="19"/>
  <c r="F236" i="19"/>
  <c r="G236" i="19"/>
  <c r="AB236" i="19"/>
  <c r="AC236" i="19"/>
  <c r="AD236" i="19"/>
  <c r="AE236" i="19"/>
  <c r="AF236" i="19"/>
  <c r="AG236" i="19"/>
  <c r="AH236" i="19"/>
  <c r="AI236" i="19"/>
  <c r="AJ236" i="19"/>
  <c r="AK236" i="19"/>
  <c r="A237" i="19"/>
  <c r="B237" i="19"/>
  <c r="C237" i="19"/>
  <c r="D237" i="19"/>
  <c r="E237" i="19"/>
  <c r="F237" i="19"/>
  <c r="G237" i="19"/>
  <c r="AB237" i="19"/>
  <c r="AC237" i="19"/>
  <c r="AD237" i="19"/>
  <c r="AE237" i="19"/>
  <c r="AF237" i="19"/>
  <c r="AG237" i="19"/>
  <c r="AH237" i="19"/>
  <c r="AI237" i="19"/>
  <c r="AJ237" i="19"/>
  <c r="AK237" i="19"/>
  <c r="A238" i="19"/>
  <c r="B238" i="19"/>
  <c r="C238" i="19"/>
  <c r="D238" i="19"/>
  <c r="E238" i="19"/>
  <c r="F238" i="19"/>
  <c r="G238" i="19"/>
  <c r="AB238" i="19"/>
  <c r="AC238" i="19"/>
  <c r="AD238" i="19"/>
  <c r="AE238" i="19"/>
  <c r="AF238" i="19"/>
  <c r="AG238" i="19"/>
  <c r="AH238" i="19"/>
  <c r="AI238" i="19"/>
  <c r="AJ238" i="19"/>
  <c r="AK238" i="19"/>
  <c r="A239" i="19"/>
  <c r="B239" i="19"/>
  <c r="C239" i="19"/>
  <c r="D239" i="19"/>
  <c r="E239" i="19"/>
  <c r="F239" i="19"/>
  <c r="G239" i="19"/>
  <c r="AB239" i="19"/>
  <c r="AC239" i="19"/>
  <c r="AD239" i="19"/>
  <c r="AE239" i="19"/>
  <c r="AF239" i="19"/>
  <c r="AG239" i="19"/>
  <c r="AH239" i="19"/>
  <c r="AI239" i="19"/>
  <c r="AJ239" i="19"/>
  <c r="AK239" i="19"/>
  <c r="A240" i="19"/>
  <c r="B240" i="19"/>
  <c r="C240" i="19"/>
  <c r="D240" i="19"/>
  <c r="E240" i="19"/>
  <c r="F240" i="19"/>
  <c r="G240" i="19"/>
  <c r="AB240" i="19"/>
  <c r="AC240" i="19"/>
  <c r="AD240" i="19"/>
  <c r="AE240" i="19"/>
  <c r="AF240" i="19"/>
  <c r="AG240" i="19"/>
  <c r="AH240" i="19"/>
  <c r="AI240" i="19"/>
  <c r="AJ240" i="19"/>
  <c r="AK240" i="19"/>
  <c r="A241" i="19"/>
  <c r="B241" i="19"/>
  <c r="C241" i="19"/>
  <c r="D241" i="19"/>
  <c r="E241" i="19"/>
  <c r="F241" i="19"/>
  <c r="G241" i="19"/>
  <c r="AB241" i="19"/>
  <c r="AC241" i="19"/>
  <c r="AD241" i="19"/>
  <c r="AE241" i="19"/>
  <c r="AF241" i="19"/>
  <c r="AG241" i="19"/>
  <c r="AH241" i="19"/>
  <c r="AI241" i="19"/>
  <c r="AJ241" i="19"/>
  <c r="AK241" i="19"/>
  <c r="A242" i="19"/>
  <c r="B242" i="19"/>
  <c r="C242" i="19"/>
  <c r="D242" i="19"/>
  <c r="E242" i="19"/>
  <c r="F242" i="19"/>
  <c r="G242" i="19"/>
  <c r="AB242" i="19"/>
  <c r="AC242" i="19"/>
  <c r="AD242" i="19"/>
  <c r="AE242" i="19"/>
  <c r="AF242" i="19"/>
  <c r="AG242" i="19"/>
  <c r="AH242" i="19"/>
  <c r="AI242" i="19"/>
  <c r="AJ242" i="19"/>
  <c r="AK242" i="19"/>
  <c r="A243" i="19"/>
  <c r="B243" i="19"/>
  <c r="C243" i="19"/>
  <c r="D243" i="19"/>
  <c r="E243" i="19"/>
  <c r="F243" i="19"/>
  <c r="G243" i="19"/>
  <c r="AB243" i="19"/>
  <c r="AC243" i="19"/>
  <c r="AD243" i="19"/>
  <c r="AE243" i="19"/>
  <c r="AG243" i="19"/>
  <c r="AH243" i="19"/>
  <c r="AI243" i="19"/>
  <c r="AJ243" i="19"/>
  <c r="AK243" i="19"/>
  <c r="A244" i="19"/>
  <c r="B244" i="19"/>
  <c r="C244" i="19"/>
  <c r="D244" i="19"/>
  <c r="E244" i="19"/>
  <c r="F244" i="19"/>
  <c r="G244" i="19"/>
  <c r="AB244" i="19"/>
  <c r="AC244" i="19"/>
  <c r="AD244" i="19"/>
  <c r="AE244" i="19"/>
  <c r="AG244" i="19"/>
  <c r="AH244" i="19"/>
  <c r="AI244" i="19"/>
  <c r="AJ244" i="19"/>
  <c r="AK244" i="19"/>
  <c r="A245" i="19"/>
  <c r="B245" i="19"/>
  <c r="C245" i="19"/>
  <c r="D245" i="19"/>
  <c r="E245" i="19"/>
  <c r="F245" i="19"/>
  <c r="G245" i="19"/>
  <c r="AB245" i="19"/>
  <c r="AC245" i="19"/>
  <c r="AD245" i="19"/>
  <c r="AE245" i="19"/>
  <c r="AG245" i="19"/>
  <c r="AH245" i="19"/>
  <c r="AI245" i="19"/>
  <c r="AJ245" i="19"/>
  <c r="AK245" i="19"/>
  <c r="A246" i="19"/>
  <c r="B246" i="19"/>
  <c r="C246" i="19"/>
  <c r="D246" i="19"/>
  <c r="E246" i="19"/>
  <c r="F246" i="19"/>
  <c r="G246" i="19"/>
  <c r="AB246" i="19"/>
  <c r="AC246" i="19"/>
  <c r="AD246" i="19"/>
  <c r="AE246" i="19"/>
  <c r="AG246" i="19"/>
  <c r="AH246" i="19"/>
  <c r="AI246" i="19"/>
  <c r="AJ246" i="19"/>
  <c r="AK246" i="19"/>
  <c r="A247" i="19"/>
  <c r="B247" i="19"/>
  <c r="C247" i="19"/>
  <c r="D247" i="19"/>
  <c r="E247" i="19"/>
  <c r="F247" i="19"/>
  <c r="G247" i="19"/>
  <c r="AB247" i="19"/>
  <c r="AC247" i="19"/>
  <c r="AD247" i="19"/>
  <c r="AE247" i="19"/>
  <c r="AG247" i="19"/>
  <c r="AH247" i="19"/>
  <c r="AI247" i="19"/>
  <c r="AJ247" i="19"/>
  <c r="AK247" i="19"/>
  <c r="A248" i="19"/>
  <c r="B248" i="19"/>
  <c r="C248" i="19"/>
  <c r="D248" i="19"/>
  <c r="E248" i="19"/>
  <c r="F248" i="19"/>
  <c r="G248" i="19"/>
  <c r="AB248" i="19"/>
  <c r="AC248" i="19"/>
  <c r="AD248" i="19"/>
  <c r="AE248" i="19"/>
  <c r="AF248" i="19"/>
  <c r="AG248" i="19"/>
  <c r="AH248" i="19"/>
  <c r="AI248" i="19"/>
  <c r="AJ248" i="19"/>
  <c r="AK248" i="19"/>
  <c r="A249" i="19"/>
  <c r="B249" i="19"/>
  <c r="C249" i="19"/>
  <c r="D249" i="19"/>
  <c r="E249" i="19"/>
  <c r="F249" i="19"/>
  <c r="G249" i="19"/>
  <c r="AB249" i="19"/>
  <c r="AC249" i="19"/>
  <c r="AD249" i="19"/>
  <c r="AE249" i="19"/>
  <c r="AF249" i="19"/>
  <c r="AG249" i="19"/>
  <c r="AH249" i="19"/>
  <c r="AI249" i="19"/>
  <c r="AJ249" i="19"/>
  <c r="AK249" i="19"/>
  <c r="A250" i="19"/>
  <c r="B250" i="19"/>
  <c r="C250" i="19"/>
  <c r="D250" i="19"/>
  <c r="E250" i="19"/>
  <c r="F250" i="19"/>
  <c r="G250" i="19"/>
  <c r="AB250" i="19"/>
  <c r="AC250" i="19"/>
  <c r="AD250" i="19"/>
  <c r="AE250" i="19"/>
  <c r="AF250" i="19"/>
  <c r="AG250" i="19"/>
  <c r="AH250" i="19"/>
  <c r="AI250" i="19"/>
  <c r="AJ250" i="19"/>
  <c r="AK250" i="19"/>
  <c r="A1" i="21"/>
  <c r="V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A11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A12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A13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A14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A15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A16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A17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A18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A19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A20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A21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A22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A23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A24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A25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A26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A27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A28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A29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A30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A31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A32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A33" i="21"/>
  <c r="B33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A34" i="21"/>
  <c r="B34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A35" i="21"/>
  <c r="B35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A36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A37" i="21"/>
  <c r="B37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A38" i="21"/>
  <c r="B38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A39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A40" i="21"/>
  <c r="B40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A41" i="21"/>
  <c r="B41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A42" i="21"/>
  <c r="B42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A43" i="21"/>
  <c r="B43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A44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A45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A46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A47" i="21"/>
  <c r="B47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A48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A49" i="21"/>
  <c r="B49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A50" i="21"/>
  <c r="B50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A51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A52" i="21"/>
  <c r="B52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A53" i="21"/>
  <c r="B53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A54" i="21"/>
  <c r="B54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A55" i="21"/>
  <c r="B55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A56" i="21"/>
  <c r="B56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A57" i="21"/>
  <c r="B57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A58" i="21"/>
  <c r="B58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A59" i="21"/>
  <c r="B59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A60" i="21"/>
  <c r="B60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A61" i="21"/>
  <c r="B61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A62" i="21"/>
  <c r="B62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T62" i="21"/>
  <c r="U62" i="21"/>
  <c r="V62" i="21"/>
  <c r="A63" i="21"/>
  <c r="B63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T63" i="21"/>
  <c r="U63" i="21"/>
  <c r="V63" i="21"/>
  <c r="A64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A65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A66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A67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T67" i="21"/>
  <c r="U67" i="21"/>
  <c r="V67" i="21"/>
  <c r="A68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T68" i="21"/>
  <c r="U68" i="21"/>
  <c r="V68" i="21"/>
  <c r="A69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T69" i="21"/>
  <c r="U69" i="21"/>
  <c r="V69" i="21"/>
  <c r="W69" i="21"/>
  <c r="A70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A71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A72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A73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A74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A75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A76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A77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A78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A79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A80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A81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A82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A83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A84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A85" i="21"/>
  <c r="B85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A86" i="21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A87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A88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A89" i="21"/>
  <c r="B89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A90" i="21"/>
  <c r="B90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A91" i="21"/>
  <c r="B91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A92" i="21"/>
  <c r="B92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A93" i="21"/>
  <c r="B93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A94" i="21"/>
  <c r="B94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A95" i="21"/>
  <c r="B95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A96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A97" i="21"/>
  <c r="B97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A98" i="21"/>
  <c r="B98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A99" i="21"/>
  <c r="B99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A100" i="21"/>
  <c r="B100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A101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A102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A103" i="21"/>
  <c r="B103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A104" i="21"/>
  <c r="B104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A105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A106" i="21"/>
  <c r="B106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A107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A108" i="21"/>
  <c r="B108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O108" i="21"/>
  <c r="P108" i="21"/>
  <c r="Q108" i="21"/>
  <c r="R108" i="21"/>
  <c r="S108" i="21"/>
  <c r="T108" i="21"/>
  <c r="U108" i="21"/>
  <c r="V108" i="21"/>
  <c r="A109" i="21"/>
  <c r="B109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O109" i="21"/>
  <c r="P109" i="21"/>
  <c r="Q109" i="21"/>
  <c r="R109" i="21"/>
  <c r="S109" i="21"/>
  <c r="T109" i="21"/>
  <c r="U109" i="21"/>
  <c r="V109" i="21"/>
  <c r="A110" i="21"/>
  <c r="B110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T110" i="21"/>
  <c r="U110" i="21"/>
  <c r="V110" i="21"/>
  <c r="A111" i="21"/>
  <c r="B111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O111" i="21"/>
  <c r="P111" i="21"/>
  <c r="Q111" i="21"/>
  <c r="R111" i="21"/>
  <c r="S111" i="21"/>
  <c r="T111" i="21"/>
  <c r="U111" i="21"/>
  <c r="V111" i="21"/>
  <c r="A112" i="21"/>
  <c r="B112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A113" i="21"/>
  <c r="B113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A114" i="21"/>
  <c r="B114" i="21"/>
  <c r="C114" i="21"/>
  <c r="D114" i="21"/>
  <c r="E114" i="21"/>
  <c r="F114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A115" i="21"/>
  <c r="B115" i="21"/>
  <c r="C115" i="21"/>
  <c r="D115" i="21"/>
  <c r="E115" i="21"/>
  <c r="F115" i="21"/>
  <c r="G115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A116" i="21"/>
  <c r="B116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A117" i="21"/>
  <c r="B117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A118" i="21"/>
  <c r="B118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A119" i="21"/>
  <c r="B119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A120" i="21"/>
  <c r="B120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A121" i="21"/>
  <c r="B121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A122" i="21"/>
  <c r="B122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A123" i="21"/>
  <c r="B123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A124" i="21"/>
  <c r="B124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A125" i="21"/>
  <c r="B125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A126" i="21"/>
  <c r="B126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A127" i="21"/>
  <c r="B127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A128" i="21"/>
  <c r="B128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A129" i="21"/>
  <c r="B129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A130" i="21"/>
  <c r="B130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A131" i="21"/>
  <c r="B131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A132" i="21"/>
  <c r="B132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A133" i="21"/>
  <c r="B133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A134" i="21"/>
  <c r="B134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A135" i="21"/>
  <c r="B135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P135" i="21"/>
  <c r="Q135" i="21"/>
  <c r="R135" i="21"/>
  <c r="S135" i="21"/>
  <c r="T135" i="21"/>
  <c r="U135" i="21"/>
  <c r="V135" i="21"/>
  <c r="A136" i="21"/>
  <c r="B136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T136" i="21"/>
  <c r="U136" i="21"/>
  <c r="V136" i="21"/>
  <c r="A137" i="21"/>
  <c r="B137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P137" i="21"/>
  <c r="Q137" i="21"/>
  <c r="R137" i="21"/>
  <c r="S137" i="21"/>
  <c r="T137" i="21"/>
  <c r="U137" i="21"/>
  <c r="V137" i="21"/>
  <c r="A138" i="21"/>
  <c r="B138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P138" i="21"/>
  <c r="Q138" i="21"/>
  <c r="R138" i="21"/>
  <c r="S138" i="21"/>
  <c r="T138" i="21"/>
  <c r="U138" i="21"/>
  <c r="V138" i="21"/>
  <c r="A139" i="21"/>
  <c r="B139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A140" i="21"/>
  <c r="B140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A141" i="21"/>
  <c r="B141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A142" i="21"/>
  <c r="B142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A143" i="21"/>
  <c r="B143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A144" i="21"/>
  <c r="B144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A145" i="21"/>
  <c r="B145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A146" i="21"/>
  <c r="B146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A147" i="21"/>
  <c r="B147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A148" i="21"/>
  <c r="B148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A149" i="21"/>
  <c r="B149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A150" i="21"/>
  <c r="B150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A151" i="21"/>
  <c r="B151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A152" i="21"/>
  <c r="B152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A153" i="21"/>
  <c r="B153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A154" i="21"/>
  <c r="B154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A155" i="21"/>
  <c r="B155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A156" i="21"/>
  <c r="B156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A157" i="21"/>
  <c r="B157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A158" i="21"/>
  <c r="B158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A159" i="21"/>
  <c r="B159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A160" i="21"/>
  <c r="B160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A161" i="21"/>
  <c r="B161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A162" i="21"/>
  <c r="B162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P162" i="21"/>
  <c r="Q162" i="21"/>
  <c r="R162" i="21"/>
  <c r="S162" i="21"/>
  <c r="T162" i="21"/>
  <c r="U162" i="21"/>
  <c r="V162" i="21"/>
  <c r="A163" i="21"/>
  <c r="B163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P163" i="21"/>
  <c r="Q163" i="21"/>
  <c r="R163" i="21"/>
  <c r="S163" i="21"/>
  <c r="T163" i="21"/>
  <c r="U163" i="21"/>
  <c r="V163" i="21"/>
  <c r="A164" i="21"/>
  <c r="B164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P164" i="21"/>
  <c r="Q164" i="21"/>
  <c r="R164" i="21"/>
  <c r="S164" i="21"/>
  <c r="T164" i="21"/>
  <c r="U164" i="21"/>
  <c r="V164" i="21"/>
  <c r="A165" i="21"/>
  <c r="B165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P165" i="21"/>
  <c r="Q165" i="21"/>
  <c r="R165" i="21"/>
  <c r="S165" i="21"/>
  <c r="T165" i="21"/>
  <c r="U165" i="21"/>
  <c r="V165" i="21"/>
  <c r="W165" i="21"/>
  <c r="A166" i="21"/>
  <c r="B166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P166" i="21"/>
  <c r="Q166" i="21"/>
  <c r="R166" i="21"/>
  <c r="S166" i="21"/>
  <c r="T166" i="21"/>
  <c r="U166" i="21"/>
  <c r="V166" i="21"/>
  <c r="A167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T167" i="21"/>
  <c r="U167" i="21"/>
  <c r="V167" i="21"/>
  <c r="A168" i="21"/>
  <c r="B168" i="21"/>
  <c r="C168" i="21"/>
  <c r="D168" i="21"/>
  <c r="E168" i="21"/>
  <c r="F168" i="21"/>
  <c r="G168" i="21"/>
  <c r="H168" i="21"/>
  <c r="I168" i="21"/>
  <c r="J168" i="21"/>
  <c r="K168" i="21"/>
  <c r="L168" i="21"/>
  <c r="M168" i="21"/>
  <c r="N168" i="21"/>
  <c r="O168" i="21"/>
  <c r="P168" i="21"/>
  <c r="Q168" i="21"/>
  <c r="R168" i="21"/>
  <c r="S168" i="21"/>
  <c r="T168" i="21"/>
  <c r="U168" i="21"/>
  <c r="V168" i="21"/>
  <c r="A169" i="21"/>
  <c r="B169" i="21"/>
  <c r="C169" i="21"/>
  <c r="D169" i="21"/>
  <c r="E169" i="21"/>
  <c r="F169" i="21"/>
  <c r="G169" i="21"/>
  <c r="H169" i="21"/>
  <c r="I169" i="21"/>
  <c r="J169" i="21"/>
  <c r="K169" i="21"/>
  <c r="L169" i="21"/>
  <c r="M169" i="21"/>
  <c r="N169" i="21"/>
  <c r="O169" i="21"/>
  <c r="P169" i="21"/>
  <c r="Q169" i="21"/>
  <c r="R169" i="21"/>
  <c r="S169" i="21"/>
  <c r="T169" i="21"/>
  <c r="U169" i="21"/>
  <c r="V169" i="21"/>
  <c r="A170" i="21"/>
  <c r="B170" i="21"/>
  <c r="C170" i="21"/>
  <c r="D170" i="21"/>
  <c r="E170" i="21"/>
  <c r="F170" i="21"/>
  <c r="G170" i="21"/>
  <c r="H170" i="21"/>
  <c r="I170" i="21"/>
  <c r="J170" i="21"/>
  <c r="K170" i="21"/>
  <c r="L170" i="21"/>
  <c r="M170" i="21"/>
  <c r="N170" i="21"/>
  <c r="O170" i="21"/>
  <c r="P170" i="21"/>
  <c r="Q170" i="21"/>
  <c r="R170" i="21"/>
  <c r="S170" i="21"/>
  <c r="T170" i="21"/>
  <c r="U170" i="21"/>
  <c r="V170" i="21"/>
  <c r="A171" i="21"/>
  <c r="B171" i="21"/>
  <c r="C171" i="21"/>
  <c r="D171" i="21"/>
  <c r="E171" i="21"/>
  <c r="F171" i="21"/>
  <c r="G171" i="21"/>
  <c r="H171" i="21"/>
  <c r="I171" i="21"/>
  <c r="J171" i="21"/>
  <c r="K171" i="21"/>
  <c r="L171" i="21"/>
  <c r="M171" i="21"/>
  <c r="N171" i="21"/>
  <c r="O171" i="21"/>
  <c r="P171" i="21"/>
  <c r="Q171" i="21"/>
  <c r="R171" i="21"/>
  <c r="S171" i="21"/>
  <c r="T171" i="21"/>
  <c r="U171" i="21"/>
  <c r="V171" i="21"/>
  <c r="A172" i="21"/>
  <c r="B172" i="21"/>
  <c r="C172" i="21"/>
  <c r="D172" i="21"/>
  <c r="E172" i="21"/>
  <c r="F172" i="21"/>
  <c r="G172" i="21"/>
  <c r="H172" i="21"/>
  <c r="I172" i="21"/>
  <c r="J172" i="21"/>
  <c r="K172" i="21"/>
  <c r="L172" i="21"/>
  <c r="M172" i="21"/>
  <c r="N172" i="21"/>
  <c r="O172" i="21"/>
  <c r="P172" i="21"/>
  <c r="Q172" i="21"/>
  <c r="R172" i="21"/>
  <c r="S172" i="21"/>
  <c r="T172" i="21"/>
  <c r="U172" i="21"/>
  <c r="V172" i="21"/>
  <c r="A173" i="21"/>
  <c r="B173" i="21"/>
  <c r="C173" i="21"/>
  <c r="D173" i="21"/>
  <c r="E173" i="21"/>
  <c r="F173" i="21"/>
  <c r="G173" i="21"/>
  <c r="H173" i="21"/>
  <c r="I173" i="21"/>
  <c r="J173" i="21"/>
  <c r="K173" i="21"/>
  <c r="L173" i="21"/>
  <c r="M173" i="21"/>
  <c r="N173" i="21"/>
  <c r="O173" i="21"/>
  <c r="P173" i="21"/>
  <c r="Q173" i="21"/>
  <c r="R173" i="21"/>
  <c r="S173" i="21"/>
  <c r="T173" i="21"/>
  <c r="U173" i="21"/>
  <c r="V173" i="21"/>
  <c r="A174" i="21"/>
  <c r="B174" i="21"/>
  <c r="C174" i="21"/>
  <c r="D174" i="21"/>
  <c r="E174" i="21"/>
  <c r="F174" i="21"/>
  <c r="G174" i="21"/>
  <c r="H174" i="21"/>
  <c r="I174" i="21"/>
  <c r="J174" i="21"/>
  <c r="K174" i="21"/>
  <c r="L174" i="21"/>
  <c r="M174" i="21"/>
  <c r="N174" i="21"/>
  <c r="O174" i="21"/>
  <c r="P174" i="21"/>
  <c r="Q174" i="21"/>
  <c r="R174" i="21"/>
  <c r="S174" i="21"/>
  <c r="T174" i="21"/>
  <c r="U174" i="21"/>
  <c r="V174" i="21"/>
  <c r="A175" i="21"/>
  <c r="B175" i="21"/>
  <c r="C175" i="21"/>
  <c r="D175" i="21"/>
  <c r="E175" i="21"/>
  <c r="F175" i="21"/>
  <c r="G175" i="21"/>
  <c r="H175" i="21"/>
  <c r="I175" i="21"/>
  <c r="J175" i="21"/>
  <c r="K175" i="21"/>
  <c r="L175" i="21"/>
  <c r="M175" i="21"/>
  <c r="N175" i="21"/>
  <c r="O175" i="21"/>
  <c r="P175" i="21"/>
  <c r="Q175" i="21"/>
  <c r="R175" i="21"/>
  <c r="S175" i="21"/>
  <c r="T175" i="21"/>
  <c r="U175" i="21"/>
  <c r="V175" i="21"/>
  <c r="A176" i="21"/>
  <c r="B176" i="21"/>
  <c r="C176" i="21"/>
  <c r="D176" i="21"/>
  <c r="E176" i="21"/>
  <c r="F176" i="21"/>
  <c r="G176" i="21"/>
  <c r="H176" i="21"/>
  <c r="I176" i="21"/>
  <c r="J176" i="21"/>
  <c r="K176" i="21"/>
  <c r="L176" i="21"/>
  <c r="M176" i="21"/>
  <c r="N176" i="21"/>
  <c r="O176" i="21"/>
  <c r="P176" i="21"/>
  <c r="Q176" i="21"/>
  <c r="R176" i="21"/>
  <c r="S176" i="21"/>
  <c r="T176" i="21"/>
  <c r="U176" i="21"/>
  <c r="V176" i="21"/>
  <c r="A177" i="21"/>
  <c r="B177" i="21"/>
  <c r="C177" i="21"/>
  <c r="D177" i="21"/>
  <c r="E177" i="21"/>
  <c r="F177" i="21"/>
  <c r="G177" i="21"/>
  <c r="H177" i="21"/>
  <c r="I177" i="21"/>
  <c r="J177" i="21"/>
  <c r="K177" i="21"/>
  <c r="L177" i="21"/>
  <c r="M177" i="21"/>
  <c r="N177" i="21"/>
  <c r="O177" i="21"/>
  <c r="P177" i="21"/>
  <c r="Q177" i="21"/>
  <c r="R177" i="21"/>
  <c r="S177" i="21"/>
  <c r="T177" i="21"/>
  <c r="U177" i="21"/>
  <c r="V177" i="21"/>
  <c r="W177" i="21"/>
  <c r="A178" i="21"/>
  <c r="B178" i="21"/>
  <c r="C178" i="21"/>
  <c r="D178" i="21"/>
  <c r="E178" i="21"/>
  <c r="F178" i="21"/>
  <c r="G178" i="21"/>
  <c r="H178" i="21"/>
  <c r="I178" i="21"/>
  <c r="J178" i="21"/>
  <c r="K178" i="21"/>
  <c r="L178" i="21"/>
  <c r="M178" i="21"/>
  <c r="N178" i="21"/>
  <c r="O178" i="21"/>
  <c r="P178" i="21"/>
  <c r="Q178" i="21"/>
  <c r="R178" i="21"/>
  <c r="S178" i="21"/>
  <c r="T178" i="21"/>
  <c r="U178" i="21"/>
  <c r="V178" i="21"/>
  <c r="A179" i="21"/>
  <c r="B179" i="21"/>
  <c r="C179" i="21"/>
  <c r="D179" i="21"/>
  <c r="E179" i="21"/>
  <c r="F179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T179" i="21"/>
  <c r="U179" i="21"/>
  <c r="V179" i="21"/>
  <c r="A180" i="21"/>
  <c r="B180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P180" i="21"/>
  <c r="Q180" i="21"/>
  <c r="R180" i="21"/>
  <c r="S180" i="21"/>
  <c r="T180" i="21"/>
  <c r="U180" i="21"/>
  <c r="V180" i="21"/>
  <c r="A181" i="21"/>
  <c r="B181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T181" i="21"/>
  <c r="U181" i="21"/>
  <c r="V181" i="21"/>
  <c r="A182" i="21"/>
  <c r="B182" i="21"/>
  <c r="C182" i="21"/>
  <c r="D182" i="21"/>
  <c r="E182" i="21"/>
  <c r="F182" i="21"/>
  <c r="G182" i="21"/>
  <c r="H182" i="21"/>
  <c r="I182" i="21"/>
  <c r="J182" i="21"/>
  <c r="K182" i="21"/>
  <c r="L182" i="21"/>
  <c r="M182" i="21"/>
  <c r="N182" i="21"/>
  <c r="O182" i="21"/>
  <c r="P182" i="21"/>
  <c r="Q182" i="21"/>
  <c r="R182" i="21"/>
  <c r="S182" i="21"/>
  <c r="T182" i="21"/>
  <c r="U182" i="21"/>
  <c r="V182" i="21"/>
  <c r="A183" i="21"/>
  <c r="B183" i="21"/>
  <c r="C183" i="21"/>
  <c r="D183" i="21"/>
  <c r="E183" i="21"/>
  <c r="F183" i="21"/>
  <c r="G183" i="21"/>
  <c r="H183" i="21"/>
  <c r="I183" i="21"/>
  <c r="J183" i="21"/>
  <c r="K183" i="21"/>
  <c r="L183" i="21"/>
  <c r="M183" i="21"/>
  <c r="N183" i="21"/>
  <c r="O183" i="21"/>
  <c r="P183" i="21"/>
  <c r="Q183" i="21"/>
  <c r="R183" i="21"/>
  <c r="S183" i="21"/>
  <c r="T183" i="21"/>
  <c r="U183" i="21"/>
  <c r="V183" i="21"/>
  <c r="A184" i="21"/>
  <c r="B184" i="21"/>
  <c r="C184" i="21"/>
  <c r="D184" i="21"/>
  <c r="E184" i="21"/>
  <c r="F184" i="21"/>
  <c r="G184" i="21"/>
  <c r="H184" i="21"/>
  <c r="I184" i="21"/>
  <c r="J184" i="21"/>
  <c r="K184" i="21"/>
  <c r="L184" i="21"/>
  <c r="M184" i="21"/>
  <c r="N184" i="21"/>
  <c r="O184" i="21"/>
  <c r="P184" i="21"/>
  <c r="Q184" i="21"/>
  <c r="R184" i="21"/>
  <c r="S184" i="21"/>
  <c r="T184" i="21"/>
  <c r="U184" i="21"/>
  <c r="V184" i="21"/>
  <c r="A185" i="21"/>
  <c r="B185" i="21"/>
  <c r="C185" i="21"/>
  <c r="D185" i="21"/>
  <c r="E185" i="21"/>
  <c r="F185" i="21"/>
  <c r="G185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T185" i="21"/>
  <c r="U185" i="21"/>
  <c r="V185" i="21"/>
  <c r="A186" i="21"/>
  <c r="B186" i="21"/>
  <c r="C186" i="21"/>
  <c r="D186" i="21"/>
  <c r="E186" i="21"/>
  <c r="F186" i="21"/>
  <c r="G186" i="21"/>
  <c r="H186" i="21"/>
  <c r="I186" i="21"/>
  <c r="J186" i="21"/>
  <c r="K186" i="21"/>
  <c r="L186" i="21"/>
  <c r="M186" i="21"/>
  <c r="N186" i="21"/>
  <c r="O186" i="21"/>
  <c r="P186" i="21"/>
  <c r="Q186" i="21"/>
  <c r="R186" i="21"/>
  <c r="S186" i="21"/>
  <c r="T186" i="21"/>
  <c r="U186" i="21"/>
  <c r="V186" i="21"/>
  <c r="A187" i="21"/>
  <c r="B187" i="21"/>
  <c r="C187" i="21"/>
  <c r="D187" i="21"/>
  <c r="E187" i="21"/>
  <c r="F187" i="21"/>
  <c r="G187" i="21"/>
  <c r="H187" i="21"/>
  <c r="I187" i="21"/>
  <c r="J187" i="21"/>
  <c r="K187" i="21"/>
  <c r="L187" i="21"/>
  <c r="M187" i="21"/>
  <c r="N187" i="21"/>
  <c r="O187" i="21"/>
  <c r="P187" i="21"/>
  <c r="Q187" i="21"/>
  <c r="R187" i="21"/>
  <c r="S187" i="21"/>
  <c r="T187" i="21"/>
  <c r="U187" i="21"/>
  <c r="V187" i="21"/>
  <c r="A188" i="21"/>
  <c r="B188" i="21"/>
  <c r="C188" i="21"/>
  <c r="D188" i="21"/>
  <c r="E188" i="21"/>
  <c r="F188" i="21"/>
  <c r="G188" i="21"/>
  <c r="H188" i="21"/>
  <c r="I188" i="21"/>
  <c r="J188" i="21"/>
  <c r="K188" i="21"/>
  <c r="L188" i="21"/>
  <c r="M188" i="21"/>
  <c r="N188" i="21"/>
  <c r="O188" i="21"/>
  <c r="P188" i="21"/>
  <c r="Q188" i="21"/>
  <c r="R188" i="21"/>
  <c r="S188" i="21"/>
  <c r="T188" i="21"/>
  <c r="U188" i="21"/>
  <c r="V188" i="21"/>
  <c r="A189" i="21"/>
  <c r="B189" i="21"/>
  <c r="C189" i="21"/>
  <c r="D189" i="21"/>
  <c r="E189" i="21"/>
  <c r="F189" i="21"/>
  <c r="G189" i="21"/>
  <c r="H189" i="21"/>
  <c r="I189" i="21"/>
  <c r="J189" i="21"/>
  <c r="K189" i="21"/>
  <c r="L189" i="21"/>
  <c r="M189" i="21"/>
  <c r="N189" i="21"/>
  <c r="O189" i="21"/>
  <c r="P189" i="21"/>
  <c r="Q189" i="21"/>
  <c r="R189" i="21"/>
  <c r="S189" i="21"/>
  <c r="T189" i="21"/>
  <c r="U189" i="21"/>
  <c r="V189" i="21"/>
  <c r="W189" i="21"/>
  <c r="A190" i="21"/>
  <c r="B190" i="21"/>
  <c r="C190" i="21"/>
  <c r="D190" i="21"/>
  <c r="E190" i="21"/>
  <c r="F190" i="21"/>
  <c r="G190" i="21"/>
  <c r="H190" i="21"/>
  <c r="I190" i="21"/>
  <c r="J190" i="21"/>
  <c r="K190" i="21"/>
  <c r="L190" i="21"/>
  <c r="M190" i="21"/>
  <c r="N190" i="21"/>
  <c r="O190" i="21"/>
  <c r="P190" i="21"/>
  <c r="Q190" i="21"/>
  <c r="R190" i="21"/>
  <c r="S190" i="21"/>
  <c r="T190" i="21"/>
  <c r="U190" i="21"/>
  <c r="V190" i="21"/>
  <c r="A191" i="21"/>
  <c r="B191" i="21"/>
  <c r="C191" i="21"/>
  <c r="D191" i="21"/>
  <c r="E191" i="21"/>
  <c r="F191" i="21"/>
  <c r="G191" i="21"/>
  <c r="H191" i="21"/>
  <c r="I191" i="21"/>
  <c r="J191" i="21"/>
  <c r="K191" i="21"/>
  <c r="L191" i="21"/>
  <c r="M191" i="21"/>
  <c r="N191" i="21"/>
  <c r="O191" i="21"/>
  <c r="P191" i="21"/>
  <c r="Q191" i="21"/>
  <c r="R191" i="21"/>
  <c r="S191" i="21"/>
  <c r="T191" i="21"/>
  <c r="U191" i="21"/>
  <c r="V191" i="21"/>
  <c r="A192" i="21"/>
  <c r="B192" i="21"/>
  <c r="C192" i="21"/>
  <c r="D192" i="21"/>
  <c r="E192" i="21"/>
  <c r="F192" i="21"/>
  <c r="G192" i="21"/>
  <c r="H192" i="21"/>
  <c r="I192" i="21"/>
  <c r="J192" i="21"/>
  <c r="K192" i="21"/>
  <c r="L192" i="21"/>
  <c r="M192" i="21"/>
  <c r="N192" i="21"/>
  <c r="O192" i="21"/>
  <c r="P192" i="21"/>
  <c r="Q192" i="21"/>
  <c r="R192" i="21"/>
  <c r="S192" i="21"/>
  <c r="T192" i="21"/>
  <c r="U192" i="21"/>
  <c r="V192" i="21"/>
  <c r="A193" i="21"/>
  <c r="B193" i="21"/>
  <c r="C193" i="21"/>
  <c r="D193" i="21"/>
  <c r="E193" i="21"/>
  <c r="F193" i="21"/>
  <c r="G193" i="21"/>
  <c r="H193" i="21"/>
  <c r="I193" i="21"/>
  <c r="J193" i="21"/>
  <c r="K193" i="21"/>
  <c r="L193" i="21"/>
  <c r="M193" i="21"/>
  <c r="N193" i="21"/>
  <c r="O193" i="21"/>
  <c r="P193" i="21"/>
  <c r="Q193" i="21"/>
  <c r="R193" i="21"/>
  <c r="S193" i="21"/>
  <c r="T193" i="21"/>
  <c r="U193" i="21"/>
  <c r="V193" i="21"/>
  <c r="A194" i="21"/>
  <c r="B194" i="21"/>
  <c r="C194" i="21"/>
  <c r="D194" i="21"/>
  <c r="E194" i="21"/>
  <c r="F194" i="21"/>
  <c r="G194" i="21"/>
  <c r="H194" i="21"/>
  <c r="I194" i="21"/>
  <c r="J194" i="21"/>
  <c r="K194" i="21"/>
  <c r="L194" i="21"/>
  <c r="M194" i="21"/>
  <c r="N194" i="21"/>
  <c r="O194" i="21"/>
  <c r="P194" i="21"/>
  <c r="Q194" i="21"/>
  <c r="R194" i="21"/>
  <c r="S194" i="21"/>
  <c r="T194" i="21"/>
  <c r="U194" i="21"/>
  <c r="V194" i="21"/>
  <c r="A195" i="21"/>
  <c r="B195" i="21"/>
  <c r="C195" i="21"/>
  <c r="D195" i="21"/>
  <c r="E195" i="21"/>
  <c r="F195" i="21"/>
  <c r="G195" i="21"/>
  <c r="H195" i="21"/>
  <c r="I195" i="21"/>
  <c r="J195" i="21"/>
  <c r="K195" i="21"/>
  <c r="L195" i="21"/>
  <c r="M195" i="21"/>
  <c r="N195" i="21"/>
  <c r="O195" i="21"/>
  <c r="P195" i="21"/>
  <c r="Q195" i="21"/>
  <c r="R195" i="21"/>
  <c r="S195" i="21"/>
  <c r="T195" i="21"/>
  <c r="U195" i="21"/>
  <c r="V195" i="21"/>
  <c r="A196" i="21"/>
  <c r="B196" i="21"/>
  <c r="C196" i="21"/>
  <c r="D196" i="21"/>
  <c r="E196" i="21"/>
  <c r="F196" i="21"/>
  <c r="G196" i="21"/>
  <c r="H196" i="21"/>
  <c r="I196" i="21"/>
  <c r="J196" i="21"/>
  <c r="K196" i="21"/>
  <c r="L196" i="21"/>
  <c r="M196" i="21"/>
  <c r="N196" i="21"/>
  <c r="O196" i="21"/>
  <c r="P196" i="21"/>
  <c r="Q196" i="21"/>
  <c r="R196" i="21"/>
  <c r="S196" i="21"/>
  <c r="T196" i="21"/>
  <c r="U196" i="21"/>
  <c r="V196" i="21"/>
  <c r="A197" i="21"/>
  <c r="B197" i="21"/>
  <c r="C197" i="21"/>
  <c r="D197" i="21"/>
  <c r="E197" i="21"/>
  <c r="F197" i="21"/>
  <c r="G197" i="21"/>
  <c r="H197" i="21"/>
  <c r="I197" i="21"/>
  <c r="J197" i="21"/>
  <c r="K197" i="21"/>
  <c r="L197" i="21"/>
  <c r="M197" i="21"/>
  <c r="N197" i="21"/>
  <c r="O197" i="21"/>
  <c r="P197" i="21"/>
  <c r="Q197" i="21"/>
  <c r="R197" i="21"/>
  <c r="S197" i="21"/>
  <c r="T197" i="21"/>
  <c r="U197" i="21"/>
  <c r="V197" i="21"/>
  <c r="A198" i="21"/>
  <c r="B198" i="21"/>
  <c r="C198" i="21"/>
  <c r="D198" i="21"/>
  <c r="E198" i="21"/>
  <c r="F198" i="21"/>
  <c r="G198" i="21"/>
  <c r="H198" i="21"/>
  <c r="I198" i="21"/>
  <c r="J198" i="21"/>
  <c r="K198" i="21"/>
  <c r="L198" i="21"/>
  <c r="M198" i="21"/>
  <c r="N198" i="21"/>
  <c r="O198" i="21"/>
  <c r="P198" i="21"/>
  <c r="Q198" i="21"/>
  <c r="R198" i="21"/>
  <c r="S198" i="21"/>
  <c r="T198" i="21"/>
  <c r="U198" i="21"/>
  <c r="V198" i="21"/>
  <c r="A199" i="21"/>
  <c r="B199" i="21"/>
  <c r="C199" i="21"/>
  <c r="D199" i="21"/>
  <c r="E199" i="21"/>
  <c r="F199" i="21"/>
  <c r="G199" i="21"/>
  <c r="H199" i="21"/>
  <c r="I199" i="21"/>
  <c r="J199" i="21"/>
  <c r="K199" i="21"/>
  <c r="L199" i="21"/>
  <c r="M199" i="21"/>
  <c r="N199" i="21"/>
  <c r="O199" i="21"/>
  <c r="P199" i="21"/>
  <c r="Q199" i="21"/>
  <c r="R199" i="21"/>
  <c r="S199" i="21"/>
  <c r="T199" i="21"/>
  <c r="U199" i="21"/>
  <c r="V199" i="21"/>
  <c r="A200" i="21"/>
  <c r="B200" i="21"/>
  <c r="C200" i="21"/>
  <c r="D200" i="21"/>
  <c r="E200" i="21"/>
  <c r="F200" i="21"/>
  <c r="G200" i="21"/>
  <c r="H200" i="21"/>
  <c r="I200" i="21"/>
  <c r="J200" i="21"/>
  <c r="K200" i="21"/>
  <c r="L200" i="21"/>
  <c r="M200" i="21"/>
  <c r="N200" i="21"/>
  <c r="O200" i="21"/>
  <c r="P200" i="21"/>
  <c r="Q200" i="21"/>
  <c r="R200" i="21"/>
  <c r="S200" i="21"/>
  <c r="T200" i="21"/>
  <c r="U200" i="21"/>
  <c r="V200" i="21"/>
  <c r="A201" i="21"/>
  <c r="B201" i="21"/>
  <c r="C201" i="21"/>
  <c r="D201" i="21"/>
  <c r="E201" i="21"/>
  <c r="F201" i="21"/>
  <c r="G201" i="21"/>
  <c r="H201" i="21"/>
  <c r="I201" i="21"/>
  <c r="J201" i="21"/>
  <c r="K201" i="21"/>
  <c r="L201" i="21"/>
  <c r="M201" i="21"/>
  <c r="N201" i="21"/>
  <c r="O201" i="21"/>
  <c r="P201" i="21"/>
  <c r="Q201" i="21"/>
  <c r="R201" i="21"/>
  <c r="S201" i="21"/>
  <c r="T201" i="21"/>
  <c r="U201" i="21"/>
  <c r="V201" i="21"/>
  <c r="W201" i="21"/>
  <c r="A202" i="21"/>
  <c r="B202" i="21"/>
  <c r="C202" i="21"/>
  <c r="D202" i="21"/>
  <c r="E202" i="21"/>
  <c r="F202" i="21"/>
  <c r="G202" i="21"/>
  <c r="H202" i="21"/>
  <c r="I202" i="21"/>
  <c r="J202" i="21"/>
  <c r="K202" i="21"/>
  <c r="L202" i="21"/>
  <c r="M202" i="21"/>
  <c r="N202" i="21"/>
  <c r="O202" i="21"/>
  <c r="P202" i="21"/>
  <c r="Q202" i="21"/>
  <c r="R202" i="21"/>
  <c r="S202" i="21"/>
  <c r="T202" i="21"/>
  <c r="U202" i="21"/>
  <c r="V202" i="21"/>
  <c r="A203" i="21"/>
  <c r="B203" i="21"/>
  <c r="C203" i="21"/>
  <c r="D203" i="21"/>
  <c r="E203" i="21"/>
  <c r="F203" i="21"/>
  <c r="G203" i="21"/>
  <c r="H203" i="21"/>
  <c r="I203" i="21"/>
  <c r="J203" i="21"/>
  <c r="K203" i="21"/>
  <c r="L203" i="21"/>
  <c r="M203" i="21"/>
  <c r="N203" i="21"/>
  <c r="O203" i="21"/>
  <c r="P203" i="21"/>
  <c r="Q203" i="21"/>
  <c r="R203" i="21"/>
  <c r="S203" i="21"/>
  <c r="T203" i="21"/>
  <c r="U203" i="21"/>
  <c r="V203" i="21"/>
  <c r="A204" i="21"/>
  <c r="B204" i="21"/>
  <c r="C204" i="21"/>
  <c r="D204" i="21"/>
  <c r="E204" i="21"/>
  <c r="F204" i="21"/>
  <c r="G204" i="21"/>
  <c r="H204" i="21"/>
  <c r="I204" i="21"/>
  <c r="J204" i="21"/>
  <c r="K204" i="21"/>
  <c r="L204" i="21"/>
  <c r="M204" i="21"/>
  <c r="N204" i="21"/>
  <c r="O204" i="21"/>
  <c r="P204" i="21"/>
  <c r="Q204" i="21"/>
  <c r="R204" i="21"/>
  <c r="S204" i="21"/>
  <c r="T204" i="21"/>
  <c r="U204" i="21"/>
  <c r="V204" i="21"/>
  <c r="A205" i="21"/>
  <c r="B205" i="21"/>
  <c r="C205" i="21"/>
  <c r="D205" i="21"/>
  <c r="E205" i="21"/>
  <c r="F205" i="21"/>
  <c r="G205" i="21"/>
  <c r="H205" i="21"/>
  <c r="I205" i="21"/>
  <c r="J205" i="21"/>
  <c r="K205" i="21"/>
  <c r="L205" i="21"/>
  <c r="M205" i="21"/>
  <c r="N205" i="21"/>
  <c r="O205" i="21"/>
  <c r="P205" i="21"/>
  <c r="Q205" i="21"/>
  <c r="R205" i="21"/>
  <c r="S205" i="21"/>
  <c r="T205" i="21"/>
  <c r="U205" i="21"/>
  <c r="V205" i="21"/>
  <c r="A206" i="21"/>
  <c r="B206" i="21"/>
  <c r="C206" i="21"/>
  <c r="D206" i="21"/>
  <c r="E206" i="21"/>
  <c r="F206" i="21"/>
  <c r="G206" i="21"/>
  <c r="H206" i="21"/>
  <c r="I206" i="21"/>
  <c r="J206" i="21"/>
  <c r="K206" i="21"/>
  <c r="L206" i="21"/>
  <c r="M206" i="21"/>
  <c r="N206" i="21"/>
  <c r="O206" i="21"/>
  <c r="P206" i="21"/>
  <c r="Q206" i="21"/>
  <c r="R206" i="21"/>
  <c r="S206" i="21"/>
  <c r="T206" i="21"/>
  <c r="U206" i="21"/>
  <c r="V206" i="21"/>
  <c r="A207" i="21"/>
  <c r="B207" i="21"/>
  <c r="C207" i="21"/>
  <c r="D207" i="21"/>
  <c r="E207" i="21"/>
  <c r="F207" i="21"/>
  <c r="G207" i="21"/>
  <c r="H207" i="21"/>
  <c r="I207" i="21"/>
  <c r="J207" i="21"/>
  <c r="K207" i="21"/>
  <c r="L207" i="21"/>
  <c r="M207" i="21"/>
  <c r="N207" i="21"/>
  <c r="O207" i="21"/>
  <c r="P207" i="21"/>
  <c r="Q207" i="21"/>
  <c r="R207" i="21"/>
  <c r="S207" i="21"/>
  <c r="T207" i="21"/>
  <c r="U207" i="21"/>
  <c r="V207" i="21"/>
  <c r="A208" i="21"/>
  <c r="B208" i="21"/>
  <c r="C208" i="21"/>
  <c r="D208" i="21"/>
  <c r="E208" i="21"/>
  <c r="F208" i="21"/>
  <c r="G208" i="21"/>
  <c r="H208" i="21"/>
  <c r="I208" i="21"/>
  <c r="J208" i="21"/>
  <c r="K208" i="21"/>
  <c r="L208" i="21"/>
  <c r="M208" i="21"/>
  <c r="N208" i="21"/>
  <c r="O208" i="21"/>
  <c r="P208" i="21"/>
  <c r="Q208" i="21"/>
  <c r="R208" i="21"/>
  <c r="S208" i="21"/>
  <c r="T208" i="21"/>
  <c r="U208" i="21"/>
  <c r="V208" i="21"/>
  <c r="A209" i="21"/>
  <c r="B209" i="21"/>
  <c r="C209" i="21"/>
  <c r="D209" i="21"/>
  <c r="E209" i="21"/>
  <c r="F209" i="21"/>
  <c r="G209" i="21"/>
  <c r="H209" i="21"/>
  <c r="I209" i="21"/>
  <c r="J209" i="21"/>
  <c r="K209" i="21"/>
  <c r="L209" i="21"/>
  <c r="M209" i="21"/>
  <c r="N209" i="21"/>
  <c r="O209" i="21"/>
  <c r="P209" i="21"/>
  <c r="Q209" i="21"/>
  <c r="R209" i="21"/>
  <c r="S209" i="21"/>
  <c r="T209" i="21"/>
  <c r="U209" i="21"/>
  <c r="V209" i="21"/>
  <c r="A210" i="21"/>
  <c r="B210" i="21"/>
  <c r="C210" i="21"/>
  <c r="D210" i="21"/>
  <c r="E210" i="21"/>
  <c r="F210" i="21"/>
  <c r="G210" i="21"/>
  <c r="H210" i="21"/>
  <c r="I210" i="21"/>
  <c r="J210" i="21"/>
  <c r="K210" i="21"/>
  <c r="L210" i="21"/>
  <c r="M210" i="21"/>
  <c r="N210" i="21"/>
  <c r="O210" i="21"/>
  <c r="P210" i="21"/>
  <c r="Q210" i="21"/>
  <c r="R210" i="21"/>
  <c r="S210" i="21"/>
  <c r="T210" i="21"/>
  <c r="U210" i="21"/>
  <c r="V210" i="21"/>
  <c r="A211" i="21"/>
  <c r="B211" i="21"/>
  <c r="C211" i="21"/>
  <c r="D211" i="21"/>
  <c r="E211" i="21"/>
  <c r="F211" i="21"/>
  <c r="G211" i="21"/>
  <c r="H211" i="21"/>
  <c r="I211" i="21"/>
  <c r="J211" i="21"/>
  <c r="K211" i="21"/>
  <c r="L211" i="21"/>
  <c r="M211" i="21"/>
  <c r="N211" i="21"/>
  <c r="O211" i="21"/>
  <c r="P211" i="21"/>
  <c r="Q211" i="21"/>
  <c r="R211" i="21"/>
  <c r="S211" i="21"/>
  <c r="T211" i="21"/>
  <c r="U211" i="21"/>
  <c r="V211" i="21"/>
  <c r="A212" i="21"/>
  <c r="B212" i="21"/>
  <c r="C212" i="21"/>
  <c r="D212" i="21"/>
  <c r="E212" i="21"/>
  <c r="F212" i="21"/>
  <c r="G212" i="21"/>
  <c r="H212" i="21"/>
  <c r="I212" i="21"/>
  <c r="J212" i="21"/>
  <c r="K212" i="21"/>
  <c r="L212" i="21"/>
  <c r="M212" i="21"/>
  <c r="N212" i="21"/>
  <c r="O212" i="21"/>
  <c r="P212" i="21"/>
  <c r="Q212" i="21"/>
  <c r="R212" i="21"/>
  <c r="S212" i="21"/>
  <c r="T212" i="21"/>
  <c r="U212" i="21"/>
  <c r="V212" i="21"/>
  <c r="A213" i="21"/>
  <c r="B213" i="21"/>
  <c r="C213" i="21"/>
  <c r="D213" i="21"/>
  <c r="E213" i="21"/>
  <c r="F213" i="21"/>
  <c r="G213" i="21"/>
  <c r="H213" i="21"/>
  <c r="I213" i="21"/>
  <c r="J213" i="21"/>
  <c r="K213" i="21"/>
  <c r="L213" i="21"/>
  <c r="M213" i="21"/>
  <c r="N213" i="21"/>
  <c r="O213" i="21"/>
  <c r="P213" i="21"/>
  <c r="Q213" i="21"/>
  <c r="R213" i="21"/>
  <c r="S213" i="21"/>
  <c r="T213" i="21"/>
  <c r="U213" i="21"/>
  <c r="V213" i="21"/>
  <c r="W213" i="21"/>
  <c r="A214" i="21"/>
  <c r="B214" i="21"/>
  <c r="C214" i="21"/>
  <c r="D214" i="21"/>
  <c r="E214" i="21"/>
  <c r="F214" i="21"/>
  <c r="G214" i="21"/>
  <c r="H214" i="21"/>
  <c r="I214" i="21"/>
  <c r="J214" i="21"/>
  <c r="K214" i="21"/>
  <c r="L214" i="21"/>
  <c r="M214" i="21"/>
  <c r="N214" i="21"/>
  <c r="O214" i="21"/>
  <c r="P214" i="21"/>
  <c r="Q214" i="21"/>
  <c r="R214" i="21"/>
  <c r="S214" i="21"/>
  <c r="T214" i="21"/>
  <c r="U214" i="21"/>
  <c r="V214" i="21"/>
  <c r="A215" i="21"/>
  <c r="B215" i="21"/>
  <c r="C215" i="21"/>
  <c r="D215" i="21"/>
  <c r="E215" i="21"/>
  <c r="F215" i="21"/>
  <c r="G215" i="21"/>
  <c r="H215" i="21"/>
  <c r="I215" i="21"/>
  <c r="J215" i="21"/>
  <c r="K215" i="21"/>
  <c r="L215" i="21"/>
  <c r="M215" i="21"/>
  <c r="N215" i="21"/>
  <c r="O215" i="21"/>
  <c r="P215" i="21"/>
  <c r="Q215" i="21"/>
  <c r="R215" i="21"/>
  <c r="S215" i="21"/>
  <c r="T215" i="21"/>
  <c r="U215" i="21"/>
  <c r="V215" i="21"/>
  <c r="A216" i="21"/>
  <c r="B216" i="21"/>
  <c r="C216" i="21"/>
  <c r="D216" i="21"/>
  <c r="E216" i="21"/>
  <c r="F216" i="21"/>
  <c r="G216" i="21"/>
  <c r="H216" i="21"/>
  <c r="I216" i="21"/>
  <c r="J216" i="21"/>
  <c r="K216" i="21"/>
  <c r="L216" i="21"/>
  <c r="M216" i="21"/>
  <c r="N216" i="21"/>
  <c r="O216" i="21"/>
  <c r="P216" i="21"/>
  <c r="Q216" i="21"/>
  <c r="R216" i="21"/>
  <c r="S216" i="21"/>
  <c r="T216" i="21"/>
  <c r="U216" i="21"/>
  <c r="V216" i="21"/>
  <c r="A217" i="21"/>
  <c r="B217" i="21"/>
  <c r="C217" i="21"/>
  <c r="D217" i="21"/>
  <c r="E217" i="21"/>
  <c r="F217" i="21"/>
  <c r="G217" i="21"/>
  <c r="H217" i="21"/>
  <c r="I217" i="21"/>
  <c r="J217" i="21"/>
  <c r="K217" i="21"/>
  <c r="L217" i="21"/>
  <c r="M217" i="21"/>
  <c r="N217" i="21"/>
  <c r="O217" i="21"/>
  <c r="P217" i="21"/>
  <c r="Q217" i="21"/>
  <c r="R217" i="21"/>
  <c r="S217" i="21"/>
  <c r="T217" i="21"/>
  <c r="U217" i="21"/>
  <c r="V217" i="21"/>
  <c r="A218" i="21"/>
  <c r="B218" i="21"/>
  <c r="C218" i="21"/>
  <c r="D218" i="21"/>
  <c r="E218" i="21"/>
  <c r="F218" i="21"/>
  <c r="G218" i="21"/>
  <c r="H218" i="21"/>
  <c r="I218" i="21"/>
  <c r="J218" i="21"/>
  <c r="K218" i="21"/>
  <c r="L218" i="21"/>
  <c r="M218" i="21"/>
  <c r="N218" i="21"/>
  <c r="O218" i="21"/>
  <c r="P218" i="21"/>
  <c r="Q218" i="21"/>
  <c r="R218" i="21"/>
  <c r="S218" i="21"/>
  <c r="T218" i="21"/>
  <c r="U218" i="21"/>
  <c r="V218" i="21"/>
  <c r="A219" i="21"/>
  <c r="B219" i="21"/>
  <c r="C219" i="21"/>
  <c r="D219" i="21"/>
  <c r="E219" i="21"/>
  <c r="F219" i="21"/>
  <c r="G219" i="21"/>
  <c r="H219" i="21"/>
  <c r="I219" i="21"/>
  <c r="J219" i="21"/>
  <c r="K219" i="21"/>
  <c r="L219" i="21"/>
  <c r="M219" i="21"/>
  <c r="N219" i="21"/>
  <c r="O219" i="21"/>
  <c r="P219" i="21"/>
  <c r="Q219" i="21"/>
  <c r="R219" i="21"/>
  <c r="S219" i="21"/>
  <c r="T219" i="21"/>
  <c r="U219" i="21"/>
  <c r="V219" i="21"/>
  <c r="A220" i="21"/>
  <c r="B220" i="21"/>
  <c r="C220" i="21"/>
  <c r="D220" i="21"/>
  <c r="E220" i="21"/>
  <c r="F220" i="21"/>
  <c r="G220" i="21"/>
  <c r="H220" i="21"/>
  <c r="I220" i="21"/>
  <c r="J220" i="21"/>
  <c r="K220" i="21"/>
  <c r="L220" i="21"/>
  <c r="M220" i="21"/>
  <c r="N220" i="21"/>
  <c r="O220" i="21"/>
  <c r="P220" i="21"/>
  <c r="Q220" i="21"/>
  <c r="R220" i="21"/>
  <c r="S220" i="21"/>
  <c r="T220" i="21"/>
  <c r="U220" i="21"/>
  <c r="V220" i="21"/>
  <c r="A221" i="21"/>
  <c r="B221" i="21"/>
  <c r="C221" i="21"/>
  <c r="D221" i="21"/>
  <c r="E221" i="21"/>
  <c r="F221" i="21"/>
  <c r="G221" i="21"/>
  <c r="H221" i="21"/>
  <c r="I221" i="21"/>
  <c r="J221" i="21"/>
  <c r="K221" i="21"/>
  <c r="L221" i="21"/>
  <c r="M221" i="21"/>
  <c r="N221" i="21"/>
  <c r="O221" i="21"/>
  <c r="P221" i="21"/>
  <c r="Q221" i="21"/>
  <c r="R221" i="21"/>
  <c r="S221" i="21"/>
  <c r="T221" i="21"/>
  <c r="U221" i="21"/>
  <c r="V221" i="21"/>
  <c r="A222" i="21"/>
  <c r="B222" i="21"/>
  <c r="C222" i="21"/>
  <c r="D222" i="21"/>
  <c r="E222" i="21"/>
  <c r="F222" i="21"/>
  <c r="G222" i="21"/>
  <c r="H222" i="21"/>
  <c r="I222" i="21"/>
  <c r="J222" i="21"/>
  <c r="K222" i="21"/>
  <c r="L222" i="21"/>
  <c r="M222" i="21"/>
  <c r="N222" i="21"/>
  <c r="O222" i="21"/>
  <c r="P222" i="21"/>
  <c r="Q222" i="21"/>
  <c r="R222" i="21"/>
  <c r="S222" i="21"/>
  <c r="T222" i="21"/>
  <c r="U222" i="21"/>
  <c r="V222" i="21"/>
  <c r="A223" i="21"/>
  <c r="B223" i="21"/>
  <c r="C223" i="21"/>
  <c r="D223" i="21"/>
  <c r="E223" i="21"/>
  <c r="F223" i="21"/>
  <c r="G223" i="21"/>
  <c r="H223" i="21"/>
  <c r="I223" i="21"/>
  <c r="J223" i="21"/>
  <c r="K223" i="21"/>
  <c r="L223" i="21"/>
  <c r="M223" i="21"/>
  <c r="N223" i="21"/>
  <c r="O223" i="21"/>
  <c r="P223" i="21"/>
  <c r="Q223" i="21"/>
  <c r="R223" i="21"/>
  <c r="S223" i="21"/>
  <c r="T223" i="21"/>
  <c r="U223" i="21"/>
  <c r="V223" i="21"/>
  <c r="A224" i="21"/>
  <c r="B224" i="21"/>
  <c r="C224" i="21"/>
  <c r="D224" i="21"/>
  <c r="E224" i="21"/>
  <c r="F224" i="21"/>
  <c r="G224" i="21"/>
  <c r="H224" i="21"/>
  <c r="I224" i="21"/>
  <c r="J224" i="21"/>
  <c r="K224" i="21"/>
  <c r="L224" i="21"/>
  <c r="M224" i="21"/>
  <c r="N224" i="21"/>
  <c r="O224" i="21"/>
  <c r="P224" i="21"/>
  <c r="Q224" i="21"/>
  <c r="R224" i="21"/>
  <c r="S224" i="21"/>
  <c r="T224" i="21"/>
  <c r="U224" i="21"/>
  <c r="V224" i="21"/>
  <c r="A225" i="21"/>
  <c r="B225" i="21"/>
  <c r="C225" i="21"/>
  <c r="D225" i="21"/>
  <c r="E225" i="21"/>
  <c r="F225" i="21"/>
  <c r="G225" i="21"/>
  <c r="H225" i="21"/>
  <c r="I225" i="21"/>
  <c r="J225" i="21"/>
  <c r="K225" i="21"/>
  <c r="L225" i="21"/>
  <c r="M225" i="21"/>
  <c r="N225" i="21"/>
  <c r="O225" i="21"/>
  <c r="P225" i="21"/>
  <c r="Q225" i="21"/>
  <c r="R225" i="21"/>
  <c r="S225" i="21"/>
  <c r="T225" i="21"/>
  <c r="U225" i="21"/>
  <c r="V225" i="21"/>
  <c r="W225" i="21"/>
  <c r="A226" i="21"/>
  <c r="B226" i="21"/>
  <c r="C226" i="21"/>
  <c r="D226" i="21"/>
  <c r="E226" i="21"/>
  <c r="F226" i="21"/>
  <c r="G226" i="21"/>
  <c r="H226" i="21"/>
  <c r="I226" i="21"/>
  <c r="J226" i="21"/>
  <c r="K226" i="21"/>
  <c r="L226" i="21"/>
  <c r="M226" i="21"/>
  <c r="N226" i="21"/>
  <c r="O226" i="21"/>
  <c r="P226" i="21"/>
  <c r="Q226" i="21"/>
  <c r="R226" i="21"/>
  <c r="S226" i="21"/>
  <c r="T226" i="21"/>
  <c r="U226" i="21"/>
  <c r="V226" i="21"/>
  <c r="A227" i="21"/>
  <c r="B227" i="21"/>
  <c r="C227" i="21"/>
  <c r="D227" i="21"/>
  <c r="E227" i="21"/>
  <c r="F227" i="21"/>
  <c r="G227" i="21"/>
  <c r="H227" i="21"/>
  <c r="I227" i="21"/>
  <c r="J227" i="21"/>
  <c r="K227" i="21"/>
  <c r="L227" i="21"/>
  <c r="M227" i="21"/>
  <c r="N227" i="21"/>
  <c r="O227" i="21"/>
  <c r="P227" i="21"/>
  <c r="Q227" i="21"/>
  <c r="R227" i="21"/>
  <c r="S227" i="21"/>
  <c r="T227" i="21"/>
  <c r="U227" i="21"/>
  <c r="V227" i="21"/>
  <c r="A228" i="21"/>
  <c r="B228" i="21"/>
  <c r="C228" i="21"/>
  <c r="D228" i="21"/>
  <c r="E228" i="21"/>
  <c r="F228" i="21"/>
  <c r="G228" i="21"/>
  <c r="H228" i="21"/>
  <c r="I228" i="21"/>
  <c r="J228" i="21"/>
  <c r="K228" i="21"/>
  <c r="L228" i="21"/>
  <c r="M228" i="21"/>
  <c r="N228" i="21"/>
  <c r="O228" i="21"/>
  <c r="P228" i="21"/>
  <c r="Q228" i="21"/>
  <c r="R228" i="21"/>
  <c r="S228" i="21"/>
  <c r="T228" i="21"/>
  <c r="U228" i="21"/>
  <c r="V228" i="21"/>
  <c r="A229" i="21"/>
  <c r="B229" i="21"/>
  <c r="C229" i="21"/>
  <c r="D229" i="21"/>
  <c r="E229" i="21"/>
  <c r="F229" i="21"/>
  <c r="G229" i="21"/>
  <c r="H229" i="21"/>
  <c r="I229" i="21"/>
  <c r="J229" i="21"/>
  <c r="K229" i="21"/>
  <c r="L229" i="21"/>
  <c r="M229" i="21"/>
  <c r="N229" i="21"/>
  <c r="O229" i="21"/>
  <c r="P229" i="21"/>
  <c r="Q229" i="21"/>
  <c r="R229" i="21"/>
  <c r="S229" i="21"/>
  <c r="T229" i="21"/>
  <c r="U229" i="21"/>
  <c r="V229" i="21"/>
  <c r="A230" i="21"/>
  <c r="B230" i="21"/>
  <c r="C230" i="21"/>
  <c r="D230" i="21"/>
  <c r="E230" i="21"/>
  <c r="F230" i="21"/>
  <c r="G230" i="21"/>
  <c r="H230" i="21"/>
  <c r="I230" i="21"/>
  <c r="J230" i="21"/>
  <c r="K230" i="21"/>
  <c r="L230" i="21"/>
  <c r="M230" i="21"/>
  <c r="N230" i="21"/>
  <c r="O230" i="21"/>
  <c r="P230" i="21"/>
  <c r="Q230" i="21"/>
  <c r="R230" i="21"/>
  <c r="S230" i="21"/>
  <c r="T230" i="21"/>
  <c r="U230" i="21"/>
  <c r="V230" i="21"/>
  <c r="A231" i="21"/>
  <c r="B231" i="21"/>
  <c r="C231" i="21"/>
  <c r="D231" i="21"/>
  <c r="E231" i="21"/>
  <c r="F231" i="21"/>
  <c r="G231" i="21"/>
  <c r="H231" i="21"/>
  <c r="I231" i="21"/>
  <c r="J231" i="21"/>
  <c r="K231" i="21"/>
  <c r="L231" i="21"/>
  <c r="M231" i="21"/>
  <c r="N231" i="21"/>
  <c r="O231" i="21"/>
  <c r="P231" i="21"/>
  <c r="Q231" i="21"/>
  <c r="R231" i="21"/>
  <c r="S231" i="21"/>
  <c r="T231" i="21"/>
  <c r="U231" i="21"/>
  <c r="V231" i="21"/>
  <c r="A232" i="21"/>
  <c r="B232" i="21"/>
  <c r="C232" i="21"/>
  <c r="D232" i="21"/>
  <c r="E232" i="21"/>
  <c r="F232" i="21"/>
  <c r="G232" i="21"/>
  <c r="H232" i="21"/>
  <c r="I232" i="21"/>
  <c r="J232" i="21"/>
  <c r="K232" i="21"/>
  <c r="L232" i="21"/>
  <c r="M232" i="21"/>
  <c r="N232" i="21"/>
  <c r="O232" i="21"/>
  <c r="P232" i="21"/>
  <c r="Q232" i="21"/>
  <c r="R232" i="21"/>
  <c r="S232" i="21"/>
  <c r="T232" i="21"/>
  <c r="U232" i="21"/>
  <c r="V232" i="21"/>
  <c r="A233" i="21"/>
  <c r="B233" i="21"/>
  <c r="C233" i="21"/>
  <c r="D233" i="21"/>
  <c r="E233" i="21"/>
  <c r="F233" i="21"/>
  <c r="G233" i="21"/>
  <c r="H233" i="21"/>
  <c r="I233" i="21"/>
  <c r="J233" i="21"/>
  <c r="K233" i="21"/>
  <c r="L233" i="21"/>
  <c r="M233" i="21"/>
  <c r="N233" i="21"/>
  <c r="O233" i="21"/>
  <c r="P233" i="21"/>
  <c r="Q233" i="21"/>
  <c r="R233" i="21"/>
  <c r="S233" i="21"/>
  <c r="T233" i="21"/>
  <c r="U233" i="21"/>
  <c r="V233" i="21"/>
  <c r="A234" i="21"/>
  <c r="B234" i="21"/>
  <c r="C234" i="21"/>
  <c r="D234" i="21"/>
  <c r="E234" i="21"/>
  <c r="F234" i="21"/>
  <c r="G234" i="21"/>
  <c r="H234" i="21"/>
  <c r="I234" i="21"/>
  <c r="J234" i="21"/>
  <c r="K234" i="21"/>
  <c r="L234" i="21"/>
  <c r="M234" i="21"/>
  <c r="N234" i="21"/>
  <c r="O234" i="21"/>
  <c r="P234" i="21"/>
  <c r="Q234" i="21"/>
  <c r="R234" i="21"/>
  <c r="S234" i="21"/>
  <c r="T234" i="21"/>
  <c r="U234" i="21"/>
  <c r="V234" i="21"/>
  <c r="A235" i="21"/>
  <c r="B235" i="21"/>
  <c r="C235" i="21"/>
  <c r="D235" i="21"/>
  <c r="E235" i="21"/>
  <c r="F235" i="21"/>
  <c r="G235" i="21"/>
  <c r="H235" i="21"/>
  <c r="I235" i="21"/>
  <c r="J235" i="21"/>
  <c r="K235" i="21"/>
  <c r="L235" i="21"/>
  <c r="M235" i="21"/>
  <c r="N235" i="21"/>
  <c r="O235" i="21"/>
  <c r="P235" i="21"/>
  <c r="Q235" i="21"/>
  <c r="R235" i="21"/>
  <c r="S235" i="21"/>
  <c r="T235" i="21"/>
  <c r="U235" i="21"/>
  <c r="V235" i="21"/>
  <c r="A236" i="21"/>
  <c r="B236" i="21"/>
  <c r="C236" i="21"/>
  <c r="D236" i="21"/>
  <c r="E236" i="21"/>
  <c r="F236" i="21"/>
  <c r="G236" i="21"/>
  <c r="H236" i="21"/>
  <c r="I236" i="21"/>
  <c r="J236" i="21"/>
  <c r="K236" i="21"/>
  <c r="L236" i="21"/>
  <c r="M236" i="21"/>
  <c r="N236" i="21"/>
  <c r="O236" i="21"/>
  <c r="P236" i="21"/>
  <c r="Q236" i="21"/>
  <c r="R236" i="21"/>
  <c r="S236" i="21"/>
  <c r="T236" i="21"/>
  <c r="U236" i="21"/>
  <c r="V236" i="21"/>
  <c r="A237" i="21"/>
  <c r="B237" i="21"/>
  <c r="C237" i="21"/>
  <c r="D237" i="21"/>
  <c r="E237" i="21"/>
  <c r="F237" i="21"/>
  <c r="G237" i="21"/>
  <c r="H237" i="21"/>
  <c r="I237" i="21"/>
  <c r="J237" i="21"/>
  <c r="K237" i="21"/>
  <c r="L237" i="21"/>
  <c r="M237" i="21"/>
  <c r="N237" i="21"/>
  <c r="O237" i="21"/>
  <c r="P237" i="21"/>
  <c r="Q237" i="21"/>
  <c r="R237" i="21"/>
  <c r="S237" i="21"/>
  <c r="T237" i="21"/>
  <c r="U237" i="21"/>
  <c r="V237" i="21"/>
  <c r="W237" i="21"/>
  <c r="A238" i="21"/>
  <c r="B238" i="21"/>
  <c r="C238" i="21"/>
  <c r="D238" i="21"/>
  <c r="E238" i="21"/>
  <c r="F238" i="21"/>
  <c r="G238" i="21"/>
  <c r="H238" i="21"/>
  <c r="I238" i="21"/>
  <c r="J238" i="21"/>
  <c r="K238" i="21"/>
  <c r="L238" i="21"/>
  <c r="M238" i="21"/>
  <c r="N238" i="21"/>
  <c r="O238" i="21"/>
  <c r="P238" i="21"/>
  <c r="Q238" i="21"/>
  <c r="R238" i="21"/>
  <c r="S238" i="21"/>
  <c r="T238" i="21"/>
  <c r="U238" i="21"/>
  <c r="V238" i="21"/>
  <c r="A239" i="21"/>
  <c r="B239" i="21"/>
  <c r="C239" i="21"/>
  <c r="D239" i="21"/>
  <c r="E239" i="21"/>
  <c r="F239" i="21"/>
  <c r="G239" i="21"/>
  <c r="H239" i="21"/>
  <c r="I239" i="21"/>
  <c r="J239" i="21"/>
  <c r="K239" i="21"/>
  <c r="L239" i="21"/>
  <c r="M239" i="21"/>
  <c r="N239" i="21"/>
  <c r="O239" i="21"/>
  <c r="P239" i="21"/>
  <c r="Q239" i="21"/>
  <c r="R239" i="21"/>
  <c r="S239" i="21"/>
  <c r="T239" i="21"/>
  <c r="U239" i="21"/>
  <c r="V239" i="21"/>
  <c r="A240" i="21"/>
  <c r="B240" i="21"/>
  <c r="C240" i="21"/>
  <c r="D240" i="21"/>
  <c r="E240" i="21"/>
  <c r="F240" i="21"/>
  <c r="G240" i="21"/>
  <c r="H240" i="21"/>
  <c r="I240" i="21"/>
  <c r="J240" i="21"/>
  <c r="K240" i="21"/>
  <c r="L240" i="21"/>
  <c r="M240" i="21"/>
  <c r="N240" i="21"/>
  <c r="O240" i="21"/>
  <c r="P240" i="21"/>
  <c r="Q240" i="21"/>
  <c r="R240" i="21"/>
  <c r="S240" i="21"/>
  <c r="T240" i="21"/>
  <c r="U240" i="21"/>
  <c r="V240" i="21"/>
  <c r="A241" i="21"/>
  <c r="B241" i="21"/>
  <c r="C241" i="21"/>
  <c r="D241" i="21"/>
  <c r="E241" i="21"/>
  <c r="F241" i="21"/>
  <c r="G241" i="21"/>
  <c r="H241" i="21"/>
  <c r="I241" i="21"/>
  <c r="J241" i="21"/>
  <c r="K241" i="21"/>
  <c r="L241" i="21"/>
  <c r="M241" i="21"/>
  <c r="N241" i="21"/>
  <c r="O241" i="21"/>
  <c r="P241" i="21"/>
  <c r="Q241" i="21"/>
  <c r="R241" i="21"/>
  <c r="S241" i="21"/>
  <c r="T241" i="21"/>
  <c r="U241" i="21"/>
  <c r="V241" i="21"/>
  <c r="A242" i="21"/>
  <c r="B242" i="21"/>
  <c r="C242" i="21"/>
  <c r="D242" i="21"/>
  <c r="E242" i="21"/>
  <c r="F242" i="21"/>
  <c r="G242" i="21"/>
  <c r="H242" i="21"/>
  <c r="I242" i="21"/>
  <c r="J242" i="21"/>
  <c r="K242" i="21"/>
  <c r="L242" i="21"/>
  <c r="M242" i="21"/>
  <c r="N242" i="21"/>
  <c r="O242" i="21"/>
  <c r="P242" i="21"/>
  <c r="Q242" i="21"/>
  <c r="R242" i="21"/>
  <c r="S242" i="21"/>
  <c r="T242" i="21"/>
  <c r="U242" i="21"/>
  <c r="V242" i="21"/>
  <c r="A243" i="21"/>
  <c r="B243" i="21"/>
  <c r="C243" i="21"/>
  <c r="D243" i="21"/>
  <c r="E243" i="21"/>
  <c r="F243" i="21"/>
  <c r="G243" i="21"/>
  <c r="H243" i="21"/>
  <c r="I243" i="21"/>
  <c r="J243" i="21"/>
  <c r="K243" i="21"/>
  <c r="L243" i="21"/>
  <c r="M243" i="21"/>
  <c r="N243" i="21"/>
  <c r="O243" i="21"/>
  <c r="P243" i="21"/>
  <c r="Q243" i="21"/>
  <c r="R243" i="21"/>
  <c r="S243" i="21"/>
  <c r="T243" i="21"/>
  <c r="U243" i="21"/>
  <c r="V243" i="21"/>
  <c r="A244" i="21"/>
  <c r="B244" i="21"/>
  <c r="C244" i="21"/>
  <c r="D244" i="21"/>
  <c r="E244" i="21"/>
  <c r="F244" i="21"/>
  <c r="G244" i="21"/>
  <c r="H244" i="21"/>
  <c r="I244" i="21"/>
  <c r="J244" i="21"/>
  <c r="K244" i="21"/>
  <c r="L244" i="21"/>
  <c r="M244" i="21"/>
  <c r="N244" i="21"/>
  <c r="O244" i="21"/>
  <c r="P244" i="21"/>
  <c r="Q244" i="21"/>
  <c r="R244" i="21"/>
  <c r="S244" i="21"/>
  <c r="T244" i="21"/>
  <c r="U244" i="21"/>
  <c r="V244" i="21"/>
  <c r="A245" i="21"/>
  <c r="B245" i="21"/>
  <c r="C245" i="21"/>
  <c r="D245" i="21"/>
  <c r="E245" i="21"/>
  <c r="F245" i="21"/>
  <c r="G245" i="21"/>
  <c r="H245" i="21"/>
  <c r="I245" i="21"/>
  <c r="J245" i="21"/>
  <c r="K245" i="21"/>
  <c r="L245" i="21"/>
  <c r="M245" i="21"/>
  <c r="N245" i="21"/>
  <c r="O245" i="21"/>
  <c r="P245" i="21"/>
  <c r="Q245" i="21"/>
  <c r="R245" i="21"/>
  <c r="S245" i="21"/>
  <c r="T245" i="21"/>
  <c r="U245" i="21"/>
  <c r="V245" i="21"/>
  <c r="A246" i="21"/>
  <c r="B246" i="21"/>
  <c r="C246" i="21"/>
  <c r="D246" i="21"/>
  <c r="E246" i="21"/>
  <c r="F246" i="21"/>
  <c r="G246" i="21"/>
  <c r="H246" i="21"/>
  <c r="I246" i="21"/>
  <c r="J246" i="21"/>
  <c r="K246" i="21"/>
  <c r="L246" i="21"/>
  <c r="M246" i="21"/>
  <c r="N246" i="21"/>
  <c r="O246" i="21"/>
  <c r="P246" i="21"/>
  <c r="Q246" i="21"/>
  <c r="R246" i="21"/>
  <c r="S246" i="21"/>
  <c r="T246" i="21"/>
  <c r="U246" i="21"/>
  <c r="V246" i="21"/>
  <c r="A247" i="21"/>
  <c r="B247" i="21"/>
  <c r="C247" i="21"/>
  <c r="D247" i="21"/>
  <c r="E247" i="21"/>
  <c r="F247" i="21"/>
  <c r="G247" i="21"/>
  <c r="H247" i="21"/>
  <c r="I247" i="21"/>
  <c r="J247" i="21"/>
  <c r="K247" i="21"/>
  <c r="L247" i="21"/>
  <c r="M247" i="21"/>
  <c r="N247" i="21"/>
  <c r="O247" i="21"/>
  <c r="P247" i="21"/>
  <c r="Q247" i="21"/>
  <c r="R247" i="21"/>
  <c r="S247" i="21"/>
  <c r="T247" i="21"/>
  <c r="U247" i="21"/>
  <c r="V247" i="21"/>
  <c r="A248" i="21"/>
  <c r="B248" i="21"/>
  <c r="C248" i="21"/>
  <c r="D248" i="21"/>
  <c r="E248" i="21"/>
  <c r="F248" i="21"/>
  <c r="G248" i="21"/>
  <c r="H248" i="21"/>
  <c r="I248" i="21"/>
  <c r="J248" i="21"/>
  <c r="K248" i="21"/>
  <c r="L248" i="21"/>
  <c r="M248" i="21"/>
  <c r="N248" i="21"/>
  <c r="O248" i="21"/>
  <c r="P248" i="21"/>
  <c r="Q248" i="21"/>
  <c r="R248" i="21"/>
  <c r="S248" i="21"/>
  <c r="T248" i="21"/>
  <c r="U248" i="21"/>
  <c r="V248" i="21"/>
  <c r="A249" i="21"/>
  <c r="B249" i="21"/>
  <c r="C249" i="21"/>
  <c r="D249" i="21"/>
  <c r="E249" i="21"/>
  <c r="F249" i="21"/>
  <c r="G249" i="21"/>
  <c r="H249" i="21"/>
  <c r="I249" i="21"/>
  <c r="J249" i="21"/>
  <c r="K249" i="21"/>
  <c r="L249" i="21"/>
  <c r="M249" i="21"/>
  <c r="N249" i="21"/>
  <c r="O249" i="21"/>
  <c r="P249" i="21"/>
  <c r="Q249" i="21"/>
  <c r="R249" i="21"/>
  <c r="S249" i="21"/>
  <c r="T249" i="21"/>
  <c r="U249" i="21"/>
  <c r="V249" i="21"/>
  <c r="W249" i="21"/>
  <c r="A1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W10" i="20"/>
  <c r="Y10" i="20"/>
  <c r="AA10" i="20"/>
  <c r="AC10" i="20"/>
  <c r="A11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W11" i="20"/>
  <c r="Y11" i="20"/>
  <c r="AA11" i="20"/>
  <c r="AC11" i="20"/>
  <c r="A12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W12" i="20"/>
  <c r="Y12" i="20"/>
  <c r="AA12" i="20"/>
  <c r="AC12" i="20"/>
  <c r="A13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W13" i="20"/>
  <c r="Y13" i="20"/>
  <c r="AA13" i="20"/>
  <c r="AC13" i="20"/>
  <c r="A14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W14" i="20"/>
  <c r="Y14" i="20"/>
  <c r="AA14" i="20"/>
  <c r="AC14" i="20"/>
  <c r="A15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W15" i="20"/>
  <c r="Y15" i="20"/>
  <c r="AA15" i="20"/>
  <c r="AC15" i="20"/>
  <c r="A16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W16" i="20"/>
  <c r="Y16" i="20"/>
  <c r="AA16" i="20"/>
  <c r="AC16" i="20"/>
  <c r="A17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W17" i="20"/>
  <c r="Y17" i="20"/>
  <c r="AA17" i="20"/>
  <c r="AC17" i="20"/>
  <c r="A18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W18" i="20"/>
  <c r="Y18" i="20"/>
  <c r="AA18" i="20"/>
  <c r="AC18" i="20"/>
  <c r="A19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W19" i="20"/>
  <c r="Y19" i="20"/>
  <c r="AA19" i="20"/>
  <c r="AC19" i="20"/>
  <c r="A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W20" i="20"/>
  <c r="Y20" i="20"/>
  <c r="AA20" i="20"/>
  <c r="AC20" i="20"/>
  <c r="A21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22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W22" i="20"/>
  <c r="Y22" i="20"/>
  <c r="AA22" i="20"/>
  <c r="AC22" i="20"/>
  <c r="A23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W23" i="20"/>
  <c r="Y23" i="20"/>
  <c r="AA23" i="20"/>
  <c r="AC23" i="20"/>
  <c r="A24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W24" i="20"/>
  <c r="Y24" i="20"/>
  <c r="AA24" i="20"/>
  <c r="AC24" i="20"/>
  <c r="A25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W25" i="20"/>
  <c r="Y25" i="20"/>
  <c r="AA25" i="20"/>
  <c r="AC25" i="20"/>
  <c r="A26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W26" i="20"/>
  <c r="Y26" i="20"/>
  <c r="AA26" i="20"/>
  <c r="AC26" i="20"/>
  <c r="A27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W27" i="20"/>
  <c r="Y27" i="20"/>
  <c r="AA27" i="20"/>
  <c r="AC27" i="20"/>
  <c r="A28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W28" i="20"/>
  <c r="Y28" i="20"/>
  <c r="AA28" i="20"/>
  <c r="AC28" i="20"/>
  <c r="A29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W29" i="20"/>
  <c r="Y29" i="20"/>
  <c r="AA29" i="20"/>
  <c r="AC29" i="20"/>
  <c r="A30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W30" i="20"/>
  <c r="Y30" i="20"/>
  <c r="AA30" i="20"/>
  <c r="AC30" i="20"/>
  <c r="A31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W31" i="20"/>
  <c r="Y31" i="20"/>
  <c r="AA31" i="20"/>
  <c r="AC31" i="20"/>
  <c r="A32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W32" i="20"/>
  <c r="Y32" i="20"/>
  <c r="AA32" i="20"/>
  <c r="AC32" i="20"/>
  <c r="A33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34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W34" i="20"/>
  <c r="Y34" i="20"/>
  <c r="AA34" i="20"/>
  <c r="AC34" i="20"/>
  <c r="A35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W35" i="20"/>
  <c r="Y35" i="20"/>
  <c r="AA35" i="20"/>
  <c r="AC35" i="20"/>
  <c r="A36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W36" i="20"/>
  <c r="Y36" i="20"/>
  <c r="AA36" i="20"/>
  <c r="AC36" i="20"/>
  <c r="A37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W37" i="20"/>
  <c r="Y37" i="20"/>
  <c r="AA37" i="20"/>
  <c r="AC37" i="20"/>
  <c r="A38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W38" i="20"/>
  <c r="Y38" i="20"/>
  <c r="AA38" i="20"/>
  <c r="AC38" i="20"/>
  <c r="A39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W39" i="20"/>
  <c r="Y39" i="20"/>
  <c r="AA39" i="20"/>
  <c r="AC39" i="20"/>
  <c r="A40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W40" i="20"/>
  <c r="Y40" i="20"/>
  <c r="AA40" i="20"/>
  <c r="AC40" i="20"/>
  <c r="A41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W41" i="20"/>
  <c r="Y41" i="20"/>
  <c r="AA41" i="20"/>
  <c r="AC41" i="20"/>
  <c r="A42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W42" i="20"/>
  <c r="Y42" i="20"/>
  <c r="AA42" i="20"/>
  <c r="AC42" i="20"/>
  <c r="A43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W43" i="20"/>
  <c r="Y43" i="20"/>
  <c r="AA43" i="20"/>
  <c r="AC43" i="20"/>
  <c r="A44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W44" i="20"/>
  <c r="Y44" i="20"/>
  <c r="AA44" i="20"/>
  <c r="AC44" i="20"/>
  <c r="A45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46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W46" i="20"/>
  <c r="Y46" i="20"/>
  <c r="AA46" i="20"/>
  <c r="AC46" i="20"/>
  <c r="A47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W47" i="20"/>
  <c r="Y47" i="20"/>
  <c r="AA47" i="20"/>
  <c r="AC47" i="20"/>
  <c r="A48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W48" i="20"/>
  <c r="Y48" i="20"/>
  <c r="AA48" i="20"/>
  <c r="AC48" i="20"/>
  <c r="A49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W49" i="20"/>
  <c r="Y49" i="20"/>
  <c r="AA49" i="20"/>
  <c r="AC49" i="20"/>
  <c r="A50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W50" i="20"/>
  <c r="Y50" i="20"/>
  <c r="AA50" i="20"/>
  <c r="AC50" i="20"/>
  <c r="A51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W51" i="20"/>
  <c r="Y51" i="20"/>
  <c r="AA51" i="20"/>
  <c r="AC51" i="20"/>
  <c r="A52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W52" i="20"/>
  <c r="Y52" i="20"/>
  <c r="AA52" i="20"/>
  <c r="AC52" i="20"/>
  <c r="A53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W53" i="20"/>
  <c r="Y53" i="20"/>
  <c r="AA53" i="20"/>
  <c r="AC53" i="20"/>
  <c r="A54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W54" i="20"/>
  <c r="Y54" i="20"/>
  <c r="AA54" i="20"/>
  <c r="AC54" i="20"/>
  <c r="A55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W55" i="20"/>
  <c r="Y55" i="20"/>
  <c r="AA55" i="20"/>
  <c r="AC55" i="20"/>
  <c r="A56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W56" i="20"/>
  <c r="Y56" i="20"/>
  <c r="AA56" i="20"/>
  <c r="AC56" i="20"/>
  <c r="A57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AD57" i="20"/>
  <c r="A58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W58" i="20"/>
  <c r="Y58" i="20"/>
  <c r="AA58" i="20"/>
  <c r="AC58" i="20"/>
  <c r="A59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W59" i="20"/>
  <c r="Y59" i="20"/>
  <c r="AA59" i="20"/>
  <c r="AC59" i="20"/>
  <c r="A60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W60" i="20"/>
  <c r="Y60" i="20"/>
  <c r="AA60" i="20"/>
  <c r="AC60" i="20"/>
  <c r="A61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W61" i="20"/>
  <c r="Y61" i="20"/>
  <c r="AA61" i="20"/>
  <c r="AC61" i="20"/>
  <c r="A62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W62" i="20"/>
  <c r="Y62" i="20"/>
  <c r="AA62" i="20"/>
  <c r="AC62" i="20"/>
  <c r="A63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W63" i="20"/>
  <c r="Y63" i="20"/>
  <c r="AA63" i="20"/>
  <c r="AC63" i="20"/>
  <c r="A64" i="20"/>
  <c r="B64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W64" i="20"/>
  <c r="Y64" i="20"/>
  <c r="AA64" i="20"/>
  <c r="AC64" i="20"/>
  <c r="A65" i="20"/>
  <c r="B65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W65" i="20"/>
  <c r="Y65" i="20"/>
  <c r="AA65" i="20"/>
  <c r="AC65" i="20"/>
  <c r="A66" i="20"/>
  <c r="B66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W66" i="20"/>
  <c r="Y66" i="20"/>
  <c r="AA66" i="20"/>
  <c r="AC66" i="20"/>
  <c r="A67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W67" i="20"/>
  <c r="Y67" i="20"/>
  <c r="AA67" i="20"/>
  <c r="AC67" i="20"/>
  <c r="A68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W68" i="20"/>
  <c r="Y68" i="20"/>
  <c r="AA68" i="20"/>
  <c r="AC68" i="20"/>
  <c r="A69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AD69" i="20"/>
  <c r="A70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W70" i="20"/>
  <c r="Y70" i="20"/>
  <c r="AA70" i="20"/>
  <c r="AC70" i="20"/>
  <c r="A71" i="20"/>
  <c r="B71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W71" i="20"/>
  <c r="Y71" i="20"/>
  <c r="AA71" i="20"/>
  <c r="AC71" i="20"/>
  <c r="A72" i="20"/>
  <c r="B72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W72" i="20"/>
  <c r="Y72" i="20"/>
  <c r="AA72" i="20"/>
  <c r="AC72" i="20"/>
  <c r="A73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W73" i="20"/>
  <c r="Y73" i="20"/>
  <c r="AA73" i="20"/>
  <c r="AC73" i="20"/>
  <c r="A74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W74" i="20"/>
  <c r="Y74" i="20"/>
  <c r="AA74" i="20"/>
  <c r="AC74" i="20"/>
  <c r="A75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W75" i="20"/>
  <c r="Y75" i="20"/>
  <c r="AA75" i="20"/>
  <c r="AC75" i="20"/>
  <c r="A76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W76" i="20"/>
  <c r="Y76" i="20"/>
  <c r="AA76" i="20"/>
  <c r="AC76" i="20"/>
  <c r="A77" i="20"/>
  <c r="B77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W77" i="20"/>
  <c r="Y77" i="20"/>
  <c r="AA77" i="20"/>
  <c r="AC77" i="20"/>
  <c r="A78" i="20"/>
  <c r="B78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W78" i="20"/>
  <c r="Y78" i="20"/>
  <c r="AA78" i="20"/>
  <c r="AC78" i="20"/>
  <c r="A79" i="20"/>
  <c r="B79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W79" i="20"/>
  <c r="Y79" i="20"/>
  <c r="AA79" i="20"/>
  <c r="AC79" i="20"/>
  <c r="A80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W80" i="20"/>
  <c r="Y80" i="20"/>
  <c r="AA80" i="20"/>
  <c r="AC80" i="20"/>
  <c r="A81" i="20"/>
  <c r="B81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82" i="20"/>
  <c r="B82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W82" i="20"/>
  <c r="Y82" i="20"/>
  <c r="AA82" i="20"/>
  <c r="AC82" i="20"/>
  <c r="A83" i="20"/>
  <c r="B83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W83" i="20"/>
  <c r="Y83" i="20"/>
  <c r="AA83" i="20"/>
  <c r="AC83" i="20"/>
  <c r="A84" i="20"/>
  <c r="B84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T84" i="20"/>
  <c r="U84" i="20"/>
  <c r="W84" i="20"/>
  <c r="Y84" i="20"/>
  <c r="AA84" i="20"/>
  <c r="AC84" i="20"/>
  <c r="A85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T85" i="20"/>
  <c r="U85" i="20"/>
  <c r="W85" i="20"/>
  <c r="Y85" i="20"/>
  <c r="AA85" i="20"/>
  <c r="AC85" i="20"/>
  <c r="A86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T86" i="20"/>
  <c r="U86" i="20"/>
  <c r="W86" i="20"/>
  <c r="Y86" i="20"/>
  <c r="AA86" i="20"/>
  <c r="AC86" i="20"/>
  <c r="A87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W87" i="20"/>
  <c r="Y87" i="20"/>
  <c r="AA87" i="20"/>
  <c r="AC87" i="20"/>
  <c r="A88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W88" i="20"/>
  <c r="Y88" i="20"/>
  <c r="AA88" i="20"/>
  <c r="AC88" i="20"/>
  <c r="A89" i="20"/>
  <c r="B89" i="20"/>
  <c r="C89" i="20"/>
  <c r="D89" i="20"/>
  <c r="E89" i="20"/>
  <c r="F89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T89" i="20"/>
  <c r="U89" i="20"/>
  <c r="W89" i="20"/>
  <c r="Y89" i="20"/>
  <c r="AA89" i="20"/>
  <c r="AC89" i="20"/>
  <c r="A90" i="20"/>
  <c r="B90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S90" i="20"/>
  <c r="T90" i="20"/>
  <c r="U90" i="20"/>
  <c r="W90" i="20"/>
  <c r="Y90" i="20"/>
  <c r="AA90" i="20"/>
  <c r="AC90" i="20"/>
  <c r="A91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W91" i="20"/>
  <c r="Y91" i="20"/>
  <c r="AA91" i="20"/>
  <c r="AC91" i="20"/>
  <c r="A92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S92" i="20"/>
  <c r="T92" i="20"/>
  <c r="U92" i="20"/>
  <c r="W92" i="20"/>
  <c r="Y92" i="20"/>
  <c r="AA92" i="20"/>
  <c r="AC92" i="20"/>
  <c r="A93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T93" i="20"/>
  <c r="U93" i="20"/>
  <c r="V93" i="20"/>
  <c r="W93" i="20"/>
  <c r="X93" i="20"/>
  <c r="Y93" i="20"/>
  <c r="Z93" i="20"/>
  <c r="AA93" i="20"/>
  <c r="AB93" i="20"/>
  <c r="AC93" i="20"/>
  <c r="AD93" i="20"/>
  <c r="A94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T94" i="20"/>
  <c r="U94" i="20"/>
  <c r="W94" i="20"/>
  <c r="Y94" i="20"/>
  <c r="AA94" i="20"/>
  <c r="AC94" i="20"/>
  <c r="A95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P95" i="20"/>
  <c r="Q95" i="20"/>
  <c r="R95" i="20"/>
  <c r="S95" i="20"/>
  <c r="T95" i="20"/>
  <c r="U95" i="20"/>
  <c r="W95" i="20"/>
  <c r="Y95" i="20"/>
  <c r="AA95" i="20"/>
  <c r="AC95" i="20"/>
  <c r="A96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O96" i="20"/>
  <c r="P96" i="20"/>
  <c r="Q96" i="20"/>
  <c r="R96" i="20"/>
  <c r="S96" i="20"/>
  <c r="T96" i="20"/>
  <c r="U96" i="20"/>
  <c r="W96" i="20"/>
  <c r="Y96" i="20"/>
  <c r="AA96" i="20"/>
  <c r="AC96" i="20"/>
  <c r="A97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T97" i="20"/>
  <c r="U97" i="20"/>
  <c r="W97" i="20"/>
  <c r="Y97" i="20"/>
  <c r="AA97" i="20"/>
  <c r="AC97" i="20"/>
  <c r="A98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S98" i="20"/>
  <c r="T98" i="20"/>
  <c r="U98" i="20"/>
  <c r="W98" i="20"/>
  <c r="Y98" i="20"/>
  <c r="AA98" i="20"/>
  <c r="AC98" i="20"/>
  <c r="A99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T99" i="20"/>
  <c r="U99" i="20"/>
  <c r="W99" i="20"/>
  <c r="Y99" i="20"/>
  <c r="AA99" i="20"/>
  <c r="AC99" i="20"/>
  <c r="A100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T100" i="20"/>
  <c r="U100" i="20"/>
  <c r="W100" i="20"/>
  <c r="Y100" i="20"/>
  <c r="AA100" i="20"/>
  <c r="AC100" i="20"/>
  <c r="A101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T101" i="20"/>
  <c r="U101" i="20"/>
  <c r="W101" i="20"/>
  <c r="Y101" i="20"/>
  <c r="AA101" i="20"/>
  <c r="AC101" i="20"/>
  <c r="A102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P102" i="20"/>
  <c r="Q102" i="20"/>
  <c r="R102" i="20"/>
  <c r="S102" i="20"/>
  <c r="T102" i="20"/>
  <c r="U102" i="20"/>
  <c r="W102" i="20"/>
  <c r="Y102" i="20"/>
  <c r="AA102" i="20"/>
  <c r="AC102" i="20"/>
  <c r="A103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T103" i="20"/>
  <c r="U103" i="20"/>
  <c r="W103" i="20"/>
  <c r="Y103" i="20"/>
  <c r="AA103" i="20"/>
  <c r="AC103" i="20"/>
  <c r="A104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T104" i="20"/>
  <c r="U104" i="20"/>
  <c r="W104" i="20"/>
  <c r="Y104" i="20"/>
  <c r="AA104" i="20"/>
  <c r="AC104" i="20"/>
  <c r="A105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T105" i="20"/>
  <c r="U105" i="20"/>
  <c r="V105" i="20"/>
  <c r="W105" i="20"/>
  <c r="X105" i="20"/>
  <c r="Y105" i="20"/>
  <c r="Z105" i="20"/>
  <c r="AA105" i="20"/>
  <c r="AB105" i="20"/>
  <c r="AC105" i="20"/>
  <c r="AD105" i="20"/>
  <c r="A106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O106" i="20"/>
  <c r="P106" i="20"/>
  <c r="Q106" i="20"/>
  <c r="R106" i="20"/>
  <c r="S106" i="20"/>
  <c r="T106" i="20"/>
  <c r="U106" i="20"/>
  <c r="W106" i="20"/>
  <c r="Y106" i="20"/>
  <c r="AA106" i="20"/>
  <c r="AC106" i="20"/>
  <c r="A107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P107" i="20"/>
  <c r="Q107" i="20"/>
  <c r="R107" i="20"/>
  <c r="S107" i="20"/>
  <c r="T107" i="20"/>
  <c r="U107" i="20"/>
  <c r="W107" i="20"/>
  <c r="Y107" i="20"/>
  <c r="AA107" i="20"/>
  <c r="AC107" i="20"/>
  <c r="A108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O108" i="20"/>
  <c r="P108" i="20"/>
  <c r="Q108" i="20"/>
  <c r="R108" i="20"/>
  <c r="S108" i="20"/>
  <c r="T108" i="20"/>
  <c r="U108" i="20"/>
  <c r="W108" i="20"/>
  <c r="Y108" i="20"/>
  <c r="AA108" i="20"/>
  <c r="AC108" i="20"/>
  <c r="A109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P109" i="20"/>
  <c r="Q109" i="20"/>
  <c r="R109" i="20"/>
  <c r="S109" i="20"/>
  <c r="T109" i="20"/>
  <c r="U109" i="20"/>
  <c r="W109" i="20"/>
  <c r="Y109" i="20"/>
  <c r="AA109" i="20"/>
  <c r="AC109" i="20"/>
  <c r="A110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T110" i="20"/>
  <c r="U110" i="20"/>
  <c r="W110" i="20"/>
  <c r="Y110" i="20"/>
  <c r="AA110" i="20"/>
  <c r="AC110" i="20"/>
  <c r="A111" i="20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T111" i="20"/>
  <c r="U111" i="20"/>
  <c r="W111" i="20"/>
  <c r="Y111" i="20"/>
  <c r="AA111" i="20"/>
  <c r="AC111" i="20"/>
  <c r="A112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O112" i="20"/>
  <c r="P112" i="20"/>
  <c r="Q112" i="20"/>
  <c r="R112" i="20"/>
  <c r="S112" i="20"/>
  <c r="T112" i="20"/>
  <c r="U112" i="20"/>
  <c r="W112" i="20"/>
  <c r="Y112" i="20"/>
  <c r="AA112" i="20"/>
  <c r="AC112" i="20"/>
  <c r="A113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O113" i="20"/>
  <c r="P113" i="20"/>
  <c r="Q113" i="20"/>
  <c r="R113" i="20"/>
  <c r="S113" i="20"/>
  <c r="T113" i="20"/>
  <c r="U113" i="20"/>
  <c r="W113" i="20"/>
  <c r="Y113" i="20"/>
  <c r="AA113" i="20"/>
  <c r="AC113" i="20"/>
  <c r="A114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O114" i="20"/>
  <c r="P114" i="20"/>
  <c r="Q114" i="20"/>
  <c r="R114" i="20"/>
  <c r="S114" i="20"/>
  <c r="T114" i="20"/>
  <c r="U114" i="20"/>
  <c r="W114" i="20"/>
  <c r="Y114" i="20"/>
  <c r="AA114" i="20"/>
  <c r="AC114" i="20"/>
  <c r="A115" i="20"/>
  <c r="B115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O115" i="20"/>
  <c r="P115" i="20"/>
  <c r="Q115" i="20"/>
  <c r="R115" i="20"/>
  <c r="S115" i="20"/>
  <c r="T115" i="20"/>
  <c r="U115" i="20"/>
  <c r="W115" i="20"/>
  <c r="Y115" i="20"/>
  <c r="AA115" i="20"/>
  <c r="AC115" i="20"/>
  <c r="A116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P116" i="20"/>
  <c r="Q116" i="20"/>
  <c r="R116" i="20"/>
  <c r="S116" i="20"/>
  <c r="T116" i="20"/>
  <c r="U116" i="20"/>
  <c r="W116" i="20"/>
  <c r="Y116" i="20"/>
  <c r="AA116" i="20"/>
  <c r="AC116" i="20"/>
  <c r="A117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P117" i="20"/>
  <c r="Q117" i="20"/>
  <c r="R117" i="20"/>
  <c r="S117" i="20"/>
  <c r="T117" i="20"/>
  <c r="U117" i="20"/>
  <c r="V117" i="20"/>
  <c r="W117" i="20"/>
  <c r="X117" i="20"/>
  <c r="Y117" i="20"/>
  <c r="Z117" i="20"/>
  <c r="AA117" i="20"/>
  <c r="AB117" i="20"/>
  <c r="AC117" i="20"/>
  <c r="AD117" i="20"/>
  <c r="A118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P118" i="20"/>
  <c r="Q118" i="20"/>
  <c r="R118" i="20"/>
  <c r="S118" i="20"/>
  <c r="T118" i="20"/>
  <c r="U118" i="20"/>
  <c r="W118" i="20"/>
  <c r="Y118" i="20"/>
  <c r="AA118" i="20"/>
  <c r="AC118" i="20"/>
  <c r="A119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P119" i="20"/>
  <c r="Q119" i="20"/>
  <c r="R119" i="20"/>
  <c r="S119" i="20"/>
  <c r="T119" i="20"/>
  <c r="U119" i="20"/>
  <c r="W119" i="20"/>
  <c r="Y119" i="20"/>
  <c r="AA119" i="20"/>
  <c r="AC119" i="20"/>
  <c r="A120" i="20"/>
  <c r="B120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O120" i="20"/>
  <c r="P120" i="20"/>
  <c r="Q120" i="20"/>
  <c r="R120" i="20"/>
  <c r="S120" i="20"/>
  <c r="T120" i="20"/>
  <c r="U120" i="20"/>
  <c r="W120" i="20"/>
  <c r="Y120" i="20"/>
  <c r="AA120" i="20"/>
  <c r="AC120" i="20"/>
  <c r="A121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O121" i="20"/>
  <c r="P121" i="20"/>
  <c r="Q121" i="20"/>
  <c r="R121" i="20"/>
  <c r="S121" i="20"/>
  <c r="T121" i="20"/>
  <c r="U121" i="20"/>
  <c r="W121" i="20"/>
  <c r="Y121" i="20"/>
  <c r="AA121" i="20"/>
  <c r="AC121" i="20"/>
  <c r="A122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O122" i="20"/>
  <c r="P122" i="20"/>
  <c r="Q122" i="20"/>
  <c r="R122" i="20"/>
  <c r="S122" i="20"/>
  <c r="T122" i="20"/>
  <c r="U122" i="20"/>
  <c r="W122" i="20"/>
  <c r="Y122" i="20"/>
  <c r="AA122" i="20"/>
  <c r="AC122" i="20"/>
  <c r="A123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O123" i="20"/>
  <c r="P123" i="20"/>
  <c r="Q123" i="20"/>
  <c r="R123" i="20"/>
  <c r="S123" i="20"/>
  <c r="T123" i="20"/>
  <c r="U123" i="20"/>
  <c r="W123" i="20"/>
  <c r="Y123" i="20"/>
  <c r="AA123" i="20"/>
  <c r="AC123" i="20"/>
  <c r="A124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P124" i="20"/>
  <c r="Q124" i="20"/>
  <c r="R124" i="20"/>
  <c r="S124" i="20"/>
  <c r="T124" i="20"/>
  <c r="U124" i="20"/>
  <c r="W124" i="20"/>
  <c r="Y124" i="20"/>
  <c r="AA124" i="20"/>
  <c r="AC124" i="20"/>
  <c r="A125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O125" i="20"/>
  <c r="P125" i="20"/>
  <c r="Q125" i="20"/>
  <c r="R125" i="20"/>
  <c r="S125" i="20"/>
  <c r="T125" i="20"/>
  <c r="U125" i="20"/>
  <c r="W125" i="20"/>
  <c r="Y125" i="20"/>
  <c r="AA125" i="20"/>
  <c r="AC125" i="20"/>
  <c r="A126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P126" i="20"/>
  <c r="Q126" i="20"/>
  <c r="R126" i="20"/>
  <c r="S126" i="20"/>
  <c r="T126" i="20"/>
  <c r="U126" i="20"/>
  <c r="W126" i="20"/>
  <c r="Y126" i="20"/>
  <c r="AA126" i="20"/>
  <c r="AC126" i="20"/>
  <c r="A127" i="20"/>
  <c r="B127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O127" i="20"/>
  <c r="P127" i="20"/>
  <c r="Q127" i="20"/>
  <c r="R127" i="20"/>
  <c r="S127" i="20"/>
  <c r="T127" i="20"/>
  <c r="U127" i="20"/>
  <c r="W127" i="20"/>
  <c r="Y127" i="20"/>
  <c r="AA127" i="20"/>
  <c r="AC127" i="20"/>
  <c r="A128" i="20"/>
  <c r="B128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P128" i="20"/>
  <c r="Q128" i="20"/>
  <c r="R128" i="20"/>
  <c r="S128" i="20"/>
  <c r="T128" i="20"/>
  <c r="U128" i="20"/>
  <c r="W128" i="20"/>
  <c r="Y128" i="20"/>
  <c r="AA128" i="20"/>
  <c r="AC128" i="20"/>
  <c r="A129" i="20"/>
  <c r="B129" i="20"/>
  <c r="C129" i="20"/>
  <c r="D129" i="20"/>
  <c r="E129" i="20"/>
  <c r="F129" i="20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T129" i="20"/>
  <c r="U129" i="20"/>
  <c r="V129" i="20"/>
  <c r="W129" i="20"/>
  <c r="X129" i="20"/>
  <c r="Y129" i="20"/>
  <c r="Z129" i="20"/>
  <c r="AA129" i="20"/>
  <c r="AB129" i="20"/>
  <c r="AC129" i="20"/>
  <c r="AD129" i="20"/>
  <c r="A130" i="20"/>
  <c r="B130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P130" i="20"/>
  <c r="Q130" i="20"/>
  <c r="R130" i="20"/>
  <c r="S130" i="20"/>
  <c r="T130" i="20"/>
  <c r="U130" i="20"/>
  <c r="W130" i="20"/>
  <c r="Y130" i="20"/>
  <c r="AA130" i="20"/>
  <c r="AC130" i="20"/>
  <c r="A131" i="20"/>
  <c r="B131" i="20"/>
  <c r="C131" i="20"/>
  <c r="D131" i="20"/>
  <c r="E131" i="20"/>
  <c r="F131" i="20"/>
  <c r="G131" i="20"/>
  <c r="H131" i="20"/>
  <c r="I131" i="20"/>
  <c r="J131" i="20"/>
  <c r="K131" i="20"/>
  <c r="L131" i="20"/>
  <c r="M131" i="20"/>
  <c r="N131" i="20"/>
  <c r="O131" i="20"/>
  <c r="P131" i="20"/>
  <c r="Q131" i="20"/>
  <c r="R131" i="20"/>
  <c r="S131" i="20"/>
  <c r="T131" i="20"/>
  <c r="U131" i="20"/>
  <c r="W131" i="20"/>
  <c r="Y131" i="20"/>
  <c r="AA131" i="20"/>
  <c r="AC131" i="20"/>
  <c r="A132" i="20"/>
  <c r="B132" i="20"/>
  <c r="C132" i="20"/>
  <c r="D132" i="20"/>
  <c r="E132" i="20"/>
  <c r="F132" i="20"/>
  <c r="G132" i="20"/>
  <c r="H132" i="20"/>
  <c r="I132" i="20"/>
  <c r="J132" i="20"/>
  <c r="K132" i="20"/>
  <c r="L132" i="20"/>
  <c r="M132" i="20"/>
  <c r="N132" i="20"/>
  <c r="O132" i="20"/>
  <c r="P132" i="20"/>
  <c r="Q132" i="20"/>
  <c r="R132" i="20"/>
  <c r="S132" i="20"/>
  <c r="T132" i="20"/>
  <c r="U132" i="20"/>
  <c r="W132" i="20"/>
  <c r="Y132" i="20"/>
  <c r="AA132" i="20"/>
  <c r="AC132" i="20"/>
  <c r="A133" i="20"/>
  <c r="B133" i="20"/>
  <c r="C133" i="20"/>
  <c r="D133" i="20"/>
  <c r="E133" i="20"/>
  <c r="F133" i="20"/>
  <c r="G133" i="20"/>
  <c r="H133" i="20"/>
  <c r="I133" i="20"/>
  <c r="J133" i="20"/>
  <c r="K133" i="20"/>
  <c r="L133" i="20"/>
  <c r="M133" i="20"/>
  <c r="N133" i="20"/>
  <c r="O133" i="20"/>
  <c r="P133" i="20"/>
  <c r="Q133" i="20"/>
  <c r="R133" i="20"/>
  <c r="S133" i="20"/>
  <c r="T133" i="20"/>
  <c r="U133" i="20"/>
  <c r="W133" i="20"/>
  <c r="Y133" i="20"/>
  <c r="AA133" i="20"/>
  <c r="AC133" i="20"/>
  <c r="A134" i="20"/>
  <c r="B134" i="20"/>
  <c r="C134" i="20"/>
  <c r="D134" i="20"/>
  <c r="E134" i="20"/>
  <c r="F134" i="20"/>
  <c r="G134" i="20"/>
  <c r="H134" i="20"/>
  <c r="I134" i="20"/>
  <c r="J134" i="20"/>
  <c r="K134" i="20"/>
  <c r="L134" i="20"/>
  <c r="M134" i="20"/>
  <c r="N134" i="20"/>
  <c r="O134" i="20"/>
  <c r="P134" i="20"/>
  <c r="Q134" i="20"/>
  <c r="R134" i="20"/>
  <c r="S134" i="20"/>
  <c r="T134" i="20"/>
  <c r="U134" i="20"/>
  <c r="W134" i="20"/>
  <c r="Y134" i="20"/>
  <c r="AA134" i="20"/>
  <c r="AC134" i="20"/>
  <c r="A135" i="20"/>
  <c r="B135" i="20"/>
  <c r="C135" i="20"/>
  <c r="D135" i="20"/>
  <c r="E135" i="20"/>
  <c r="F135" i="20"/>
  <c r="G135" i="20"/>
  <c r="H135" i="20"/>
  <c r="I135" i="20"/>
  <c r="J135" i="20"/>
  <c r="K135" i="20"/>
  <c r="L135" i="20"/>
  <c r="M135" i="20"/>
  <c r="N135" i="20"/>
  <c r="O135" i="20"/>
  <c r="P135" i="20"/>
  <c r="Q135" i="20"/>
  <c r="R135" i="20"/>
  <c r="S135" i="20"/>
  <c r="T135" i="20"/>
  <c r="U135" i="20"/>
  <c r="W135" i="20"/>
  <c r="Y135" i="20"/>
  <c r="AA135" i="20"/>
  <c r="AC135" i="20"/>
  <c r="A136" i="20"/>
  <c r="B136" i="20"/>
  <c r="C136" i="20"/>
  <c r="D136" i="20"/>
  <c r="E136" i="20"/>
  <c r="F136" i="20"/>
  <c r="G136" i="20"/>
  <c r="H136" i="20"/>
  <c r="I136" i="20"/>
  <c r="J136" i="20"/>
  <c r="K136" i="20"/>
  <c r="L136" i="20"/>
  <c r="M136" i="20"/>
  <c r="N136" i="20"/>
  <c r="O136" i="20"/>
  <c r="P136" i="20"/>
  <c r="Q136" i="20"/>
  <c r="R136" i="20"/>
  <c r="S136" i="20"/>
  <c r="T136" i="20"/>
  <c r="U136" i="20"/>
  <c r="W136" i="20"/>
  <c r="Y136" i="20"/>
  <c r="AA136" i="20"/>
  <c r="AC136" i="20"/>
  <c r="A137" i="20"/>
  <c r="B137" i="20"/>
  <c r="C137" i="20"/>
  <c r="D137" i="20"/>
  <c r="E137" i="20"/>
  <c r="F137" i="20"/>
  <c r="G137" i="20"/>
  <c r="H137" i="20"/>
  <c r="I137" i="20"/>
  <c r="J137" i="20"/>
  <c r="K137" i="20"/>
  <c r="L137" i="20"/>
  <c r="M137" i="20"/>
  <c r="N137" i="20"/>
  <c r="O137" i="20"/>
  <c r="P137" i="20"/>
  <c r="Q137" i="20"/>
  <c r="R137" i="20"/>
  <c r="S137" i="20"/>
  <c r="T137" i="20"/>
  <c r="U137" i="20"/>
  <c r="W137" i="20"/>
  <c r="Y137" i="20"/>
  <c r="AA137" i="20"/>
  <c r="AC137" i="20"/>
  <c r="A138" i="20"/>
  <c r="B138" i="20"/>
  <c r="C138" i="20"/>
  <c r="D138" i="20"/>
  <c r="E138" i="20"/>
  <c r="F138" i="20"/>
  <c r="G138" i="20"/>
  <c r="H138" i="20"/>
  <c r="I138" i="20"/>
  <c r="J138" i="20"/>
  <c r="K138" i="20"/>
  <c r="L138" i="20"/>
  <c r="M138" i="20"/>
  <c r="N138" i="20"/>
  <c r="O138" i="20"/>
  <c r="P138" i="20"/>
  <c r="Q138" i="20"/>
  <c r="R138" i="20"/>
  <c r="S138" i="20"/>
  <c r="T138" i="20"/>
  <c r="U138" i="20"/>
  <c r="W138" i="20"/>
  <c r="Y138" i="20"/>
  <c r="AA138" i="20"/>
  <c r="AC138" i="20"/>
  <c r="A139" i="20"/>
  <c r="B139" i="20"/>
  <c r="C139" i="20"/>
  <c r="D139" i="20"/>
  <c r="E139" i="20"/>
  <c r="F139" i="20"/>
  <c r="G139" i="20"/>
  <c r="H139" i="20"/>
  <c r="I139" i="20"/>
  <c r="J139" i="20"/>
  <c r="K139" i="20"/>
  <c r="L139" i="20"/>
  <c r="M139" i="20"/>
  <c r="N139" i="20"/>
  <c r="O139" i="20"/>
  <c r="P139" i="20"/>
  <c r="Q139" i="20"/>
  <c r="R139" i="20"/>
  <c r="S139" i="20"/>
  <c r="T139" i="20"/>
  <c r="U139" i="20"/>
  <c r="W139" i="20"/>
  <c r="Y139" i="20"/>
  <c r="AA139" i="20"/>
  <c r="AC139" i="20"/>
  <c r="A140" i="20"/>
  <c r="B140" i="20"/>
  <c r="C140" i="20"/>
  <c r="D140" i="20"/>
  <c r="E140" i="20"/>
  <c r="F140" i="20"/>
  <c r="G140" i="20"/>
  <c r="H140" i="20"/>
  <c r="I140" i="20"/>
  <c r="J140" i="20"/>
  <c r="K140" i="20"/>
  <c r="L140" i="20"/>
  <c r="M140" i="20"/>
  <c r="N140" i="20"/>
  <c r="O140" i="20"/>
  <c r="P140" i="20"/>
  <c r="Q140" i="20"/>
  <c r="R140" i="20"/>
  <c r="S140" i="20"/>
  <c r="T140" i="20"/>
  <c r="U140" i="20"/>
  <c r="W140" i="20"/>
  <c r="Y140" i="20"/>
  <c r="AA140" i="20"/>
  <c r="AC140" i="20"/>
  <c r="A141" i="20"/>
  <c r="B141" i="20"/>
  <c r="C141" i="20"/>
  <c r="D141" i="20"/>
  <c r="E141" i="20"/>
  <c r="F141" i="20"/>
  <c r="G141" i="20"/>
  <c r="H141" i="20"/>
  <c r="I141" i="20"/>
  <c r="J141" i="20"/>
  <c r="K141" i="20"/>
  <c r="L141" i="20"/>
  <c r="M141" i="20"/>
  <c r="N141" i="20"/>
  <c r="O141" i="20"/>
  <c r="P141" i="20"/>
  <c r="Q141" i="20"/>
  <c r="R141" i="20"/>
  <c r="S141" i="20"/>
  <c r="T141" i="20"/>
  <c r="U141" i="20"/>
  <c r="V141" i="20"/>
  <c r="W141" i="20"/>
  <c r="X141" i="20"/>
  <c r="Y141" i="20"/>
  <c r="Z141" i="20"/>
  <c r="AA141" i="20"/>
  <c r="AB141" i="20"/>
  <c r="AC141" i="20"/>
  <c r="AD141" i="20"/>
  <c r="A142" i="20"/>
  <c r="B142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P142" i="20"/>
  <c r="Q142" i="20"/>
  <c r="R142" i="20"/>
  <c r="S142" i="20"/>
  <c r="T142" i="20"/>
  <c r="U142" i="20"/>
  <c r="W142" i="20"/>
  <c r="Y142" i="20"/>
  <c r="AA142" i="20"/>
  <c r="AC142" i="20"/>
  <c r="A143" i="20"/>
  <c r="B143" i="20"/>
  <c r="C143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P143" i="20"/>
  <c r="Q143" i="20"/>
  <c r="R143" i="20"/>
  <c r="S143" i="20"/>
  <c r="T143" i="20"/>
  <c r="U143" i="20"/>
  <c r="W143" i="20"/>
  <c r="Y143" i="20"/>
  <c r="AA143" i="20"/>
  <c r="AC143" i="20"/>
  <c r="A144" i="20"/>
  <c r="B144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P144" i="20"/>
  <c r="Q144" i="20"/>
  <c r="R144" i="20"/>
  <c r="S144" i="20"/>
  <c r="T144" i="20"/>
  <c r="U144" i="20"/>
  <c r="W144" i="20"/>
  <c r="Y144" i="20"/>
  <c r="AA144" i="20"/>
  <c r="AC144" i="20"/>
  <c r="A145" i="20"/>
  <c r="B145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P145" i="20"/>
  <c r="Q145" i="20"/>
  <c r="R145" i="20"/>
  <c r="S145" i="20"/>
  <c r="T145" i="20"/>
  <c r="U145" i="20"/>
  <c r="W145" i="20"/>
  <c r="Y145" i="20"/>
  <c r="AA145" i="20"/>
  <c r="AC145" i="20"/>
  <c r="A146" i="20"/>
  <c r="B146" i="20"/>
  <c r="C146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P146" i="20"/>
  <c r="Q146" i="20"/>
  <c r="R146" i="20"/>
  <c r="S146" i="20"/>
  <c r="T146" i="20"/>
  <c r="U146" i="20"/>
  <c r="W146" i="20"/>
  <c r="Y146" i="20"/>
  <c r="AA146" i="20"/>
  <c r="AC146" i="20"/>
  <c r="A147" i="20"/>
  <c r="B147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P147" i="20"/>
  <c r="Q147" i="20"/>
  <c r="R147" i="20"/>
  <c r="S147" i="20"/>
  <c r="T147" i="20"/>
  <c r="U147" i="20"/>
  <c r="W147" i="20"/>
  <c r="Y147" i="20"/>
  <c r="AA147" i="20"/>
  <c r="AC147" i="20"/>
  <c r="A148" i="20"/>
  <c r="B148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P148" i="20"/>
  <c r="Q148" i="20"/>
  <c r="R148" i="20"/>
  <c r="S148" i="20"/>
  <c r="T148" i="20"/>
  <c r="U148" i="20"/>
  <c r="W148" i="20"/>
  <c r="Y148" i="20"/>
  <c r="AA148" i="20"/>
  <c r="AC148" i="20"/>
  <c r="A149" i="20"/>
  <c r="B149" i="20"/>
  <c r="C149" i="20"/>
  <c r="D149" i="20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T149" i="20"/>
  <c r="U149" i="20"/>
  <c r="W149" i="20"/>
  <c r="Y149" i="20"/>
  <c r="AA149" i="20"/>
  <c r="AC149" i="20"/>
  <c r="A150" i="20"/>
  <c r="B150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P150" i="20"/>
  <c r="Q150" i="20"/>
  <c r="R150" i="20"/>
  <c r="S150" i="20"/>
  <c r="T150" i="20"/>
  <c r="U150" i="20"/>
  <c r="W150" i="20"/>
  <c r="Y150" i="20"/>
  <c r="AA150" i="20"/>
  <c r="AC150" i="20"/>
  <c r="A151" i="20"/>
  <c r="B151" i="20"/>
  <c r="C151" i="20"/>
  <c r="D151" i="20"/>
  <c r="E151" i="20"/>
  <c r="F151" i="20"/>
  <c r="G151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T151" i="20"/>
  <c r="U151" i="20"/>
  <c r="W151" i="20"/>
  <c r="Y151" i="20"/>
  <c r="AA151" i="20"/>
  <c r="AC151" i="20"/>
  <c r="A152" i="20"/>
  <c r="B152" i="20"/>
  <c r="C152" i="20"/>
  <c r="D152" i="20"/>
  <c r="E152" i="20"/>
  <c r="F152" i="20"/>
  <c r="G152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T152" i="20"/>
  <c r="U152" i="20"/>
  <c r="W152" i="20"/>
  <c r="Y152" i="20"/>
  <c r="AA152" i="20"/>
  <c r="AC152" i="20"/>
  <c r="A153" i="20"/>
  <c r="B153" i="20"/>
  <c r="C153" i="20"/>
  <c r="D153" i="20"/>
  <c r="E153" i="20"/>
  <c r="F153" i="20"/>
  <c r="G153" i="20"/>
  <c r="H153" i="20"/>
  <c r="I153" i="20"/>
  <c r="J153" i="20"/>
  <c r="K153" i="20"/>
  <c r="L153" i="20"/>
  <c r="M153" i="20"/>
  <c r="N153" i="20"/>
  <c r="O153" i="20"/>
  <c r="P153" i="20"/>
  <c r="Q153" i="20"/>
  <c r="R153" i="20"/>
  <c r="S153" i="20"/>
  <c r="T153" i="20"/>
  <c r="U153" i="20"/>
  <c r="V153" i="20"/>
  <c r="W153" i="20"/>
  <c r="X153" i="20"/>
  <c r="Y153" i="20"/>
  <c r="Z153" i="20"/>
  <c r="AA153" i="20"/>
  <c r="AB153" i="20"/>
  <c r="AC153" i="20"/>
  <c r="AD153" i="20"/>
  <c r="A154" i="20"/>
  <c r="B154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P154" i="20"/>
  <c r="Q154" i="20"/>
  <c r="R154" i="20"/>
  <c r="S154" i="20"/>
  <c r="T154" i="20"/>
  <c r="U154" i="20"/>
  <c r="W154" i="20"/>
  <c r="Y154" i="20"/>
  <c r="AA154" i="20"/>
  <c r="AC154" i="20"/>
  <c r="A155" i="20"/>
  <c r="B155" i="20"/>
  <c r="C155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T155" i="20"/>
  <c r="U155" i="20"/>
  <c r="W155" i="20"/>
  <c r="Y155" i="20"/>
  <c r="AA155" i="20"/>
  <c r="AC155" i="20"/>
  <c r="A156" i="20"/>
  <c r="B156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P156" i="20"/>
  <c r="Q156" i="20"/>
  <c r="R156" i="20"/>
  <c r="S156" i="20"/>
  <c r="T156" i="20"/>
  <c r="U156" i="20"/>
  <c r="W156" i="20"/>
  <c r="Y156" i="20"/>
  <c r="AA156" i="20"/>
  <c r="AC156" i="20"/>
  <c r="A157" i="20"/>
  <c r="B157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P157" i="20"/>
  <c r="Q157" i="20"/>
  <c r="R157" i="20"/>
  <c r="S157" i="20"/>
  <c r="T157" i="20"/>
  <c r="U157" i="20"/>
  <c r="W157" i="20"/>
  <c r="Y157" i="20"/>
  <c r="AA157" i="20"/>
  <c r="AC157" i="20"/>
  <c r="A158" i="20"/>
  <c r="B158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P158" i="20"/>
  <c r="Q158" i="20"/>
  <c r="R158" i="20"/>
  <c r="S158" i="20"/>
  <c r="T158" i="20"/>
  <c r="U158" i="20"/>
  <c r="W158" i="20"/>
  <c r="Y158" i="20"/>
  <c r="AA158" i="20"/>
  <c r="AC158" i="20"/>
  <c r="A159" i="20"/>
  <c r="B159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P159" i="20"/>
  <c r="Q159" i="20"/>
  <c r="R159" i="20"/>
  <c r="S159" i="20"/>
  <c r="T159" i="20"/>
  <c r="U159" i="20"/>
  <c r="W159" i="20"/>
  <c r="Y159" i="20"/>
  <c r="AA159" i="20"/>
  <c r="AC159" i="20"/>
  <c r="A160" i="20"/>
  <c r="B160" i="20"/>
  <c r="C160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P160" i="20"/>
  <c r="Q160" i="20"/>
  <c r="R160" i="20"/>
  <c r="S160" i="20"/>
  <c r="T160" i="20"/>
  <c r="U160" i="20"/>
  <c r="W160" i="20"/>
  <c r="Y160" i="20"/>
  <c r="AA160" i="20"/>
  <c r="AC160" i="20"/>
  <c r="A161" i="20"/>
  <c r="B161" i="20"/>
  <c r="C161" i="20"/>
  <c r="D161" i="20"/>
  <c r="E161" i="20"/>
  <c r="F161" i="20"/>
  <c r="G161" i="20"/>
  <c r="H161" i="20"/>
  <c r="I161" i="20"/>
  <c r="J161" i="20"/>
  <c r="K161" i="20"/>
  <c r="L161" i="20"/>
  <c r="M161" i="20"/>
  <c r="N161" i="20"/>
  <c r="O161" i="20"/>
  <c r="P161" i="20"/>
  <c r="Q161" i="20"/>
  <c r="R161" i="20"/>
  <c r="S161" i="20"/>
  <c r="T161" i="20"/>
  <c r="U161" i="20"/>
  <c r="W161" i="20"/>
  <c r="Y161" i="20"/>
  <c r="AA161" i="20"/>
  <c r="AC161" i="20"/>
  <c r="A162" i="20"/>
  <c r="B162" i="20"/>
  <c r="C162" i="20"/>
  <c r="D162" i="20"/>
  <c r="E162" i="20"/>
  <c r="F162" i="20"/>
  <c r="G162" i="20"/>
  <c r="H162" i="20"/>
  <c r="I162" i="20"/>
  <c r="J162" i="20"/>
  <c r="K162" i="20"/>
  <c r="L162" i="20"/>
  <c r="M162" i="20"/>
  <c r="N162" i="20"/>
  <c r="O162" i="20"/>
  <c r="P162" i="20"/>
  <c r="Q162" i="20"/>
  <c r="R162" i="20"/>
  <c r="S162" i="20"/>
  <c r="T162" i="20"/>
  <c r="U162" i="20"/>
  <c r="W162" i="20"/>
  <c r="Y162" i="20"/>
  <c r="AA162" i="20"/>
  <c r="AC162" i="20"/>
  <c r="A163" i="20"/>
  <c r="B163" i="20"/>
  <c r="C163" i="20"/>
  <c r="D163" i="20"/>
  <c r="E163" i="20"/>
  <c r="F163" i="20"/>
  <c r="G163" i="20"/>
  <c r="H163" i="20"/>
  <c r="I163" i="20"/>
  <c r="J163" i="20"/>
  <c r="K163" i="20"/>
  <c r="L163" i="20"/>
  <c r="M163" i="20"/>
  <c r="N163" i="20"/>
  <c r="O163" i="20"/>
  <c r="P163" i="20"/>
  <c r="Q163" i="20"/>
  <c r="R163" i="20"/>
  <c r="S163" i="20"/>
  <c r="T163" i="20"/>
  <c r="U163" i="20"/>
  <c r="W163" i="20"/>
  <c r="Y163" i="20"/>
  <c r="AA163" i="20"/>
  <c r="AC163" i="20"/>
  <c r="A164" i="20"/>
  <c r="B164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P164" i="20"/>
  <c r="Q164" i="20"/>
  <c r="R164" i="20"/>
  <c r="S164" i="20"/>
  <c r="T164" i="20"/>
  <c r="U164" i="20"/>
  <c r="W164" i="20"/>
  <c r="Y164" i="20"/>
  <c r="AA164" i="20"/>
  <c r="AC164" i="20"/>
  <c r="A165" i="20"/>
  <c r="B165" i="20"/>
  <c r="C165" i="20"/>
  <c r="D165" i="20"/>
  <c r="E165" i="20"/>
  <c r="F165" i="20"/>
  <c r="G165" i="20"/>
  <c r="H165" i="20"/>
  <c r="I165" i="20"/>
  <c r="J165" i="20"/>
  <c r="K165" i="20"/>
  <c r="L165" i="20"/>
  <c r="M165" i="20"/>
  <c r="N165" i="20"/>
  <c r="O165" i="20"/>
  <c r="P165" i="20"/>
  <c r="Q165" i="20"/>
  <c r="R165" i="20"/>
  <c r="S165" i="20"/>
  <c r="T165" i="20"/>
  <c r="U165" i="20"/>
  <c r="V165" i="20"/>
  <c r="W165" i="20"/>
  <c r="X165" i="20"/>
  <c r="Y165" i="20"/>
  <c r="Z165" i="20"/>
  <c r="AA165" i="20"/>
  <c r="AB165" i="20"/>
  <c r="AC165" i="20"/>
  <c r="AD165" i="20"/>
  <c r="A166" i="20"/>
  <c r="B166" i="20"/>
  <c r="C166" i="20"/>
  <c r="D166" i="20"/>
  <c r="E166" i="20"/>
  <c r="F166" i="20"/>
  <c r="G166" i="20"/>
  <c r="H166" i="20"/>
  <c r="I166" i="20"/>
  <c r="J166" i="20"/>
  <c r="K166" i="20"/>
  <c r="L166" i="20"/>
  <c r="M166" i="20"/>
  <c r="N166" i="20"/>
  <c r="O166" i="20"/>
  <c r="P166" i="20"/>
  <c r="Q166" i="20"/>
  <c r="R166" i="20"/>
  <c r="S166" i="20"/>
  <c r="T166" i="20"/>
  <c r="U166" i="20"/>
  <c r="W166" i="20"/>
  <c r="Y166" i="20"/>
  <c r="AA166" i="20"/>
  <c r="AC166" i="20"/>
  <c r="A167" i="20"/>
  <c r="B167" i="20"/>
  <c r="C167" i="20"/>
  <c r="D167" i="20"/>
  <c r="E167" i="20"/>
  <c r="F167" i="20"/>
  <c r="G167" i="20"/>
  <c r="H167" i="20"/>
  <c r="I167" i="20"/>
  <c r="J167" i="20"/>
  <c r="K167" i="20"/>
  <c r="L167" i="20"/>
  <c r="M167" i="20"/>
  <c r="N167" i="20"/>
  <c r="O167" i="20"/>
  <c r="P167" i="20"/>
  <c r="Q167" i="20"/>
  <c r="R167" i="20"/>
  <c r="S167" i="20"/>
  <c r="T167" i="20"/>
  <c r="U167" i="20"/>
  <c r="W167" i="20"/>
  <c r="Y167" i="20"/>
  <c r="AA167" i="20"/>
  <c r="AC167" i="20"/>
  <c r="A168" i="20"/>
  <c r="B168" i="20"/>
  <c r="C168" i="20"/>
  <c r="D168" i="20"/>
  <c r="E168" i="20"/>
  <c r="F168" i="20"/>
  <c r="G168" i="20"/>
  <c r="H168" i="20"/>
  <c r="I168" i="20"/>
  <c r="J168" i="20"/>
  <c r="K168" i="20"/>
  <c r="L168" i="20"/>
  <c r="M168" i="20"/>
  <c r="N168" i="20"/>
  <c r="O168" i="20"/>
  <c r="P168" i="20"/>
  <c r="Q168" i="20"/>
  <c r="R168" i="20"/>
  <c r="S168" i="20"/>
  <c r="T168" i="20"/>
  <c r="U168" i="20"/>
  <c r="W168" i="20"/>
  <c r="Y168" i="20"/>
  <c r="AA168" i="20"/>
  <c r="AC168" i="20"/>
  <c r="A169" i="20"/>
  <c r="B169" i="20"/>
  <c r="C169" i="20"/>
  <c r="D169" i="20"/>
  <c r="E169" i="20"/>
  <c r="F169" i="20"/>
  <c r="G169" i="20"/>
  <c r="H169" i="20"/>
  <c r="I169" i="20"/>
  <c r="J169" i="20"/>
  <c r="K169" i="20"/>
  <c r="L169" i="20"/>
  <c r="M169" i="20"/>
  <c r="N169" i="20"/>
  <c r="O169" i="20"/>
  <c r="P169" i="20"/>
  <c r="Q169" i="20"/>
  <c r="R169" i="20"/>
  <c r="S169" i="20"/>
  <c r="T169" i="20"/>
  <c r="U169" i="20"/>
  <c r="W169" i="20"/>
  <c r="Y169" i="20"/>
  <c r="AA169" i="20"/>
  <c r="AC169" i="20"/>
  <c r="A170" i="20"/>
  <c r="B170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P170" i="20"/>
  <c r="Q170" i="20"/>
  <c r="R170" i="20"/>
  <c r="S170" i="20"/>
  <c r="T170" i="20"/>
  <c r="U170" i="20"/>
  <c r="W170" i="20"/>
  <c r="Y170" i="20"/>
  <c r="AA170" i="20"/>
  <c r="AC170" i="20"/>
  <c r="A171" i="20"/>
  <c r="B171" i="20"/>
  <c r="C171" i="20"/>
  <c r="D171" i="20"/>
  <c r="E171" i="20"/>
  <c r="F171" i="20"/>
  <c r="G171" i="20"/>
  <c r="H171" i="20"/>
  <c r="I171" i="20"/>
  <c r="J171" i="20"/>
  <c r="K171" i="20"/>
  <c r="L171" i="20"/>
  <c r="M171" i="20"/>
  <c r="N171" i="20"/>
  <c r="O171" i="20"/>
  <c r="P171" i="20"/>
  <c r="Q171" i="20"/>
  <c r="R171" i="20"/>
  <c r="S171" i="20"/>
  <c r="T171" i="20"/>
  <c r="U171" i="20"/>
  <c r="W171" i="20"/>
  <c r="Y171" i="20"/>
  <c r="AA171" i="20"/>
  <c r="AC171" i="20"/>
  <c r="A172" i="20"/>
  <c r="B172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P172" i="20"/>
  <c r="Q172" i="20"/>
  <c r="R172" i="20"/>
  <c r="S172" i="20"/>
  <c r="T172" i="20"/>
  <c r="U172" i="20"/>
  <c r="W172" i="20"/>
  <c r="Y172" i="20"/>
  <c r="AA172" i="20"/>
  <c r="AC172" i="20"/>
  <c r="A173" i="20"/>
  <c r="B173" i="20"/>
  <c r="C173" i="20"/>
  <c r="D173" i="20"/>
  <c r="E173" i="20"/>
  <c r="F173" i="20"/>
  <c r="G173" i="20"/>
  <c r="H173" i="20"/>
  <c r="I173" i="20"/>
  <c r="J173" i="20"/>
  <c r="K173" i="20"/>
  <c r="L173" i="20"/>
  <c r="M173" i="20"/>
  <c r="N173" i="20"/>
  <c r="O173" i="20"/>
  <c r="P173" i="20"/>
  <c r="Q173" i="20"/>
  <c r="R173" i="20"/>
  <c r="S173" i="20"/>
  <c r="T173" i="20"/>
  <c r="U173" i="20"/>
  <c r="W173" i="20"/>
  <c r="Y173" i="20"/>
  <c r="AA173" i="20"/>
  <c r="AC173" i="20"/>
  <c r="A174" i="20"/>
  <c r="B174" i="20"/>
  <c r="C174" i="20"/>
  <c r="D174" i="20"/>
  <c r="E174" i="20"/>
  <c r="F174" i="20"/>
  <c r="G174" i="20"/>
  <c r="H174" i="20"/>
  <c r="I174" i="20"/>
  <c r="J174" i="20"/>
  <c r="K174" i="20"/>
  <c r="L174" i="20"/>
  <c r="M174" i="20"/>
  <c r="N174" i="20"/>
  <c r="O174" i="20"/>
  <c r="P174" i="20"/>
  <c r="Q174" i="20"/>
  <c r="R174" i="20"/>
  <c r="S174" i="20"/>
  <c r="T174" i="20"/>
  <c r="U174" i="20"/>
  <c r="W174" i="20"/>
  <c r="Y174" i="20"/>
  <c r="AA174" i="20"/>
  <c r="AC174" i="20"/>
  <c r="A175" i="20"/>
  <c r="B175" i="20"/>
  <c r="C175" i="20"/>
  <c r="D175" i="20"/>
  <c r="E175" i="20"/>
  <c r="F175" i="20"/>
  <c r="G175" i="20"/>
  <c r="H175" i="20"/>
  <c r="I175" i="20"/>
  <c r="J175" i="20"/>
  <c r="K175" i="20"/>
  <c r="L175" i="20"/>
  <c r="M175" i="20"/>
  <c r="N175" i="20"/>
  <c r="O175" i="20"/>
  <c r="P175" i="20"/>
  <c r="Q175" i="20"/>
  <c r="R175" i="20"/>
  <c r="S175" i="20"/>
  <c r="T175" i="20"/>
  <c r="U175" i="20"/>
  <c r="W175" i="20"/>
  <c r="Y175" i="20"/>
  <c r="AA175" i="20"/>
  <c r="AC175" i="20"/>
  <c r="A176" i="20"/>
  <c r="B176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P176" i="20"/>
  <c r="Q176" i="20"/>
  <c r="R176" i="20"/>
  <c r="S176" i="20"/>
  <c r="T176" i="20"/>
  <c r="U176" i="20"/>
  <c r="W176" i="20"/>
  <c r="Y176" i="20"/>
  <c r="AA176" i="20"/>
  <c r="AC176" i="20"/>
  <c r="A177" i="20"/>
  <c r="B177" i="20"/>
  <c r="C177" i="20"/>
  <c r="D177" i="20"/>
  <c r="E177" i="20"/>
  <c r="F177" i="20"/>
  <c r="G177" i="20"/>
  <c r="H177" i="20"/>
  <c r="I177" i="20"/>
  <c r="J177" i="20"/>
  <c r="K177" i="20"/>
  <c r="L177" i="20"/>
  <c r="M177" i="20"/>
  <c r="N177" i="20"/>
  <c r="O177" i="20"/>
  <c r="P177" i="20"/>
  <c r="Q177" i="20"/>
  <c r="R177" i="20"/>
  <c r="S177" i="20"/>
  <c r="T177" i="20"/>
  <c r="U177" i="20"/>
  <c r="V177" i="20"/>
  <c r="W177" i="20"/>
  <c r="X177" i="20"/>
  <c r="Y177" i="20"/>
  <c r="Z177" i="20"/>
  <c r="AA177" i="20"/>
  <c r="AB177" i="20"/>
  <c r="AC177" i="20"/>
  <c r="AD177" i="20"/>
  <c r="A178" i="20"/>
  <c r="B178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P178" i="20"/>
  <c r="Q178" i="20"/>
  <c r="R178" i="20"/>
  <c r="S178" i="20"/>
  <c r="T178" i="20"/>
  <c r="U178" i="20"/>
  <c r="W178" i="20"/>
  <c r="Y178" i="20"/>
  <c r="AA178" i="20"/>
  <c r="AC178" i="20"/>
  <c r="A179" i="20"/>
  <c r="B179" i="20"/>
  <c r="C179" i="20"/>
  <c r="D179" i="20"/>
  <c r="E179" i="20"/>
  <c r="F179" i="20"/>
  <c r="G179" i="20"/>
  <c r="H179" i="20"/>
  <c r="I179" i="20"/>
  <c r="J179" i="20"/>
  <c r="K179" i="20"/>
  <c r="L179" i="20"/>
  <c r="M179" i="20"/>
  <c r="N179" i="20"/>
  <c r="O179" i="20"/>
  <c r="P179" i="20"/>
  <c r="Q179" i="20"/>
  <c r="R179" i="20"/>
  <c r="S179" i="20"/>
  <c r="T179" i="20"/>
  <c r="U179" i="20"/>
  <c r="W179" i="20"/>
  <c r="Y179" i="20"/>
  <c r="AA179" i="20"/>
  <c r="AC179" i="20"/>
  <c r="A180" i="20"/>
  <c r="B180" i="20"/>
  <c r="C180" i="20"/>
  <c r="D180" i="20"/>
  <c r="E180" i="20"/>
  <c r="F180" i="20"/>
  <c r="G180" i="20"/>
  <c r="H180" i="20"/>
  <c r="I180" i="20"/>
  <c r="J180" i="20"/>
  <c r="K180" i="20"/>
  <c r="L180" i="20"/>
  <c r="M180" i="20"/>
  <c r="N180" i="20"/>
  <c r="O180" i="20"/>
  <c r="P180" i="20"/>
  <c r="Q180" i="20"/>
  <c r="R180" i="20"/>
  <c r="S180" i="20"/>
  <c r="T180" i="20"/>
  <c r="U180" i="20"/>
  <c r="W180" i="20"/>
  <c r="Y180" i="20"/>
  <c r="AA180" i="20"/>
  <c r="AC180" i="20"/>
  <c r="A181" i="20"/>
  <c r="B181" i="20"/>
  <c r="C181" i="20"/>
  <c r="D181" i="20"/>
  <c r="E181" i="20"/>
  <c r="F181" i="20"/>
  <c r="G181" i="20"/>
  <c r="H181" i="20"/>
  <c r="I181" i="20"/>
  <c r="J181" i="20"/>
  <c r="K181" i="20"/>
  <c r="L181" i="20"/>
  <c r="M181" i="20"/>
  <c r="N181" i="20"/>
  <c r="O181" i="20"/>
  <c r="P181" i="20"/>
  <c r="Q181" i="20"/>
  <c r="R181" i="20"/>
  <c r="S181" i="20"/>
  <c r="T181" i="20"/>
  <c r="U181" i="20"/>
  <c r="W181" i="20"/>
  <c r="Y181" i="20"/>
  <c r="AA181" i="20"/>
  <c r="AC181" i="20"/>
  <c r="A182" i="20"/>
  <c r="B182" i="20"/>
  <c r="C182" i="20"/>
  <c r="D182" i="20"/>
  <c r="E182" i="20"/>
  <c r="F182" i="20"/>
  <c r="G182" i="20"/>
  <c r="H182" i="20"/>
  <c r="I182" i="20"/>
  <c r="J182" i="20"/>
  <c r="K182" i="20"/>
  <c r="L182" i="20"/>
  <c r="M182" i="20"/>
  <c r="N182" i="20"/>
  <c r="O182" i="20"/>
  <c r="P182" i="20"/>
  <c r="Q182" i="20"/>
  <c r="R182" i="20"/>
  <c r="S182" i="20"/>
  <c r="T182" i="20"/>
  <c r="U182" i="20"/>
  <c r="W182" i="20"/>
  <c r="Y182" i="20"/>
  <c r="AA182" i="20"/>
  <c r="AC182" i="20"/>
  <c r="A183" i="20"/>
  <c r="B183" i="20"/>
  <c r="C183" i="20"/>
  <c r="D183" i="20"/>
  <c r="E183" i="20"/>
  <c r="F183" i="20"/>
  <c r="G183" i="20"/>
  <c r="H183" i="20"/>
  <c r="I183" i="20"/>
  <c r="J183" i="20"/>
  <c r="K183" i="20"/>
  <c r="L183" i="20"/>
  <c r="M183" i="20"/>
  <c r="N183" i="20"/>
  <c r="O183" i="20"/>
  <c r="P183" i="20"/>
  <c r="Q183" i="20"/>
  <c r="R183" i="20"/>
  <c r="S183" i="20"/>
  <c r="T183" i="20"/>
  <c r="U183" i="20"/>
  <c r="W183" i="20"/>
  <c r="Y183" i="20"/>
  <c r="AA183" i="20"/>
  <c r="AC183" i="20"/>
  <c r="A184" i="20"/>
  <c r="B184" i="20"/>
  <c r="C184" i="20"/>
  <c r="D184" i="20"/>
  <c r="E184" i="20"/>
  <c r="F184" i="20"/>
  <c r="G184" i="20"/>
  <c r="H184" i="20"/>
  <c r="I184" i="20"/>
  <c r="J184" i="20"/>
  <c r="K184" i="20"/>
  <c r="L184" i="20"/>
  <c r="M184" i="20"/>
  <c r="N184" i="20"/>
  <c r="O184" i="20"/>
  <c r="P184" i="20"/>
  <c r="Q184" i="20"/>
  <c r="R184" i="20"/>
  <c r="S184" i="20"/>
  <c r="T184" i="20"/>
  <c r="U184" i="20"/>
  <c r="W184" i="20"/>
  <c r="Y184" i="20"/>
  <c r="AA184" i="20"/>
  <c r="AC184" i="20"/>
  <c r="A185" i="20"/>
  <c r="B185" i="20"/>
  <c r="C185" i="20"/>
  <c r="D185" i="20"/>
  <c r="E185" i="20"/>
  <c r="F185" i="20"/>
  <c r="G185" i="20"/>
  <c r="H185" i="20"/>
  <c r="I185" i="20"/>
  <c r="J185" i="20"/>
  <c r="K185" i="20"/>
  <c r="L185" i="20"/>
  <c r="M185" i="20"/>
  <c r="N185" i="20"/>
  <c r="O185" i="20"/>
  <c r="P185" i="20"/>
  <c r="Q185" i="20"/>
  <c r="R185" i="20"/>
  <c r="S185" i="20"/>
  <c r="T185" i="20"/>
  <c r="U185" i="20"/>
  <c r="W185" i="20"/>
  <c r="Y185" i="20"/>
  <c r="AA185" i="20"/>
  <c r="AC185" i="20"/>
  <c r="A186" i="20"/>
  <c r="B186" i="20"/>
  <c r="C186" i="20"/>
  <c r="D186" i="20"/>
  <c r="E186" i="20"/>
  <c r="F186" i="20"/>
  <c r="G186" i="20"/>
  <c r="H186" i="20"/>
  <c r="I186" i="20"/>
  <c r="J186" i="20"/>
  <c r="K186" i="20"/>
  <c r="L186" i="20"/>
  <c r="M186" i="20"/>
  <c r="N186" i="20"/>
  <c r="O186" i="20"/>
  <c r="P186" i="20"/>
  <c r="Q186" i="20"/>
  <c r="R186" i="20"/>
  <c r="S186" i="20"/>
  <c r="T186" i="20"/>
  <c r="U186" i="20"/>
  <c r="W186" i="20"/>
  <c r="Y186" i="20"/>
  <c r="AA186" i="20"/>
  <c r="AC186" i="20"/>
  <c r="A187" i="20"/>
  <c r="B187" i="20"/>
  <c r="C187" i="20"/>
  <c r="D187" i="20"/>
  <c r="E187" i="20"/>
  <c r="F187" i="20"/>
  <c r="G187" i="20"/>
  <c r="H187" i="20"/>
  <c r="I187" i="20"/>
  <c r="J187" i="20"/>
  <c r="K187" i="20"/>
  <c r="L187" i="20"/>
  <c r="M187" i="20"/>
  <c r="N187" i="20"/>
  <c r="O187" i="20"/>
  <c r="P187" i="20"/>
  <c r="Q187" i="20"/>
  <c r="R187" i="20"/>
  <c r="S187" i="20"/>
  <c r="T187" i="20"/>
  <c r="U187" i="20"/>
  <c r="W187" i="20"/>
  <c r="Y187" i="20"/>
  <c r="AA187" i="20"/>
  <c r="AC187" i="20"/>
  <c r="A188" i="20"/>
  <c r="B188" i="20"/>
  <c r="C188" i="20"/>
  <c r="D188" i="20"/>
  <c r="E188" i="20"/>
  <c r="F188" i="20"/>
  <c r="G188" i="20"/>
  <c r="H188" i="20"/>
  <c r="I188" i="20"/>
  <c r="J188" i="20"/>
  <c r="K188" i="20"/>
  <c r="L188" i="20"/>
  <c r="M188" i="20"/>
  <c r="N188" i="20"/>
  <c r="O188" i="20"/>
  <c r="P188" i="20"/>
  <c r="Q188" i="20"/>
  <c r="R188" i="20"/>
  <c r="S188" i="20"/>
  <c r="T188" i="20"/>
  <c r="U188" i="20"/>
  <c r="W188" i="20"/>
  <c r="Y188" i="20"/>
  <c r="AA188" i="20"/>
  <c r="AC188" i="20"/>
  <c r="A189" i="20"/>
  <c r="B189" i="20"/>
  <c r="C189" i="20"/>
  <c r="D189" i="20"/>
  <c r="E189" i="20"/>
  <c r="F189" i="20"/>
  <c r="G189" i="20"/>
  <c r="H189" i="20"/>
  <c r="I189" i="20"/>
  <c r="J189" i="20"/>
  <c r="K189" i="20"/>
  <c r="L189" i="20"/>
  <c r="M189" i="20"/>
  <c r="N189" i="20"/>
  <c r="O189" i="20"/>
  <c r="P189" i="20"/>
  <c r="Q189" i="20"/>
  <c r="R189" i="20"/>
  <c r="S189" i="20"/>
  <c r="T189" i="20"/>
  <c r="U189" i="20"/>
  <c r="V189" i="20"/>
  <c r="W189" i="20"/>
  <c r="X189" i="20"/>
  <c r="Y189" i="20"/>
  <c r="Z189" i="20"/>
  <c r="AA189" i="20"/>
  <c r="AB189" i="20"/>
  <c r="AC189" i="20"/>
  <c r="AD189" i="20"/>
  <c r="A190" i="20"/>
  <c r="B190" i="20"/>
  <c r="C190" i="20"/>
  <c r="D190" i="20"/>
  <c r="E190" i="20"/>
  <c r="F190" i="20"/>
  <c r="G190" i="20"/>
  <c r="H190" i="20"/>
  <c r="I190" i="20"/>
  <c r="J190" i="20"/>
  <c r="K190" i="20"/>
  <c r="L190" i="20"/>
  <c r="M190" i="20"/>
  <c r="N190" i="20"/>
  <c r="O190" i="20"/>
  <c r="P190" i="20"/>
  <c r="Q190" i="20"/>
  <c r="R190" i="20"/>
  <c r="S190" i="20"/>
  <c r="T190" i="20"/>
  <c r="U190" i="20"/>
  <c r="W190" i="20"/>
  <c r="Y190" i="20"/>
  <c r="AA190" i="20"/>
  <c r="AC190" i="20"/>
  <c r="A191" i="20"/>
  <c r="B191" i="20"/>
  <c r="C191" i="20"/>
  <c r="D191" i="20"/>
  <c r="E191" i="20"/>
  <c r="F191" i="20"/>
  <c r="G191" i="20"/>
  <c r="H191" i="20"/>
  <c r="I191" i="20"/>
  <c r="J191" i="20"/>
  <c r="K191" i="20"/>
  <c r="L191" i="20"/>
  <c r="M191" i="20"/>
  <c r="N191" i="20"/>
  <c r="O191" i="20"/>
  <c r="P191" i="20"/>
  <c r="Q191" i="20"/>
  <c r="R191" i="20"/>
  <c r="S191" i="20"/>
  <c r="T191" i="20"/>
  <c r="U191" i="20"/>
  <c r="W191" i="20"/>
  <c r="Y191" i="20"/>
  <c r="AA191" i="20"/>
  <c r="AC191" i="20"/>
  <c r="A192" i="20"/>
  <c r="B192" i="20"/>
  <c r="C192" i="20"/>
  <c r="D192" i="20"/>
  <c r="E192" i="20"/>
  <c r="F192" i="20"/>
  <c r="G192" i="20"/>
  <c r="H192" i="20"/>
  <c r="I192" i="20"/>
  <c r="J192" i="20"/>
  <c r="K192" i="20"/>
  <c r="L192" i="20"/>
  <c r="M192" i="20"/>
  <c r="N192" i="20"/>
  <c r="O192" i="20"/>
  <c r="P192" i="20"/>
  <c r="Q192" i="20"/>
  <c r="R192" i="20"/>
  <c r="S192" i="20"/>
  <c r="T192" i="20"/>
  <c r="U192" i="20"/>
  <c r="W192" i="20"/>
  <c r="Y192" i="20"/>
  <c r="AA192" i="20"/>
  <c r="AC192" i="20"/>
  <c r="A193" i="20"/>
  <c r="B193" i="20"/>
  <c r="C193" i="20"/>
  <c r="D193" i="20"/>
  <c r="E193" i="20"/>
  <c r="F193" i="20"/>
  <c r="G193" i="20"/>
  <c r="H193" i="20"/>
  <c r="I193" i="20"/>
  <c r="J193" i="20"/>
  <c r="K193" i="20"/>
  <c r="L193" i="20"/>
  <c r="M193" i="20"/>
  <c r="N193" i="20"/>
  <c r="O193" i="20"/>
  <c r="P193" i="20"/>
  <c r="Q193" i="20"/>
  <c r="R193" i="20"/>
  <c r="S193" i="20"/>
  <c r="T193" i="20"/>
  <c r="U193" i="20"/>
  <c r="W193" i="20"/>
  <c r="Y193" i="20"/>
  <c r="AA193" i="20"/>
  <c r="AC193" i="20"/>
  <c r="A194" i="20"/>
  <c r="B194" i="20"/>
  <c r="C194" i="20"/>
  <c r="D194" i="20"/>
  <c r="E194" i="20"/>
  <c r="F194" i="20"/>
  <c r="G194" i="20"/>
  <c r="H194" i="20"/>
  <c r="I194" i="20"/>
  <c r="J194" i="20"/>
  <c r="K194" i="20"/>
  <c r="L194" i="20"/>
  <c r="M194" i="20"/>
  <c r="N194" i="20"/>
  <c r="O194" i="20"/>
  <c r="P194" i="20"/>
  <c r="Q194" i="20"/>
  <c r="R194" i="20"/>
  <c r="S194" i="20"/>
  <c r="T194" i="20"/>
  <c r="U194" i="20"/>
  <c r="W194" i="20"/>
  <c r="Y194" i="20"/>
  <c r="AA194" i="20"/>
  <c r="AC194" i="20"/>
  <c r="A195" i="20"/>
  <c r="B195" i="20"/>
  <c r="C195" i="20"/>
  <c r="D195" i="20"/>
  <c r="E195" i="20"/>
  <c r="F195" i="20"/>
  <c r="G195" i="20"/>
  <c r="H195" i="20"/>
  <c r="I195" i="20"/>
  <c r="J195" i="20"/>
  <c r="K195" i="20"/>
  <c r="L195" i="20"/>
  <c r="M195" i="20"/>
  <c r="N195" i="20"/>
  <c r="O195" i="20"/>
  <c r="P195" i="20"/>
  <c r="Q195" i="20"/>
  <c r="R195" i="20"/>
  <c r="S195" i="20"/>
  <c r="T195" i="20"/>
  <c r="U195" i="20"/>
  <c r="W195" i="20"/>
  <c r="Y195" i="20"/>
  <c r="AA195" i="20"/>
  <c r="AC195" i="20"/>
  <c r="A196" i="20"/>
  <c r="B196" i="20"/>
  <c r="C196" i="20"/>
  <c r="D196" i="20"/>
  <c r="E196" i="20"/>
  <c r="F196" i="20"/>
  <c r="G196" i="20"/>
  <c r="H196" i="20"/>
  <c r="I196" i="20"/>
  <c r="J196" i="20"/>
  <c r="K196" i="20"/>
  <c r="L196" i="20"/>
  <c r="M196" i="20"/>
  <c r="N196" i="20"/>
  <c r="O196" i="20"/>
  <c r="P196" i="20"/>
  <c r="Q196" i="20"/>
  <c r="R196" i="20"/>
  <c r="S196" i="20"/>
  <c r="T196" i="20"/>
  <c r="U196" i="20"/>
  <c r="W196" i="20"/>
  <c r="Y196" i="20"/>
  <c r="AA196" i="20"/>
  <c r="AC196" i="20"/>
  <c r="A197" i="20"/>
  <c r="B197" i="20"/>
  <c r="C197" i="20"/>
  <c r="D197" i="20"/>
  <c r="E197" i="20"/>
  <c r="F197" i="20"/>
  <c r="G197" i="20"/>
  <c r="H197" i="20"/>
  <c r="I197" i="20"/>
  <c r="J197" i="20"/>
  <c r="K197" i="20"/>
  <c r="L197" i="20"/>
  <c r="M197" i="20"/>
  <c r="N197" i="20"/>
  <c r="O197" i="20"/>
  <c r="P197" i="20"/>
  <c r="Q197" i="20"/>
  <c r="R197" i="20"/>
  <c r="S197" i="20"/>
  <c r="T197" i="20"/>
  <c r="U197" i="20"/>
  <c r="W197" i="20"/>
  <c r="Y197" i="20"/>
  <c r="AA197" i="20"/>
  <c r="AC197" i="20"/>
  <c r="A198" i="20"/>
  <c r="B198" i="20"/>
  <c r="C198" i="20"/>
  <c r="D198" i="20"/>
  <c r="E198" i="20"/>
  <c r="F198" i="20"/>
  <c r="G198" i="20"/>
  <c r="H198" i="20"/>
  <c r="I198" i="20"/>
  <c r="J198" i="20"/>
  <c r="K198" i="20"/>
  <c r="L198" i="20"/>
  <c r="M198" i="20"/>
  <c r="N198" i="20"/>
  <c r="O198" i="20"/>
  <c r="P198" i="20"/>
  <c r="Q198" i="20"/>
  <c r="R198" i="20"/>
  <c r="S198" i="20"/>
  <c r="T198" i="20"/>
  <c r="U198" i="20"/>
  <c r="W198" i="20"/>
  <c r="Y198" i="20"/>
  <c r="AA198" i="20"/>
  <c r="AC198" i="20"/>
  <c r="A199" i="20"/>
  <c r="B199" i="20"/>
  <c r="C199" i="20"/>
  <c r="D199" i="20"/>
  <c r="E199" i="20"/>
  <c r="F199" i="20"/>
  <c r="G199" i="20"/>
  <c r="H199" i="20"/>
  <c r="I199" i="20"/>
  <c r="J199" i="20"/>
  <c r="K199" i="20"/>
  <c r="L199" i="20"/>
  <c r="M199" i="20"/>
  <c r="N199" i="20"/>
  <c r="O199" i="20"/>
  <c r="P199" i="20"/>
  <c r="Q199" i="20"/>
  <c r="R199" i="20"/>
  <c r="S199" i="20"/>
  <c r="T199" i="20"/>
  <c r="U199" i="20"/>
  <c r="W199" i="20"/>
  <c r="Y199" i="20"/>
  <c r="AA199" i="20"/>
  <c r="AC199" i="20"/>
  <c r="A200" i="20"/>
  <c r="B200" i="20"/>
  <c r="C200" i="20"/>
  <c r="D200" i="20"/>
  <c r="E200" i="20"/>
  <c r="F200" i="20"/>
  <c r="G200" i="20"/>
  <c r="H200" i="20"/>
  <c r="I200" i="20"/>
  <c r="J200" i="20"/>
  <c r="K200" i="20"/>
  <c r="L200" i="20"/>
  <c r="M200" i="20"/>
  <c r="N200" i="20"/>
  <c r="O200" i="20"/>
  <c r="P200" i="20"/>
  <c r="Q200" i="20"/>
  <c r="R200" i="20"/>
  <c r="S200" i="20"/>
  <c r="T200" i="20"/>
  <c r="U200" i="20"/>
  <c r="W200" i="20"/>
  <c r="Y200" i="20"/>
  <c r="AA200" i="20"/>
  <c r="AC200" i="20"/>
  <c r="A201" i="20"/>
  <c r="B201" i="20"/>
  <c r="C201" i="20"/>
  <c r="D201" i="20"/>
  <c r="E201" i="20"/>
  <c r="F201" i="20"/>
  <c r="G201" i="20"/>
  <c r="H201" i="20"/>
  <c r="I201" i="20"/>
  <c r="J201" i="20"/>
  <c r="K201" i="20"/>
  <c r="L201" i="20"/>
  <c r="M201" i="20"/>
  <c r="N201" i="20"/>
  <c r="O201" i="20"/>
  <c r="P201" i="20"/>
  <c r="Q201" i="20"/>
  <c r="R201" i="20"/>
  <c r="S201" i="20"/>
  <c r="T201" i="20"/>
  <c r="U201" i="20"/>
  <c r="V201" i="20"/>
  <c r="W201" i="20"/>
  <c r="X201" i="20"/>
  <c r="Y201" i="20"/>
  <c r="Z201" i="20"/>
  <c r="AA201" i="20"/>
  <c r="AB201" i="20"/>
  <c r="AC201" i="20"/>
  <c r="AD201" i="20"/>
  <c r="A202" i="20"/>
  <c r="B202" i="20"/>
  <c r="C202" i="20"/>
  <c r="D202" i="20"/>
  <c r="E202" i="20"/>
  <c r="F202" i="20"/>
  <c r="G202" i="20"/>
  <c r="H202" i="20"/>
  <c r="I202" i="20"/>
  <c r="J202" i="20"/>
  <c r="K202" i="20"/>
  <c r="L202" i="20"/>
  <c r="M202" i="20"/>
  <c r="N202" i="20"/>
  <c r="O202" i="20"/>
  <c r="P202" i="20"/>
  <c r="Q202" i="20"/>
  <c r="R202" i="20"/>
  <c r="S202" i="20"/>
  <c r="T202" i="20"/>
  <c r="U202" i="20"/>
  <c r="W202" i="20"/>
  <c r="Y202" i="20"/>
  <c r="AA202" i="20"/>
  <c r="AC202" i="20"/>
  <c r="A203" i="20"/>
  <c r="B203" i="20"/>
  <c r="C203" i="20"/>
  <c r="D203" i="20"/>
  <c r="E203" i="20"/>
  <c r="F203" i="20"/>
  <c r="G203" i="20"/>
  <c r="H203" i="20"/>
  <c r="I203" i="20"/>
  <c r="J203" i="20"/>
  <c r="K203" i="20"/>
  <c r="L203" i="20"/>
  <c r="M203" i="20"/>
  <c r="N203" i="20"/>
  <c r="O203" i="20"/>
  <c r="P203" i="20"/>
  <c r="Q203" i="20"/>
  <c r="R203" i="20"/>
  <c r="S203" i="20"/>
  <c r="T203" i="20"/>
  <c r="U203" i="20"/>
  <c r="W203" i="20"/>
  <c r="Y203" i="20"/>
  <c r="AA203" i="20"/>
  <c r="AC203" i="20"/>
  <c r="A204" i="20"/>
  <c r="B204" i="20"/>
  <c r="C204" i="20"/>
  <c r="D204" i="20"/>
  <c r="E204" i="20"/>
  <c r="F204" i="20"/>
  <c r="G204" i="20"/>
  <c r="H204" i="20"/>
  <c r="I204" i="20"/>
  <c r="J204" i="20"/>
  <c r="K204" i="20"/>
  <c r="L204" i="20"/>
  <c r="M204" i="20"/>
  <c r="N204" i="20"/>
  <c r="O204" i="20"/>
  <c r="P204" i="20"/>
  <c r="Q204" i="20"/>
  <c r="R204" i="20"/>
  <c r="S204" i="20"/>
  <c r="T204" i="20"/>
  <c r="U204" i="20"/>
  <c r="W204" i="20"/>
  <c r="Y204" i="20"/>
  <c r="AA204" i="20"/>
  <c r="AC204" i="20"/>
  <c r="A205" i="20"/>
  <c r="B205" i="20"/>
  <c r="C205" i="20"/>
  <c r="D205" i="20"/>
  <c r="E205" i="20"/>
  <c r="F205" i="20"/>
  <c r="G205" i="20"/>
  <c r="H205" i="20"/>
  <c r="I205" i="20"/>
  <c r="J205" i="20"/>
  <c r="K205" i="20"/>
  <c r="L205" i="20"/>
  <c r="M205" i="20"/>
  <c r="N205" i="20"/>
  <c r="O205" i="20"/>
  <c r="P205" i="20"/>
  <c r="Q205" i="20"/>
  <c r="R205" i="20"/>
  <c r="S205" i="20"/>
  <c r="T205" i="20"/>
  <c r="U205" i="20"/>
  <c r="W205" i="20"/>
  <c r="Y205" i="20"/>
  <c r="AA205" i="20"/>
  <c r="AC205" i="20"/>
  <c r="A206" i="20"/>
  <c r="B206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P206" i="20"/>
  <c r="Q206" i="20"/>
  <c r="R206" i="20"/>
  <c r="S206" i="20"/>
  <c r="T206" i="20"/>
  <c r="U206" i="20"/>
  <c r="W206" i="20"/>
  <c r="Y206" i="20"/>
  <c r="AA206" i="20"/>
  <c r="AC206" i="20"/>
  <c r="A207" i="20"/>
  <c r="B207" i="20"/>
  <c r="C207" i="20"/>
  <c r="D207" i="20"/>
  <c r="E207" i="20"/>
  <c r="F207" i="20"/>
  <c r="G207" i="20"/>
  <c r="H207" i="20"/>
  <c r="I207" i="20"/>
  <c r="J207" i="20"/>
  <c r="K207" i="20"/>
  <c r="L207" i="20"/>
  <c r="M207" i="20"/>
  <c r="N207" i="20"/>
  <c r="O207" i="20"/>
  <c r="P207" i="20"/>
  <c r="Q207" i="20"/>
  <c r="R207" i="20"/>
  <c r="S207" i="20"/>
  <c r="T207" i="20"/>
  <c r="U207" i="20"/>
  <c r="W207" i="20"/>
  <c r="Y207" i="20"/>
  <c r="AA207" i="20"/>
  <c r="AC207" i="20"/>
  <c r="A208" i="20"/>
  <c r="B208" i="20"/>
  <c r="C208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R208" i="20"/>
  <c r="S208" i="20"/>
  <c r="T208" i="20"/>
  <c r="U208" i="20"/>
  <c r="W208" i="20"/>
  <c r="Y208" i="20"/>
  <c r="AA208" i="20"/>
  <c r="AC208" i="20"/>
  <c r="A209" i="20"/>
  <c r="B209" i="20"/>
  <c r="C209" i="20"/>
  <c r="D209" i="20"/>
  <c r="E209" i="20"/>
  <c r="F209" i="20"/>
  <c r="G209" i="20"/>
  <c r="H209" i="20"/>
  <c r="I209" i="20"/>
  <c r="J209" i="20"/>
  <c r="K209" i="20"/>
  <c r="L209" i="20"/>
  <c r="M209" i="20"/>
  <c r="N209" i="20"/>
  <c r="O209" i="20"/>
  <c r="P209" i="20"/>
  <c r="Q209" i="20"/>
  <c r="R209" i="20"/>
  <c r="S209" i="20"/>
  <c r="T209" i="20"/>
  <c r="U209" i="20"/>
  <c r="W209" i="20"/>
  <c r="Y209" i="20"/>
  <c r="AA209" i="20"/>
  <c r="AC209" i="20"/>
  <c r="A210" i="20"/>
  <c r="B210" i="20"/>
  <c r="C210" i="20"/>
  <c r="D210" i="20"/>
  <c r="E210" i="20"/>
  <c r="F210" i="20"/>
  <c r="G210" i="20"/>
  <c r="H210" i="20"/>
  <c r="I210" i="20"/>
  <c r="J210" i="20"/>
  <c r="K210" i="20"/>
  <c r="L210" i="20"/>
  <c r="M210" i="20"/>
  <c r="N210" i="20"/>
  <c r="O210" i="20"/>
  <c r="P210" i="20"/>
  <c r="Q210" i="20"/>
  <c r="R210" i="20"/>
  <c r="S210" i="20"/>
  <c r="T210" i="20"/>
  <c r="U210" i="20"/>
  <c r="W210" i="20"/>
  <c r="Y210" i="20"/>
  <c r="AA210" i="20"/>
  <c r="AC210" i="20"/>
  <c r="A211" i="20"/>
  <c r="B211" i="20"/>
  <c r="C211" i="20"/>
  <c r="D211" i="20"/>
  <c r="E211" i="20"/>
  <c r="F211" i="20"/>
  <c r="G211" i="20"/>
  <c r="H211" i="20"/>
  <c r="I211" i="20"/>
  <c r="J211" i="20"/>
  <c r="K211" i="20"/>
  <c r="L211" i="20"/>
  <c r="M211" i="20"/>
  <c r="N211" i="20"/>
  <c r="O211" i="20"/>
  <c r="P211" i="20"/>
  <c r="Q211" i="20"/>
  <c r="R211" i="20"/>
  <c r="S211" i="20"/>
  <c r="T211" i="20"/>
  <c r="U211" i="20"/>
  <c r="W211" i="20"/>
  <c r="Y211" i="20"/>
  <c r="AA211" i="20"/>
  <c r="AC211" i="20"/>
  <c r="A212" i="20"/>
  <c r="B212" i="20"/>
  <c r="C212" i="20"/>
  <c r="D212" i="20"/>
  <c r="E212" i="20"/>
  <c r="F212" i="20"/>
  <c r="G212" i="20"/>
  <c r="H212" i="20"/>
  <c r="I212" i="20"/>
  <c r="J212" i="20"/>
  <c r="K212" i="20"/>
  <c r="L212" i="20"/>
  <c r="M212" i="20"/>
  <c r="N212" i="20"/>
  <c r="O212" i="20"/>
  <c r="P212" i="20"/>
  <c r="Q212" i="20"/>
  <c r="R212" i="20"/>
  <c r="S212" i="20"/>
  <c r="T212" i="20"/>
  <c r="U212" i="20"/>
  <c r="W212" i="20"/>
  <c r="Y212" i="20"/>
  <c r="AA212" i="20"/>
  <c r="AC212" i="20"/>
  <c r="A213" i="20"/>
  <c r="B213" i="20"/>
  <c r="C213" i="20"/>
  <c r="D213" i="20"/>
  <c r="E213" i="20"/>
  <c r="F213" i="20"/>
  <c r="G213" i="20"/>
  <c r="H213" i="20"/>
  <c r="I213" i="20"/>
  <c r="J213" i="20"/>
  <c r="K213" i="20"/>
  <c r="L213" i="20"/>
  <c r="M213" i="20"/>
  <c r="N213" i="20"/>
  <c r="O213" i="20"/>
  <c r="P213" i="20"/>
  <c r="Q213" i="20"/>
  <c r="R213" i="20"/>
  <c r="S213" i="20"/>
  <c r="T213" i="20"/>
  <c r="U213" i="20"/>
  <c r="V213" i="20"/>
  <c r="W213" i="20"/>
  <c r="X213" i="20"/>
  <c r="Y213" i="20"/>
  <c r="Z213" i="20"/>
  <c r="AA213" i="20"/>
  <c r="AB213" i="20"/>
  <c r="AC213" i="20"/>
  <c r="AD213" i="20"/>
  <c r="A214" i="20"/>
  <c r="B214" i="20"/>
  <c r="C214" i="20"/>
  <c r="D214" i="20"/>
  <c r="E214" i="20"/>
  <c r="F214" i="20"/>
  <c r="G214" i="20"/>
  <c r="H214" i="20"/>
  <c r="I214" i="20"/>
  <c r="J214" i="20"/>
  <c r="K214" i="20"/>
  <c r="L214" i="20"/>
  <c r="M214" i="20"/>
  <c r="N214" i="20"/>
  <c r="O214" i="20"/>
  <c r="P214" i="20"/>
  <c r="Q214" i="20"/>
  <c r="R214" i="20"/>
  <c r="S214" i="20"/>
  <c r="T214" i="20"/>
  <c r="U214" i="20"/>
  <c r="W214" i="20"/>
  <c r="Y214" i="20"/>
  <c r="AA214" i="20"/>
  <c r="AC214" i="20"/>
  <c r="A215" i="20"/>
  <c r="B215" i="20"/>
  <c r="C215" i="20"/>
  <c r="D215" i="20"/>
  <c r="E215" i="20"/>
  <c r="F215" i="20"/>
  <c r="G215" i="20"/>
  <c r="H215" i="20"/>
  <c r="I215" i="20"/>
  <c r="J215" i="20"/>
  <c r="K215" i="20"/>
  <c r="L215" i="20"/>
  <c r="M215" i="20"/>
  <c r="N215" i="20"/>
  <c r="O215" i="20"/>
  <c r="P215" i="20"/>
  <c r="Q215" i="20"/>
  <c r="R215" i="20"/>
  <c r="S215" i="20"/>
  <c r="T215" i="20"/>
  <c r="U215" i="20"/>
  <c r="W215" i="20"/>
  <c r="Y215" i="20"/>
  <c r="AA215" i="20"/>
  <c r="AC215" i="20"/>
  <c r="A216" i="20"/>
  <c r="B216" i="20"/>
  <c r="C216" i="20"/>
  <c r="D216" i="20"/>
  <c r="E216" i="20"/>
  <c r="F216" i="20"/>
  <c r="G216" i="20"/>
  <c r="H216" i="20"/>
  <c r="I216" i="20"/>
  <c r="J216" i="20"/>
  <c r="K216" i="20"/>
  <c r="L216" i="20"/>
  <c r="M216" i="20"/>
  <c r="N216" i="20"/>
  <c r="O216" i="20"/>
  <c r="P216" i="20"/>
  <c r="Q216" i="20"/>
  <c r="R216" i="20"/>
  <c r="S216" i="20"/>
  <c r="T216" i="20"/>
  <c r="U216" i="20"/>
  <c r="W216" i="20"/>
  <c r="Y216" i="20"/>
  <c r="AA216" i="20"/>
  <c r="AC216" i="20"/>
  <c r="A217" i="20"/>
  <c r="B217" i="20"/>
  <c r="C217" i="20"/>
  <c r="D217" i="20"/>
  <c r="E217" i="20"/>
  <c r="F217" i="20"/>
  <c r="G217" i="20"/>
  <c r="H217" i="20"/>
  <c r="I217" i="20"/>
  <c r="J217" i="20"/>
  <c r="K217" i="20"/>
  <c r="L217" i="20"/>
  <c r="M217" i="20"/>
  <c r="N217" i="20"/>
  <c r="O217" i="20"/>
  <c r="P217" i="20"/>
  <c r="Q217" i="20"/>
  <c r="R217" i="20"/>
  <c r="S217" i="20"/>
  <c r="T217" i="20"/>
  <c r="U217" i="20"/>
  <c r="W217" i="20"/>
  <c r="Y217" i="20"/>
  <c r="AA217" i="20"/>
  <c r="AC217" i="20"/>
  <c r="A218" i="20"/>
  <c r="B218" i="20"/>
  <c r="C218" i="20"/>
  <c r="D218" i="20"/>
  <c r="E218" i="20"/>
  <c r="F218" i="20"/>
  <c r="G218" i="20"/>
  <c r="H218" i="20"/>
  <c r="I218" i="20"/>
  <c r="J218" i="20"/>
  <c r="K218" i="20"/>
  <c r="L218" i="20"/>
  <c r="M218" i="20"/>
  <c r="N218" i="20"/>
  <c r="O218" i="20"/>
  <c r="P218" i="20"/>
  <c r="Q218" i="20"/>
  <c r="R218" i="20"/>
  <c r="S218" i="20"/>
  <c r="T218" i="20"/>
  <c r="U218" i="20"/>
  <c r="W218" i="20"/>
  <c r="Y218" i="20"/>
  <c r="AA218" i="20"/>
  <c r="AC218" i="20"/>
  <c r="A219" i="20"/>
  <c r="B219" i="20"/>
  <c r="C219" i="20"/>
  <c r="D219" i="20"/>
  <c r="E219" i="20"/>
  <c r="F219" i="20"/>
  <c r="G219" i="20"/>
  <c r="H219" i="20"/>
  <c r="I219" i="20"/>
  <c r="J219" i="20"/>
  <c r="K219" i="20"/>
  <c r="L219" i="20"/>
  <c r="M219" i="20"/>
  <c r="N219" i="20"/>
  <c r="O219" i="20"/>
  <c r="P219" i="20"/>
  <c r="Q219" i="20"/>
  <c r="R219" i="20"/>
  <c r="S219" i="20"/>
  <c r="T219" i="20"/>
  <c r="U219" i="20"/>
  <c r="W219" i="20"/>
  <c r="Y219" i="20"/>
  <c r="AA219" i="20"/>
  <c r="AC219" i="20"/>
  <c r="A220" i="20"/>
  <c r="B220" i="20"/>
  <c r="C220" i="20"/>
  <c r="D220" i="20"/>
  <c r="E220" i="20"/>
  <c r="F220" i="20"/>
  <c r="G220" i="20"/>
  <c r="H220" i="20"/>
  <c r="I220" i="20"/>
  <c r="J220" i="20"/>
  <c r="K220" i="20"/>
  <c r="L220" i="20"/>
  <c r="M220" i="20"/>
  <c r="N220" i="20"/>
  <c r="O220" i="20"/>
  <c r="P220" i="20"/>
  <c r="Q220" i="20"/>
  <c r="R220" i="20"/>
  <c r="S220" i="20"/>
  <c r="T220" i="20"/>
  <c r="U220" i="20"/>
  <c r="W220" i="20"/>
  <c r="Y220" i="20"/>
  <c r="AA220" i="20"/>
  <c r="AC220" i="20"/>
  <c r="A221" i="20"/>
  <c r="B221" i="20"/>
  <c r="C221" i="20"/>
  <c r="D221" i="20"/>
  <c r="E221" i="20"/>
  <c r="F221" i="20"/>
  <c r="G221" i="20"/>
  <c r="H221" i="20"/>
  <c r="I221" i="20"/>
  <c r="J221" i="20"/>
  <c r="K221" i="20"/>
  <c r="L221" i="20"/>
  <c r="M221" i="20"/>
  <c r="N221" i="20"/>
  <c r="O221" i="20"/>
  <c r="P221" i="20"/>
  <c r="Q221" i="20"/>
  <c r="R221" i="20"/>
  <c r="S221" i="20"/>
  <c r="T221" i="20"/>
  <c r="U221" i="20"/>
  <c r="W221" i="20"/>
  <c r="Y221" i="20"/>
  <c r="AA221" i="20"/>
  <c r="AC221" i="20"/>
  <c r="A222" i="20"/>
  <c r="B222" i="20"/>
  <c r="C222" i="20"/>
  <c r="D222" i="20"/>
  <c r="E222" i="20"/>
  <c r="F222" i="20"/>
  <c r="G222" i="20"/>
  <c r="H222" i="20"/>
  <c r="I222" i="20"/>
  <c r="J222" i="20"/>
  <c r="K222" i="20"/>
  <c r="L222" i="20"/>
  <c r="M222" i="20"/>
  <c r="N222" i="20"/>
  <c r="O222" i="20"/>
  <c r="P222" i="20"/>
  <c r="Q222" i="20"/>
  <c r="R222" i="20"/>
  <c r="S222" i="20"/>
  <c r="T222" i="20"/>
  <c r="U222" i="20"/>
  <c r="W222" i="20"/>
  <c r="Y222" i="20"/>
  <c r="AA222" i="20"/>
  <c r="AC222" i="20"/>
  <c r="A223" i="20"/>
  <c r="B223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P223" i="20"/>
  <c r="Q223" i="20"/>
  <c r="R223" i="20"/>
  <c r="S223" i="20"/>
  <c r="T223" i="20"/>
  <c r="U223" i="20"/>
  <c r="W223" i="20"/>
  <c r="Y223" i="20"/>
  <c r="AA223" i="20"/>
  <c r="AC223" i="20"/>
  <c r="A224" i="20"/>
  <c r="B224" i="20"/>
  <c r="C224" i="20"/>
  <c r="D224" i="20"/>
  <c r="E224" i="20"/>
  <c r="F224" i="20"/>
  <c r="G224" i="20"/>
  <c r="H224" i="20"/>
  <c r="I224" i="20"/>
  <c r="J224" i="20"/>
  <c r="K224" i="20"/>
  <c r="L224" i="20"/>
  <c r="M224" i="20"/>
  <c r="N224" i="20"/>
  <c r="O224" i="20"/>
  <c r="P224" i="20"/>
  <c r="Q224" i="20"/>
  <c r="R224" i="20"/>
  <c r="S224" i="20"/>
  <c r="T224" i="20"/>
  <c r="U224" i="20"/>
  <c r="W224" i="20"/>
  <c r="Y224" i="20"/>
  <c r="AA224" i="20"/>
  <c r="AC224" i="20"/>
  <c r="A225" i="20"/>
  <c r="B225" i="20"/>
  <c r="C225" i="20"/>
  <c r="D225" i="20"/>
  <c r="E225" i="20"/>
  <c r="F225" i="20"/>
  <c r="G225" i="20"/>
  <c r="H225" i="20"/>
  <c r="I225" i="20"/>
  <c r="J225" i="20"/>
  <c r="K225" i="20"/>
  <c r="L225" i="20"/>
  <c r="M225" i="20"/>
  <c r="N225" i="20"/>
  <c r="O225" i="20"/>
  <c r="P225" i="20"/>
  <c r="Q225" i="20"/>
  <c r="R225" i="20"/>
  <c r="S225" i="20"/>
  <c r="T225" i="20"/>
  <c r="U225" i="20"/>
  <c r="V225" i="20"/>
  <c r="W225" i="20"/>
  <c r="X225" i="20"/>
  <c r="Y225" i="20"/>
  <c r="Z225" i="20"/>
  <c r="AA225" i="20"/>
  <c r="AB225" i="20"/>
  <c r="AC225" i="20"/>
  <c r="AD225" i="20"/>
  <c r="A226" i="20"/>
  <c r="B226" i="20"/>
  <c r="C226" i="20"/>
  <c r="D226" i="20"/>
  <c r="E226" i="20"/>
  <c r="F226" i="20"/>
  <c r="G226" i="20"/>
  <c r="H226" i="20"/>
  <c r="I226" i="20"/>
  <c r="J226" i="20"/>
  <c r="K226" i="20"/>
  <c r="L226" i="20"/>
  <c r="M226" i="20"/>
  <c r="N226" i="20"/>
  <c r="O226" i="20"/>
  <c r="P226" i="20"/>
  <c r="Q226" i="20"/>
  <c r="R226" i="20"/>
  <c r="S226" i="20"/>
  <c r="T226" i="20"/>
  <c r="U226" i="20"/>
  <c r="W226" i="20"/>
  <c r="Y226" i="20"/>
  <c r="AA226" i="20"/>
  <c r="AC226" i="20"/>
  <c r="A227" i="20"/>
  <c r="B227" i="20"/>
  <c r="C227" i="20"/>
  <c r="D227" i="20"/>
  <c r="E227" i="20"/>
  <c r="F227" i="20"/>
  <c r="G227" i="20"/>
  <c r="H227" i="20"/>
  <c r="I227" i="20"/>
  <c r="J227" i="20"/>
  <c r="K227" i="20"/>
  <c r="L227" i="20"/>
  <c r="M227" i="20"/>
  <c r="N227" i="20"/>
  <c r="O227" i="20"/>
  <c r="P227" i="20"/>
  <c r="Q227" i="20"/>
  <c r="R227" i="20"/>
  <c r="S227" i="20"/>
  <c r="T227" i="20"/>
  <c r="U227" i="20"/>
  <c r="W227" i="20"/>
  <c r="Y227" i="20"/>
  <c r="AA227" i="20"/>
  <c r="AC227" i="20"/>
  <c r="A228" i="20"/>
  <c r="B228" i="20"/>
  <c r="C228" i="20"/>
  <c r="D228" i="20"/>
  <c r="E228" i="20"/>
  <c r="F228" i="20"/>
  <c r="G228" i="20"/>
  <c r="H228" i="20"/>
  <c r="I228" i="20"/>
  <c r="J228" i="20"/>
  <c r="K228" i="20"/>
  <c r="L228" i="20"/>
  <c r="M228" i="20"/>
  <c r="N228" i="20"/>
  <c r="O228" i="20"/>
  <c r="P228" i="20"/>
  <c r="Q228" i="20"/>
  <c r="R228" i="20"/>
  <c r="S228" i="20"/>
  <c r="T228" i="20"/>
  <c r="U228" i="20"/>
  <c r="W228" i="20"/>
  <c r="Y228" i="20"/>
  <c r="AA228" i="20"/>
  <c r="AC228" i="20"/>
  <c r="A229" i="20"/>
  <c r="B229" i="20"/>
  <c r="C229" i="20"/>
  <c r="D229" i="20"/>
  <c r="E229" i="20"/>
  <c r="F229" i="20"/>
  <c r="G229" i="20"/>
  <c r="H229" i="20"/>
  <c r="I229" i="20"/>
  <c r="J229" i="20"/>
  <c r="K229" i="20"/>
  <c r="L229" i="20"/>
  <c r="M229" i="20"/>
  <c r="N229" i="20"/>
  <c r="O229" i="20"/>
  <c r="P229" i="20"/>
  <c r="Q229" i="20"/>
  <c r="R229" i="20"/>
  <c r="S229" i="20"/>
  <c r="T229" i="20"/>
  <c r="U229" i="20"/>
  <c r="W229" i="20"/>
  <c r="Y229" i="20"/>
  <c r="AA229" i="20"/>
  <c r="AC229" i="20"/>
  <c r="A230" i="20"/>
  <c r="B230" i="20"/>
  <c r="C230" i="20"/>
  <c r="D230" i="20"/>
  <c r="E230" i="20"/>
  <c r="F230" i="20"/>
  <c r="G230" i="20"/>
  <c r="H230" i="20"/>
  <c r="I230" i="20"/>
  <c r="J230" i="20"/>
  <c r="K230" i="20"/>
  <c r="L230" i="20"/>
  <c r="M230" i="20"/>
  <c r="N230" i="20"/>
  <c r="O230" i="20"/>
  <c r="P230" i="20"/>
  <c r="Q230" i="20"/>
  <c r="R230" i="20"/>
  <c r="S230" i="20"/>
  <c r="T230" i="20"/>
  <c r="U230" i="20"/>
  <c r="W230" i="20"/>
  <c r="Y230" i="20"/>
  <c r="AA230" i="20"/>
  <c r="AC230" i="20"/>
  <c r="A231" i="20"/>
  <c r="B231" i="20"/>
  <c r="C231" i="20"/>
  <c r="D231" i="20"/>
  <c r="E231" i="20"/>
  <c r="F231" i="20"/>
  <c r="G231" i="20"/>
  <c r="H231" i="20"/>
  <c r="I231" i="20"/>
  <c r="J231" i="20"/>
  <c r="K231" i="20"/>
  <c r="L231" i="20"/>
  <c r="M231" i="20"/>
  <c r="N231" i="20"/>
  <c r="O231" i="20"/>
  <c r="P231" i="20"/>
  <c r="Q231" i="20"/>
  <c r="R231" i="20"/>
  <c r="S231" i="20"/>
  <c r="T231" i="20"/>
  <c r="U231" i="20"/>
  <c r="W231" i="20"/>
  <c r="Y231" i="20"/>
  <c r="AA231" i="20"/>
  <c r="AC231" i="20"/>
  <c r="A232" i="20"/>
  <c r="B232" i="20"/>
  <c r="C232" i="20"/>
  <c r="D232" i="20"/>
  <c r="E232" i="20"/>
  <c r="F232" i="20"/>
  <c r="G232" i="20"/>
  <c r="H232" i="20"/>
  <c r="I232" i="20"/>
  <c r="J232" i="20"/>
  <c r="K232" i="20"/>
  <c r="L232" i="20"/>
  <c r="M232" i="20"/>
  <c r="N232" i="20"/>
  <c r="O232" i="20"/>
  <c r="P232" i="20"/>
  <c r="Q232" i="20"/>
  <c r="R232" i="20"/>
  <c r="S232" i="20"/>
  <c r="T232" i="20"/>
  <c r="U232" i="20"/>
  <c r="W232" i="20"/>
  <c r="Y232" i="20"/>
  <c r="AA232" i="20"/>
  <c r="AC232" i="20"/>
  <c r="A233" i="20"/>
  <c r="B233" i="20"/>
  <c r="C233" i="20"/>
  <c r="D233" i="20"/>
  <c r="E233" i="20"/>
  <c r="F233" i="20"/>
  <c r="G233" i="20"/>
  <c r="H233" i="20"/>
  <c r="I233" i="20"/>
  <c r="J233" i="20"/>
  <c r="K233" i="20"/>
  <c r="L233" i="20"/>
  <c r="M233" i="20"/>
  <c r="N233" i="20"/>
  <c r="O233" i="20"/>
  <c r="P233" i="20"/>
  <c r="Q233" i="20"/>
  <c r="R233" i="20"/>
  <c r="S233" i="20"/>
  <c r="T233" i="20"/>
  <c r="U233" i="20"/>
  <c r="W233" i="20"/>
  <c r="Y233" i="20"/>
  <c r="AA233" i="20"/>
  <c r="AC233" i="20"/>
  <c r="A234" i="20"/>
  <c r="B234" i="20"/>
  <c r="C234" i="20"/>
  <c r="D234" i="20"/>
  <c r="E234" i="20"/>
  <c r="F234" i="20"/>
  <c r="G234" i="20"/>
  <c r="H234" i="20"/>
  <c r="I234" i="20"/>
  <c r="J234" i="20"/>
  <c r="K234" i="20"/>
  <c r="L234" i="20"/>
  <c r="M234" i="20"/>
  <c r="N234" i="20"/>
  <c r="O234" i="20"/>
  <c r="P234" i="20"/>
  <c r="Q234" i="20"/>
  <c r="R234" i="20"/>
  <c r="S234" i="20"/>
  <c r="T234" i="20"/>
  <c r="U234" i="20"/>
  <c r="W234" i="20"/>
  <c r="Y234" i="20"/>
  <c r="AA234" i="20"/>
  <c r="AC234" i="20"/>
  <c r="A235" i="20"/>
  <c r="B235" i="20"/>
  <c r="C235" i="20"/>
  <c r="D235" i="20"/>
  <c r="E235" i="20"/>
  <c r="F235" i="20"/>
  <c r="G235" i="20"/>
  <c r="H235" i="20"/>
  <c r="I235" i="20"/>
  <c r="J235" i="20"/>
  <c r="K235" i="20"/>
  <c r="L235" i="20"/>
  <c r="M235" i="20"/>
  <c r="N235" i="20"/>
  <c r="O235" i="20"/>
  <c r="P235" i="20"/>
  <c r="Q235" i="20"/>
  <c r="R235" i="20"/>
  <c r="S235" i="20"/>
  <c r="T235" i="20"/>
  <c r="U235" i="20"/>
  <c r="W235" i="20"/>
  <c r="Y235" i="20"/>
  <c r="AA235" i="20"/>
  <c r="AC235" i="20"/>
  <c r="A236" i="20"/>
  <c r="B236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P236" i="20"/>
  <c r="Q236" i="20"/>
  <c r="R236" i="20"/>
  <c r="S236" i="20"/>
  <c r="T236" i="20"/>
  <c r="U236" i="20"/>
  <c r="W236" i="20"/>
  <c r="Y236" i="20"/>
  <c r="AA236" i="20"/>
  <c r="AC236" i="20"/>
  <c r="A237" i="20"/>
  <c r="B237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P237" i="20"/>
  <c r="Q237" i="20"/>
  <c r="R237" i="20"/>
  <c r="S237" i="20"/>
  <c r="T237" i="20"/>
  <c r="U237" i="20"/>
  <c r="V237" i="20"/>
  <c r="W237" i="20"/>
  <c r="X237" i="20"/>
  <c r="Y237" i="20"/>
  <c r="Z237" i="20"/>
  <c r="AA237" i="20"/>
  <c r="AB237" i="20"/>
  <c r="AC237" i="20"/>
  <c r="AD237" i="20"/>
  <c r="A238" i="20"/>
  <c r="B238" i="20"/>
  <c r="C238" i="20"/>
  <c r="D238" i="20"/>
  <c r="E238" i="20"/>
  <c r="F238" i="20"/>
  <c r="G238" i="20"/>
  <c r="H238" i="20"/>
  <c r="I238" i="20"/>
  <c r="J238" i="20"/>
  <c r="K238" i="20"/>
  <c r="L238" i="20"/>
  <c r="M238" i="20"/>
  <c r="N238" i="20"/>
  <c r="O238" i="20"/>
  <c r="P238" i="20"/>
  <c r="Q238" i="20"/>
  <c r="R238" i="20"/>
  <c r="S238" i="20"/>
  <c r="T238" i="20"/>
  <c r="U238" i="20"/>
  <c r="W238" i="20"/>
  <c r="Y238" i="20"/>
  <c r="AA238" i="20"/>
  <c r="AC238" i="20"/>
  <c r="A239" i="20"/>
  <c r="B239" i="20"/>
  <c r="C239" i="20"/>
  <c r="D239" i="20"/>
  <c r="E239" i="20"/>
  <c r="F239" i="20"/>
  <c r="G239" i="20"/>
  <c r="H239" i="20"/>
  <c r="I239" i="20"/>
  <c r="J239" i="20"/>
  <c r="K239" i="20"/>
  <c r="L239" i="20"/>
  <c r="M239" i="20"/>
  <c r="N239" i="20"/>
  <c r="O239" i="20"/>
  <c r="P239" i="20"/>
  <c r="Q239" i="20"/>
  <c r="R239" i="20"/>
  <c r="S239" i="20"/>
  <c r="T239" i="20"/>
  <c r="U239" i="20"/>
  <c r="W239" i="20"/>
  <c r="Y239" i="20"/>
  <c r="AA239" i="20"/>
  <c r="AC239" i="20"/>
  <c r="A240" i="20"/>
  <c r="B240" i="20"/>
  <c r="C240" i="20"/>
  <c r="D240" i="20"/>
  <c r="E240" i="20"/>
  <c r="F240" i="20"/>
  <c r="G240" i="20"/>
  <c r="H240" i="20"/>
  <c r="I240" i="20"/>
  <c r="J240" i="20"/>
  <c r="K240" i="20"/>
  <c r="L240" i="20"/>
  <c r="M240" i="20"/>
  <c r="N240" i="20"/>
  <c r="O240" i="20"/>
  <c r="P240" i="20"/>
  <c r="Q240" i="20"/>
  <c r="R240" i="20"/>
  <c r="S240" i="20"/>
  <c r="T240" i="20"/>
  <c r="U240" i="20"/>
  <c r="W240" i="20"/>
  <c r="Y240" i="20"/>
  <c r="AA240" i="20"/>
  <c r="AC240" i="20"/>
  <c r="A241" i="20"/>
  <c r="B241" i="20"/>
  <c r="C241" i="20"/>
  <c r="D241" i="20"/>
  <c r="E241" i="20"/>
  <c r="F241" i="20"/>
  <c r="G241" i="20"/>
  <c r="H241" i="20"/>
  <c r="I241" i="20"/>
  <c r="J241" i="20"/>
  <c r="K241" i="20"/>
  <c r="L241" i="20"/>
  <c r="M241" i="20"/>
  <c r="N241" i="20"/>
  <c r="O241" i="20"/>
  <c r="P241" i="20"/>
  <c r="Q241" i="20"/>
  <c r="R241" i="20"/>
  <c r="S241" i="20"/>
  <c r="T241" i="20"/>
  <c r="U241" i="20"/>
  <c r="W241" i="20"/>
  <c r="Y241" i="20"/>
  <c r="AA241" i="20"/>
  <c r="AC241" i="20"/>
  <c r="A242" i="20"/>
  <c r="B242" i="20"/>
  <c r="C242" i="20"/>
  <c r="D242" i="20"/>
  <c r="E242" i="20"/>
  <c r="F242" i="20"/>
  <c r="G242" i="20"/>
  <c r="H242" i="20"/>
  <c r="I242" i="20"/>
  <c r="J242" i="20"/>
  <c r="K242" i="20"/>
  <c r="L242" i="20"/>
  <c r="M242" i="20"/>
  <c r="N242" i="20"/>
  <c r="O242" i="20"/>
  <c r="P242" i="20"/>
  <c r="Q242" i="20"/>
  <c r="R242" i="20"/>
  <c r="S242" i="20"/>
  <c r="T242" i="20"/>
  <c r="U242" i="20"/>
  <c r="W242" i="20"/>
  <c r="Y242" i="20"/>
  <c r="AA242" i="20"/>
  <c r="AC242" i="20"/>
  <c r="A243" i="20"/>
  <c r="B243" i="20"/>
  <c r="C243" i="20"/>
  <c r="D243" i="20"/>
  <c r="E243" i="20"/>
  <c r="F243" i="20"/>
  <c r="G243" i="20"/>
  <c r="H243" i="20"/>
  <c r="I243" i="20"/>
  <c r="J243" i="20"/>
  <c r="K243" i="20"/>
  <c r="L243" i="20"/>
  <c r="M243" i="20"/>
  <c r="N243" i="20"/>
  <c r="O243" i="20"/>
  <c r="P243" i="20"/>
  <c r="Q243" i="20"/>
  <c r="R243" i="20"/>
  <c r="S243" i="20"/>
  <c r="T243" i="20"/>
  <c r="U243" i="20"/>
  <c r="W243" i="20"/>
  <c r="Y243" i="20"/>
  <c r="AA243" i="20"/>
  <c r="AC243" i="20"/>
  <c r="A244" i="20"/>
  <c r="B244" i="20"/>
  <c r="C244" i="20"/>
  <c r="D244" i="20"/>
  <c r="E244" i="20"/>
  <c r="F244" i="20"/>
  <c r="G244" i="20"/>
  <c r="H244" i="20"/>
  <c r="I244" i="20"/>
  <c r="J244" i="20"/>
  <c r="K244" i="20"/>
  <c r="L244" i="20"/>
  <c r="M244" i="20"/>
  <c r="N244" i="20"/>
  <c r="O244" i="20"/>
  <c r="P244" i="20"/>
  <c r="Q244" i="20"/>
  <c r="R244" i="20"/>
  <c r="S244" i="20"/>
  <c r="T244" i="20"/>
  <c r="U244" i="20"/>
  <c r="W244" i="20"/>
  <c r="Y244" i="20"/>
  <c r="AA244" i="20"/>
  <c r="AC244" i="20"/>
  <c r="A245" i="20"/>
  <c r="B245" i="20"/>
  <c r="C245" i="20"/>
  <c r="D245" i="20"/>
  <c r="E245" i="20"/>
  <c r="F245" i="20"/>
  <c r="G245" i="20"/>
  <c r="H245" i="20"/>
  <c r="I245" i="20"/>
  <c r="J245" i="20"/>
  <c r="K245" i="20"/>
  <c r="L245" i="20"/>
  <c r="M245" i="20"/>
  <c r="N245" i="20"/>
  <c r="O245" i="20"/>
  <c r="P245" i="20"/>
  <c r="Q245" i="20"/>
  <c r="R245" i="20"/>
  <c r="S245" i="20"/>
  <c r="T245" i="20"/>
  <c r="U245" i="20"/>
  <c r="W245" i="20"/>
  <c r="Y245" i="20"/>
  <c r="AA245" i="20"/>
  <c r="AC245" i="20"/>
  <c r="A246" i="20"/>
  <c r="B246" i="20"/>
  <c r="C246" i="20"/>
  <c r="D246" i="20"/>
  <c r="E246" i="20"/>
  <c r="F246" i="20"/>
  <c r="G246" i="20"/>
  <c r="H246" i="20"/>
  <c r="I246" i="20"/>
  <c r="J246" i="20"/>
  <c r="K246" i="20"/>
  <c r="L246" i="20"/>
  <c r="M246" i="20"/>
  <c r="N246" i="20"/>
  <c r="O246" i="20"/>
  <c r="P246" i="20"/>
  <c r="Q246" i="20"/>
  <c r="R246" i="20"/>
  <c r="S246" i="20"/>
  <c r="T246" i="20"/>
  <c r="U246" i="20"/>
  <c r="W246" i="20"/>
  <c r="Y246" i="20"/>
  <c r="AA246" i="20"/>
  <c r="AC246" i="20"/>
  <c r="A247" i="20"/>
  <c r="B247" i="20"/>
  <c r="C247" i="20"/>
  <c r="D247" i="20"/>
  <c r="E247" i="20"/>
  <c r="F247" i="20"/>
  <c r="G247" i="20"/>
  <c r="H247" i="20"/>
  <c r="I247" i="20"/>
  <c r="J247" i="20"/>
  <c r="K247" i="20"/>
  <c r="L247" i="20"/>
  <c r="M247" i="20"/>
  <c r="N247" i="20"/>
  <c r="O247" i="20"/>
  <c r="P247" i="20"/>
  <c r="Q247" i="20"/>
  <c r="R247" i="20"/>
  <c r="S247" i="20"/>
  <c r="T247" i="20"/>
  <c r="U247" i="20"/>
  <c r="W247" i="20"/>
  <c r="Y247" i="20"/>
  <c r="AA247" i="20"/>
  <c r="AC247" i="20"/>
  <c r="A248" i="20"/>
  <c r="B248" i="20"/>
  <c r="C248" i="20"/>
  <c r="D248" i="20"/>
  <c r="E248" i="20"/>
  <c r="F248" i="20"/>
  <c r="G248" i="20"/>
  <c r="H248" i="20"/>
  <c r="I248" i="20"/>
  <c r="J248" i="20"/>
  <c r="K248" i="20"/>
  <c r="L248" i="20"/>
  <c r="M248" i="20"/>
  <c r="N248" i="20"/>
  <c r="O248" i="20"/>
  <c r="P248" i="20"/>
  <c r="Q248" i="20"/>
  <c r="R248" i="20"/>
  <c r="S248" i="20"/>
  <c r="T248" i="20"/>
  <c r="U248" i="20"/>
  <c r="W248" i="20"/>
  <c r="Y248" i="20"/>
  <c r="AA248" i="20"/>
  <c r="AC248" i="20"/>
  <c r="A249" i="20"/>
  <c r="B249" i="20"/>
  <c r="C249" i="20"/>
  <c r="D249" i="20"/>
  <c r="E249" i="20"/>
  <c r="F249" i="20"/>
  <c r="G249" i="20"/>
  <c r="H249" i="20"/>
  <c r="I249" i="20"/>
  <c r="J249" i="20"/>
  <c r="K249" i="20"/>
  <c r="L249" i="20"/>
  <c r="M249" i="20"/>
  <c r="N249" i="20"/>
  <c r="O249" i="20"/>
  <c r="P249" i="20"/>
  <c r="Q249" i="20"/>
  <c r="R249" i="20"/>
  <c r="S249" i="20"/>
  <c r="T249" i="20"/>
  <c r="U249" i="20"/>
  <c r="V249" i="20"/>
  <c r="W249" i="20"/>
  <c r="X249" i="20"/>
  <c r="Y249" i="20"/>
  <c r="Z249" i="20"/>
  <c r="AA249" i="20"/>
  <c r="AB249" i="20"/>
  <c r="AC249" i="20"/>
  <c r="AD249" i="20"/>
  <c r="B1" i="18"/>
  <c r="G5" i="18"/>
  <c r="H5" i="18"/>
  <c r="I5" i="18"/>
  <c r="J5" i="18"/>
  <c r="K5" i="18"/>
  <c r="G6" i="18"/>
  <c r="H6" i="18"/>
  <c r="I6" i="18"/>
  <c r="J6" i="18"/>
  <c r="K6" i="18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D2" i="7"/>
  <c r="E2" i="7"/>
  <c r="F2" i="7"/>
  <c r="G2" i="7"/>
  <c r="C11" i="7"/>
  <c r="D11" i="7"/>
  <c r="E11" i="7"/>
  <c r="F11" i="7"/>
  <c r="H11" i="7"/>
  <c r="I11" i="7"/>
  <c r="C12" i="7"/>
  <c r="D12" i="7"/>
  <c r="E12" i="7"/>
  <c r="F12" i="7"/>
  <c r="H12" i="7"/>
  <c r="I12" i="7"/>
  <c r="C13" i="7"/>
  <c r="D13" i="7"/>
  <c r="E13" i="7"/>
  <c r="F13" i="7"/>
  <c r="H13" i="7"/>
  <c r="I13" i="7"/>
  <c r="B17" i="7"/>
  <c r="C17" i="7"/>
  <c r="H17" i="7"/>
  <c r="I17" i="7"/>
  <c r="B18" i="7"/>
  <c r="C18" i="7"/>
  <c r="H18" i="7"/>
  <c r="I18" i="7"/>
  <c r="B19" i="7"/>
  <c r="C19" i="7"/>
  <c r="H19" i="7"/>
  <c r="I19" i="7"/>
  <c r="B20" i="7"/>
  <c r="C20" i="7"/>
  <c r="H20" i="7"/>
  <c r="I20" i="7"/>
  <c r="B21" i="7"/>
  <c r="C21" i="7"/>
  <c r="H21" i="7"/>
  <c r="I21" i="7"/>
  <c r="B22" i="7"/>
  <c r="C22" i="7"/>
  <c r="H22" i="7"/>
  <c r="I22" i="7"/>
  <c r="B23" i="7"/>
  <c r="C23" i="7"/>
  <c r="H23" i="7"/>
  <c r="I23" i="7"/>
  <c r="B24" i="7"/>
  <c r="C24" i="7"/>
  <c r="H24" i="7"/>
  <c r="I24" i="7"/>
  <c r="B25" i="7"/>
  <c r="C25" i="7"/>
  <c r="H25" i="7"/>
  <c r="I25" i="7"/>
  <c r="B26" i="7"/>
  <c r="C26" i="7"/>
  <c r="H26" i="7"/>
  <c r="I26" i="7"/>
  <c r="B27" i="7"/>
  <c r="C27" i="7"/>
  <c r="H27" i="7"/>
  <c r="I27" i="7"/>
  <c r="B28" i="7"/>
  <c r="C28" i="7"/>
  <c r="H28" i="7"/>
  <c r="I28" i="7"/>
  <c r="B29" i="7"/>
  <c r="C29" i="7"/>
  <c r="H29" i="7"/>
  <c r="I29" i="7"/>
  <c r="B30" i="7"/>
  <c r="C30" i="7"/>
  <c r="H30" i="7"/>
  <c r="I30" i="7"/>
  <c r="B31" i="7"/>
  <c r="C31" i="7"/>
  <c r="H31" i="7"/>
  <c r="I31" i="7"/>
  <c r="B32" i="7"/>
  <c r="C32" i="7"/>
  <c r="H32" i="7"/>
  <c r="I32" i="7"/>
  <c r="B33" i="7"/>
  <c r="C33" i="7"/>
  <c r="H33" i="7"/>
  <c r="I33" i="7"/>
  <c r="B34" i="7"/>
  <c r="C34" i="7"/>
  <c r="H34" i="7"/>
  <c r="I34" i="7"/>
  <c r="B35" i="7"/>
  <c r="C35" i="7"/>
  <c r="H35" i="7"/>
  <c r="I35" i="7"/>
  <c r="B36" i="7"/>
  <c r="C36" i="7"/>
  <c r="H36" i="7"/>
  <c r="I36" i="7"/>
  <c r="B37" i="7"/>
  <c r="C37" i="7"/>
  <c r="H37" i="7"/>
  <c r="I37" i="7"/>
  <c r="B38" i="7"/>
  <c r="C38" i="7"/>
  <c r="H38" i="7"/>
  <c r="I38" i="7"/>
  <c r="B39" i="7"/>
  <c r="C39" i="7"/>
  <c r="H39" i="7"/>
  <c r="I39" i="7"/>
  <c r="B40" i="7"/>
  <c r="C40" i="7"/>
  <c r="H40" i="7"/>
  <c r="I40" i="7"/>
  <c r="B41" i="7"/>
  <c r="C41" i="7"/>
  <c r="H41" i="7"/>
  <c r="I41" i="7"/>
  <c r="B42" i="7"/>
  <c r="C42" i="7"/>
  <c r="H42" i="7"/>
  <c r="I42" i="7"/>
  <c r="B43" i="7"/>
  <c r="C43" i="7"/>
  <c r="H43" i="7"/>
  <c r="I43" i="7"/>
  <c r="B44" i="7"/>
  <c r="C44" i="7"/>
  <c r="H44" i="7"/>
  <c r="I44" i="7"/>
  <c r="B45" i="7"/>
  <c r="C45" i="7"/>
  <c r="H45" i="7"/>
  <c r="I45" i="7"/>
  <c r="B46" i="7"/>
  <c r="C46" i="7"/>
  <c r="H46" i="7"/>
  <c r="I46" i="7"/>
  <c r="B47" i="7"/>
  <c r="C47" i="7"/>
  <c r="H47" i="7"/>
  <c r="I47" i="7"/>
  <c r="B48" i="7"/>
  <c r="C48" i="7"/>
  <c r="H48" i="7"/>
  <c r="I48" i="7"/>
  <c r="H49" i="7"/>
  <c r="I49" i="7"/>
  <c r="C51" i="7"/>
  <c r="D51" i="7"/>
  <c r="E51" i="7"/>
  <c r="F51" i="7"/>
  <c r="H51" i="7"/>
  <c r="I51" i="7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L64" i="11"/>
  <c r="M64" i="11"/>
  <c r="N64" i="11"/>
  <c r="O64" i="11"/>
  <c r="P64" i="11"/>
  <c r="Q64" i="11"/>
  <c r="R64" i="11"/>
  <c r="S64" i="11"/>
  <c r="T64" i="11"/>
  <c r="U64" i="11"/>
  <c r="V64" i="11"/>
  <c r="M65" i="11"/>
  <c r="N65" i="11"/>
  <c r="O65" i="11"/>
  <c r="P65" i="11"/>
  <c r="Q65" i="11"/>
  <c r="R65" i="11"/>
  <c r="S65" i="11"/>
  <c r="T65" i="11"/>
  <c r="U65" i="11"/>
  <c r="V65" i="11"/>
  <c r="N66" i="11"/>
  <c r="O66" i="11"/>
  <c r="P66" i="11"/>
  <c r="Q66" i="11"/>
  <c r="R66" i="11"/>
  <c r="S66" i="11"/>
  <c r="T66" i="11"/>
  <c r="U66" i="11"/>
  <c r="V66" i="11"/>
  <c r="O67" i="11"/>
  <c r="P67" i="11"/>
  <c r="Q67" i="11"/>
  <c r="R67" i="11"/>
  <c r="S67" i="11"/>
  <c r="T67" i="11"/>
  <c r="U67" i="11"/>
  <c r="V67" i="11"/>
  <c r="P68" i="11"/>
  <c r="Q68" i="11"/>
  <c r="R68" i="11"/>
  <c r="S68" i="11"/>
  <c r="T68" i="11"/>
  <c r="U68" i="11"/>
  <c r="V68" i="11"/>
  <c r="Q69" i="11"/>
  <c r="R69" i="11"/>
  <c r="S69" i="11"/>
  <c r="T69" i="11"/>
  <c r="U69" i="11"/>
  <c r="V69" i="11"/>
  <c r="R70" i="11"/>
  <c r="S70" i="11"/>
  <c r="T70" i="11"/>
  <c r="U70" i="11"/>
  <c r="V70" i="11"/>
  <c r="S71" i="11"/>
  <c r="T71" i="11"/>
  <c r="U71" i="11"/>
  <c r="V71" i="11"/>
  <c r="T72" i="11"/>
  <c r="U72" i="11"/>
  <c r="V72" i="11"/>
  <c r="U73" i="11"/>
  <c r="V73" i="11"/>
  <c r="V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L92" i="11"/>
  <c r="M92" i="11"/>
  <c r="N92" i="11"/>
  <c r="O92" i="11"/>
  <c r="P92" i="11"/>
  <c r="Q92" i="11"/>
  <c r="R92" i="11"/>
  <c r="S92" i="11"/>
  <c r="T92" i="11"/>
  <c r="U92" i="11"/>
  <c r="V92" i="11"/>
  <c r="M93" i="11"/>
  <c r="N93" i="11"/>
  <c r="O93" i="11"/>
  <c r="P93" i="11"/>
  <c r="Q93" i="11"/>
  <c r="R93" i="11"/>
  <c r="S93" i="11"/>
  <c r="T93" i="11"/>
  <c r="U93" i="11"/>
  <c r="V93" i="11"/>
  <c r="N94" i="11"/>
  <c r="O94" i="11"/>
  <c r="P94" i="11"/>
  <c r="Q94" i="11"/>
  <c r="R94" i="11"/>
  <c r="S94" i="11"/>
  <c r="T94" i="11"/>
  <c r="U94" i="11"/>
  <c r="V94" i="11"/>
  <c r="O95" i="11"/>
  <c r="P95" i="11"/>
  <c r="Q95" i="11"/>
  <c r="R95" i="11"/>
  <c r="S95" i="11"/>
  <c r="T95" i="11"/>
  <c r="U95" i="11"/>
  <c r="V95" i="11"/>
  <c r="P96" i="11"/>
  <c r="Q96" i="11"/>
  <c r="R96" i="11"/>
  <c r="S96" i="11"/>
  <c r="T96" i="11"/>
  <c r="U96" i="11"/>
  <c r="V96" i="11"/>
  <c r="Q97" i="11"/>
  <c r="R97" i="11"/>
  <c r="S97" i="11"/>
  <c r="T97" i="11"/>
  <c r="U97" i="11"/>
  <c r="V97" i="11"/>
  <c r="R98" i="11"/>
  <c r="S98" i="11"/>
  <c r="T98" i="11"/>
  <c r="U98" i="11"/>
  <c r="V98" i="11"/>
  <c r="S99" i="11"/>
  <c r="T99" i="11"/>
  <c r="U99" i="11"/>
  <c r="V99" i="11"/>
  <c r="T100" i="11"/>
  <c r="U100" i="11"/>
  <c r="V100" i="11"/>
  <c r="U101" i="11"/>
  <c r="V101" i="11"/>
  <c r="V102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A10" i="5"/>
  <c r="F10" i="5"/>
  <c r="A11" i="5"/>
  <c r="F11" i="5"/>
  <c r="A12" i="5"/>
  <c r="F12" i="5"/>
  <c r="A13" i="5"/>
  <c r="F13" i="5"/>
  <c r="A14" i="5"/>
  <c r="F14" i="5"/>
  <c r="A15" i="5"/>
  <c r="F15" i="5"/>
  <c r="A16" i="5"/>
  <c r="F16" i="5"/>
  <c r="A17" i="5"/>
  <c r="F17" i="5"/>
  <c r="A18" i="5"/>
  <c r="F18" i="5"/>
  <c r="A19" i="5"/>
  <c r="F19" i="5"/>
  <c r="A20" i="5"/>
  <c r="F20" i="5"/>
  <c r="A21" i="5"/>
  <c r="F21" i="5"/>
  <c r="A22" i="5"/>
  <c r="F22" i="5"/>
  <c r="A23" i="5"/>
  <c r="F23" i="5"/>
  <c r="A24" i="5"/>
  <c r="F24" i="5"/>
  <c r="A25" i="5"/>
  <c r="F25" i="5"/>
  <c r="A26" i="5"/>
  <c r="F26" i="5"/>
  <c r="A27" i="5"/>
  <c r="F27" i="5"/>
  <c r="A28" i="5"/>
  <c r="F28" i="5"/>
  <c r="A29" i="5"/>
  <c r="F29" i="5"/>
  <c r="A30" i="5"/>
  <c r="F30" i="5"/>
  <c r="A31" i="5"/>
  <c r="F31" i="5"/>
  <c r="A32" i="5"/>
  <c r="F32" i="5"/>
  <c r="A33" i="5"/>
  <c r="F33" i="5"/>
  <c r="A34" i="5"/>
  <c r="F34" i="5"/>
  <c r="A35" i="5"/>
  <c r="F35" i="5"/>
  <c r="A36" i="5"/>
  <c r="F36" i="5"/>
  <c r="A37" i="5"/>
  <c r="F37" i="5"/>
  <c r="A38" i="5"/>
  <c r="F38" i="5"/>
  <c r="A39" i="5"/>
  <c r="F39" i="5"/>
  <c r="A40" i="5"/>
  <c r="F40" i="5"/>
  <c r="A41" i="5"/>
  <c r="F41" i="5"/>
  <c r="A42" i="5"/>
  <c r="F42" i="5"/>
  <c r="C44" i="5"/>
  <c r="D44" i="5"/>
  <c r="E44" i="5"/>
</calcChain>
</file>

<file path=xl/sharedStrings.xml><?xml version="1.0" encoding="utf-8"?>
<sst xmlns="http://schemas.openxmlformats.org/spreadsheetml/2006/main" count="3766" uniqueCount="307">
  <si>
    <t>Bucket 1</t>
  </si>
  <si>
    <t>Bucket 2</t>
  </si>
  <si>
    <t>Bucket 3</t>
  </si>
  <si>
    <t>Bucket 4</t>
  </si>
  <si>
    <t>Bucket 5</t>
  </si>
  <si>
    <t>Bucket 6</t>
  </si>
  <si>
    <t>Bucket 7</t>
  </si>
  <si>
    <t>Bucket 8</t>
  </si>
  <si>
    <t>Bucket 9</t>
  </si>
  <si>
    <t>Bucket 10</t>
  </si>
  <si>
    <t>Bucket 11</t>
  </si>
  <si>
    <t>Bucket 12</t>
  </si>
  <si>
    <t>Bucket 13</t>
  </si>
  <si>
    <t>Bucket 14</t>
  </si>
  <si>
    <t>Bucket 15</t>
  </si>
  <si>
    <t>Bucket 16</t>
  </si>
  <si>
    <t>Bucket 17</t>
  </si>
  <si>
    <t>Bucket 18</t>
  </si>
  <si>
    <t>Bucket 19</t>
  </si>
  <si>
    <t>Bucket 20</t>
  </si>
  <si>
    <t>Fuel</t>
  </si>
  <si>
    <t>VOM</t>
  </si>
  <si>
    <t>SO2</t>
  </si>
  <si>
    <t>NOx</t>
  </si>
  <si>
    <t>Dispatch</t>
  </si>
  <si>
    <t>Cost</t>
  </si>
  <si>
    <t>Capacity</t>
  </si>
  <si>
    <t>Revenue</t>
  </si>
  <si>
    <t>NPV</t>
  </si>
  <si>
    <t>Unit</t>
  </si>
  <si>
    <t>ID</t>
  </si>
  <si>
    <t>Variable O&amp;M</t>
  </si>
  <si>
    <t>SO2 Costs</t>
  </si>
  <si>
    <t>NOx Costs</t>
  </si>
  <si>
    <t>Fixed O&amp;M</t>
  </si>
  <si>
    <t>Property Tax</t>
  </si>
  <si>
    <t>A&amp;G</t>
  </si>
  <si>
    <t>Depreciation</t>
  </si>
  <si>
    <t>Prod. Margin</t>
  </si>
  <si>
    <t>Cap Ads</t>
  </si>
  <si>
    <t>Env Cap Ads</t>
  </si>
  <si>
    <t>Variable</t>
  </si>
  <si>
    <t>O&amp;M</t>
  </si>
  <si>
    <t>Heat</t>
  </si>
  <si>
    <t>Rate</t>
  </si>
  <si>
    <t>Availability</t>
  </si>
  <si>
    <t>Annual</t>
  </si>
  <si>
    <t>Price</t>
  </si>
  <si>
    <t>Var. O&amp;M Escalation</t>
  </si>
  <si>
    <t>Fixed O&amp;M Schedule</t>
  </si>
  <si>
    <t>A&amp;G Schedule</t>
  </si>
  <si>
    <t>Property Tax Schedule</t>
  </si>
  <si>
    <t>Fixed</t>
  </si>
  <si>
    <t>Corporate Tax Rate</t>
  </si>
  <si>
    <t>Environmental Capital</t>
  </si>
  <si>
    <t>Conesville 4</t>
  </si>
  <si>
    <t>East Bend 2</t>
  </si>
  <si>
    <t>JM Stuart 1</t>
  </si>
  <si>
    <t>JM Stuart 2</t>
  </si>
  <si>
    <t>JM Stuart 3</t>
  </si>
  <si>
    <t>JM Stuart 4</t>
  </si>
  <si>
    <t>Killen 2</t>
  </si>
  <si>
    <t>Miami Fort 5</t>
  </si>
  <si>
    <t>Miami Fort 6</t>
  </si>
  <si>
    <t>Miami Fort 7</t>
  </si>
  <si>
    <t>Miami Fort 8</t>
  </si>
  <si>
    <t>WC Beckjord 1</t>
  </si>
  <si>
    <t>WC Beckjord 2</t>
  </si>
  <si>
    <t>WC Beckjord 4</t>
  </si>
  <si>
    <t>WC Beckjord 5</t>
  </si>
  <si>
    <t>WC Beckjord 3</t>
  </si>
  <si>
    <t>WC Beckjord 6</t>
  </si>
  <si>
    <t>WH Zimmer 1</t>
  </si>
  <si>
    <t>Dicks Creek 1</t>
  </si>
  <si>
    <t>Dicks Creek 3</t>
  </si>
  <si>
    <t>Dicks Creek 4&amp;5</t>
  </si>
  <si>
    <t>Beckjord CT1</t>
  </si>
  <si>
    <t>Beckjord CT2</t>
  </si>
  <si>
    <t>Beckjord CT3</t>
  </si>
  <si>
    <t>Beckjord CT4</t>
  </si>
  <si>
    <t>Woodsdale 1</t>
  </si>
  <si>
    <t>Woodsdale 2</t>
  </si>
  <si>
    <t>Woodsdale 3</t>
  </si>
  <si>
    <t>Woodsdale 4</t>
  </si>
  <si>
    <t>Woodsdale 5</t>
  </si>
  <si>
    <t>Woodsdale 6</t>
  </si>
  <si>
    <t>Miami Fort 3-6</t>
  </si>
  <si>
    <t>Type</t>
  </si>
  <si>
    <t>Unit(s)</t>
  </si>
  <si>
    <t>Value</t>
  </si>
  <si>
    <t>$/Kw</t>
  </si>
  <si>
    <t>Cap. Factor</t>
  </si>
  <si>
    <t>Var. O&amp;M</t>
  </si>
  <si>
    <t>Vaiable Costs ($/Mwh)</t>
  </si>
  <si>
    <t>Fixed Costs ($/Kw)</t>
  </si>
  <si>
    <t>PTax</t>
  </si>
  <si>
    <t>Env. Cap Ads</t>
  </si>
  <si>
    <t>Gen. (Mwh)</t>
  </si>
  <si>
    <t>Diagnostics</t>
  </si>
  <si>
    <t>Disc. Rt.</t>
  </si>
  <si>
    <t>Life</t>
  </si>
  <si>
    <t>Coal</t>
  </si>
  <si>
    <t>Oil</t>
  </si>
  <si>
    <t>Gas</t>
  </si>
  <si>
    <t>Seas = 1</t>
  </si>
  <si>
    <t>Ann = 2</t>
  </si>
  <si>
    <t>(Terminal)</t>
  </si>
  <si>
    <t>SO2 Rate</t>
  </si>
  <si>
    <t>NOx Rate</t>
  </si>
  <si>
    <t>Cinergy Unit Data</t>
  </si>
  <si>
    <t>Discount Rate</t>
  </si>
  <si>
    <t>Seas. Flag</t>
  </si>
  <si>
    <t>General Assumptions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</si>
  <si>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</si>
  <si>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</si>
  <si>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</si>
  <si>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</si>
  <si>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</si>
  <si>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</si>
  <si>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</si>
  <si>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</si>
  <si>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</si>
  <si>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</si>
  <si>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</si>
  <si>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</si>
  <si>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Seasonal Adjustment</t>
  </si>
  <si>
    <t>Diagnostic Sheet</t>
  </si>
  <si>
    <t>Pull Down Menu to Go To</t>
  </si>
  <si>
    <t>The Desired Unit(s)</t>
  </si>
  <si>
    <t>Generation Data</t>
  </si>
  <si>
    <t>Assumptions Sheet</t>
  </si>
  <si>
    <t>EA &amp; Fuel Pricing Assumptions</t>
  </si>
  <si>
    <t>Valuation Summary</t>
  </si>
  <si>
    <t>EPA Allowances</t>
  </si>
  <si>
    <t>Cinergy Total</t>
  </si>
  <si>
    <t>Total</t>
  </si>
  <si>
    <t>Fixed O&amp;M Escalation</t>
  </si>
  <si>
    <t>NPV (TV)</t>
  </si>
  <si>
    <t xml:space="preserve">Income Statement &amp; Diagnostic Worksheet </t>
  </si>
  <si>
    <t>Price Duration Curves</t>
  </si>
  <si>
    <t>Summer</t>
  </si>
  <si>
    <t>Winter</t>
  </si>
  <si>
    <t>Spr/Fall</t>
  </si>
  <si>
    <t>Availabilty</t>
  </si>
  <si>
    <t>Cap Ex</t>
  </si>
  <si>
    <t>Tax Depr. On Cap Ex</t>
  </si>
  <si>
    <t>Base Tax Dep.</t>
  </si>
  <si>
    <t>20 yr MACRS</t>
  </si>
  <si>
    <t>Env Cap Ex</t>
  </si>
  <si>
    <t>Acc. Depr.</t>
  </si>
  <si>
    <t>Tax Depr. On Env Cap Ex</t>
  </si>
  <si>
    <t>Cap Ex Depreciation</t>
  </si>
  <si>
    <t>Env Cap Ex Depreciation</t>
  </si>
  <si>
    <t>Normal Capital Expendtitures</t>
  </si>
  <si>
    <t>TV</t>
  </si>
  <si>
    <t>Deterministic Asset Valuation Model</t>
  </si>
  <si>
    <t>Environmental VOM</t>
  </si>
  <si>
    <t>Environmental FOM</t>
  </si>
  <si>
    <t>Reg.</t>
  </si>
  <si>
    <t>Env.</t>
  </si>
  <si>
    <t>Unit &gt;&gt;</t>
  </si>
  <si>
    <t>Environmental Data</t>
  </si>
  <si>
    <t>Duke</t>
  </si>
  <si>
    <t>Baseload</t>
  </si>
  <si>
    <t>Plant Type</t>
  </si>
  <si>
    <t>BL</t>
  </si>
  <si>
    <t>Plant</t>
  </si>
  <si>
    <t>Peak</t>
  </si>
  <si>
    <t>PPA Price</t>
  </si>
  <si>
    <t>(2000-2005)</t>
  </si>
  <si>
    <t>NPV ('00-'05)</t>
  </si>
  <si>
    <t>Monthly</t>
  </si>
  <si>
    <t xml:space="preserve">Yearly </t>
  </si>
  <si>
    <t>(2006-2019)</t>
  </si>
  <si>
    <t>PPA Value</t>
  </si>
  <si>
    <t>BaseLoad Total</t>
  </si>
  <si>
    <t>Peaker Total</t>
  </si>
  <si>
    <t>PPA Run %</t>
  </si>
  <si>
    <t>2nd-call Run %</t>
  </si>
  <si>
    <t>Year</t>
  </si>
  <si>
    <t>NPV ('06-'19)</t>
  </si>
  <si>
    <t>VMC</t>
  </si>
  <si>
    <t>All</t>
  </si>
  <si>
    <t>Net Margin</t>
  </si>
  <si>
    <t>Monthly Total</t>
  </si>
  <si>
    <t xml:space="preserve">Second Call </t>
  </si>
  <si>
    <t>First Call</t>
  </si>
  <si>
    <t>Expected Cap</t>
  </si>
  <si>
    <t>Spring</t>
  </si>
  <si>
    <t>Fall</t>
  </si>
  <si>
    <t>Yearly Avg. Avail.</t>
  </si>
  <si>
    <t>Leverage Level</t>
  </si>
  <si>
    <t>FMV of Assets/Borrowing</t>
  </si>
  <si>
    <t>Princ PMTS</t>
  </si>
  <si>
    <t>Interest Rate</t>
  </si>
  <si>
    <t>Beginning Balance</t>
  </si>
  <si>
    <t>Interest Payment</t>
  </si>
  <si>
    <t>Principal Payments</t>
  </si>
  <si>
    <t>Total Payments</t>
  </si>
  <si>
    <t>Ending Balance</t>
  </si>
  <si>
    <t>Tax Benefit of Interest</t>
  </si>
  <si>
    <t>Total Debt Payments (after-tax)</t>
  </si>
  <si>
    <t>Amortization Period Years</t>
  </si>
  <si>
    <t>Cash Flows Modified for Leverage</t>
  </si>
  <si>
    <t xml:space="preserve">Plus Leverage </t>
  </si>
  <si>
    <t>Interest Rate on Debt</t>
  </si>
  <si>
    <t>Leveraged Cash Flows</t>
  </si>
  <si>
    <t>Base Unit Tax Depreciation Schedule</t>
  </si>
  <si>
    <t>Base Unit Book Depreciation Schedule</t>
  </si>
  <si>
    <t>Capital Addition Book Life (Years)</t>
  </si>
  <si>
    <t>Cap Ex Book Depreciation</t>
  </si>
  <si>
    <t>Years</t>
  </si>
  <si>
    <t>Env Cap Ex Book Depreciation</t>
  </si>
  <si>
    <t>Environmental CapEX Book Depr</t>
  </si>
  <si>
    <t>Capacity  (Mw)</t>
  </si>
  <si>
    <t>Cap.</t>
  </si>
  <si>
    <t>Avg</t>
  </si>
  <si>
    <t>Average</t>
  </si>
  <si>
    <t>Total Tax Depreciation</t>
  </si>
  <si>
    <t>Unlevered</t>
  </si>
  <si>
    <t>Levered</t>
  </si>
  <si>
    <t>Operating Income</t>
  </si>
  <si>
    <t>Total Tax</t>
  </si>
  <si>
    <t>Net Income Calculation</t>
  </si>
  <si>
    <t>Net Cash Income Per Above</t>
  </si>
  <si>
    <t>Add Back:</t>
  </si>
  <si>
    <t>Income Taxes (Per Cash Flow)</t>
  </si>
  <si>
    <t>Tax Depreciation (Per Cash Flow)</t>
  </si>
  <si>
    <t>EBITDA</t>
  </si>
  <si>
    <t>Less:</t>
  </si>
  <si>
    <t>Book Depreciation</t>
  </si>
  <si>
    <t>Interest Expense</t>
  </si>
  <si>
    <t>Earnings Before Income Taxes</t>
  </si>
  <si>
    <t>Net Income - GAAP Basis</t>
  </si>
  <si>
    <t>Free Cash Flow</t>
  </si>
  <si>
    <t>Total Book Depr</t>
  </si>
  <si>
    <t>Book Depr. On Env Cap Ex</t>
  </si>
  <si>
    <t>Book Depr. On Cap Ex</t>
  </si>
  <si>
    <t>Income Taxes</t>
  </si>
  <si>
    <t>ORIGINAL</t>
  </si>
  <si>
    <t>ACCUMULATED</t>
  </si>
  <si>
    <t>NET</t>
  </si>
  <si>
    <t>ANNUAL</t>
  </si>
  <si>
    <t>COSTS</t>
  </si>
  <si>
    <t>PROVISION/AMORTIZATION  (1)</t>
  </si>
  <si>
    <t>PLANT</t>
  </si>
  <si>
    <t>BECKJORD 1-5</t>
  </si>
  <si>
    <t>BECKJORD 6</t>
  </si>
  <si>
    <t>BECKJORD GT</t>
  </si>
  <si>
    <t>BECKJORD GENERAL</t>
  </si>
  <si>
    <t>BECKJORD INTANGIBLE</t>
  </si>
  <si>
    <t>TOTAL BECKJORD</t>
  </si>
  <si>
    <t>MIAMI FORT 5-6</t>
  </si>
  <si>
    <t>MIAMI FORT 7</t>
  </si>
  <si>
    <t>MIAMI FORT 8</t>
  </si>
  <si>
    <t>MIAMI FORT GT</t>
  </si>
  <si>
    <t>MIAMI FORT GENERAL 5-6</t>
  </si>
  <si>
    <t>MIAMI FORT GENERAL 7</t>
  </si>
  <si>
    <t>MIAMI FORT GENERAL 8</t>
  </si>
  <si>
    <t>MIAMI FORT INTANGIBLE 5-6</t>
  </si>
  <si>
    <t>TOTAL MIAMI FORT</t>
  </si>
  <si>
    <t>DICKS CREEK</t>
  </si>
  <si>
    <t>STUART</t>
  </si>
  <si>
    <t>CONESVILLE</t>
  </si>
  <si>
    <t>EAST BEND</t>
  </si>
  <si>
    <t>KILLEN</t>
  </si>
  <si>
    <t>ZIMMER</t>
  </si>
  <si>
    <t>WOODSDALE</t>
  </si>
  <si>
    <t>TOTAL</t>
  </si>
  <si>
    <t>Original Costs, Accumulated Depreciation and Annual Depreciation of Step Up Transformers</t>
  </si>
  <si>
    <t xml:space="preserve"> @ 12/31/99</t>
  </si>
  <si>
    <t>Beckjord Unit 6</t>
  </si>
  <si>
    <t>Beckjord GT</t>
  </si>
  <si>
    <t>Beckjord Substation</t>
  </si>
  <si>
    <t>Beckjord Station</t>
  </si>
  <si>
    <t>Miami Fort Units 7&amp;8</t>
  </si>
  <si>
    <t>Miami Fort GT</t>
  </si>
  <si>
    <t>Miami Fort Substation</t>
  </si>
  <si>
    <t>Miami Fort - Front Street</t>
  </si>
  <si>
    <t>Miami Fort Station</t>
  </si>
  <si>
    <t>Dicks Creek Substation</t>
  </si>
  <si>
    <t>Stuart Substation</t>
  </si>
  <si>
    <t>Conesville Substation</t>
  </si>
  <si>
    <t>East Bend Substation</t>
  </si>
  <si>
    <t>Zimmer Substation</t>
  </si>
  <si>
    <t>Woodsdale Substation</t>
  </si>
  <si>
    <t xml:space="preserve">Total </t>
  </si>
  <si>
    <t>Grand Total Plant Summary Recap - Projected 2000 Based on Additions Through 1999</t>
  </si>
  <si>
    <t>Beckjord</t>
  </si>
  <si>
    <t>Miami Fort</t>
  </si>
  <si>
    <t>Incremental Increase In 2000 Depreciation PER ECBU Budget Due to 2000 Additions:</t>
  </si>
  <si>
    <t>Depreciation Years</t>
  </si>
  <si>
    <t>Depreciation per 2000 Budget With 2000 Additions:</t>
  </si>
  <si>
    <t>Income Tax</t>
  </si>
  <si>
    <t>2nd Call</t>
  </si>
  <si>
    <t>PPA</t>
  </si>
  <si>
    <t>Yearly</t>
  </si>
  <si>
    <t>SCR</t>
  </si>
  <si>
    <t>OPT/SCR</t>
  </si>
  <si>
    <t>SNCR/LNB</t>
  </si>
  <si>
    <t>OPT</t>
  </si>
  <si>
    <t>OPT/LNB</t>
  </si>
  <si>
    <t xml:space="preserve">       NOx Plan</t>
  </si>
  <si>
    <t>Red.</t>
  </si>
  <si>
    <t xml:space="preserve"> </t>
  </si>
  <si>
    <t xml:space="preserve">DEPR/AMORT </t>
  </si>
  <si>
    <t>Allocated EPA Allowances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</si>
</sst>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0.0"/>
    <numFmt numFmtId="167" formatCode="0.000"/>
    <numFmt numFmtId="168" formatCode="#,##0.0"/>
    <numFmt numFmtId="169" formatCode="_(* #,##0_);_(* \(#,##0\);_(* &quot;-&quot;??_);_(@_)"/>
    <numFmt numFmtId="170" formatCode="0.0%"/>
    <numFmt numFmtId="171" formatCode="_(* #,##0.000_);_(* \(#,##0.000\);_(* &quot;-&quot;??_);_(@_)"/>
    <numFmt numFmtId="172" formatCode="_(* #,##0.0_);_(* \(#,##0.0\);_(* &quot;-&quot;??_);_(@_)"/>
    <numFmt numFmtId="174" formatCode="#,##0.0_);[Red]\(#,##0.0\)"/>
    <numFmt numFmtId="177" formatCode="0.000000"/>
    <numFmt numFmtId="179" formatCode="_(&quot;$&quot;* #,##0.0_);_(&quot;$&quot;* \(#,##0.0\);_(&quot;$&quot;* &quot;-&quot;??_);_(@_)"/>
    <numFmt numFmtId="180" formatCode="0.00_);[Red]\(0.00\)"/>
    <numFmt numFmtId="181" formatCode="_(* #,##0.00_);[Red]_(* \(#,##0.00\);_(* &quot;-&quot;??_);_(@_)"/>
    <numFmt numFmtId="183" formatCode="_(&quot;$&quot;* #,##0_);_(&quot;$&quot;* \(#,##0\);_(&quot;$&quot;* &quot;-&quot;??_);_(@_)"/>
    <numFmt numFmtId="189" formatCode="_(* #,##0.00000_);_(* \(#,##0.00000\);_(* &quot;-&quot;??_);_(@_)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b/>
      <u/>
      <sz val="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8"/>
      <name val="Arial"/>
      <family val="2"/>
    </font>
    <font>
      <sz val="10"/>
      <color indexed="22"/>
      <name val="Arial"/>
      <family val="2"/>
    </font>
    <font>
      <b/>
      <sz val="18"/>
      <name val="Arial"/>
      <family val="2"/>
    </font>
    <font>
      <b/>
      <sz val="12"/>
      <color indexed="12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/>
      <right style="thin">
        <color indexed="12"/>
      </right>
      <top/>
      <bottom style="thin">
        <color indexed="64"/>
      </bottom>
      <diagonal/>
    </border>
    <border>
      <left style="thin">
        <color indexed="12"/>
      </left>
      <right style="thin">
        <color indexed="12"/>
      </right>
      <top/>
      <bottom style="thin">
        <color indexed="64"/>
      </bottom>
      <diagonal/>
    </border>
    <border>
      <left/>
      <right style="thin">
        <color indexed="12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77" fontId="1" fillId="0" borderId="0">
      <alignment horizontal="left" wrapText="1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7" fontId="1" fillId="0" borderId="0">
      <alignment horizontal="left" wrapText="1"/>
    </xf>
    <xf numFmtId="9" fontId="1" fillId="0" borderId="0" applyFont="0" applyFill="0" applyBorder="0" applyAlignment="0" applyProtection="0"/>
  </cellStyleXfs>
  <cellXfs count="483">
    <xf numFmtId="0" fontId="0" fillId="0" borderId="0" xfId="0"/>
    <xf numFmtId="17" fontId="3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169" fontId="2" fillId="0" borderId="0" xfId="2" applyNumberFormat="1" applyFont="1"/>
    <xf numFmtId="169" fontId="2" fillId="0" borderId="0" xfId="2" applyNumberFormat="1" applyFont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4" fontId="2" fillId="0" borderId="0" xfId="0" applyNumberFormat="1" applyFont="1"/>
    <xf numFmtId="10" fontId="0" fillId="0" borderId="0" xfId="5" applyNumberFormat="1" applyFont="1"/>
    <xf numFmtId="2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65" fontId="2" fillId="0" borderId="0" xfId="0" applyNumberFormat="1" applyFont="1"/>
    <xf numFmtId="2" fontId="3" fillId="0" borderId="0" xfId="0" applyNumberFormat="1" applyFont="1" applyAlignment="1">
      <alignment horizontal="center"/>
    </xf>
    <xf numFmtId="0" fontId="3" fillId="0" borderId="0" xfId="0" applyFont="1"/>
    <xf numFmtId="170" fontId="2" fillId="0" borderId="0" xfId="0" applyNumberFormat="1" applyFont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38" fontId="2" fillId="0" borderId="2" xfId="0" applyNumberFormat="1" applyFont="1" applyFill="1" applyBorder="1"/>
    <xf numFmtId="0" fontId="6" fillId="0" borderId="0" xfId="0" applyFont="1" applyAlignment="1">
      <alignment horizontal="center"/>
    </xf>
    <xf numFmtId="0" fontId="2" fillId="0" borderId="0" xfId="0" quotePrefix="1" applyFont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6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quotePrefix="1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3" fillId="0" borderId="12" xfId="0" applyFont="1" applyBorder="1" applyAlignment="1">
      <alignment horizontal="center"/>
    </xf>
    <xf numFmtId="0" fontId="0" fillId="0" borderId="5" xfId="0" applyBorder="1"/>
    <xf numFmtId="0" fontId="4" fillId="0" borderId="0" xfId="0" applyFont="1" applyBorder="1"/>
    <xf numFmtId="0" fontId="4" fillId="0" borderId="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8" fontId="6" fillId="0" borderId="2" xfId="0" applyNumberFormat="1" applyFont="1" applyBorder="1"/>
    <xf numFmtId="0" fontId="7" fillId="0" borderId="2" xfId="0" applyFont="1" applyBorder="1"/>
    <xf numFmtId="2" fontId="6" fillId="0" borderId="2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8" fontId="6" fillId="0" borderId="17" xfId="0" applyNumberFormat="1" applyFont="1" applyBorder="1"/>
    <xf numFmtId="0" fontId="6" fillId="0" borderId="17" xfId="0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7" fontId="6" fillId="0" borderId="16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67" fontId="6" fillId="0" borderId="18" xfId="0" applyNumberFormat="1" applyFont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38" fontId="2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quotePrefix="1" applyFont="1" applyFill="1" applyBorder="1" applyAlignment="1">
      <alignment horizontal="center"/>
    </xf>
    <xf numFmtId="0" fontId="0" fillId="0" borderId="2" xfId="0" applyFill="1" applyBorder="1"/>
    <xf numFmtId="167" fontId="2" fillId="0" borderId="0" xfId="0" applyNumberFormat="1" applyFont="1" applyAlignment="1">
      <alignment horizontal="center"/>
    </xf>
    <xf numFmtId="168" fontId="6" fillId="0" borderId="19" xfId="0" applyNumberFormat="1" applyFont="1" applyBorder="1"/>
    <xf numFmtId="168" fontId="6" fillId="0" borderId="20" xfId="0" applyNumberFormat="1" applyFont="1" applyBorder="1"/>
    <xf numFmtId="0" fontId="0" fillId="0" borderId="0" xfId="0" quotePrefix="1"/>
    <xf numFmtId="0" fontId="4" fillId="0" borderId="0" xfId="0" quotePrefix="1" applyFont="1"/>
    <xf numFmtId="172" fontId="2" fillId="0" borderId="0" xfId="2" applyNumberFormat="1" applyFont="1"/>
    <xf numFmtId="170" fontId="2" fillId="0" borderId="0" xfId="5" applyNumberFormat="1" applyFont="1" applyAlignment="1">
      <alignment horizontal="center"/>
    </xf>
    <xf numFmtId="0" fontId="0" fillId="0" borderId="21" xfId="0" applyBorder="1"/>
    <xf numFmtId="0" fontId="8" fillId="0" borderId="0" xfId="0" applyFont="1"/>
    <xf numFmtId="168" fontId="2" fillId="0" borderId="0" xfId="0" applyNumberFormat="1" applyFont="1"/>
    <xf numFmtId="3" fontId="2" fillId="0" borderId="0" xfId="0" applyNumberFormat="1" applyFont="1" applyFill="1" applyBorder="1"/>
    <xf numFmtId="0" fontId="4" fillId="2" borderId="22" xfId="0" applyFont="1" applyFill="1" applyBorder="1" applyAlignment="1">
      <alignment horizontal="left"/>
    </xf>
    <xf numFmtId="0" fontId="0" fillId="2" borderId="23" xfId="0" applyFill="1" applyBorder="1"/>
    <xf numFmtId="0" fontId="0" fillId="2" borderId="24" xfId="0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24" xfId="0" applyFill="1" applyBorder="1"/>
    <xf numFmtId="0" fontId="3" fillId="3" borderId="25" xfId="0" applyFont="1" applyFill="1" applyBorder="1" applyAlignment="1">
      <alignment horizontal="center"/>
    </xf>
    <xf numFmtId="0" fontId="9" fillId="0" borderId="0" xfId="0" applyFont="1" applyFill="1" applyBorder="1"/>
    <xf numFmtId="0" fontId="7" fillId="0" borderId="1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8" fontId="2" fillId="0" borderId="26" xfId="0" applyNumberFormat="1" applyFont="1" applyFill="1" applyBorder="1"/>
    <xf numFmtId="174" fontId="2" fillId="0" borderId="16" xfId="0" applyNumberFormat="1" applyFont="1" applyFill="1" applyBorder="1"/>
    <xf numFmtId="0" fontId="0" fillId="2" borderId="20" xfId="0" applyFill="1" applyBorder="1" applyAlignment="1">
      <alignment horizontal="center"/>
    </xf>
    <xf numFmtId="0" fontId="0" fillId="2" borderId="17" xfId="0" applyFill="1" applyBorder="1"/>
    <xf numFmtId="38" fontId="2" fillId="2" borderId="17" xfId="0" applyNumberFormat="1" applyFont="1" applyFill="1" applyBorder="1" applyAlignment="1">
      <alignment horizontal="center"/>
    </xf>
    <xf numFmtId="38" fontId="2" fillId="2" borderId="17" xfId="0" applyNumberFormat="1" applyFont="1" applyFill="1" applyBorder="1" applyAlignment="1"/>
    <xf numFmtId="38" fontId="2" fillId="2" borderId="17" xfId="0" applyNumberFormat="1" applyFont="1" applyFill="1" applyBorder="1"/>
    <xf numFmtId="174" fontId="2" fillId="2" borderId="18" xfId="0" applyNumberFormat="1" applyFont="1" applyFill="1" applyBorder="1"/>
    <xf numFmtId="180" fontId="0" fillId="0" borderId="0" xfId="0" applyNumberFormat="1"/>
    <xf numFmtId="180" fontId="3" fillId="0" borderId="0" xfId="0" applyNumberFormat="1" applyFont="1" applyAlignment="1">
      <alignment horizontal="center"/>
    </xf>
    <xf numFmtId="40" fontId="0" fillId="0" borderId="0" xfId="0" applyNumberFormat="1"/>
    <xf numFmtId="40" fontId="3" fillId="0" borderId="0" xfId="0" applyNumberFormat="1" applyFont="1" applyAlignment="1">
      <alignment horizontal="center"/>
    </xf>
    <xf numFmtId="4" fontId="0" fillId="0" borderId="0" xfId="0" applyNumberFormat="1"/>
    <xf numFmtId="4" fontId="2" fillId="0" borderId="0" xfId="0" applyNumberFormat="1" applyFont="1" applyAlignment="1">
      <alignment horizontal="left"/>
    </xf>
    <xf numFmtId="40" fontId="4" fillId="0" borderId="0" xfId="0" applyNumberFormat="1" applyFont="1"/>
    <xf numFmtId="0" fontId="2" fillId="0" borderId="0" xfId="0" applyNumberFormat="1" applyFont="1"/>
    <xf numFmtId="0" fontId="3" fillId="4" borderId="1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0" fillId="4" borderId="24" xfId="0" applyFill="1" applyBorder="1"/>
    <xf numFmtId="0" fontId="3" fillId="4" borderId="10" xfId="0" quotePrefix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10" fillId="4" borderId="19" xfId="0" applyFont="1" applyFill="1" applyBorder="1"/>
    <xf numFmtId="2" fontId="10" fillId="4" borderId="2" xfId="0" applyNumberFormat="1" applyFont="1" applyFill="1" applyBorder="1"/>
    <xf numFmtId="3" fontId="10" fillId="4" borderId="2" xfId="0" applyNumberFormat="1" applyFont="1" applyFill="1" applyBorder="1"/>
    <xf numFmtId="170" fontId="10" fillId="4" borderId="2" xfId="5" applyNumberFormat="1" applyFont="1" applyFill="1" applyBorder="1"/>
    <xf numFmtId="0" fontId="10" fillId="4" borderId="2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165" fontId="10" fillId="4" borderId="19" xfId="0" applyNumberFormat="1" applyFont="1" applyFill="1" applyBorder="1"/>
    <xf numFmtId="0" fontId="10" fillId="4" borderId="20" xfId="0" applyFont="1" applyFill="1" applyBorder="1"/>
    <xf numFmtId="2" fontId="10" fillId="4" borderId="17" xfId="0" applyNumberFormat="1" applyFont="1" applyFill="1" applyBorder="1"/>
    <xf numFmtId="3" fontId="10" fillId="4" borderId="17" xfId="0" applyNumberFormat="1" applyFont="1" applyFill="1" applyBorder="1"/>
    <xf numFmtId="170" fontId="10" fillId="4" borderId="17" xfId="5" applyNumberFormat="1" applyFont="1" applyFill="1" applyBorder="1"/>
    <xf numFmtId="0" fontId="10" fillId="4" borderId="17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7" fillId="0" borderId="0" xfId="0" applyFont="1" applyFill="1"/>
    <xf numFmtId="0" fontId="7" fillId="0" borderId="0" xfId="0" applyFont="1"/>
    <xf numFmtId="0" fontId="11" fillId="0" borderId="0" xfId="0" applyFont="1" applyFill="1"/>
    <xf numFmtId="169" fontId="2" fillId="0" borderId="27" xfId="2" applyNumberFormat="1" applyFont="1" applyBorder="1"/>
    <xf numFmtId="169" fontId="2" fillId="0" borderId="2" xfId="2" applyNumberFormat="1" applyFont="1" applyBorder="1"/>
    <xf numFmtId="179" fontId="0" fillId="0" borderId="27" xfId="3" applyNumberFormat="1" applyFont="1" applyBorder="1"/>
    <xf numFmtId="179" fontId="0" fillId="0" borderId="2" xfId="3" applyNumberFormat="1" applyFont="1" applyBorder="1"/>
    <xf numFmtId="179" fontId="0" fillId="0" borderId="28" xfId="3" applyNumberFormat="1" applyFont="1" applyBorder="1"/>
    <xf numFmtId="179" fontId="0" fillId="0" borderId="29" xfId="3" applyNumberFormat="1" applyFont="1" applyBorder="1"/>
    <xf numFmtId="0" fontId="0" fillId="0" borderId="29" xfId="0" applyBorder="1"/>
    <xf numFmtId="3" fontId="2" fillId="0" borderId="30" xfId="3" applyNumberFormat="1" applyFont="1" applyBorder="1"/>
    <xf numFmtId="3" fontId="2" fillId="0" borderId="31" xfId="3" applyNumberFormat="1" applyFont="1" applyBorder="1"/>
    <xf numFmtId="3" fontId="2" fillId="0" borderId="32" xfId="3" applyNumberFormat="1" applyFont="1" applyBorder="1"/>
    <xf numFmtId="10" fontId="10" fillId="0" borderId="27" xfId="5" applyNumberFormat="1" applyFont="1" applyBorder="1" applyAlignment="1">
      <alignment horizontal="center"/>
    </xf>
    <xf numFmtId="10" fontId="10" fillId="0" borderId="2" xfId="5" applyNumberFormat="1" applyFont="1" applyBorder="1" applyAlignment="1">
      <alignment horizontal="center"/>
    </xf>
    <xf numFmtId="0" fontId="9" fillId="4" borderId="11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9" fillId="4" borderId="5" xfId="0" applyFont="1" applyFill="1" applyBorder="1"/>
    <xf numFmtId="0" fontId="9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9" fillId="4" borderId="6" xfId="0" applyFont="1" applyFill="1" applyBorder="1"/>
    <xf numFmtId="0" fontId="9" fillId="4" borderId="7" xfId="0" applyFont="1" applyFill="1" applyBorder="1"/>
    <xf numFmtId="0" fontId="9" fillId="4" borderId="8" xfId="0" applyFont="1" applyFill="1" applyBorder="1"/>
    <xf numFmtId="0" fontId="9" fillId="4" borderId="12" xfId="0" applyFont="1" applyFill="1" applyBorder="1"/>
    <xf numFmtId="0" fontId="12" fillId="4" borderId="8" xfId="0" applyFont="1" applyFill="1" applyBorder="1"/>
    <xf numFmtId="172" fontId="9" fillId="4" borderId="21" xfId="0" applyNumberFormat="1" applyFont="1" applyFill="1" applyBorder="1"/>
    <xf numFmtId="172" fontId="10" fillId="4" borderId="33" xfId="0" applyNumberFormat="1" applyFont="1" applyFill="1" applyBorder="1"/>
    <xf numFmtId="172" fontId="9" fillId="4" borderId="33" xfId="0" applyNumberFormat="1" applyFont="1" applyFill="1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5" xfId="0" applyFont="1" applyBorder="1"/>
    <xf numFmtId="0" fontId="0" fillId="0" borderId="34" xfId="0" applyBorder="1"/>
    <xf numFmtId="0" fontId="0" fillId="0" borderId="35" xfId="0" applyBorder="1"/>
    <xf numFmtId="172" fontId="2" fillId="4" borderId="36" xfId="0" applyNumberFormat="1" applyFont="1" applyFill="1" applyBorder="1" applyAlignment="1">
      <alignment horizontal="center"/>
    </xf>
    <xf numFmtId="172" fontId="2" fillId="4" borderId="37" xfId="0" applyNumberFormat="1" applyFont="1" applyFill="1" applyBorder="1" applyAlignment="1">
      <alignment horizontal="center"/>
    </xf>
    <xf numFmtId="172" fontId="2" fillId="4" borderId="37" xfId="0" applyNumberFormat="1" applyFont="1" applyFill="1" applyBorder="1"/>
    <xf numFmtId="172" fontId="2" fillId="4" borderId="38" xfId="0" applyNumberFormat="1" applyFont="1" applyFill="1" applyBorder="1" applyAlignment="1">
      <alignment horizontal="center"/>
    </xf>
    <xf numFmtId="172" fontId="2" fillId="4" borderId="39" xfId="0" applyNumberFormat="1" applyFont="1" applyFill="1" applyBorder="1" applyAlignment="1">
      <alignment horizontal="center"/>
    </xf>
    <xf numFmtId="172" fontId="2" fillId="4" borderId="39" xfId="0" applyNumberFormat="1" applyFont="1" applyFill="1" applyBorder="1"/>
    <xf numFmtId="0" fontId="3" fillId="0" borderId="40" xfId="0" applyFont="1" applyFill="1" applyBorder="1" applyAlignment="1">
      <alignment horizontal="center"/>
    </xf>
    <xf numFmtId="43" fontId="2" fillId="4" borderId="36" xfId="0" applyNumberFormat="1" applyFont="1" applyFill="1" applyBorder="1"/>
    <xf numFmtId="43" fontId="2" fillId="4" borderId="37" xfId="0" applyNumberFormat="1" applyFont="1" applyFill="1" applyBorder="1"/>
    <xf numFmtId="43" fontId="2" fillId="4" borderId="38" xfId="0" applyNumberFormat="1" applyFont="1" applyFill="1" applyBorder="1"/>
    <xf numFmtId="43" fontId="2" fillId="4" borderId="39" xfId="0" applyNumberFormat="1" applyFont="1" applyFill="1" applyBorder="1"/>
    <xf numFmtId="17" fontId="3" fillId="0" borderId="21" xfId="0" applyNumberFormat="1" applyFont="1" applyBorder="1"/>
    <xf numFmtId="164" fontId="10" fillId="4" borderId="28" xfId="3" applyNumberFormat="1" applyFont="1" applyFill="1" applyBorder="1"/>
    <xf numFmtId="0" fontId="0" fillId="0" borderId="33" xfId="0" applyFill="1" applyBorder="1"/>
    <xf numFmtId="0" fontId="0" fillId="0" borderId="33" xfId="0" applyBorder="1"/>
    <xf numFmtId="171" fontId="10" fillId="4" borderId="28" xfId="0" applyNumberFormat="1" applyFont="1" applyFill="1" applyBorder="1"/>
    <xf numFmtId="171" fontId="10" fillId="4" borderId="41" xfId="0" applyNumberFormat="1" applyFont="1" applyFill="1" applyBorder="1"/>
    <xf numFmtId="171" fontId="10" fillId="4" borderId="42" xfId="0" applyNumberFormat="1" applyFont="1" applyFill="1" applyBorder="1"/>
    <xf numFmtId="3" fontId="2" fillId="0" borderId="23" xfId="0" applyNumberFormat="1" applyFont="1" applyBorder="1" applyAlignment="1">
      <alignment horizontal="center"/>
    </xf>
    <xf numFmtId="0" fontId="0" fillId="0" borderId="23" xfId="0" applyBorder="1"/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3" fontId="2" fillId="4" borderId="43" xfId="0" applyNumberFormat="1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3" fontId="2" fillId="4" borderId="6" xfId="0" applyNumberFormat="1" applyFont="1" applyFill="1" applyBorder="1" applyAlignment="1">
      <alignment horizontal="center"/>
    </xf>
    <xf numFmtId="3" fontId="2" fillId="4" borderId="9" xfId="0" applyNumberFormat="1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2" fillId="4" borderId="44" xfId="0" applyNumberFormat="1" applyFont="1" applyFill="1" applyBorder="1" applyAlignment="1">
      <alignment horizontal="center"/>
    </xf>
    <xf numFmtId="39" fontId="10" fillId="4" borderId="28" xfId="3" applyNumberFormat="1" applyFont="1" applyFill="1" applyBorder="1"/>
    <xf numFmtId="10" fontId="3" fillId="0" borderId="0" xfId="0" applyNumberFormat="1" applyFont="1"/>
    <xf numFmtId="0" fontId="0" fillId="0" borderId="45" xfId="0" applyBorder="1"/>
    <xf numFmtId="0" fontId="4" fillId="0" borderId="45" xfId="0" applyFont="1" applyBorder="1"/>
    <xf numFmtId="9" fontId="3" fillId="0" borderId="0" xfId="5" applyFont="1" applyAlignment="1">
      <alignment horizontal="center"/>
    </xf>
    <xf numFmtId="181" fontId="0" fillId="4" borderId="37" xfId="0" applyNumberFormat="1" applyFill="1" applyBorder="1"/>
    <xf numFmtId="181" fontId="2" fillId="4" borderId="37" xfId="0" applyNumberFormat="1" applyFont="1" applyFill="1" applyBorder="1"/>
    <xf numFmtId="181" fontId="0" fillId="4" borderId="39" xfId="0" applyNumberFormat="1" applyFill="1" applyBorder="1"/>
    <xf numFmtId="181" fontId="2" fillId="4" borderId="39" xfId="0" applyNumberFormat="1" applyFont="1" applyFill="1" applyBorder="1"/>
    <xf numFmtId="181" fontId="4" fillId="4" borderId="37" xfId="0" applyNumberFormat="1" applyFont="1" applyFill="1" applyBorder="1"/>
    <xf numFmtId="181" fontId="4" fillId="4" borderId="39" xfId="0" applyNumberFormat="1" applyFont="1" applyFill="1" applyBorder="1"/>
    <xf numFmtId="181" fontId="3" fillId="4" borderId="39" xfId="0" applyNumberFormat="1" applyFont="1" applyFill="1" applyBorder="1"/>
    <xf numFmtId="180" fontId="4" fillId="0" borderId="0" xfId="0" applyNumberFormat="1" applyFont="1"/>
    <xf numFmtId="0" fontId="14" fillId="0" borderId="0" xfId="0" applyFont="1" applyBorder="1"/>
    <xf numFmtId="3" fontId="10" fillId="4" borderId="28" xfId="0" applyNumberFormat="1" applyFont="1" applyFill="1" applyBorder="1"/>
    <xf numFmtId="3" fontId="10" fillId="4" borderId="29" xfId="0" applyNumberFormat="1" applyFont="1" applyFill="1" applyBorder="1"/>
    <xf numFmtId="3" fontId="10" fillId="4" borderId="42" xfId="0" applyNumberFormat="1" applyFont="1" applyFill="1" applyBorder="1"/>
    <xf numFmtId="3" fontId="10" fillId="4" borderId="46" xfId="0" applyNumberFormat="1" applyFont="1" applyFill="1" applyBorder="1"/>
    <xf numFmtId="3" fontId="10" fillId="4" borderId="32" xfId="0" applyNumberFormat="1" applyFont="1" applyFill="1" applyBorder="1"/>
    <xf numFmtId="0" fontId="0" fillId="0" borderId="45" xfId="0" applyFill="1" applyBorder="1"/>
    <xf numFmtId="43" fontId="2" fillId="0" borderId="47" xfId="2" applyFont="1" applyBorder="1"/>
    <xf numFmtId="41" fontId="10" fillId="4" borderId="28" xfId="0" applyNumberFormat="1" applyFont="1" applyFill="1" applyBorder="1"/>
    <xf numFmtId="41" fontId="10" fillId="4" borderId="29" xfId="0" applyNumberFormat="1" applyFont="1" applyFill="1" applyBorder="1"/>
    <xf numFmtId="41" fontId="10" fillId="4" borderId="41" xfId="0" applyNumberFormat="1" applyFont="1" applyFill="1" applyBorder="1"/>
    <xf numFmtId="41" fontId="10" fillId="4" borderId="42" xfId="0" applyNumberFormat="1" applyFont="1" applyFill="1" applyBorder="1"/>
    <xf numFmtId="41" fontId="10" fillId="4" borderId="46" xfId="0" applyNumberFormat="1" applyFont="1" applyFill="1" applyBorder="1"/>
    <xf numFmtId="41" fontId="10" fillId="4" borderId="32" xfId="0" applyNumberFormat="1" applyFont="1" applyFill="1" applyBorder="1"/>
    <xf numFmtId="41" fontId="2" fillId="0" borderId="0" xfId="0" applyNumberFormat="1" applyFont="1"/>
    <xf numFmtId="3" fontId="10" fillId="4" borderId="46" xfId="4" applyNumberFormat="1" applyFont="1" applyFill="1" applyBorder="1" applyAlignment="1"/>
    <xf numFmtId="3" fontId="10" fillId="4" borderId="32" xfId="4" applyNumberFormat="1" applyFont="1" applyFill="1" applyBorder="1" applyAlignment="1"/>
    <xf numFmtId="170" fontId="0" fillId="0" borderId="0" xfId="0" applyNumberFormat="1"/>
    <xf numFmtId="0" fontId="15" fillId="0" borderId="0" xfId="0" applyFont="1"/>
    <xf numFmtId="10" fontId="6" fillId="0" borderId="0" xfId="5" applyNumberFormat="1" applyFont="1"/>
    <xf numFmtId="0" fontId="3" fillId="0" borderId="45" xfId="0" applyFont="1" applyBorder="1"/>
    <xf numFmtId="10" fontId="6" fillId="0" borderId="45" xfId="0" applyNumberFormat="1" applyFont="1" applyBorder="1"/>
    <xf numFmtId="43" fontId="0" fillId="0" borderId="0" xfId="0" applyNumberFormat="1"/>
    <xf numFmtId="169" fontId="5" fillId="0" borderId="0" xfId="2" applyNumberFormat="1" applyFont="1" applyFill="1" applyAlignment="1">
      <alignment horizontal="left"/>
    </xf>
    <xf numFmtId="167" fontId="6" fillId="0" borderId="2" xfId="0" applyNumberFormat="1" applyFont="1" applyBorder="1" applyAlignment="1">
      <alignment horizontal="center"/>
    </xf>
    <xf numFmtId="167" fontId="6" fillId="0" borderId="17" xfId="0" applyNumberFormat="1" applyFont="1" applyBorder="1" applyAlignment="1">
      <alignment horizontal="center"/>
    </xf>
    <xf numFmtId="41" fontId="10" fillId="4" borderId="28" xfId="3" applyNumberFormat="1" applyFont="1" applyFill="1" applyBorder="1"/>
    <xf numFmtId="172" fontId="2" fillId="5" borderId="36" xfId="0" applyNumberFormat="1" applyFont="1" applyFill="1" applyBorder="1" applyAlignment="1">
      <alignment horizontal="center"/>
    </xf>
    <xf numFmtId="43" fontId="2" fillId="5" borderId="36" xfId="0" applyNumberFormat="1" applyFont="1" applyFill="1" applyBorder="1"/>
    <xf numFmtId="181" fontId="4" fillId="5" borderId="37" xfId="0" applyNumberFormat="1" applyFont="1" applyFill="1" applyBorder="1"/>
    <xf numFmtId="9" fontId="10" fillId="0" borderId="0" xfId="5" applyFont="1" applyFill="1"/>
    <xf numFmtId="0" fontId="3" fillId="4" borderId="21" xfId="0" applyFont="1" applyFill="1" applyBorder="1"/>
    <xf numFmtId="0" fontId="3" fillId="4" borderId="33" xfId="0" applyFont="1" applyFill="1" applyBorder="1"/>
    <xf numFmtId="10" fontId="6" fillId="4" borderId="29" xfId="5" applyNumberFormat="1" applyFont="1" applyFill="1" applyBorder="1" applyAlignment="1">
      <alignment horizontal="center"/>
    </xf>
    <xf numFmtId="10" fontId="6" fillId="4" borderId="42" xfId="5" applyNumberFormat="1" applyFont="1" applyFill="1" applyBorder="1" applyAlignment="1">
      <alignment horizontal="center"/>
    </xf>
    <xf numFmtId="170" fontId="6" fillId="4" borderId="42" xfId="5" applyNumberFormat="1" applyFont="1" applyFill="1" applyBorder="1" applyAlignment="1">
      <alignment horizontal="center"/>
    </xf>
    <xf numFmtId="0" fontId="6" fillId="4" borderId="42" xfId="0" applyFont="1" applyFill="1" applyBorder="1" applyAlignment="1">
      <alignment horizontal="center"/>
    </xf>
    <xf numFmtId="40" fontId="2" fillId="0" borderId="31" xfId="2" applyNumberFormat="1" applyFont="1" applyFill="1" applyBorder="1"/>
    <xf numFmtId="169" fontId="2" fillId="0" borderId="30" xfId="2" applyNumberFormat="1" applyFont="1" applyBorder="1"/>
    <xf numFmtId="0" fontId="10" fillId="4" borderId="27" xfId="0" applyFont="1" applyFill="1" applyBorder="1"/>
    <xf numFmtId="165" fontId="10" fillId="4" borderId="27" xfId="0" applyNumberFormat="1" applyFont="1" applyFill="1" applyBorder="1"/>
    <xf numFmtId="0" fontId="10" fillId="4" borderId="48" xfId="0" applyFont="1" applyFill="1" applyBorder="1"/>
    <xf numFmtId="0" fontId="3" fillId="4" borderId="4" xfId="0" applyFont="1" applyFill="1" applyBorder="1" applyAlignment="1">
      <alignment horizontal="center"/>
    </xf>
    <xf numFmtId="172" fontId="2" fillId="0" borderId="8" xfId="2" applyNumberFormat="1" applyFont="1" applyBorder="1"/>
    <xf numFmtId="41" fontId="10" fillId="4" borderId="30" xfId="0" applyNumberFormat="1" applyFont="1" applyFill="1" applyBorder="1"/>
    <xf numFmtId="40" fontId="2" fillId="0" borderId="30" xfId="2" applyNumberFormat="1" applyFont="1" applyFill="1" applyBorder="1"/>
    <xf numFmtId="169" fontId="2" fillId="0" borderId="29" xfId="2" applyNumberFormat="1" applyFont="1" applyBorder="1"/>
    <xf numFmtId="0" fontId="4" fillId="6" borderId="0" xfId="0" applyFont="1" applyFill="1"/>
    <xf numFmtId="3" fontId="4" fillId="6" borderId="0" xfId="0" applyNumberFormat="1" applyFont="1" applyFill="1"/>
    <xf numFmtId="0" fontId="4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/>
    <xf numFmtId="169" fontId="4" fillId="5" borderId="0" xfId="0" applyNumberFormat="1" applyFont="1" applyFill="1"/>
    <xf numFmtId="0" fontId="3" fillId="5" borderId="0" xfId="0" applyFont="1" applyFill="1"/>
    <xf numFmtId="0" fontId="2" fillId="5" borderId="0" xfId="0" applyFont="1" applyFill="1" applyAlignment="1">
      <alignment horizontal="left"/>
    </xf>
    <xf numFmtId="0" fontId="4" fillId="5" borderId="27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5" borderId="27" xfId="0" applyFill="1" applyBorder="1"/>
    <xf numFmtId="0" fontId="0" fillId="5" borderId="2" xfId="0" applyFill="1" applyBorder="1"/>
    <xf numFmtId="41" fontId="2" fillId="5" borderId="27" xfId="2" applyNumberFormat="1" applyFont="1" applyFill="1" applyBorder="1"/>
    <xf numFmtId="41" fontId="2" fillId="5" borderId="2" xfId="2" applyNumberFormat="1" applyFont="1" applyFill="1" applyBorder="1"/>
    <xf numFmtId="10" fontId="2" fillId="5" borderId="2" xfId="5" applyNumberFormat="1" applyFont="1" applyFill="1" applyBorder="1"/>
    <xf numFmtId="43" fontId="2" fillId="5" borderId="27" xfId="0" applyNumberFormat="1" applyFont="1" applyFill="1" applyBorder="1"/>
    <xf numFmtId="43" fontId="2" fillId="5" borderId="2" xfId="0" applyNumberFormat="1" applyFont="1" applyFill="1" applyBorder="1"/>
    <xf numFmtId="43" fontId="2" fillId="5" borderId="28" xfId="0" applyNumberFormat="1" applyFont="1" applyFill="1" applyBorder="1"/>
    <xf numFmtId="43" fontId="2" fillId="5" borderId="29" xfId="0" applyNumberFormat="1" applyFont="1" applyFill="1" applyBorder="1"/>
    <xf numFmtId="0" fontId="4" fillId="0" borderId="10" xfId="0" applyFont="1" applyBorder="1" applyAlignment="1">
      <alignment horizontal="center"/>
    </xf>
    <xf numFmtId="0" fontId="2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169" fontId="5" fillId="0" borderId="0" xfId="0" applyNumberFormat="1" applyFont="1" applyFill="1"/>
    <xf numFmtId="0" fontId="4" fillId="0" borderId="27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0" xfId="0" applyFont="1" applyFill="1"/>
    <xf numFmtId="0" fontId="0" fillId="0" borderId="27" xfId="0" applyFill="1" applyBorder="1"/>
    <xf numFmtId="0" fontId="2" fillId="0" borderId="0" xfId="0" applyFont="1" applyFill="1" applyAlignment="1">
      <alignment horizontal="left"/>
    </xf>
    <xf numFmtId="41" fontId="2" fillId="0" borderId="27" xfId="2" applyNumberFormat="1" applyFont="1" applyFill="1" applyBorder="1"/>
    <xf numFmtId="41" fontId="2" fillId="0" borderId="2" xfId="2" applyNumberFormat="1" applyFont="1" applyFill="1" applyBorder="1"/>
    <xf numFmtId="0" fontId="2" fillId="0" borderId="0" xfId="0" applyFont="1" applyFill="1" applyBorder="1" applyAlignment="1">
      <alignment horizontal="left"/>
    </xf>
    <xf numFmtId="41" fontId="2" fillId="0" borderId="0" xfId="2" applyNumberFormat="1" applyFont="1" applyFill="1" applyBorder="1"/>
    <xf numFmtId="10" fontId="2" fillId="0" borderId="0" xfId="5" applyNumberFormat="1" applyFont="1" applyFill="1" applyBorder="1"/>
    <xf numFmtId="0" fontId="3" fillId="0" borderId="0" xfId="0" applyFont="1" applyFill="1" applyBorder="1"/>
    <xf numFmtId="43" fontId="2" fillId="0" borderId="0" xfId="0" applyNumberFormat="1" applyFont="1" applyFill="1" applyBorder="1"/>
    <xf numFmtId="40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169" fontId="4" fillId="0" borderId="0" xfId="0" applyNumberFormat="1" applyFont="1" applyFill="1" applyBorder="1"/>
    <xf numFmtId="169" fontId="5" fillId="0" borderId="0" xfId="2" applyNumberFormat="1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6" fontId="0" fillId="0" borderId="0" xfId="0" applyNumberFormat="1" applyFill="1"/>
    <xf numFmtId="0" fontId="3" fillId="0" borderId="0" xfId="0" applyFont="1" applyFill="1" applyBorder="1" applyAlignment="1">
      <alignment horizontal="left"/>
    </xf>
    <xf numFmtId="169" fontId="3" fillId="0" borderId="0" xfId="2" applyNumberFormat="1" applyFont="1" applyFill="1" applyBorder="1"/>
    <xf numFmtId="0" fontId="4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9" fontId="16" fillId="0" borderId="0" xfId="2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/>
    <xf numFmtId="40" fontId="2" fillId="0" borderId="0" xfId="0" applyNumberFormat="1" applyFont="1" applyFill="1" applyAlignment="1">
      <alignment horizontal="left"/>
    </xf>
    <xf numFmtId="40" fontId="2" fillId="0" borderId="45" xfId="0" applyNumberFormat="1" applyFont="1" applyFill="1" applyBorder="1" applyAlignment="1">
      <alignment horizontal="left"/>
    </xf>
    <xf numFmtId="40" fontId="3" fillId="0" borderId="0" xfId="0" applyNumberFormat="1" applyFont="1" applyFill="1" applyAlignment="1">
      <alignment horizontal="left"/>
    </xf>
    <xf numFmtId="6" fontId="3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left"/>
    </xf>
    <xf numFmtId="6" fontId="6" fillId="0" borderId="0" xfId="0" applyNumberFormat="1" applyFont="1" applyFill="1" applyBorder="1" applyAlignment="1"/>
    <xf numFmtId="0" fontId="9" fillId="0" borderId="0" xfId="0" applyFont="1" applyFill="1"/>
    <xf numFmtId="0" fontId="3" fillId="0" borderId="45" xfId="0" applyFont="1" applyFill="1" applyBorder="1" applyAlignment="1">
      <alignment horizontal="left"/>
    </xf>
    <xf numFmtId="6" fontId="2" fillId="0" borderId="0" xfId="0" applyNumberFormat="1" applyFont="1" applyFill="1" applyBorder="1" applyAlignment="1">
      <alignment horizontal="center"/>
    </xf>
    <xf numFmtId="177" fontId="6" fillId="0" borderId="45" xfId="4" applyFont="1" applyFill="1" applyBorder="1" applyAlignment="1">
      <alignment horizontal="left"/>
    </xf>
    <xf numFmtId="183" fontId="6" fillId="0" borderId="45" xfId="3" applyNumberFormat="1" applyFont="1" applyFill="1" applyBorder="1"/>
    <xf numFmtId="169" fontId="2" fillId="0" borderId="0" xfId="2" applyNumberFormat="1" applyFont="1" applyFill="1"/>
    <xf numFmtId="43" fontId="9" fillId="0" borderId="0" xfId="0" applyNumberFormat="1" applyFont="1" applyFill="1"/>
    <xf numFmtId="43" fontId="6" fillId="0" borderId="0" xfId="3" applyNumberFormat="1" applyFont="1" applyFill="1" applyBorder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69" fontId="3" fillId="0" borderId="0" xfId="2" applyNumberFormat="1" applyFont="1" applyFill="1"/>
    <xf numFmtId="38" fontId="4" fillId="0" borderId="0" xfId="0" applyNumberFormat="1" applyFont="1" applyFill="1"/>
    <xf numFmtId="38" fontId="0" fillId="0" borderId="0" xfId="0" applyNumberFormat="1" applyFill="1"/>
    <xf numFmtId="0" fontId="2" fillId="0" borderId="21" xfId="0" applyFont="1" applyFill="1" applyBorder="1" applyAlignment="1">
      <alignment horizontal="left"/>
    </xf>
    <xf numFmtId="169" fontId="2" fillId="0" borderId="21" xfId="2" applyNumberFormat="1" applyFont="1" applyFill="1" applyBorder="1"/>
    <xf numFmtId="0" fontId="3" fillId="0" borderId="49" xfId="0" applyFont="1" applyFill="1" applyBorder="1" applyAlignment="1">
      <alignment horizontal="left"/>
    </xf>
    <xf numFmtId="169" fontId="3" fillId="0" borderId="49" xfId="2" applyNumberFormat="1" applyFont="1" applyFill="1" applyBorder="1"/>
    <xf numFmtId="38" fontId="4" fillId="0" borderId="49" xfId="0" applyNumberFormat="1" applyFont="1" applyFill="1" applyBorder="1"/>
    <xf numFmtId="0" fontId="2" fillId="0" borderId="49" xfId="0" applyFont="1" applyFill="1" applyBorder="1" applyAlignment="1">
      <alignment horizontal="left"/>
    </xf>
    <xf numFmtId="169" fontId="2" fillId="0" borderId="49" xfId="2" applyNumberFormat="1" applyFont="1" applyFill="1" applyBorder="1"/>
    <xf numFmtId="38" fontId="0" fillId="0" borderId="49" xfId="0" applyNumberFormat="1" applyFill="1" applyBorder="1"/>
    <xf numFmtId="0" fontId="14" fillId="0" borderId="0" xfId="0" applyFont="1" applyFill="1"/>
    <xf numFmtId="0" fontId="9" fillId="0" borderId="0" xfId="0" applyFont="1" applyFill="1" applyAlignment="1">
      <alignment horizontal="center"/>
    </xf>
    <xf numFmtId="9" fontId="3" fillId="0" borderId="0" xfId="5" applyFont="1" applyFill="1"/>
    <xf numFmtId="43" fontId="3" fillId="0" borderId="0" xfId="0" applyNumberFormat="1" applyFont="1" applyFill="1"/>
    <xf numFmtId="10" fontId="3" fillId="0" borderId="0" xfId="5" applyNumberFormat="1" applyFont="1" applyFill="1"/>
    <xf numFmtId="38" fontId="2" fillId="0" borderId="0" xfId="0" applyNumberFormat="1" applyFont="1" applyFill="1"/>
    <xf numFmtId="38" fontId="2" fillId="0" borderId="33" xfId="0" applyNumberFormat="1" applyFont="1" applyFill="1" applyBorder="1"/>
    <xf numFmtId="38" fontId="2" fillId="0" borderId="49" xfId="0" applyNumberFormat="1" applyFont="1" applyFill="1" applyBorder="1"/>
    <xf numFmtId="10" fontId="6" fillId="4" borderId="42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169" fontId="16" fillId="0" borderId="0" xfId="2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40" fontId="2" fillId="0" borderId="0" xfId="0" applyNumberFormat="1" applyFont="1" applyFill="1" applyBorder="1" applyAlignment="1">
      <alignment horizontal="left"/>
    </xf>
    <xf numFmtId="40" fontId="2" fillId="0" borderId="0" xfId="2" applyNumberFormat="1" applyFont="1" applyFill="1" applyBorder="1"/>
    <xf numFmtId="40" fontId="3" fillId="0" borderId="0" xfId="0" applyNumberFormat="1" applyFont="1" applyFill="1" applyBorder="1" applyAlignment="1">
      <alignment horizontal="left"/>
    </xf>
    <xf numFmtId="177" fontId="6" fillId="0" borderId="0" xfId="4" applyFont="1" applyFill="1" applyBorder="1" applyAlignment="1">
      <alignment horizontal="left"/>
    </xf>
    <xf numFmtId="40" fontId="3" fillId="0" borderId="0" xfId="0" applyNumberFormat="1" applyFont="1" applyFill="1" applyBorder="1"/>
    <xf numFmtId="40" fontId="3" fillId="0" borderId="0" xfId="2" applyNumberFormat="1" applyFont="1" applyFill="1" applyBorder="1"/>
    <xf numFmtId="169" fontId="2" fillId="0" borderId="0" xfId="2" applyNumberFormat="1" applyFont="1" applyFill="1" applyBorder="1"/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9" fontId="2" fillId="5" borderId="0" xfId="2" applyNumberFormat="1" applyFont="1" applyFill="1" applyAlignment="1">
      <alignment horizontal="center"/>
    </xf>
    <xf numFmtId="10" fontId="2" fillId="5" borderId="0" xfId="0" applyNumberFormat="1" applyFont="1" applyFill="1" applyAlignment="1">
      <alignment horizontal="center"/>
    </xf>
    <xf numFmtId="0" fontId="5" fillId="5" borderId="0" xfId="0" applyFont="1" applyFill="1"/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/>
    <xf numFmtId="183" fontId="6" fillId="0" borderId="0" xfId="3" applyNumberFormat="1" applyFont="1" applyFill="1" applyBorder="1"/>
    <xf numFmtId="43" fontId="9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38" fontId="4" fillId="0" borderId="0" xfId="0" applyNumberFormat="1" applyFont="1" applyFill="1" applyBorder="1"/>
    <xf numFmtId="38" fontId="0" fillId="0" borderId="0" xfId="0" applyNumberFormat="1" applyFill="1" applyBorder="1"/>
    <xf numFmtId="0" fontId="14" fillId="0" borderId="0" xfId="0" applyFont="1" applyFill="1" applyBorder="1"/>
    <xf numFmtId="0" fontId="9" fillId="0" borderId="0" xfId="0" applyFont="1" applyFill="1" applyBorder="1" applyAlignment="1">
      <alignment horizontal="center"/>
    </xf>
    <xf numFmtId="9" fontId="3" fillId="0" borderId="0" xfId="5" applyFont="1" applyFill="1" applyBorder="1"/>
    <xf numFmtId="0" fontId="2" fillId="0" borderId="0" xfId="0" applyFont="1" applyFill="1" applyBorder="1"/>
    <xf numFmtId="43" fontId="3" fillId="0" borderId="0" xfId="0" applyNumberFormat="1" applyFont="1" applyFill="1" applyBorder="1"/>
    <xf numFmtId="10" fontId="3" fillId="0" borderId="0" xfId="5" applyNumberFormat="1" applyFont="1" applyFill="1" applyBorder="1"/>
    <xf numFmtId="0" fontId="5" fillId="0" borderId="0" xfId="0" applyFont="1" applyFill="1" applyBorder="1" applyAlignment="1">
      <alignment horizontal="center"/>
    </xf>
    <xf numFmtId="38" fontId="6" fillId="0" borderId="0" xfId="0" applyNumberFormat="1" applyFont="1" applyFill="1" applyBorder="1"/>
    <xf numFmtId="38" fontId="3" fillId="5" borderId="0" xfId="0" applyNumberFormat="1" applyFont="1" applyFill="1" applyAlignment="1">
      <alignment horizontal="center"/>
    </xf>
    <xf numFmtId="10" fontId="3" fillId="5" borderId="0" xfId="0" applyNumberFormat="1" applyFont="1" applyFill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69" fontId="1" fillId="0" borderId="0" xfId="2" applyNumberFormat="1"/>
    <xf numFmtId="169" fontId="5" fillId="0" borderId="0" xfId="2" applyNumberFormat="1" applyFont="1"/>
    <xf numFmtId="169" fontId="5" fillId="0" borderId="0" xfId="2" applyNumberFormat="1" applyFont="1" applyAlignment="1" applyProtection="1">
      <alignment horizontal="center"/>
    </xf>
    <xf numFmtId="169" fontId="5" fillId="0" borderId="0" xfId="2" quotePrefix="1" applyNumberFormat="1" applyFont="1" applyAlignment="1">
      <alignment horizontal="center"/>
    </xf>
    <xf numFmtId="169" fontId="5" fillId="0" borderId="0" xfId="2" quotePrefix="1" applyNumberFormat="1" applyFont="1" applyAlignment="1" applyProtection="1">
      <alignment horizontal="center"/>
    </xf>
    <xf numFmtId="169" fontId="5" fillId="0" borderId="0" xfId="2" applyNumberFormat="1" applyFont="1" applyAlignment="1" applyProtection="1">
      <alignment horizontal="left"/>
    </xf>
    <xf numFmtId="169" fontId="5" fillId="0" borderId="0" xfId="2" quotePrefix="1" applyNumberFormat="1" applyFont="1" applyProtection="1"/>
    <xf numFmtId="169" fontId="5" fillId="0" borderId="0" xfId="2" applyNumberFormat="1" applyFont="1" applyProtection="1"/>
    <xf numFmtId="169" fontId="5" fillId="0" borderId="0" xfId="2" quotePrefix="1" applyNumberFormat="1" applyFont="1" applyAlignment="1" applyProtection="1">
      <alignment horizontal="left"/>
    </xf>
    <xf numFmtId="169" fontId="5" fillId="0" borderId="49" xfId="2" quotePrefix="1" applyNumberFormat="1" applyFont="1" applyBorder="1" applyProtection="1"/>
    <xf numFmtId="169" fontId="5" fillId="0" borderId="0" xfId="2" quotePrefix="1" applyNumberFormat="1" applyFont="1" applyBorder="1" applyProtection="1"/>
    <xf numFmtId="169" fontId="5" fillId="0" borderId="45" xfId="2" quotePrefix="1" applyNumberFormat="1" applyFont="1" applyBorder="1" applyProtection="1"/>
    <xf numFmtId="169" fontId="5" fillId="0" borderId="45" xfId="2" applyNumberFormat="1" applyFont="1" applyBorder="1"/>
    <xf numFmtId="169" fontId="1" fillId="0" borderId="45" xfId="2" applyNumberFormat="1" applyBorder="1"/>
    <xf numFmtId="169" fontId="5" fillId="0" borderId="49" xfId="2" applyNumberFormat="1" applyFont="1" applyBorder="1" applyProtection="1"/>
    <xf numFmtId="169" fontId="5" fillId="0" borderId="33" xfId="2" applyNumberFormat="1" applyFont="1" applyBorder="1" applyProtection="1"/>
    <xf numFmtId="169" fontId="5" fillId="0" borderId="0" xfId="2" quotePrefix="1" applyNumberFormat="1" applyFont="1" applyAlignment="1">
      <alignment horizontal="left"/>
    </xf>
    <xf numFmtId="169" fontId="1" fillId="0" borderId="49" xfId="2" applyNumberFormat="1" applyBorder="1"/>
    <xf numFmtId="169" fontId="17" fillId="0" borderId="0" xfId="2" applyNumberFormat="1" applyFont="1"/>
    <xf numFmtId="169" fontId="1" fillId="0" borderId="0" xfId="2" applyNumberFormat="1" applyFont="1"/>
    <xf numFmtId="169" fontId="18" fillId="0" borderId="0" xfId="2" applyNumberFormat="1" applyFont="1"/>
    <xf numFmtId="0" fontId="18" fillId="0" borderId="0" xfId="2" applyNumberFormat="1" applyFont="1"/>
    <xf numFmtId="43" fontId="1" fillId="0" borderId="0" xfId="2" applyNumberFormat="1"/>
    <xf numFmtId="169" fontId="9" fillId="0" borderId="0" xfId="2" applyNumberFormat="1" applyFont="1"/>
    <xf numFmtId="3" fontId="0" fillId="0" borderId="0" xfId="0" applyNumberFormat="1" applyFill="1"/>
    <xf numFmtId="38" fontId="2" fillId="0" borderId="0" xfId="0" applyNumberFormat="1" applyFont="1" applyFill="1" applyAlignment="1">
      <alignment horizontal="left"/>
    </xf>
    <xf numFmtId="38" fontId="2" fillId="0" borderId="0" xfId="2" applyNumberFormat="1" applyFont="1" applyFill="1"/>
    <xf numFmtId="38" fontId="2" fillId="0" borderId="45" xfId="0" applyNumberFormat="1" applyFont="1" applyFill="1" applyBorder="1" applyAlignment="1">
      <alignment horizontal="left"/>
    </xf>
    <xf numFmtId="38" fontId="2" fillId="0" borderId="45" xfId="2" applyNumberFormat="1" applyFont="1" applyFill="1" applyBorder="1"/>
    <xf numFmtId="38" fontId="3" fillId="0" borderId="0" xfId="0" applyNumberFormat="1" applyFont="1" applyFill="1" applyAlignment="1">
      <alignment horizontal="left"/>
    </xf>
    <xf numFmtId="38" fontId="3" fillId="0" borderId="0" xfId="0" applyNumberFormat="1" applyFont="1" applyFill="1"/>
    <xf numFmtId="38" fontId="2" fillId="0" borderId="0" xfId="2" applyNumberFormat="1" applyFont="1" applyFill="1" applyBorder="1"/>
    <xf numFmtId="38" fontId="3" fillId="0" borderId="0" xfId="2" applyNumberFormat="1" applyFont="1" applyFill="1"/>
    <xf numFmtId="38" fontId="3" fillId="0" borderId="0" xfId="2" applyNumberFormat="1" applyFont="1" applyFill="1" applyBorder="1"/>
    <xf numFmtId="38" fontId="3" fillId="0" borderId="0" xfId="0" applyNumberFormat="1" applyFont="1" applyFill="1" applyBorder="1" applyAlignment="1">
      <alignment horizontal="left"/>
    </xf>
    <xf numFmtId="38" fontId="7" fillId="0" borderId="0" xfId="0" applyNumberFormat="1" applyFont="1" applyFill="1"/>
    <xf numFmtId="38" fontId="6" fillId="0" borderId="0" xfId="0" applyNumberFormat="1" applyFont="1" applyFill="1" applyBorder="1" applyAlignment="1">
      <alignment horizontal="left"/>
    </xf>
    <xf numFmtId="38" fontId="9" fillId="0" borderId="0" xfId="0" applyNumberFormat="1" applyFont="1" applyFill="1"/>
    <xf numFmtId="38" fontId="3" fillId="0" borderId="45" xfId="0" applyNumberFormat="1" applyFont="1" applyFill="1" applyBorder="1" applyAlignment="1">
      <alignment horizontal="left"/>
    </xf>
    <xf numFmtId="38" fontId="2" fillId="0" borderId="0" xfId="0" applyNumberFormat="1" applyFont="1" applyFill="1" applyBorder="1" applyAlignment="1">
      <alignment horizontal="center"/>
    </xf>
    <xf numFmtId="38" fontId="6" fillId="0" borderId="45" xfId="4" applyNumberFormat="1" applyFont="1" applyFill="1" applyBorder="1" applyAlignment="1">
      <alignment horizontal="left"/>
    </xf>
    <xf numFmtId="38" fontId="6" fillId="0" borderId="0" xfId="3" applyNumberFormat="1" applyFont="1" applyFill="1" applyBorder="1"/>
    <xf numFmtId="38" fontId="2" fillId="0" borderId="21" xfId="0" applyNumberFormat="1" applyFont="1" applyFill="1" applyBorder="1" applyAlignment="1">
      <alignment horizontal="left"/>
    </xf>
    <xf numFmtId="38" fontId="2" fillId="0" borderId="21" xfId="2" applyNumberFormat="1" applyFont="1" applyFill="1" applyBorder="1"/>
    <xf numFmtId="38" fontId="3" fillId="0" borderId="49" xfId="0" applyNumberFormat="1" applyFont="1" applyFill="1" applyBorder="1" applyAlignment="1">
      <alignment horizontal="left"/>
    </xf>
    <xf numFmtId="38" fontId="3" fillId="0" borderId="49" xfId="2" applyNumberFormat="1" applyFont="1" applyFill="1" applyBorder="1"/>
    <xf numFmtId="38" fontId="2" fillId="0" borderId="49" xfId="0" applyNumberFormat="1" applyFont="1" applyFill="1" applyBorder="1" applyAlignment="1">
      <alignment horizontal="left"/>
    </xf>
    <xf numFmtId="38" fontId="2" fillId="0" borderId="49" xfId="2" applyNumberFormat="1" applyFont="1" applyFill="1" applyBorder="1"/>
    <xf numFmtId="38" fontId="9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5" fillId="0" borderId="0" xfId="0" applyNumberFormat="1" applyFont="1" applyFill="1" applyAlignment="1">
      <alignment horizontal="center"/>
    </xf>
    <xf numFmtId="38" fontId="5" fillId="0" borderId="0" xfId="0" applyNumberFormat="1" applyFont="1" applyFill="1"/>
    <xf numFmtId="44" fontId="3" fillId="0" borderId="0" xfId="3" applyFont="1" applyFill="1"/>
    <xf numFmtId="183" fontId="0" fillId="0" borderId="0" xfId="3" applyNumberFormat="1" applyFont="1" applyFill="1"/>
    <xf numFmtId="183" fontId="3" fillId="0" borderId="0" xfId="3" applyNumberFormat="1" applyFont="1" applyFill="1" applyBorder="1"/>
    <xf numFmtId="183" fontId="3" fillId="0" borderId="0" xfId="3" applyNumberFormat="1" applyFont="1" applyFill="1" applyBorder="1" applyAlignment="1"/>
    <xf numFmtId="183" fontId="3" fillId="0" borderId="45" xfId="3" applyNumberFormat="1" applyFont="1" applyFill="1" applyBorder="1" applyAlignment="1"/>
    <xf numFmtId="183" fontId="6" fillId="0" borderId="0" xfId="3" applyNumberFormat="1" applyFont="1" applyFill="1"/>
    <xf numFmtId="0" fontId="4" fillId="0" borderId="0" xfId="0" applyNumberFormat="1" applyFont="1" applyFill="1" applyAlignment="1">
      <alignment horizontal="center"/>
    </xf>
    <xf numFmtId="183" fontId="6" fillId="0" borderId="0" xfId="3" applyNumberFormat="1" applyFont="1" applyFill="1" applyBorder="1" applyAlignment="1"/>
    <xf numFmtId="42" fontId="2" fillId="0" borderId="0" xfId="2" applyNumberFormat="1" applyFont="1" applyFill="1"/>
    <xf numFmtId="42" fontId="2" fillId="0" borderId="45" xfId="2" applyNumberFormat="1" applyFont="1" applyFill="1" applyBorder="1"/>
    <xf numFmtId="42" fontId="3" fillId="0" borderId="0" xfId="0" applyNumberFormat="1" applyFont="1" applyFill="1"/>
    <xf numFmtId="42" fontId="3" fillId="0" borderId="0" xfId="2" applyNumberFormat="1" applyFont="1" applyFill="1"/>
    <xf numFmtId="42" fontId="0" fillId="0" borderId="0" xfId="0" applyNumberFormat="1" applyFill="1"/>
    <xf numFmtId="42" fontId="2" fillId="0" borderId="0" xfId="2" applyNumberFormat="1" applyFont="1" applyFill="1" applyAlignment="1">
      <alignment horizontal="left"/>
    </xf>
    <xf numFmtId="42" fontId="2" fillId="0" borderId="45" xfId="2" applyNumberFormat="1" applyFont="1" applyFill="1" applyBorder="1" applyAlignment="1">
      <alignment horizontal="left"/>
    </xf>
    <xf numFmtId="42" fontId="3" fillId="0" borderId="0" xfId="0" applyNumberFormat="1" applyFont="1" applyFill="1" applyAlignment="1">
      <alignment horizontal="left"/>
    </xf>
    <xf numFmtId="42" fontId="3" fillId="0" borderId="0" xfId="2" applyNumberFormat="1" applyFont="1" applyFill="1" applyAlignment="1">
      <alignment horizontal="left"/>
    </xf>
    <xf numFmtId="42" fontId="0" fillId="0" borderId="0" xfId="0" applyNumberFormat="1" applyFill="1" applyAlignment="1">
      <alignment horizontal="left"/>
    </xf>
    <xf numFmtId="10" fontId="6" fillId="0" borderId="0" xfId="5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5" applyFont="1" applyAlignment="1">
      <alignment horizontal="center"/>
    </xf>
    <xf numFmtId="0" fontId="9" fillId="0" borderId="0" xfId="0" applyFont="1"/>
    <xf numFmtId="169" fontId="0" fillId="0" borderId="0" xfId="2" applyNumberFormat="1" applyFont="1"/>
    <xf numFmtId="169" fontId="0" fillId="0" borderId="0" xfId="2" applyNumberFormat="1" applyFont="1" applyFill="1"/>
    <xf numFmtId="0" fontId="0" fillId="0" borderId="8" xfId="0" applyFill="1" applyBorder="1"/>
    <xf numFmtId="3" fontId="2" fillId="0" borderId="8" xfId="0" applyNumberFormat="1" applyFont="1" applyFill="1" applyBorder="1"/>
    <xf numFmtId="0" fontId="0" fillId="4" borderId="1" xfId="0" applyFill="1" applyBorder="1"/>
    <xf numFmtId="0" fontId="0" fillId="4" borderId="44" xfId="0" applyFill="1" applyBorder="1"/>
    <xf numFmtId="0" fontId="4" fillId="0" borderId="10" xfId="0" applyFont="1" applyBorder="1"/>
    <xf numFmtId="0" fontId="4" fillId="0" borderId="0" xfId="0" applyFont="1" applyFill="1" applyBorder="1" applyAlignment="1"/>
    <xf numFmtId="0" fontId="4" fillId="0" borderId="0" xfId="0" quotePrefix="1" applyFont="1" applyFill="1" applyBorder="1"/>
    <xf numFmtId="0" fontId="4" fillId="5" borderId="8" xfId="0" applyFont="1" applyFill="1" applyBorder="1"/>
    <xf numFmtId="169" fontId="16" fillId="5" borderId="8" xfId="2" applyNumberFormat="1" applyFont="1" applyFill="1" applyBorder="1" applyAlignment="1">
      <alignment horizontal="center"/>
    </xf>
    <xf numFmtId="1" fontId="4" fillId="5" borderId="8" xfId="0" applyNumberFormat="1" applyFont="1" applyFill="1" applyBorder="1" applyAlignment="1">
      <alignment horizontal="center"/>
    </xf>
    <xf numFmtId="0" fontId="0" fillId="5" borderId="8" xfId="0" applyFill="1" applyBorder="1"/>
    <xf numFmtId="3" fontId="2" fillId="2" borderId="7" xfId="0" applyNumberFormat="1" applyFont="1" applyFill="1" applyBorder="1"/>
    <xf numFmtId="2" fontId="2" fillId="0" borderId="0" xfId="0" applyNumberFormat="1" applyFont="1" applyFill="1"/>
    <xf numFmtId="167" fontId="0" fillId="0" borderId="0" xfId="0" applyNumberFormat="1"/>
    <xf numFmtId="167" fontId="6" fillId="0" borderId="0" xfId="0" applyNumberFormat="1" applyFont="1" applyAlignment="1">
      <alignment horizontal="center"/>
    </xf>
    <xf numFmtId="189" fontId="6" fillId="0" borderId="0" xfId="2" applyNumberFormat="1" applyFont="1" applyAlignment="1">
      <alignment horizontal="center"/>
    </xf>
    <xf numFmtId="0" fontId="4" fillId="0" borderId="0" xfId="0" applyFont="1" applyFill="1"/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13" fillId="0" borderId="1" xfId="0" applyFont="1" applyFill="1" applyBorder="1"/>
    <xf numFmtId="0" fontId="13" fillId="0" borderId="10" xfId="0" applyFont="1" applyFill="1" applyBorder="1"/>
    <xf numFmtId="0" fontId="3" fillId="0" borderId="0" xfId="0" applyFont="1" applyAlignment="1">
      <alignment horizontal="center"/>
    </xf>
  </cellXfs>
  <cellStyles count="6">
    <cellStyle name=" 1" xfId="1"/>
    <cellStyle name="Comma" xfId="2" builtinId="3"/>
    <cellStyle name="Currency" xfId="3" builtinId="4"/>
    <cellStyle name="Normal" xfId="0" builtinId="0"/>
    <cellStyle name="Normal_CRH giant OLD" xfId="4"/>
    <cellStyle name="Percent" xfId="5" builtinId="5"/>
  </cellStyles>
  <dxfs count="1"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Drop" dropLines="32" dropStyle="combo" dx="22" fmlaLink="$C$2237" fmlaRange="'All Inc.'!$B$2237:$B$2269" noThreeD="1" sel="2" val="0"/>
</file>

<file path=xl/ctrlProps/ctrlProp36.xml><?xml version="1.0" encoding="utf-8"?>
<formControlPr xmlns="http://schemas.microsoft.com/office/spreadsheetml/2009/9/main" objectType="Drop" dropLines="42" dropStyle="combo" dx="22" fmlaLink="$C$18" fmlaRange="$B$781:$B$813" noThreeD="1" sel="11" val="0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</xdr:row>
          <xdr:rowOff>9525</xdr:rowOff>
        </xdr:from>
        <xdr:to>
          <xdr:col>7</xdr:col>
          <xdr:colOff>495300</xdr:colOff>
          <xdr:row>8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F8C7A59-F330-83C5-31CB-31A56EAA9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Values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1118</xdr:row>
          <xdr:rowOff>66675</xdr:rowOff>
        </xdr:from>
        <xdr:to>
          <xdr:col>0</xdr:col>
          <xdr:colOff>733425</xdr:colOff>
          <xdr:row>1119</xdr:row>
          <xdr:rowOff>114300</xdr:rowOff>
        </xdr:to>
        <xdr:sp macro="" textlink="">
          <xdr:nvSpPr>
            <xdr:cNvPr id="20537" name="Button 57" hidden="1">
              <a:extLst>
                <a:ext uri="{63B3BB69-23CF-44E3-9099-C40C66FF867C}">
                  <a14:compatExt spid="_x0000_s20537"/>
                </a:ext>
                <a:ext uri="{FF2B5EF4-FFF2-40B4-BE49-F238E27FC236}">
                  <a16:creationId xmlns:a16="http://schemas.microsoft.com/office/drawing/2014/main" id="{B0CAC4A2-3489-2A18-5AC9-B5622920F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69</xdr:row>
          <xdr:rowOff>66675</xdr:rowOff>
        </xdr:from>
        <xdr:to>
          <xdr:col>0</xdr:col>
          <xdr:colOff>685800</xdr:colOff>
          <xdr:row>70</xdr:row>
          <xdr:rowOff>114300</xdr:rowOff>
        </xdr:to>
        <xdr:sp macro="" textlink="">
          <xdr:nvSpPr>
            <xdr:cNvPr id="20569" name="Button 89" hidden="1">
              <a:extLst>
                <a:ext uri="{63B3BB69-23CF-44E3-9099-C40C66FF867C}">
                  <a14:compatExt spid="_x0000_s20569"/>
                </a:ext>
                <a:ext uri="{FF2B5EF4-FFF2-40B4-BE49-F238E27FC236}">
                  <a16:creationId xmlns:a16="http://schemas.microsoft.com/office/drawing/2014/main" id="{F63E0279-7A11-4F89-AF1F-79CBD3C64C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128</xdr:row>
          <xdr:rowOff>66675</xdr:rowOff>
        </xdr:from>
        <xdr:to>
          <xdr:col>0</xdr:col>
          <xdr:colOff>685800</xdr:colOff>
          <xdr:row>129</xdr:row>
          <xdr:rowOff>114300</xdr:rowOff>
        </xdr:to>
        <xdr:sp macro="" textlink="">
          <xdr:nvSpPr>
            <xdr:cNvPr id="20570" name="Button 90" hidden="1">
              <a:extLst>
                <a:ext uri="{63B3BB69-23CF-44E3-9099-C40C66FF867C}">
                  <a14:compatExt spid="_x0000_s20570"/>
                </a:ext>
                <a:ext uri="{FF2B5EF4-FFF2-40B4-BE49-F238E27FC236}">
                  <a16:creationId xmlns:a16="http://schemas.microsoft.com/office/drawing/2014/main" id="{0BD2586F-5E7A-15D6-2165-15F1B4E5B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194</xdr:row>
          <xdr:rowOff>9525</xdr:rowOff>
        </xdr:from>
        <xdr:to>
          <xdr:col>0</xdr:col>
          <xdr:colOff>657225</xdr:colOff>
          <xdr:row>195</xdr:row>
          <xdr:rowOff>66675</xdr:rowOff>
        </xdr:to>
        <xdr:sp macro="" textlink="">
          <xdr:nvSpPr>
            <xdr:cNvPr id="20571" name="Button 91" hidden="1">
              <a:extLst>
                <a:ext uri="{63B3BB69-23CF-44E3-9099-C40C66FF867C}">
                  <a14:compatExt spid="_x0000_s20571"/>
                </a:ext>
                <a:ext uri="{FF2B5EF4-FFF2-40B4-BE49-F238E27FC236}">
                  <a16:creationId xmlns:a16="http://schemas.microsoft.com/office/drawing/2014/main" id="{68A789C3-98C2-D03A-AA3C-18B8F54BA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261</xdr:row>
          <xdr:rowOff>152400</xdr:rowOff>
        </xdr:from>
        <xdr:to>
          <xdr:col>0</xdr:col>
          <xdr:colOff>676275</xdr:colOff>
          <xdr:row>263</xdr:row>
          <xdr:rowOff>38100</xdr:rowOff>
        </xdr:to>
        <xdr:sp macro="" textlink="">
          <xdr:nvSpPr>
            <xdr:cNvPr id="20572" name="Button 92" hidden="1">
              <a:extLst>
                <a:ext uri="{63B3BB69-23CF-44E3-9099-C40C66FF867C}">
                  <a14:compatExt spid="_x0000_s20572"/>
                </a:ext>
                <a:ext uri="{FF2B5EF4-FFF2-40B4-BE49-F238E27FC236}">
                  <a16:creationId xmlns:a16="http://schemas.microsoft.com/office/drawing/2014/main" id="{F8CEB15E-A0E1-15F6-5D27-AADE82668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327</xdr:row>
          <xdr:rowOff>19050</xdr:rowOff>
        </xdr:from>
        <xdr:to>
          <xdr:col>0</xdr:col>
          <xdr:colOff>695325</xdr:colOff>
          <xdr:row>328</xdr:row>
          <xdr:rowOff>66675</xdr:rowOff>
        </xdr:to>
        <xdr:sp macro="" textlink="">
          <xdr:nvSpPr>
            <xdr:cNvPr id="20573" name="Button 93" hidden="1">
              <a:extLst>
                <a:ext uri="{63B3BB69-23CF-44E3-9099-C40C66FF867C}">
                  <a14:compatExt spid="_x0000_s20573"/>
                </a:ext>
                <a:ext uri="{FF2B5EF4-FFF2-40B4-BE49-F238E27FC236}">
                  <a16:creationId xmlns:a16="http://schemas.microsoft.com/office/drawing/2014/main" id="{2B3F6A9B-99DF-3C51-93A1-08C69D94B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393</xdr:row>
          <xdr:rowOff>19050</xdr:rowOff>
        </xdr:from>
        <xdr:to>
          <xdr:col>0</xdr:col>
          <xdr:colOff>771525</xdr:colOff>
          <xdr:row>394</xdr:row>
          <xdr:rowOff>66675</xdr:rowOff>
        </xdr:to>
        <xdr:sp macro="" textlink="">
          <xdr:nvSpPr>
            <xdr:cNvPr id="20574" name="Button 94" hidden="1">
              <a:extLst>
                <a:ext uri="{63B3BB69-23CF-44E3-9099-C40C66FF867C}">
                  <a14:compatExt spid="_x0000_s20574"/>
                </a:ext>
                <a:ext uri="{FF2B5EF4-FFF2-40B4-BE49-F238E27FC236}">
                  <a16:creationId xmlns:a16="http://schemas.microsoft.com/office/drawing/2014/main" id="{D9C89CD6-89DC-B8A0-6EB3-B4AE8B994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459</xdr:row>
          <xdr:rowOff>76200</xdr:rowOff>
        </xdr:from>
        <xdr:to>
          <xdr:col>0</xdr:col>
          <xdr:colOff>657225</xdr:colOff>
          <xdr:row>460</xdr:row>
          <xdr:rowOff>123825</xdr:rowOff>
        </xdr:to>
        <xdr:sp macro="" textlink="">
          <xdr:nvSpPr>
            <xdr:cNvPr id="20575" name="Button 95" hidden="1">
              <a:extLst>
                <a:ext uri="{63B3BB69-23CF-44E3-9099-C40C66FF867C}">
                  <a14:compatExt spid="_x0000_s20575"/>
                </a:ext>
                <a:ext uri="{FF2B5EF4-FFF2-40B4-BE49-F238E27FC236}">
                  <a16:creationId xmlns:a16="http://schemas.microsoft.com/office/drawing/2014/main" id="{CA965D0C-BAB5-5099-7433-D69B37D437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525</xdr:row>
          <xdr:rowOff>142875</xdr:rowOff>
        </xdr:from>
        <xdr:to>
          <xdr:col>0</xdr:col>
          <xdr:colOff>733425</xdr:colOff>
          <xdr:row>527</xdr:row>
          <xdr:rowOff>28575</xdr:rowOff>
        </xdr:to>
        <xdr:sp macro="" textlink="">
          <xdr:nvSpPr>
            <xdr:cNvPr id="20576" name="Button 96" hidden="1">
              <a:extLst>
                <a:ext uri="{63B3BB69-23CF-44E3-9099-C40C66FF867C}">
                  <a14:compatExt spid="_x0000_s20576"/>
                </a:ext>
                <a:ext uri="{FF2B5EF4-FFF2-40B4-BE49-F238E27FC236}">
                  <a16:creationId xmlns:a16="http://schemas.microsoft.com/office/drawing/2014/main" id="{ED7F3FB1-1FA3-3835-F6A8-FDA87B734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591</xdr:row>
          <xdr:rowOff>9525</xdr:rowOff>
        </xdr:from>
        <xdr:to>
          <xdr:col>0</xdr:col>
          <xdr:colOff>647700</xdr:colOff>
          <xdr:row>592</xdr:row>
          <xdr:rowOff>66675</xdr:rowOff>
        </xdr:to>
        <xdr:sp macro="" textlink="">
          <xdr:nvSpPr>
            <xdr:cNvPr id="20577" name="Button 97" hidden="1">
              <a:extLst>
                <a:ext uri="{63B3BB69-23CF-44E3-9099-C40C66FF867C}">
                  <a14:compatExt spid="_x0000_s20577"/>
                </a:ext>
                <a:ext uri="{FF2B5EF4-FFF2-40B4-BE49-F238E27FC236}">
                  <a16:creationId xmlns:a16="http://schemas.microsoft.com/office/drawing/2014/main" id="{ECA1C680-A1E4-F72F-DE56-A31A560745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657</xdr:row>
          <xdr:rowOff>104775</xdr:rowOff>
        </xdr:from>
        <xdr:to>
          <xdr:col>0</xdr:col>
          <xdr:colOff>695325</xdr:colOff>
          <xdr:row>658</xdr:row>
          <xdr:rowOff>152400</xdr:rowOff>
        </xdr:to>
        <xdr:sp macro="" textlink="">
          <xdr:nvSpPr>
            <xdr:cNvPr id="20578" name="Button 98" hidden="1">
              <a:extLst>
                <a:ext uri="{63B3BB69-23CF-44E3-9099-C40C66FF867C}">
                  <a14:compatExt spid="_x0000_s20578"/>
                </a:ext>
                <a:ext uri="{FF2B5EF4-FFF2-40B4-BE49-F238E27FC236}">
                  <a16:creationId xmlns:a16="http://schemas.microsoft.com/office/drawing/2014/main" id="{19C96051-26CD-642A-FB81-AF03DD6BF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723</xdr:row>
          <xdr:rowOff>28575</xdr:rowOff>
        </xdr:from>
        <xdr:to>
          <xdr:col>0</xdr:col>
          <xdr:colOff>714375</xdr:colOff>
          <xdr:row>724</xdr:row>
          <xdr:rowOff>76200</xdr:rowOff>
        </xdr:to>
        <xdr:sp macro="" textlink="">
          <xdr:nvSpPr>
            <xdr:cNvPr id="20579" name="Button 99" hidden="1">
              <a:extLst>
                <a:ext uri="{63B3BB69-23CF-44E3-9099-C40C66FF867C}">
                  <a14:compatExt spid="_x0000_s20579"/>
                </a:ext>
                <a:ext uri="{FF2B5EF4-FFF2-40B4-BE49-F238E27FC236}">
                  <a16:creationId xmlns:a16="http://schemas.microsoft.com/office/drawing/2014/main" id="{99EC29E1-7081-A6D0-E9EB-372275686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789</xdr:row>
          <xdr:rowOff>57150</xdr:rowOff>
        </xdr:from>
        <xdr:to>
          <xdr:col>0</xdr:col>
          <xdr:colOff>676275</xdr:colOff>
          <xdr:row>790</xdr:row>
          <xdr:rowOff>104775</xdr:rowOff>
        </xdr:to>
        <xdr:sp macro="" textlink="">
          <xdr:nvSpPr>
            <xdr:cNvPr id="20580" name="Button 100" hidden="1">
              <a:extLst>
                <a:ext uri="{63B3BB69-23CF-44E3-9099-C40C66FF867C}">
                  <a14:compatExt spid="_x0000_s20580"/>
                </a:ext>
                <a:ext uri="{FF2B5EF4-FFF2-40B4-BE49-F238E27FC236}">
                  <a16:creationId xmlns:a16="http://schemas.microsoft.com/office/drawing/2014/main" id="{16620026-D76D-B600-4F79-B9CFE7E461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855</xdr:row>
          <xdr:rowOff>142875</xdr:rowOff>
        </xdr:from>
        <xdr:to>
          <xdr:col>0</xdr:col>
          <xdr:colOff>714375</xdr:colOff>
          <xdr:row>857</xdr:row>
          <xdr:rowOff>28575</xdr:rowOff>
        </xdr:to>
        <xdr:sp macro="" textlink="">
          <xdr:nvSpPr>
            <xdr:cNvPr id="20581" name="Button 101" hidden="1">
              <a:extLst>
                <a:ext uri="{63B3BB69-23CF-44E3-9099-C40C66FF867C}">
                  <a14:compatExt spid="_x0000_s20581"/>
                </a:ext>
                <a:ext uri="{FF2B5EF4-FFF2-40B4-BE49-F238E27FC236}">
                  <a16:creationId xmlns:a16="http://schemas.microsoft.com/office/drawing/2014/main" id="{420E3210-B534-5230-8151-FB3D8D0A16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921</xdr:row>
          <xdr:rowOff>28575</xdr:rowOff>
        </xdr:from>
        <xdr:to>
          <xdr:col>0</xdr:col>
          <xdr:colOff>790575</xdr:colOff>
          <xdr:row>922</xdr:row>
          <xdr:rowOff>76200</xdr:rowOff>
        </xdr:to>
        <xdr:sp macro="" textlink="">
          <xdr:nvSpPr>
            <xdr:cNvPr id="20582" name="Button 102" hidden="1">
              <a:extLst>
                <a:ext uri="{63B3BB69-23CF-44E3-9099-C40C66FF867C}">
                  <a14:compatExt spid="_x0000_s20582"/>
                </a:ext>
                <a:ext uri="{FF2B5EF4-FFF2-40B4-BE49-F238E27FC236}">
                  <a16:creationId xmlns:a16="http://schemas.microsoft.com/office/drawing/2014/main" id="{CEDFCCE6-4B89-201F-40F1-06F3763672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987</xdr:row>
          <xdr:rowOff>0</xdr:rowOff>
        </xdr:from>
        <xdr:to>
          <xdr:col>0</xdr:col>
          <xdr:colOff>742950</xdr:colOff>
          <xdr:row>988</xdr:row>
          <xdr:rowOff>47625</xdr:rowOff>
        </xdr:to>
        <xdr:sp macro="" textlink="">
          <xdr:nvSpPr>
            <xdr:cNvPr id="20583" name="Button 103" hidden="1">
              <a:extLst>
                <a:ext uri="{63B3BB69-23CF-44E3-9099-C40C66FF867C}">
                  <a14:compatExt spid="_x0000_s20583"/>
                </a:ext>
                <a:ext uri="{FF2B5EF4-FFF2-40B4-BE49-F238E27FC236}">
                  <a16:creationId xmlns:a16="http://schemas.microsoft.com/office/drawing/2014/main" id="{4F1AA803-CB99-2BF4-CF1B-052556619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1053</xdr:row>
          <xdr:rowOff>142875</xdr:rowOff>
        </xdr:from>
        <xdr:to>
          <xdr:col>0</xdr:col>
          <xdr:colOff>723900</xdr:colOff>
          <xdr:row>1055</xdr:row>
          <xdr:rowOff>28575</xdr:rowOff>
        </xdr:to>
        <xdr:sp macro="" textlink="">
          <xdr:nvSpPr>
            <xdr:cNvPr id="20584" name="Button 104" hidden="1">
              <a:extLst>
                <a:ext uri="{63B3BB69-23CF-44E3-9099-C40C66FF867C}">
                  <a14:compatExt spid="_x0000_s20584"/>
                </a:ext>
                <a:ext uri="{FF2B5EF4-FFF2-40B4-BE49-F238E27FC236}">
                  <a16:creationId xmlns:a16="http://schemas.microsoft.com/office/drawing/2014/main" id="{480E459B-EF21-D93D-E68B-3BE6A947CE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1185</xdr:row>
          <xdr:rowOff>66675</xdr:rowOff>
        </xdr:from>
        <xdr:to>
          <xdr:col>0</xdr:col>
          <xdr:colOff>733425</xdr:colOff>
          <xdr:row>1186</xdr:row>
          <xdr:rowOff>114300</xdr:rowOff>
        </xdr:to>
        <xdr:sp macro="" textlink="">
          <xdr:nvSpPr>
            <xdr:cNvPr id="20585" name="Button 105" hidden="1">
              <a:extLst>
                <a:ext uri="{63B3BB69-23CF-44E3-9099-C40C66FF867C}">
                  <a14:compatExt spid="_x0000_s20585"/>
                </a:ext>
                <a:ext uri="{FF2B5EF4-FFF2-40B4-BE49-F238E27FC236}">
                  <a16:creationId xmlns:a16="http://schemas.microsoft.com/office/drawing/2014/main" id="{7443D578-876E-D1C0-E695-154D2EC17F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1251</xdr:row>
          <xdr:rowOff>66675</xdr:rowOff>
        </xdr:from>
        <xdr:to>
          <xdr:col>0</xdr:col>
          <xdr:colOff>733425</xdr:colOff>
          <xdr:row>1252</xdr:row>
          <xdr:rowOff>114300</xdr:rowOff>
        </xdr:to>
        <xdr:sp macro="" textlink="">
          <xdr:nvSpPr>
            <xdr:cNvPr id="20586" name="Button 106" hidden="1">
              <a:extLst>
                <a:ext uri="{63B3BB69-23CF-44E3-9099-C40C66FF867C}">
                  <a14:compatExt spid="_x0000_s20586"/>
                </a:ext>
                <a:ext uri="{FF2B5EF4-FFF2-40B4-BE49-F238E27FC236}">
                  <a16:creationId xmlns:a16="http://schemas.microsoft.com/office/drawing/2014/main" id="{1A1D87BB-26A6-CE43-4D10-E0C68B8971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1317</xdr:row>
          <xdr:rowOff>66675</xdr:rowOff>
        </xdr:from>
        <xdr:to>
          <xdr:col>0</xdr:col>
          <xdr:colOff>733425</xdr:colOff>
          <xdr:row>1318</xdr:row>
          <xdr:rowOff>114300</xdr:rowOff>
        </xdr:to>
        <xdr:sp macro="" textlink="">
          <xdr:nvSpPr>
            <xdr:cNvPr id="20587" name="Button 107" hidden="1">
              <a:extLst>
                <a:ext uri="{63B3BB69-23CF-44E3-9099-C40C66FF867C}">
                  <a14:compatExt spid="_x0000_s20587"/>
                </a:ext>
                <a:ext uri="{FF2B5EF4-FFF2-40B4-BE49-F238E27FC236}">
                  <a16:creationId xmlns:a16="http://schemas.microsoft.com/office/drawing/2014/main" id="{3EDE4BBB-3E60-356D-46B7-5945083BF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1383</xdr:row>
          <xdr:rowOff>66675</xdr:rowOff>
        </xdr:from>
        <xdr:to>
          <xdr:col>0</xdr:col>
          <xdr:colOff>733425</xdr:colOff>
          <xdr:row>1384</xdr:row>
          <xdr:rowOff>114300</xdr:rowOff>
        </xdr:to>
        <xdr:sp macro="" textlink="">
          <xdr:nvSpPr>
            <xdr:cNvPr id="20588" name="Button 108" hidden="1">
              <a:extLst>
                <a:ext uri="{63B3BB69-23CF-44E3-9099-C40C66FF867C}">
                  <a14:compatExt spid="_x0000_s20588"/>
                </a:ext>
                <a:ext uri="{FF2B5EF4-FFF2-40B4-BE49-F238E27FC236}">
                  <a16:creationId xmlns:a16="http://schemas.microsoft.com/office/drawing/2014/main" id="{63073D57-064C-67E0-8D70-02066FA082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1449</xdr:row>
          <xdr:rowOff>66675</xdr:rowOff>
        </xdr:from>
        <xdr:to>
          <xdr:col>0</xdr:col>
          <xdr:colOff>733425</xdr:colOff>
          <xdr:row>1450</xdr:row>
          <xdr:rowOff>114300</xdr:rowOff>
        </xdr:to>
        <xdr:sp macro="" textlink="">
          <xdr:nvSpPr>
            <xdr:cNvPr id="20589" name="Button 109" hidden="1">
              <a:extLst>
                <a:ext uri="{63B3BB69-23CF-44E3-9099-C40C66FF867C}">
                  <a14:compatExt spid="_x0000_s20589"/>
                </a:ext>
                <a:ext uri="{FF2B5EF4-FFF2-40B4-BE49-F238E27FC236}">
                  <a16:creationId xmlns:a16="http://schemas.microsoft.com/office/drawing/2014/main" id="{307B9D67-6238-1A60-3823-83F3EBC61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1515</xdr:row>
          <xdr:rowOff>66675</xdr:rowOff>
        </xdr:from>
        <xdr:to>
          <xdr:col>0</xdr:col>
          <xdr:colOff>733425</xdr:colOff>
          <xdr:row>1516</xdr:row>
          <xdr:rowOff>114300</xdr:rowOff>
        </xdr:to>
        <xdr:sp macro="" textlink="">
          <xdr:nvSpPr>
            <xdr:cNvPr id="20590" name="Button 110" hidden="1">
              <a:extLst>
                <a:ext uri="{63B3BB69-23CF-44E3-9099-C40C66FF867C}">
                  <a14:compatExt spid="_x0000_s20590"/>
                </a:ext>
                <a:ext uri="{FF2B5EF4-FFF2-40B4-BE49-F238E27FC236}">
                  <a16:creationId xmlns:a16="http://schemas.microsoft.com/office/drawing/2014/main" id="{4D44EAF7-1CD5-B7A7-DF0D-3E0CD4763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1581</xdr:row>
          <xdr:rowOff>66675</xdr:rowOff>
        </xdr:from>
        <xdr:to>
          <xdr:col>0</xdr:col>
          <xdr:colOff>733425</xdr:colOff>
          <xdr:row>1582</xdr:row>
          <xdr:rowOff>114300</xdr:rowOff>
        </xdr:to>
        <xdr:sp macro="" textlink="">
          <xdr:nvSpPr>
            <xdr:cNvPr id="20591" name="Button 111" hidden="1">
              <a:extLst>
                <a:ext uri="{63B3BB69-23CF-44E3-9099-C40C66FF867C}">
                  <a14:compatExt spid="_x0000_s20591"/>
                </a:ext>
                <a:ext uri="{FF2B5EF4-FFF2-40B4-BE49-F238E27FC236}">
                  <a16:creationId xmlns:a16="http://schemas.microsoft.com/office/drawing/2014/main" id="{B83781F8-3406-59EA-C8E0-FEADFC4AA6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1647</xdr:row>
          <xdr:rowOff>66675</xdr:rowOff>
        </xdr:from>
        <xdr:to>
          <xdr:col>0</xdr:col>
          <xdr:colOff>733425</xdr:colOff>
          <xdr:row>1648</xdr:row>
          <xdr:rowOff>114300</xdr:rowOff>
        </xdr:to>
        <xdr:sp macro="" textlink="">
          <xdr:nvSpPr>
            <xdr:cNvPr id="20592" name="Button 112" hidden="1">
              <a:extLst>
                <a:ext uri="{63B3BB69-23CF-44E3-9099-C40C66FF867C}">
                  <a14:compatExt spid="_x0000_s20592"/>
                </a:ext>
                <a:ext uri="{FF2B5EF4-FFF2-40B4-BE49-F238E27FC236}">
                  <a16:creationId xmlns:a16="http://schemas.microsoft.com/office/drawing/2014/main" id="{13C6FC48-3B68-21E9-FEC4-34C5BD3427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1713</xdr:row>
          <xdr:rowOff>66675</xdr:rowOff>
        </xdr:from>
        <xdr:to>
          <xdr:col>0</xdr:col>
          <xdr:colOff>733425</xdr:colOff>
          <xdr:row>1714</xdr:row>
          <xdr:rowOff>114300</xdr:rowOff>
        </xdr:to>
        <xdr:sp macro="" textlink="">
          <xdr:nvSpPr>
            <xdr:cNvPr id="20593" name="Button 113" hidden="1">
              <a:extLst>
                <a:ext uri="{63B3BB69-23CF-44E3-9099-C40C66FF867C}">
                  <a14:compatExt spid="_x0000_s20593"/>
                </a:ext>
                <a:ext uri="{FF2B5EF4-FFF2-40B4-BE49-F238E27FC236}">
                  <a16:creationId xmlns:a16="http://schemas.microsoft.com/office/drawing/2014/main" id="{B330820F-BADE-8D94-69B5-3D8BA1931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1779</xdr:row>
          <xdr:rowOff>66675</xdr:rowOff>
        </xdr:from>
        <xdr:to>
          <xdr:col>0</xdr:col>
          <xdr:colOff>733425</xdr:colOff>
          <xdr:row>1780</xdr:row>
          <xdr:rowOff>114300</xdr:rowOff>
        </xdr:to>
        <xdr:sp macro="" textlink="">
          <xdr:nvSpPr>
            <xdr:cNvPr id="20594" name="Button 114" hidden="1">
              <a:extLst>
                <a:ext uri="{63B3BB69-23CF-44E3-9099-C40C66FF867C}">
                  <a14:compatExt spid="_x0000_s20594"/>
                </a:ext>
                <a:ext uri="{FF2B5EF4-FFF2-40B4-BE49-F238E27FC236}">
                  <a16:creationId xmlns:a16="http://schemas.microsoft.com/office/drawing/2014/main" id="{220216CB-9653-C063-FE6C-41336AACD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1845</xdr:row>
          <xdr:rowOff>66675</xdr:rowOff>
        </xdr:from>
        <xdr:to>
          <xdr:col>0</xdr:col>
          <xdr:colOff>733425</xdr:colOff>
          <xdr:row>1846</xdr:row>
          <xdr:rowOff>114300</xdr:rowOff>
        </xdr:to>
        <xdr:sp macro="" textlink="">
          <xdr:nvSpPr>
            <xdr:cNvPr id="20595" name="Button 115" hidden="1">
              <a:extLst>
                <a:ext uri="{63B3BB69-23CF-44E3-9099-C40C66FF867C}">
                  <a14:compatExt spid="_x0000_s20595"/>
                </a:ext>
                <a:ext uri="{FF2B5EF4-FFF2-40B4-BE49-F238E27FC236}">
                  <a16:creationId xmlns:a16="http://schemas.microsoft.com/office/drawing/2014/main" id="{6211AD53-6C83-6EDB-30B1-9E54329940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1911</xdr:row>
          <xdr:rowOff>66675</xdr:rowOff>
        </xdr:from>
        <xdr:to>
          <xdr:col>0</xdr:col>
          <xdr:colOff>733425</xdr:colOff>
          <xdr:row>1912</xdr:row>
          <xdr:rowOff>114300</xdr:rowOff>
        </xdr:to>
        <xdr:sp macro="" textlink="">
          <xdr:nvSpPr>
            <xdr:cNvPr id="20596" name="Button 116" hidden="1">
              <a:extLst>
                <a:ext uri="{63B3BB69-23CF-44E3-9099-C40C66FF867C}">
                  <a14:compatExt spid="_x0000_s20596"/>
                </a:ext>
                <a:ext uri="{FF2B5EF4-FFF2-40B4-BE49-F238E27FC236}">
                  <a16:creationId xmlns:a16="http://schemas.microsoft.com/office/drawing/2014/main" id="{3FC2D9F5-7218-FE90-37C9-33E824982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1977</xdr:row>
          <xdr:rowOff>66675</xdr:rowOff>
        </xdr:from>
        <xdr:to>
          <xdr:col>0</xdr:col>
          <xdr:colOff>733425</xdr:colOff>
          <xdr:row>1978</xdr:row>
          <xdr:rowOff>114300</xdr:rowOff>
        </xdr:to>
        <xdr:sp macro="" textlink="">
          <xdr:nvSpPr>
            <xdr:cNvPr id="20597" name="Button 117" hidden="1">
              <a:extLst>
                <a:ext uri="{63B3BB69-23CF-44E3-9099-C40C66FF867C}">
                  <a14:compatExt spid="_x0000_s20597"/>
                </a:ext>
                <a:ext uri="{FF2B5EF4-FFF2-40B4-BE49-F238E27FC236}">
                  <a16:creationId xmlns:a16="http://schemas.microsoft.com/office/drawing/2014/main" id="{249E6DB0-754D-ED61-C850-7D9BA1BA0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2043</xdr:row>
          <xdr:rowOff>66675</xdr:rowOff>
        </xdr:from>
        <xdr:to>
          <xdr:col>0</xdr:col>
          <xdr:colOff>733425</xdr:colOff>
          <xdr:row>2044</xdr:row>
          <xdr:rowOff>114300</xdr:rowOff>
        </xdr:to>
        <xdr:sp macro="" textlink="">
          <xdr:nvSpPr>
            <xdr:cNvPr id="20598" name="Button 118" hidden="1">
              <a:extLst>
                <a:ext uri="{63B3BB69-23CF-44E3-9099-C40C66FF867C}">
                  <a14:compatExt spid="_x0000_s20598"/>
                </a:ext>
                <a:ext uri="{FF2B5EF4-FFF2-40B4-BE49-F238E27FC236}">
                  <a16:creationId xmlns:a16="http://schemas.microsoft.com/office/drawing/2014/main" id="{9182E496-A340-4FF6-6A8D-F39E28F9E3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2108</xdr:row>
          <xdr:rowOff>66675</xdr:rowOff>
        </xdr:from>
        <xdr:to>
          <xdr:col>0</xdr:col>
          <xdr:colOff>733425</xdr:colOff>
          <xdr:row>2109</xdr:row>
          <xdr:rowOff>114300</xdr:rowOff>
        </xdr:to>
        <xdr:sp macro="" textlink="">
          <xdr:nvSpPr>
            <xdr:cNvPr id="20599" name="Button 119" hidden="1">
              <a:extLst>
                <a:ext uri="{63B3BB69-23CF-44E3-9099-C40C66FF867C}">
                  <a14:compatExt spid="_x0000_s20599"/>
                </a:ext>
                <a:ext uri="{FF2B5EF4-FFF2-40B4-BE49-F238E27FC236}">
                  <a16:creationId xmlns:a16="http://schemas.microsoft.com/office/drawing/2014/main" id="{337D8685-21CB-BB2F-FAEA-C7F8A7A95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2175</xdr:row>
          <xdr:rowOff>66675</xdr:rowOff>
        </xdr:from>
        <xdr:to>
          <xdr:col>0</xdr:col>
          <xdr:colOff>733425</xdr:colOff>
          <xdr:row>2176</xdr:row>
          <xdr:rowOff>114300</xdr:rowOff>
        </xdr:to>
        <xdr:sp macro="" textlink="">
          <xdr:nvSpPr>
            <xdr:cNvPr id="20600" name="Button 120" hidden="1">
              <a:extLst>
                <a:ext uri="{63B3BB69-23CF-44E3-9099-C40C66FF867C}">
                  <a14:compatExt spid="_x0000_s20600"/>
                </a:ext>
                <a:ext uri="{FF2B5EF4-FFF2-40B4-BE49-F238E27FC236}">
                  <a16:creationId xmlns:a16="http://schemas.microsoft.com/office/drawing/2014/main" id="{AAE40FEA-6D7F-600C-CEBB-9307759DE4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</xdr:row>
          <xdr:rowOff>66675</xdr:rowOff>
        </xdr:from>
        <xdr:to>
          <xdr:col>3</xdr:col>
          <xdr:colOff>609600</xdr:colOff>
          <xdr:row>2</xdr:row>
          <xdr:rowOff>104775</xdr:rowOff>
        </xdr:to>
        <xdr:sp macro="" textlink="">
          <xdr:nvSpPr>
            <xdr:cNvPr id="20603" name="Drop Down 123" hidden="1">
              <a:extLst>
                <a:ext uri="{63B3BB69-23CF-44E3-9099-C40C66FF867C}">
                  <a14:compatExt spid="_x0000_s20603"/>
                </a:ext>
                <a:ext uri="{FF2B5EF4-FFF2-40B4-BE49-F238E27FC236}">
                  <a16:creationId xmlns:a16="http://schemas.microsoft.com/office/drawing/2014/main" id="{76FC142D-BE7B-D7C0-7F47-4E7FB6D8C5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1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0604" name="Rectangle 124">
          <a:extLst>
            <a:ext uri="{FF2B5EF4-FFF2-40B4-BE49-F238E27FC236}">
              <a16:creationId xmlns:a16="http://schemas.microsoft.com/office/drawing/2014/main" id="{60D24789-3E72-9643-6825-A847145909A0}"/>
            </a:ext>
          </a:extLst>
        </xdr:cNvPr>
        <xdr:cNvSpPr>
          <a:spLocks noChangeArrowheads="1"/>
        </xdr:cNvSpPr>
      </xdr:nvSpPr>
      <xdr:spPr bwMode="auto">
        <a:xfrm>
          <a:off x="0" y="161925"/>
          <a:ext cx="64389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7188" name="Rectangle 20">
          <a:extLst>
            <a:ext uri="{FF2B5EF4-FFF2-40B4-BE49-F238E27FC236}">
              <a16:creationId xmlns:a16="http://schemas.microsoft.com/office/drawing/2014/main" id="{88975CB7-B536-CFF3-CBC2-480AE0783F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69570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152400</xdr:rowOff>
        </xdr:from>
        <xdr:to>
          <xdr:col>3</xdr:col>
          <xdr:colOff>1019175</xdr:colOff>
          <xdr:row>17</xdr:row>
          <xdr:rowOff>28575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A4507A60-05CC-98CB-C564-C8E150FD1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0</xdr:row>
          <xdr:rowOff>19050</xdr:rowOff>
        </xdr:from>
        <xdr:to>
          <xdr:col>2</xdr:col>
          <xdr:colOff>590550</xdr:colOff>
          <xdr:row>1</xdr:row>
          <xdr:rowOff>28575</xdr:rowOff>
        </xdr:to>
        <xdr:sp macro="" textlink="">
          <xdr:nvSpPr>
            <xdr:cNvPr id="2094" name="Button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ADD7713A-2822-4555-58CA-7C95ABA5E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43</xdr:row>
          <xdr:rowOff>95250</xdr:rowOff>
        </xdr:from>
        <xdr:to>
          <xdr:col>1</xdr:col>
          <xdr:colOff>142875</xdr:colOff>
          <xdr:row>44</xdr:row>
          <xdr:rowOff>142875</xdr:rowOff>
        </xdr:to>
        <xdr:sp macro="" textlink="">
          <xdr:nvSpPr>
            <xdr:cNvPr id="2097" name="Button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99A3DC4D-1283-9261-D030-F127C2CAA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66</xdr:row>
          <xdr:rowOff>85725</xdr:rowOff>
        </xdr:from>
        <xdr:to>
          <xdr:col>1</xdr:col>
          <xdr:colOff>161925</xdr:colOff>
          <xdr:row>67</xdr:row>
          <xdr:rowOff>133350</xdr:rowOff>
        </xdr:to>
        <xdr:sp macro="" textlink="">
          <xdr:nvSpPr>
            <xdr:cNvPr id="2098" name="Button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24EEE02D-4CA7-9E7C-7B28-467F4F45B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89</xdr:row>
          <xdr:rowOff>85725</xdr:rowOff>
        </xdr:from>
        <xdr:to>
          <xdr:col>1</xdr:col>
          <xdr:colOff>161925</xdr:colOff>
          <xdr:row>90</xdr:row>
          <xdr:rowOff>133350</xdr:rowOff>
        </xdr:to>
        <xdr:sp macro="" textlink="">
          <xdr:nvSpPr>
            <xdr:cNvPr id="2099" name="Button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89BF5BDB-1F13-D595-AAF9-F1DC084047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112</xdr:row>
          <xdr:rowOff>85725</xdr:rowOff>
        </xdr:from>
        <xdr:to>
          <xdr:col>1</xdr:col>
          <xdr:colOff>161925</xdr:colOff>
          <xdr:row>113</xdr:row>
          <xdr:rowOff>133350</xdr:rowOff>
        </xdr:to>
        <xdr:sp macro="" textlink="">
          <xdr:nvSpPr>
            <xdr:cNvPr id="2100" name="Button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24FA2998-E2EA-4AEA-6C58-FB06553E5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135</xdr:row>
          <xdr:rowOff>95250</xdr:rowOff>
        </xdr:from>
        <xdr:to>
          <xdr:col>1</xdr:col>
          <xdr:colOff>133350</xdr:colOff>
          <xdr:row>136</xdr:row>
          <xdr:rowOff>142875</xdr:rowOff>
        </xdr:to>
        <xdr:sp macro="" textlink="">
          <xdr:nvSpPr>
            <xdr:cNvPr id="2101" name="Button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A79CDF67-D11B-2A4C-ED46-FEB8533229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158</xdr:row>
          <xdr:rowOff>76200</xdr:rowOff>
        </xdr:from>
        <xdr:to>
          <xdr:col>1</xdr:col>
          <xdr:colOff>123825</xdr:colOff>
          <xdr:row>159</xdr:row>
          <xdr:rowOff>123825</xdr:rowOff>
        </xdr:to>
        <xdr:sp macro="" textlink="">
          <xdr:nvSpPr>
            <xdr:cNvPr id="2102" name="Button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6EDF44A5-F112-7578-EEBC-D937E9C98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181</xdr:row>
          <xdr:rowOff>76200</xdr:rowOff>
        </xdr:from>
        <xdr:to>
          <xdr:col>1</xdr:col>
          <xdr:colOff>123825</xdr:colOff>
          <xdr:row>182</xdr:row>
          <xdr:rowOff>123825</xdr:rowOff>
        </xdr:to>
        <xdr:sp macro="" textlink="">
          <xdr:nvSpPr>
            <xdr:cNvPr id="2103" name="Button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BE4BC936-E726-D6F8-3AEF-8FAECD823D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204</xdr:row>
          <xdr:rowOff>76200</xdr:rowOff>
        </xdr:from>
        <xdr:to>
          <xdr:col>1</xdr:col>
          <xdr:colOff>123825</xdr:colOff>
          <xdr:row>205</xdr:row>
          <xdr:rowOff>123825</xdr:rowOff>
        </xdr:to>
        <xdr:sp macro="" textlink="">
          <xdr:nvSpPr>
            <xdr:cNvPr id="2104" name="Button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2B06A0E-9A44-719B-4727-C1D4AB9D62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227</xdr:row>
          <xdr:rowOff>76200</xdr:rowOff>
        </xdr:from>
        <xdr:to>
          <xdr:col>1</xdr:col>
          <xdr:colOff>123825</xdr:colOff>
          <xdr:row>228</xdr:row>
          <xdr:rowOff>123825</xdr:rowOff>
        </xdr:to>
        <xdr:sp macro="" textlink="">
          <xdr:nvSpPr>
            <xdr:cNvPr id="2105" name="Button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24BEF04B-A2C5-A03B-82CA-597D680B2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249</xdr:row>
          <xdr:rowOff>95250</xdr:rowOff>
        </xdr:from>
        <xdr:to>
          <xdr:col>1</xdr:col>
          <xdr:colOff>142875</xdr:colOff>
          <xdr:row>250</xdr:row>
          <xdr:rowOff>142875</xdr:rowOff>
        </xdr:to>
        <xdr:sp macro="" textlink="">
          <xdr:nvSpPr>
            <xdr:cNvPr id="2106" name="Button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2054E84A-F319-9142-14BE-22C2D438BC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273</xdr:row>
          <xdr:rowOff>95250</xdr:rowOff>
        </xdr:from>
        <xdr:to>
          <xdr:col>1</xdr:col>
          <xdr:colOff>142875</xdr:colOff>
          <xdr:row>274</xdr:row>
          <xdr:rowOff>142875</xdr:rowOff>
        </xdr:to>
        <xdr:sp macro="" textlink="">
          <xdr:nvSpPr>
            <xdr:cNvPr id="2107" name="Button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216BE51F-777A-51E7-703B-AF27DED55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296</xdr:row>
          <xdr:rowOff>95250</xdr:rowOff>
        </xdr:from>
        <xdr:to>
          <xdr:col>1</xdr:col>
          <xdr:colOff>142875</xdr:colOff>
          <xdr:row>297</xdr:row>
          <xdr:rowOff>142875</xdr:rowOff>
        </xdr:to>
        <xdr:sp macro="" textlink="">
          <xdr:nvSpPr>
            <xdr:cNvPr id="2108" name="Button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9E81B121-0E6A-1232-720D-EC760A6E3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319</xdr:row>
          <xdr:rowOff>95250</xdr:rowOff>
        </xdr:from>
        <xdr:to>
          <xdr:col>1</xdr:col>
          <xdr:colOff>142875</xdr:colOff>
          <xdr:row>320</xdr:row>
          <xdr:rowOff>142875</xdr:rowOff>
        </xdr:to>
        <xdr:sp macro="" textlink="">
          <xdr:nvSpPr>
            <xdr:cNvPr id="2109" name="Button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649B5E26-93F3-595F-0B4E-C44C8C8B7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342</xdr:row>
          <xdr:rowOff>95250</xdr:rowOff>
        </xdr:from>
        <xdr:to>
          <xdr:col>1</xdr:col>
          <xdr:colOff>142875</xdr:colOff>
          <xdr:row>343</xdr:row>
          <xdr:rowOff>142875</xdr:rowOff>
        </xdr:to>
        <xdr:sp macro="" textlink="">
          <xdr:nvSpPr>
            <xdr:cNvPr id="2110" name="Button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16E01338-B9EB-B1D6-DF53-D268AD2F01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365</xdr:row>
          <xdr:rowOff>95250</xdr:rowOff>
        </xdr:from>
        <xdr:to>
          <xdr:col>1</xdr:col>
          <xdr:colOff>142875</xdr:colOff>
          <xdr:row>366</xdr:row>
          <xdr:rowOff>142875</xdr:rowOff>
        </xdr:to>
        <xdr:sp macro="" textlink="">
          <xdr:nvSpPr>
            <xdr:cNvPr id="2111" name="Button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50A9149F-8886-62DE-5922-AE39C1361B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388</xdr:row>
          <xdr:rowOff>95250</xdr:rowOff>
        </xdr:from>
        <xdr:to>
          <xdr:col>1</xdr:col>
          <xdr:colOff>142875</xdr:colOff>
          <xdr:row>389</xdr:row>
          <xdr:rowOff>142875</xdr:rowOff>
        </xdr:to>
        <xdr:sp macro="" textlink="">
          <xdr:nvSpPr>
            <xdr:cNvPr id="2112" name="Button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D75C1CC1-FD5D-7A7C-58A6-59A543683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411</xdr:row>
          <xdr:rowOff>95250</xdr:rowOff>
        </xdr:from>
        <xdr:to>
          <xdr:col>1</xdr:col>
          <xdr:colOff>142875</xdr:colOff>
          <xdr:row>412</xdr:row>
          <xdr:rowOff>142875</xdr:rowOff>
        </xdr:to>
        <xdr:sp macro="" textlink="">
          <xdr:nvSpPr>
            <xdr:cNvPr id="2113" name="Button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7BA126DC-B4F6-EEB1-19F1-66E1B70C6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434</xdr:row>
          <xdr:rowOff>95250</xdr:rowOff>
        </xdr:from>
        <xdr:to>
          <xdr:col>1</xdr:col>
          <xdr:colOff>142875</xdr:colOff>
          <xdr:row>435</xdr:row>
          <xdr:rowOff>142875</xdr:rowOff>
        </xdr:to>
        <xdr:sp macro="" textlink="">
          <xdr:nvSpPr>
            <xdr:cNvPr id="2114" name="Button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960312DE-9DB1-C822-58D5-C02D57CBC7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457</xdr:row>
          <xdr:rowOff>95250</xdr:rowOff>
        </xdr:from>
        <xdr:to>
          <xdr:col>1</xdr:col>
          <xdr:colOff>142875</xdr:colOff>
          <xdr:row>458</xdr:row>
          <xdr:rowOff>142875</xdr:rowOff>
        </xdr:to>
        <xdr:sp macro="" textlink="">
          <xdr:nvSpPr>
            <xdr:cNvPr id="2115" name="Button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C4775425-4D56-EA36-8ACD-4FA002DAF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480</xdr:row>
          <xdr:rowOff>95250</xdr:rowOff>
        </xdr:from>
        <xdr:to>
          <xdr:col>1</xdr:col>
          <xdr:colOff>142875</xdr:colOff>
          <xdr:row>481</xdr:row>
          <xdr:rowOff>142875</xdr:rowOff>
        </xdr:to>
        <xdr:sp macro="" textlink="">
          <xdr:nvSpPr>
            <xdr:cNvPr id="2116" name="Button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DF2E525B-85F3-1AC7-6C76-387972AF5C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503</xdr:row>
          <xdr:rowOff>95250</xdr:rowOff>
        </xdr:from>
        <xdr:to>
          <xdr:col>1</xdr:col>
          <xdr:colOff>142875</xdr:colOff>
          <xdr:row>504</xdr:row>
          <xdr:rowOff>142875</xdr:rowOff>
        </xdr:to>
        <xdr:sp macro="" textlink="">
          <xdr:nvSpPr>
            <xdr:cNvPr id="2117" name="Button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2CD74E10-A21C-84DF-8BB6-8B3037347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526</xdr:row>
          <xdr:rowOff>95250</xdr:rowOff>
        </xdr:from>
        <xdr:to>
          <xdr:col>1</xdr:col>
          <xdr:colOff>142875</xdr:colOff>
          <xdr:row>527</xdr:row>
          <xdr:rowOff>142875</xdr:rowOff>
        </xdr:to>
        <xdr:sp macro="" textlink="">
          <xdr:nvSpPr>
            <xdr:cNvPr id="2118" name="Button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B910FCA0-1E89-7EDC-E82D-E862FF804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549</xdr:row>
          <xdr:rowOff>95250</xdr:rowOff>
        </xdr:from>
        <xdr:to>
          <xdr:col>1</xdr:col>
          <xdr:colOff>142875</xdr:colOff>
          <xdr:row>550</xdr:row>
          <xdr:rowOff>142875</xdr:rowOff>
        </xdr:to>
        <xdr:sp macro="" textlink="">
          <xdr:nvSpPr>
            <xdr:cNvPr id="2119" name="Button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FF9B1C70-9781-6348-CE08-15A14FF39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572</xdr:row>
          <xdr:rowOff>95250</xdr:rowOff>
        </xdr:from>
        <xdr:to>
          <xdr:col>1</xdr:col>
          <xdr:colOff>142875</xdr:colOff>
          <xdr:row>573</xdr:row>
          <xdr:rowOff>142875</xdr:rowOff>
        </xdr:to>
        <xdr:sp macro="" textlink="">
          <xdr:nvSpPr>
            <xdr:cNvPr id="2120" name="Button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ED0F21A4-D164-A9AD-5249-6EAB0B4AAA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595</xdr:row>
          <xdr:rowOff>95250</xdr:rowOff>
        </xdr:from>
        <xdr:to>
          <xdr:col>1</xdr:col>
          <xdr:colOff>142875</xdr:colOff>
          <xdr:row>596</xdr:row>
          <xdr:rowOff>142875</xdr:rowOff>
        </xdr:to>
        <xdr:sp macro="" textlink="">
          <xdr:nvSpPr>
            <xdr:cNvPr id="2121" name="Button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118D5C46-65E7-66AF-C924-434FEFFE34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618</xdr:row>
          <xdr:rowOff>95250</xdr:rowOff>
        </xdr:from>
        <xdr:to>
          <xdr:col>1</xdr:col>
          <xdr:colOff>142875</xdr:colOff>
          <xdr:row>619</xdr:row>
          <xdr:rowOff>142875</xdr:rowOff>
        </xdr:to>
        <xdr:sp macro="" textlink="">
          <xdr:nvSpPr>
            <xdr:cNvPr id="2122" name="Button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16456974-7BCF-DE9B-35CF-BC72D3F771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641</xdr:row>
          <xdr:rowOff>95250</xdr:rowOff>
        </xdr:from>
        <xdr:to>
          <xdr:col>1</xdr:col>
          <xdr:colOff>142875</xdr:colOff>
          <xdr:row>642</xdr:row>
          <xdr:rowOff>142875</xdr:rowOff>
        </xdr:to>
        <xdr:sp macro="" textlink="">
          <xdr:nvSpPr>
            <xdr:cNvPr id="2123" name="Button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1CDF7318-8887-51C2-3911-2727556A88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664</xdr:row>
          <xdr:rowOff>95250</xdr:rowOff>
        </xdr:from>
        <xdr:to>
          <xdr:col>1</xdr:col>
          <xdr:colOff>142875</xdr:colOff>
          <xdr:row>665</xdr:row>
          <xdr:rowOff>142875</xdr:rowOff>
        </xdr:to>
        <xdr:sp macro="" textlink="">
          <xdr:nvSpPr>
            <xdr:cNvPr id="2124" name="Button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49A0DE65-99B6-8A7E-3D9A-FED5A8CBD0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687</xdr:row>
          <xdr:rowOff>95250</xdr:rowOff>
        </xdr:from>
        <xdr:to>
          <xdr:col>1</xdr:col>
          <xdr:colOff>142875</xdr:colOff>
          <xdr:row>688</xdr:row>
          <xdr:rowOff>142875</xdr:rowOff>
        </xdr:to>
        <xdr:sp macro="" textlink="">
          <xdr:nvSpPr>
            <xdr:cNvPr id="2125" name="Button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1E6BB787-230E-B50D-B8A3-4DDEDEF399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710</xdr:row>
          <xdr:rowOff>95250</xdr:rowOff>
        </xdr:from>
        <xdr:to>
          <xdr:col>1</xdr:col>
          <xdr:colOff>142875</xdr:colOff>
          <xdr:row>711</xdr:row>
          <xdr:rowOff>142875</xdr:rowOff>
        </xdr:to>
        <xdr:sp macro="" textlink="">
          <xdr:nvSpPr>
            <xdr:cNvPr id="2126" name="Button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B63E91FE-1E8D-EB8A-D949-D2EC8F76B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733</xdr:row>
          <xdr:rowOff>95250</xdr:rowOff>
        </xdr:from>
        <xdr:to>
          <xdr:col>1</xdr:col>
          <xdr:colOff>142875</xdr:colOff>
          <xdr:row>734</xdr:row>
          <xdr:rowOff>142875</xdr:rowOff>
        </xdr:to>
        <xdr:sp macro="" textlink="">
          <xdr:nvSpPr>
            <xdr:cNvPr id="2127" name="Button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34B57DB1-7D43-CA23-200F-177F9AA66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756</xdr:row>
          <xdr:rowOff>95250</xdr:rowOff>
        </xdr:from>
        <xdr:to>
          <xdr:col>1</xdr:col>
          <xdr:colOff>142875</xdr:colOff>
          <xdr:row>757</xdr:row>
          <xdr:rowOff>142875</xdr:rowOff>
        </xdr:to>
        <xdr:sp macro="" textlink="">
          <xdr:nvSpPr>
            <xdr:cNvPr id="2128" name="Button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5E3FD2C9-9488-4AF9-4171-35BE8BF89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Home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ildwood\abc\plants\assetvalu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ami"/>
      <sheetName val="Input-Output"/>
      <sheetName val="Detailed"/>
      <sheetName val="Assumptions"/>
      <sheetName val="Summary"/>
      <sheetName val="Cayuga"/>
      <sheetName val="Conesville"/>
      <sheetName val="EastBend"/>
      <sheetName val="Edwardsport"/>
      <sheetName val="Gallagher"/>
      <sheetName val="Gibson"/>
      <sheetName val="Sheet1"/>
      <sheetName val="Miami Fort"/>
      <sheetName val="Stuart"/>
      <sheetName val="Killen"/>
      <sheetName val="Noblesville"/>
      <sheetName val="Wabash River"/>
      <sheetName val="Zimmer"/>
      <sheetName val="Beckjord"/>
      <sheetName val="Markland"/>
      <sheetName val="Peakers"/>
      <sheetName val="Unit Data"/>
      <sheetName val="Tech Decisions"/>
      <sheetName val="IP-Annual MWh"/>
      <sheetName val="IP-MMBtus"/>
      <sheetName val="IP-NOx MMBtus"/>
      <sheetName val="IP-SO2"/>
      <sheetName val="IP-NOx"/>
      <sheetName val="IP-CO2"/>
      <sheetName val="IP-Total Revenues"/>
      <sheetName val="IP-Fuel Costs"/>
      <sheetName val="IP-VOM"/>
      <sheetName val="IP-SO2 Costs"/>
      <sheetName val="IP-NOx Costs"/>
      <sheetName val="IP-CO2 Costs"/>
      <sheetName val="IP-Fixed Costs"/>
      <sheetName val="IP-Valuation"/>
      <sheetName val="IP-Tech Decisions"/>
      <sheetName val="Asset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">
          <cell r="C3" t="str">
            <v>Cayuga 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89</v>
          </cell>
          <cell r="I3">
            <v>95</v>
          </cell>
          <cell r="J3">
            <v>98</v>
          </cell>
          <cell r="K3">
            <v>97</v>
          </cell>
          <cell r="L3">
            <v>97</v>
          </cell>
          <cell r="M3">
            <v>97</v>
          </cell>
          <cell r="N3">
            <v>97</v>
          </cell>
          <cell r="O3">
            <v>97</v>
          </cell>
          <cell r="P3">
            <v>97</v>
          </cell>
          <cell r="Q3">
            <v>97</v>
          </cell>
          <cell r="R3">
            <v>97</v>
          </cell>
          <cell r="S3">
            <v>97</v>
          </cell>
          <cell r="T3">
            <v>97</v>
          </cell>
          <cell r="U3">
            <v>97</v>
          </cell>
          <cell r="V3">
            <v>97</v>
          </cell>
          <cell r="W3">
            <v>97</v>
          </cell>
        </row>
        <row r="4">
          <cell r="C4" t="str">
            <v>Cayuga 2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86</v>
          </cell>
          <cell r="I4">
            <v>96</v>
          </cell>
          <cell r="J4">
            <v>99</v>
          </cell>
          <cell r="K4">
            <v>98</v>
          </cell>
          <cell r="L4">
            <v>98</v>
          </cell>
          <cell r="M4">
            <v>98</v>
          </cell>
          <cell r="N4">
            <v>98</v>
          </cell>
          <cell r="O4">
            <v>98</v>
          </cell>
          <cell r="P4">
            <v>98</v>
          </cell>
          <cell r="Q4">
            <v>98</v>
          </cell>
          <cell r="R4">
            <v>98</v>
          </cell>
          <cell r="S4">
            <v>98</v>
          </cell>
          <cell r="T4">
            <v>98</v>
          </cell>
          <cell r="U4">
            <v>98</v>
          </cell>
          <cell r="V4">
            <v>98</v>
          </cell>
          <cell r="W4">
            <v>98</v>
          </cell>
        </row>
        <row r="5">
          <cell r="C5" t="str">
            <v>Conesville 4</v>
          </cell>
          <cell r="D5">
            <v>0</v>
          </cell>
          <cell r="E5">
            <v>0</v>
          </cell>
          <cell r="F5">
            <v>0</v>
          </cell>
          <cell r="G5">
            <v>98</v>
          </cell>
          <cell r="H5">
            <v>99</v>
          </cell>
          <cell r="I5">
            <v>100</v>
          </cell>
          <cell r="J5">
            <v>100</v>
          </cell>
          <cell r="K5">
            <v>100</v>
          </cell>
          <cell r="L5">
            <v>99</v>
          </cell>
          <cell r="M5">
            <v>99</v>
          </cell>
          <cell r="N5">
            <v>99</v>
          </cell>
          <cell r="O5">
            <v>99</v>
          </cell>
          <cell r="P5">
            <v>99</v>
          </cell>
          <cell r="Q5">
            <v>99</v>
          </cell>
          <cell r="R5">
            <v>99</v>
          </cell>
          <cell r="S5">
            <v>99</v>
          </cell>
          <cell r="T5">
            <v>99</v>
          </cell>
          <cell r="U5">
            <v>99</v>
          </cell>
          <cell r="V5">
            <v>99</v>
          </cell>
          <cell r="W5">
            <v>99</v>
          </cell>
        </row>
        <row r="6">
          <cell r="C6" t="str">
            <v>East Bend 2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99</v>
          </cell>
          <cell r="L6">
            <v>99</v>
          </cell>
          <cell r="M6">
            <v>99</v>
          </cell>
          <cell r="N6">
            <v>99</v>
          </cell>
          <cell r="O6">
            <v>99</v>
          </cell>
          <cell r="P6">
            <v>99</v>
          </cell>
          <cell r="Q6">
            <v>99</v>
          </cell>
          <cell r="R6">
            <v>99</v>
          </cell>
          <cell r="S6">
            <v>99</v>
          </cell>
          <cell r="T6">
            <v>99</v>
          </cell>
          <cell r="U6">
            <v>99</v>
          </cell>
          <cell r="V6">
            <v>99</v>
          </cell>
          <cell r="W6">
            <v>99</v>
          </cell>
        </row>
        <row r="7">
          <cell r="C7" t="str">
            <v>Edwardsport 6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C8" t="str">
            <v>Edwardsport 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C9" t="str">
            <v>Edwardsport 8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C10" t="str">
            <v>Gallagher 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C11" t="str">
            <v>Gallagher 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C12" t="str">
            <v>Gallagher 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C13" t="str">
            <v>Gallagher 4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C14" t="str">
            <v>Gibson 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91</v>
          </cell>
          <cell r="I14">
            <v>97</v>
          </cell>
          <cell r="J14">
            <v>99</v>
          </cell>
          <cell r="K14">
            <v>98</v>
          </cell>
          <cell r="L14">
            <v>98</v>
          </cell>
          <cell r="M14">
            <v>98</v>
          </cell>
          <cell r="N14">
            <v>98</v>
          </cell>
          <cell r="O14">
            <v>98</v>
          </cell>
          <cell r="P14">
            <v>98</v>
          </cell>
          <cell r="Q14">
            <v>98</v>
          </cell>
          <cell r="R14">
            <v>98</v>
          </cell>
          <cell r="S14">
            <v>98</v>
          </cell>
          <cell r="T14">
            <v>98</v>
          </cell>
          <cell r="U14">
            <v>98</v>
          </cell>
          <cell r="V14">
            <v>98</v>
          </cell>
          <cell r="W14">
            <v>98</v>
          </cell>
        </row>
        <row r="15">
          <cell r="C15" t="str">
            <v>Gibson 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90</v>
          </cell>
          <cell r="I15">
            <v>97</v>
          </cell>
          <cell r="J15">
            <v>99</v>
          </cell>
          <cell r="K15">
            <v>98</v>
          </cell>
          <cell r="L15">
            <v>98</v>
          </cell>
          <cell r="M15">
            <v>98</v>
          </cell>
          <cell r="N15">
            <v>98</v>
          </cell>
          <cell r="O15">
            <v>98</v>
          </cell>
          <cell r="P15">
            <v>98</v>
          </cell>
          <cell r="Q15">
            <v>98</v>
          </cell>
          <cell r="R15">
            <v>98</v>
          </cell>
          <cell r="S15">
            <v>98</v>
          </cell>
          <cell r="T15">
            <v>98</v>
          </cell>
          <cell r="U15">
            <v>98</v>
          </cell>
          <cell r="V15">
            <v>98</v>
          </cell>
          <cell r="W15">
            <v>98</v>
          </cell>
        </row>
        <row r="16">
          <cell r="C16" t="str">
            <v>Gibson 3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93</v>
          </cell>
          <cell r="I16">
            <v>98</v>
          </cell>
          <cell r="J16">
            <v>99</v>
          </cell>
          <cell r="K16">
            <v>98</v>
          </cell>
          <cell r="L16">
            <v>98</v>
          </cell>
          <cell r="M16">
            <v>98</v>
          </cell>
          <cell r="N16">
            <v>98</v>
          </cell>
          <cell r="O16">
            <v>98</v>
          </cell>
          <cell r="P16">
            <v>98</v>
          </cell>
          <cell r="Q16">
            <v>98</v>
          </cell>
          <cell r="R16">
            <v>98</v>
          </cell>
          <cell r="S16">
            <v>98</v>
          </cell>
          <cell r="T16">
            <v>98</v>
          </cell>
          <cell r="U16">
            <v>98</v>
          </cell>
          <cell r="V16">
            <v>98</v>
          </cell>
          <cell r="W16">
            <v>98</v>
          </cell>
        </row>
        <row r="17">
          <cell r="C17" t="str">
            <v>Gibson 4</v>
          </cell>
          <cell r="D17">
            <v>100</v>
          </cell>
          <cell r="E17">
            <v>100</v>
          </cell>
          <cell r="F17">
            <v>100</v>
          </cell>
          <cell r="G17">
            <v>100</v>
          </cell>
          <cell r="H17">
            <v>100</v>
          </cell>
          <cell r="I17">
            <v>100</v>
          </cell>
          <cell r="J17">
            <v>100</v>
          </cell>
          <cell r="K17">
            <v>100</v>
          </cell>
          <cell r="L17">
            <v>99</v>
          </cell>
          <cell r="M17">
            <v>99</v>
          </cell>
          <cell r="N17">
            <v>99</v>
          </cell>
          <cell r="O17">
            <v>99</v>
          </cell>
          <cell r="P17">
            <v>99</v>
          </cell>
          <cell r="Q17">
            <v>99</v>
          </cell>
          <cell r="R17">
            <v>99</v>
          </cell>
          <cell r="S17">
            <v>99</v>
          </cell>
          <cell r="T17">
            <v>99</v>
          </cell>
          <cell r="U17">
            <v>99</v>
          </cell>
          <cell r="V17">
            <v>99</v>
          </cell>
          <cell r="W17">
            <v>99</v>
          </cell>
        </row>
        <row r="18">
          <cell r="C18" t="str">
            <v>Gibson 5</v>
          </cell>
          <cell r="D18">
            <v>100</v>
          </cell>
          <cell r="E18">
            <v>100</v>
          </cell>
          <cell r="F18">
            <v>100</v>
          </cell>
          <cell r="G18">
            <v>100</v>
          </cell>
          <cell r="H18">
            <v>100</v>
          </cell>
          <cell r="I18">
            <v>100</v>
          </cell>
          <cell r="J18">
            <v>100</v>
          </cell>
          <cell r="K18">
            <v>100</v>
          </cell>
          <cell r="L18">
            <v>99</v>
          </cell>
          <cell r="M18">
            <v>99</v>
          </cell>
          <cell r="N18">
            <v>99</v>
          </cell>
          <cell r="O18">
            <v>99</v>
          </cell>
          <cell r="P18">
            <v>99</v>
          </cell>
          <cell r="Q18">
            <v>99</v>
          </cell>
          <cell r="R18">
            <v>99</v>
          </cell>
          <cell r="S18">
            <v>99</v>
          </cell>
          <cell r="T18">
            <v>99</v>
          </cell>
          <cell r="U18">
            <v>99</v>
          </cell>
          <cell r="V18">
            <v>99</v>
          </cell>
          <cell r="W18">
            <v>99</v>
          </cell>
        </row>
        <row r="19">
          <cell r="C19" t="str">
            <v>J.M. Stuart 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C20" t="str">
            <v>J.M. Stuart 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C21" t="str">
            <v>J.M. Stuart 3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C22" t="str">
            <v>J.M. Stuart 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C23" t="str">
            <v>Killen 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C24" t="str">
            <v>Miami Fort 5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C25" t="str">
            <v>Miami Fort 6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Miami Fort 7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Miami Fort 8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C28" t="str">
            <v>Noblesville 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C29" t="str">
            <v>Noblesville 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C30" t="str">
            <v>Wabash River 1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C31" t="str">
            <v>Wabash River 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C32" t="str">
            <v>Wabash River 3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C33" t="str">
            <v>Wabash River 4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C34" t="str">
            <v>Wabash River 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C35" t="str">
            <v>Wabash River 6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W.C. Beckjord 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C37" t="str">
            <v>W.C. Beckjord 2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C38" t="str">
            <v>W.C. Beckjord 3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C39" t="str">
            <v>W.C. Beckjord 4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C40" t="str">
            <v>W.C. Beckjord 5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C41" t="str">
            <v>W.C. Beckjord 6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C42" t="str">
            <v>W.H. Zimmer 1</v>
          </cell>
          <cell r="D42">
            <v>100</v>
          </cell>
          <cell r="E42">
            <v>100</v>
          </cell>
          <cell r="F42">
            <v>100</v>
          </cell>
          <cell r="G42">
            <v>100</v>
          </cell>
          <cell r="H42">
            <v>100</v>
          </cell>
          <cell r="I42">
            <v>100</v>
          </cell>
          <cell r="J42">
            <v>100</v>
          </cell>
          <cell r="K42">
            <v>99</v>
          </cell>
          <cell r="L42">
            <v>99</v>
          </cell>
          <cell r="M42">
            <v>99</v>
          </cell>
          <cell r="N42">
            <v>99</v>
          </cell>
          <cell r="O42">
            <v>99</v>
          </cell>
          <cell r="P42">
            <v>99</v>
          </cell>
          <cell r="Q42">
            <v>99</v>
          </cell>
          <cell r="R42">
            <v>99</v>
          </cell>
          <cell r="S42">
            <v>99</v>
          </cell>
          <cell r="T42">
            <v>99</v>
          </cell>
          <cell r="U42">
            <v>99</v>
          </cell>
          <cell r="V42">
            <v>99</v>
          </cell>
          <cell r="W42">
            <v>99</v>
          </cell>
        </row>
        <row r="46">
          <cell r="C46" t="str">
            <v>Cayuga 1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 t="str">
            <v>Cayuga 2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C48" t="str">
            <v>Conesville 4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C49" t="str">
            <v>East Bend 2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C50" t="str">
            <v>Edwardsport 6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C51" t="str">
            <v>Edwardsport 7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C52" t="str">
            <v>Edwardsport 8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C53" t="str">
            <v>Gallagher 1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C54" t="str">
            <v>Gallagher 2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C55" t="str">
            <v>Gallagher 3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C56" t="str">
            <v>Gallagher 4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C57" t="str">
            <v>Gibson 1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C58" t="str">
            <v>Gibson 2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C59" t="str">
            <v>Gibson 3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C60" t="str">
            <v>Gibson 4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C61" t="str">
            <v>Gibson 5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C62" t="str">
            <v>J.M. Stuart 1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C63" t="str">
            <v>J.M. Stuart 2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C64" t="str">
            <v>J.M. Stuart 3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C65" t="str">
            <v>J.M. Stuart 4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Killen 2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C67" t="str">
            <v>Miami Fort 5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C68" t="str">
            <v>Miami Fort 6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C69" t="str">
            <v>Miami Fort 7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C70" t="str">
            <v>Miami Fort 8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C71" t="str">
            <v>Noblesville 1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C72" t="str">
            <v>Noblesville 2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C73" t="str">
            <v>Wabash River 1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C74" t="str">
            <v>Wabash River 2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C75" t="str">
            <v>Wabash River 3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Wabash River 4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C77" t="str">
            <v>Wabash River 5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C78" t="str">
            <v>Wabash River 6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W.C. Beckjord 1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C80" t="str">
            <v>W.C. Beckjord 2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C81" t="str">
            <v>W.C. Beckjord 3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C82" t="str">
            <v>W.C. Beckjord 4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W.C. Beckjord 5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C84" t="str">
            <v>W.C. Beckjord 6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C85" t="str">
            <v>W.H. Zimmer 1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9">
          <cell r="C89" t="str">
            <v>Cayuga 1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C90" t="str">
            <v>Cayuga 2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C91" t="str">
            <v>Conesville 4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C92" t="str">
            <v>East Bend 2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C93" t="str">
            <v>Edwardsport 6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C94" t="str">
            <v>Edwardsport 7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C95" t="str">
            <v>Edwardsport 8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C96" t="str">
            <v>Gallagher 1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C97" t="str">
            <v>Gallagher 2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C98" t="str">
            <v>Gallagher 3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C99" t="str">
            <v>Gallagher 4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C100" t="str">
            <v>Gibson 1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C101" t="str">
            <v>Gibson 2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C102" t="str">
            <v>Gibson 3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C103" t="str">
            <v>Gibson 4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C104" t="str">
            <v>Gibson 5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C105" t="str">
            <v>J.M. Stuart 1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C106" t="str">
            <v>J.M. Stuart 2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C107" t="str">
            <v>J.M. Stuart 3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C108" t="str">
            <v>J.M. Stuart 4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C109" t="str">
            <v>Killen 2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C110" t="str">
            <v>Miami Fort 5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C111" t="str">
            <v>Miami Fort 6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C112" t="str">
            <v>Miami Fort 7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C113" t="str">
            <v>Miami Fort 8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C114" t="str">
            <v>Noblesville 1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C115" t="str">
            <v>Noblesville 2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Wabash River 1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C117" t="str">
            <v>Wabash River 2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Wabash River 3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Wabash River 4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C120" t="str">
            <v>Wabash River 5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C121" t="str">
            <v>Wabash River 6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W.C. Beckjord 1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C123" t="str">
            <v>W.C. Beckjord 2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C124" t="str">
            <v>W.C. Beckjord 3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C125" t="str">
            <v>W.C. Beckjord 4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C126" t="str">
            <v>W.C. Beckjord 5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C127" t="str">
            <v>W.C. Beckjord 6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C128" t="str">
            <v>W.H. Zimmer 1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32">
          <cell r="C132" t="str">
            <v>Cayuga 1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C133" t="str">
            <v>Cayuga 2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C134" t="str">
            <v>Conesville 4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C135" t="str">
            <v>East Bend 2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C136" t="str">
            <v>Edwardsport 6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C137" t="str">
            <v>Edwardsport 7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C138" t="str">
            <v>Edwardsport 8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C139" t="str">
            <v>Gallagher 1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C140" t="str">
            <v>Gallagher 2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C141" t="str">
            <v>Gallagher 3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C142" t="str">
            <v>Gallagher 4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C143" t="str">
            <v>Gibson 1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C144" t="str">
            <v>Gibson 2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C145" t="str">
            <v>Gibson 3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C146" t="str">
            <v>Gibson 4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C147" t="str">
            <v>Gibson 5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C148" t="str">
            <v>J.M. Stuart 1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C149" t="str">
            <v>J.M. Stuart 2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C150" t="str">
            <v>J.M. Stuart 3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C151" t="str">
            <v>J.M. Stuart 4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C152" t="str">
            <v>Killen 2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C153" t="str">
            <v>Miami Fort 5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C154" t="str">
            <v>Miami Fort 6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C155" t="str">
            <v>Miami Fort 7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Miami Fort 8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C157" t="str">
            <v>Noblesville 1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C158" t="str">
            <v>Noblesville 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C159" t="str">
            <v>Wabash River 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C160" t="str">
            <v>Wabash River 2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C161" t="str">
            <v>Wabash River 3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Wabash River 4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C163" t="str">
            <v>Wabash River 5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C164" t="str">
            <v>Wabash River 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C165" t="str">
            <v>W.C. Beckjord 1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C166" t="str">
            <v>W.C. Beckjord 2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C167" t="str">
            <v>W.C. Beckjord 3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C168" t="str">
            <v>W.C. Beckjord 4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W.C. Beckjord 5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C170" t="str">
            <v>W.C. Beckjord 6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C171" t="str">
            <v>W.H. Zimmer 1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5">
          <cell r="C175" t="str">
            <v>Cayuga 1</v>
          </cell>
          <cell r="D175">
            <v>0</v>
          </cell>
          <cell r="E175">
            <v>0</v>
          </cell>
          <cell r="F175">
            <v>0</v>
          </cell>
          <cell r="G175">
            <v>1</v>
          </cell>
          <cell r="H175">
            <v>1</v>
          </cell>
          <cell r="I175">
            <v>1</v>
          </cell>
          <cell r="J175">
            <v>2</v>
          </cell>
          <cell r="K175">
            <v>3</v>
          </cell>
          <cell r="L175">
            <v>3</v>
          </cell>
          <cell r="M175">
            <v>3</v>
          </cell>
          <cell r="N175">
            <v>3</v>
          </cell>
          <cell r="O175">
            <v>3</v>
          </cell>
          <cell r="P175">
            <v>3</v>
          </cell>
          <cell r="Q175">
            <v>3</v>
          </cell>
          <cell r="R175">
            <v>3</v>
          </cell>
          <cell r="S175">
            <v>3</v>
          </cell>
          <cell r="T175">
            <v>3</v>
          </cell>
          <cell r="U175">
            <v>3</v>
          </cell>
          <cell r="V175">
            <v>3</v>
          </cell>
          <cell r="W175">
            <v>3</v>
          </cell>
        </row>
        <row r="176">
          <cell r="C176" t="str">
            <v>Cayuga 2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1</v>
          </cell>
          <cell r="K176">
            <v>2</v>
          </cell>
          <cell r="L176">
            <v>2</v>
          </cell>
          <cell r="M176">
            <v>2</v>
          </cell>
          <cell r="N176">
            <v>2</v>
          </cell>
          <cell r="O176">
            <v>2</v>
          </cell>
          <cell r="P176">
            <v>2</v>
          </cell>
          <cell r="Q176">
            <v>2</v>
          </cell>
          <cell r="R176">
            <v>2</v>
          </cell>
          <cell r="S176">
            <v>2</v>
          </cell>
          <cell r="T176">
            <v>2</v>
          </cell>
          <cell r="U176">
            <v>2</v>
          </cell>
          <cell r="V176">
            <v>2</v>
          </cell>
          <cell r="W176">
            <v>2</v>
          </cell>
        </row>
        <row r="177">
          <cell r="C177" t="str">
            <v>Conesville 4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</row>
        <row r="178">
          <cell r="C178" t="str">
            <v>East Bend 2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</row>
        <row r="179">
          <cell r="C179" t="str">
            <v>Edwardsport 6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Edwardsport 7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</row>
        <row r="181">
          <cell r="C181" t="str">
            <v>Edwardsport 8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1</v>
          </cell>
          <cell r="P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</row>
        <row r="182">
          <cell r="C182" t="str">
            <v>Gallagher 1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2</v>
          </cell>
          <cell r="N182">
            <v>2</v>
          </cell>
          <cell r="O182">
            <v>2</v>
          </cell>
          <cell r="P182">
            <v>2</v>
          </cell>
          <cell r="Q182">
            <v>2</v>
          </cell>
          <cell r="R182">
            <v>2</v>
          </cell>
          <cell r="S182">
            <v>2</v>
          </cell>
          <cell r="T182">
            <v>2</v>
          </cell>
          <cell r="U182">
            <v>2</v>
          </cell>
          <cell r="V182">
            <v>2</v>
          </cell>
          <cell r="W182">
            <v>2</v>
          </cell>
        </row>
        <row r="183">
          <cell r="C183" t="str">
            <v>Gallagher 2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2</v>
          </cell>
          <cell r="N183">
            <v>2</v>
          </cell>
          <cell r="O183">
            <v>2</v>
          </cell>
          <cell r="P183">
            <v>2</v>
          </cell>
          <cell r="Q183">
            <v>2</v>
          </cell>
          <cell r="R183">
            <v>2</v>
          </cell>
          <cell r="S183">
            <v>2</v>
          </cell>
          <cell r="T183">
            <v>2</v>
          </cell>
          <cell r="U183">
            <v>2</v>
          </cell>
          <cell r="V183">
            <v>2</v>
          </cell>
          <cell r="W183">
            <v>2</v>
          </cell>
        </row>
        <row r="184">
          <cell r="C184" t="str">
            <v>Gallagher 3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2</v>
          </cell>
          <cell r="N184">
            <v>2</v>
          </cell>
          <cell r="O184">
            <v>2</v>
          </cell>
          <cell r="P184">
            <v>2</v>
          </cell>
          <cell r="Q184">
            <v>2</v>
          </cell>
          <cell r="R184">
            <v>2</v>
          </cell>
          <cell r="S184">
            <v>2</v>
          </cell>
          <cell r="T184">
            <v>2</v>
          </cell>
          <cell r="U184">
            <v>2</v>
          </cell>
          <cell r="V184">
            <v>2</v>
          </cell>
          <cell r="W184">
            <v>2</v>
          </cell>
        </row>
        <row r="185">
          <cell r="C185" t="str">
            <v>Gallagher 4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2</v>
          </cell>
          <cell r="N185">
            <v>2</v>
          </cell>
          <cell r="O185">
            <v>2</v>
          </cell>
          <cell r="P185">
            <v>2</v>
          </cell>
          <cell r="Q185">
            <v>2</v>
          </cell>
          <cell r="R185">
            <v>2</v>
          </cell>
          <cell r="S185">
            <v>2</v>
          </cell>
          <cell r="T185">
            <v>2</v>
          </cell>
          <cell r="U185">
            <v>2</v>
          </cell>
          <cell r="V185">
            <v>2</v>
          </cell>
          <cell r="W185">
            <v>2</v>
          </cell>
        </row>
        <row r="186">
          <cell r="C186" t="str">
            <v>Gibson 1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</v>
          </cell>
          <cell r="K186">
            <v>2</v>
          </cell>
          <cell r="L186">
            <v>2</v>
          </cell>
          <cell r="M186">
            <v>2</v>
          </cell>
          <cell r="N186">
            <v>2</v>
          </cell>
          <cell r="O186">
            <v>2</v>
          </cell>
          <cell r="P186">
            <v>2</v>
          </cell>
          <cell r="Q186">
            <v>2</v>
          </cell>
          <cell r="R186">
            <v>2</v>
          </cell>
          <cell r="S186">
            <v>2</v>
          </cell>
          <cell r="T186">
            <v>2</v>
          </cell>
          <cell r="U186">
            <v>2</v>
          </cell>
          <cell r="V186">
            <v>2</v>
          </cell>
          <cell r="W186">
            <v>2</v>
          </cell>
        </row>
        <row r="187">
          <cell r="C187" t="str">
            <v>Gibson 2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1</v>
          </cell>
          <cell r="K187">
            <v>2</v>
          </cell>
          <cell r="L187">
            <v>2</v>
          </cell>
          <cell r="M187">
            <v>2</v>
          </cell>
          <cell r="N187">
            <v>2</v>
          </cell>
          <cell r="O187">
            <v>2</v>
          </cell>
          <cell r="P187">
            <v>2</v>
          </cell>
          <cell r="Q187">
            <v>2</v>
          </cell>
          <cell r="R187">
            <v>2</v>
          </cell>
          <cell r="S187">
            <v>2</v>
          </cell>
          <cell r="T187">
            <v>2</v>
          </cell>
          <cell r="U187">
            <v>2</v>
          </cell>
          <cell r="V187">
            <v>2</v>
          </cell>
          <cell r="W187">
            <v>2</v>
          </cell>
        </row>
        <row r="188">
          <cell r="C188" t="str">
            <v>Gibson 3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1</v>
          </cell>
          <cell r="K188">
            <v>2</v>
          </cell>
          <cell r="L188">
            <v>2</v>
          </cell>
          <cell r="M188">
            <v>2</v>
          </cell>
          <cell r="N188">
            <v>2</v>
          </cell>
          <cell r="O188">
            <v>2</v>
          </cell>
          <cell r="P188">
            <v>2</v>
          </cell>
          <cell r="Q188">
            <v>2</v>
          </cell>
          <cell r="R188">
            <v>2</v>
          </cell>
          <cell r="S188">
            <v>2</v>
          </cell>
          <cell r="T188">
            <v>2</v>
          </cell>
          <cell r="U188">
            <v>2</v>
          </cell>
          <cell r="V188">
            <v>2</v>
          </cell>
          <cell r="W188">
            <v>2</v>
          </cell>
        </row>
        <row r="189">
          <cell r="C189" t="str">
            <v>Gibson 4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</row>
        <row r="190">
          <cell r="C190" t="str">
            <v>Gibson 5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</row>
        <row r="191">
          <cell r="C191" t="str">
            <v>J.M. Stuart 1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2</v>
          </cell>
          <cell r="N191">
            <v>2</v>
          </cell>
          <cell r="O191">
            <v>2</v>
          </cell>
          <cell r="P191">
            <v>2</v>
          </cell>
          <cell r="Q191">
            <v>2</v>
          </cell>
          <cell r="R191">
            <v>2</v>
          </cell>
          <cell r="S191">
            <v>2</v>
          </cell>
          <cell r="T191">
            <v>2</v>
          </cell>
          <cell r="U191">
            <v>2</v>
          </cell>
          <cell r="V191">
            <v>2</v>
          </cell>
          <cell r="W191">
            <v>2</v>
          </cell>
        </row>
        <row r="192">
          <cell r="C192" t="str">
            <v>J.M. Stuart 2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2</v>
          </cell>
          <cell r="N192">
            <v>2</v>
          </cell>
          <cell r="O192">
            <v>2</v>
          </cell>
          <cell r="P192">
            <v>2</v>
          </cell>
          <cell r="Q192">
            <v>2</v>
          </cell>
          <cell r="R192">
            <v>2</v>
          </cell>
          <cell r="S192">
            <v>2</v>
          </cell>
          <cell r="T192">
            <v>2</v>
          </cell>
          <cell r="U192">
            <v>2</v>
          </cell>
          <cell r="V192">
            <v>2</v>
          </cell>
          <cell r="W192">
            <v>2</v>
          </cell>
        </row>
        <row r="193">
          <cell r="C193" t="str">
            <v>J.M. Stuart 3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  <cell r="M193">
            <v>2</v>
          </cell>
          <cell r="N193">
            <v>2</v>
          </cell>
          <cell r="O193">
            <v>2</v>
          </cell>
          <cell r="P193">
            <v>2</v>
          </cell>
          <cell r="Q193">
            <v>2</v>
          </cell>
          <cell r="R193">
            <v>2</v>
          </cell>
          <cell r="S193">
            <v>2</v>
          </cell>
          <cell r="T193">
            <v>2</v>
          </cell>
          <cell r="U193">
            <v>2</v>
          </cell>
          <cell r="V193">
            <v>2</v>
          </cell>
          <cell r="W193">
            <v>2</v>
          </cell>
        </row>
        <row r="194">
          <cell r="C194" t="str">
            <v>J.M. Stuart 4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2</v>
          </cell>
          <cell r="N194">
            <v>2</v>
          </cell>
          <cell r="O194">
            <v>2</v>
          </cell>
          <cell r="P194">
            <v>2</v>
          </cell>
          <cell r="Q194">
            <v>2</v>
          </cell>
          <cell r="R194">
            <v>2</v>
          </cell>
          <cell r="S194">
            <v>2</v>
          </cell>
          <cell r="T194">
            <v>2</v>
          </cell>
          <cell r="U194">
            <v>2</v>
          </cell>
          <cell r="V194">
            <v>2</v>
          </cell>
          <cell r="W194">
            <v>2</v>
          </cell>
        </row>
        <row r="195">
          <cell r="C195" t="str">
            <v>Killen 2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2</v>
          </cell>
          <cell r="N195">
            <v>2</v>
          </cell>
          <cell r="O195">
            <v>2</v>
          </cell>
          <cell r="P195">
            <v>2</v>
          </cell>
          <cell r="Q195">
            <v>2</v>
          </cell>
          <cell r="R195">
            <v>2</v>
          </cell>
          <cell r="S195">
            <v>2</v>
          </cell>
          <cell r="T195">
            <v>2</v>
          </cell>
          <cell r="U195">
            <v>2</v>
          </cell>
          <cell r="V195">
            <v>2</v>
          </cell>
          <cell r="W195">
            <v>2</v>
          </cell>
        </row>
        <row r="196">
          <cell r="C196" t="str">
            <v>Miami Fort 5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</row>
        <row r="197">
          <cell r="C197" t="str">
            <v>Miami Fort 6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  <cell r="M197">
            <v>2</v>
          </cell>
          <cell r="N197">
            <v>2</v>
          </cell>
          <cell r="O197">
            <v>2</v>
          </cell>
          <cell r="P197">
            <v>2</v>
          </cell>
          <cell r="Q197">
            <v>2</v>
          </cell>
          <cell r="R197">
            <v>2</v>
          </cell>
          <cell r="S197">
            <v>2</v>
          </cell>
          <cell r="T197">
            <v>2</v>
          </cell>
          <cell r="U197">
            <v>2</v>
          </cell>
          <cell r="V197">
            <v>2</v>
          </cell>
          <cell r="W197">
            <v>2</v>
          </cell>
        </row>
        <row r="198">
          <cell r="C198" t="str">
            <v>Miami Fort 7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  <cell r="M198">
            <v>2</v>
          </cell>
          <cell r="N198">
            <v>2</v>
          </cell>
          <cell r="O198">
            <v>2</v>
          </cell>
          <cell r="P198">
            <v>2</v>
          </cell>
          <cell r="Q198">
            <v>2</v>
          </cell>
          <cell r="R198">
            <v>2</v>
          </cell>
          <cell r="S198">
            <v>2</v>
          </cell>
          <cell r="T198">
            <v>2</v>
          </cell>
          <cell r="U198">
            <v>2</v>
          </cell>
          <cell r="V198">
            <v>2</v>
          </cell>
          <cell r="W198">
            <v>2</v>
          </cell>
        </row>
        <row r="199">
          <cell r="C199" t="str">
            <v>Miami Fort 8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2</v>
          </cell>
          <cell r="N199">
            <v>2</v>
          </cell>
          <cell r="O199">
            <v>2</v>
          </cell>
          <cell r="P199">
            <v>2</v>
          </cell>
          <cell r="Q199">
            <v>2</v>
          </cell>
          <cell r="R199">
            <v>2</v>
          </cell>
          <cell r="S199">
            <v>2</v>
          </cell>
          <cell r="T199">
            <v>2</v>
          </cell>
          <cell r="U199">
            <v>2</v>
          </cell>
          <cell r="V199">
            <v>2</v>
          </cell>
          <cell r="W199">
            <v>2</v>
          </cell>
        </row>
        <row r="200">
          <cell r="C200" t="str">
            <v>Noblesville 1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  <cell r="R200">
            <v>1</v>
          </cell>
          <cell r="S200">
            <v>1</v>
          </cell>
          <cell r="T200">
            <v>1</v>
          </cell>
          <cell r="U200">
            <v>1</v>
          </cell>
          <cell r="V200">
            <v>1</v>
          </cell>
          <cell r="W200">
            <v>1</v>
          </cell>
        </row>
        <row r="201">
          <cell r="C201" t="str">
            <v>Noblesville 2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</row>
        <row r="202">
          <cell r="C202" t="str">
            <v>Wabash River 1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Wabash River 2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1</v>
          </cell>
          <cell r="J203">
            <v>1</v>
          </cell>
          <cell r="K203">
            <v>1</v>
          </cell>
          <cell r="L203">
            <v>2</v>
          </cell>
          <cell r="M203">
            <v>2</v>
          </cell>
          <cell r="N203">
            <v>2</v>
          </cell>
          <cell r="O203">
            <v>2</v>
          </cell>
          <cell r="P203">
            <v>2</v>
          </cell>
          <cell r="Q203">
            <v>2</v>
          </cell>
          <cell r="R203">
            <v>2</v>
          </cell>
          <cell r="S203">
            <v>2</v>
          </cell>
          <cell r="T203">
            <v>2</v>
          </cell>
          <cell r="U203">
            <v>2</v>
          </cell>
          <cell r="V203">
            <v>2</v>
          </cell>
          <cell r="W203">
            <v>2</v>
          </cell>
        </row>
        <row r="204">
          <cell r="C204" t="str">
            <v>Wabash River 3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1</v>
          </cell>
          <cell r="J204">
            <v>1</v>
          </cell>
          <cell r="K204">
            <v>1</v>
          </cell>
          <cell r="L204">
            <v>2</v>
          </cell>
          <cell r="M204">
            <v>2</v>
          </cell>
          <cell r="N204">
            <v>2</v>
          </cell>
          <cell r="O204">
            <v>2</v>
          </cell>
          <cell r="P204">
            <v>2</v>
          </cell>
          <cell r="Q204">
            <v>2</v>
          </cell>
          <cell r="R204">
            <v>2</v>
          </cell>
          <cell r="S204">
            <v>2</v>
          </cell>
          <cell r="T204">
            <v>2</v>
          </cell>
          <cell r="U204">
            <v>2</v>
          </cell>
          <cell r="V204">
            <v>2</v>
          </cell>
          <cell r="W204">
            <v>2</v>
          </cell>
        </row>
        <row r="205">
          <cell r="C205" t="str">
            <v>Wabash River 4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1</v>
          </cell>
          <cell r="J205">
            <v>1</v>
          </cell>
          <cell r="K205">
            <v>1</v>
          </cell>
          <cell r="L205">
            <v>2</v>
          </cell>
          <cell r="M205">
            <v>2</v>
          </cell>
          <cell r="N205">
            <v>2</v>
          </cell>
          <cell r="O205">
            <v>2</v>
          </cell>
          <cell r="P205">
            <v>2</v>
          </cell>
          <cell r="Q205">
            <v>2</v>
          </cell>
          <cell r="R205">
            <v>2</v>
          </cell>
          <cell r="S205">
            <v>2</v>
          </cell>
          <cell r="T205">
            <v>2</v>
          </cell>
          <cell r="U205">
            <v>2</v>
          </cell>
          <cell r="V205">
            <v>2</v>
          </cell>
          <cell r="W205">
            <v>2</v>
          </cell>
        </row>
        <row r="206">
          <cell r="C206" t="str">
            <v>Wabash River 5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</v>
          </cell>
          <cell r="J206">
            <v>1</v>
          </cell>
          <cell r="K206">
            <v>1</v>
          </cell>
          <cell r="L206">
            <v>2</v>
          </cell>
          <cell r="M206">
            <v>2</v>
          </cell>
          <cell r="N206">
            <v>2</v>
          </cell>
          <cell r="O206">
            <v>2</v>
          </cell>
          <cell r="P206">
            <v>2</v>
          </cell>
          <cell r="Q206">
            <v>2</v>
          </cell>
          <cell r="R206">
            <v>2</v>
          </cell>
          <cell r="S206">
            <v>2</v>
          </cell>
          <cell r="T206">
            <v>2</v>
          </cell>
          <cell r="U206">
            <v>2</v>
          </cell>
          <cell r="V206">
            <v>2</v>
          </cell>
          <cell r="W206">
            <v>2</v>
          </cell>
        </row>
        <row r="207">
          <cell r="C207" t="str">
            <v>Wabash River 6</v>
          </cell>
          <cell r="D207">
            <v>0</v>
          </cell>
          <cell r="E207">
            <v>0</v>
          </cell>
          <cell r="F207">
            <v>0</v>
          </cell>
          <cell r="G207">
            <v>1</v>
          </cell>
          <cell r="H207">
            <v>1</v>
          </cell>
          <cell r="I207">
            <v>2</v>
          </cell>
          <cell r="J207">
            <v>3</v>
          </cell>
          <cell r="K207">
            <v>4</v>
          </cell>
          <cell r="L207">
            <v>6</v>
          </cell>
          <cell r="M207">
            <v>6</v>
          </cell>
          <cell r="N207">
            <v>6</v>
          </cell>
          <cell r="O207">
            <v>6</v>
          </cell>
          <cell r="P207">
            <v>6</v>
          </cell>
          <cell r="Q207">
            <v>6</v>
          </cell>
          <cell r="R207">
            <v>6</v>
          </cell>
          <cell r="S207">
            <v>6</v>
          </cell>
          <cell r="T207">
            <v>6</v>
          </cell>
          <cell r="U207">
            <v>6</v>
          </cell>
          <cell r="V207">
            <v>6</v>
          </cell>
          <cell r="W207">
            <v>6</v>
          </cell>
        </row>
        <row r="208">
          <cell r="C208" t="str">
            <v>W.C. Beckjord 1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</row>
        <row r="209">
          <cell r="C209" t="str">
            <v>W.C. Beckjord 2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  <cell r="R209">
            <v>1</v>
          </cell>
          <cell r="S209">
            <v>1</v>
          </cell>
          <cell r="T209">
            <v>1</v>
          </cell>
          <cell r="U209">
            <v>1</v>
          </cell>
          <cell r="V209">
            <v>1</v>
          </cell>
          <cell r="W209">
            <v>1</v>
          </cell>
        </row>
        <row r="210">
          <cell r="C210" t="str">
            <v>W.C. Beckjord 3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</row>
        <row r="211">
          <cell r="C211" t="str">
            <v>W.C. Beckjord 4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  <cell r="R211">
            <v>1</v>
          </cell>
          <cell r="S211">
            <v>1</v>
          </cell>
          <cell r="T211">
            <v>1</v>
          </cell>
          <cell r="U211">
            <v>1</v>
          </cell>
          <cell r="V211">
            <v>1</v>
          </cell>
          <cell r="W211">
            <v>1</v>
          </cell>
        </row>
        <row r="212">
          <cell r="C212" t="str">
            <v>W.C. Beckjord 5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  <cell r="M212">
            <v>2</v>
          </cell>
          <cell r="N212">
            <v>2</v>
          </cell>
          <cell r="O212">
            <v>2</v>
          </cell>
          <cell r="P212">
            <v>2</v>
          </cell>
          <cell r="Q212">
            <v>2</v>
          </cell>
          <cell r="R212">
            <v>2</v>
          </cell>
          <cell r="S212">
            <v>2</v>
          </cell>
          <cell r="T212">
            <v>2</v>
          </cell>
          <cell r="U212">
            <v>2</v>
          </cell>
          <cell r="V212">
            <v>2</v>
          </cell>
          <cell r="W212">
            <v>2</v>
          </cell>
        </row>
        <row r="213">
          <cell r="C213" t="str">
            <v>W.C. Beckjord 6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2</v>
          </cell>
          <cell r="N213">
            <v>2</v>
          </cell>
          <cell r="O213">
            <v>2</v>
          </cell>
          <cell r="P213">
            <v>2</v>
          </cell>
          <cell r="Q213">
            <v>2</v>
          </cell>
          <cell r="R213">
            <v>2</v>
          </cell>
          <cell r="S213">
            <v>2</v>
          </cell>
          <cell r="T213">
            <v>2</v>
          </cell>
          <cell r="U213">
            <v>2</v>
          </cell>
          <cell r="V213">
            <v>2</v>
          </cell>
          <cell r="W213">
            <v>2</v>
          </cell>
        </row>
        <row r="214">
          <cell r="C214" t="str">
            <v>W.H. Zimmer 1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1</v>
          </cell>
          <cell r="S214">
            <v>1</v>
          </cell>
          <cell r="T214">
            <v>1</v>
          </cell>
          <cell r="U214">
            <v>1</v>
          </cell>
          <cell r="V214">
            <v>1</v>
          </cell>
          <cell r="W214">
            <v>1</v>
          </cell>
        </row>
        <row r="218">
          <cell r="C218" t="str">
            <v>Cayuga 1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Cayuga 2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Conesville 4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C221" t="str">
            <v>East Bend 2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C222" t="str">
            <v>Edwardsport 6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C223" t="str">
            <v>Edwardsport 7</v>
          </cell>
          <cell r="D223">
            <v>0</v>
          </cell>
          <cell r="E223">
            <v>0</v>
          </cell>
          <cell r="F223">
            <v>1</v>
          </cell>
          <cell r="G223">
            <v>2</v>
          </cell>
          <cell r="H223">
            <v>2</v>
          </cell>
          <cell r="I223">
            <v>2</v>
          </cell>
          <cell r="J223">
            <v>2</v>
          </cell>
          <cell r="K223">
            <v>2</v>
          </cell>
          <cell r="L223">
            <v>2</v>
          </cell>
          <cell r="M223">
            <v>2</v>
          </cell>
          <cell r="N223">
            <v>2</v>
          </cell>
          <cell r="O223">
            <v>2</v>
          </cell>
          <cell r="P223">
            <v>2</v>
          </cell>
          <cell r="Q223">
            <v>2</v>
          </cell>
          <cell r="R223">
            <v>2</v>
          </cell>
          <cell r="S223">
            <v>2</v>
          </cell>
          <cell r="T223">
            <v>2</v>
          </cell>
          <cell r="U223">
            <v>2</v>
          </cell>
          <cell r="V223">
            <v>2</v>
          </cell>
          <cell r="W223">
            <v>2</v>
          </cell>
        </row>
        <row r="224">
          <cell r="C224" t="str">
            <v>Edwardsport 8</v>
          </cell>
          <cell r="D224">
            <v>0</v>
          </cell>
          <cell r="E224">
            <v>0</v>
          </cell>
          <cell r="F224">
            <v>1</v>
          </cell>
          <cell r="G224">
            <v>2</v>
          </cell>
          <cell r="H224">
            <v>2</v>
          </cell>
          <cell r="I224">
            <v>2</v>
          </cell>
          <cell r="J224">
            <v>2</v>
          </cell>
          <cell r="K224">
            <v>2</v>
          </cell>
          <cell r="L224">
            <v>2</v>
          </cell>
          <cell r="M224">
            <v>2</v>
          </cell>
          <cell r="N224">
            <v>2</v>
          </cell>
          <cell r="O224">
            <v>2</v>
          </cell>
          <cell r="P224">
            <v>2</v>
          </cell>
          <cell r="Q224">
            <v>2</v>
          </cell>
          <cell r="R224">
            <v>2</v>
          </cell>
          <cell r="S224">
            <v>2</v>
          </cell>
          <cell r="T224">
            <v>2</v>
          </cell>
          <cell r="U224">
            <v>2</v>
          </cell>
          <cell r="V224">
            <v>2</v>
          </cell>
          <cell r="W224">
            <v>2</v>
          </cell>
        </row>
        <row r="225">
          <cell r="C225" t="str">
            <v>Gallagher 1</v>
          </cell>
          <cell r="D225">
            <v>0</v>
          </cell>
          <cell r="E225">
            <v>0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2</v>
          </cell>
          <cell r="K225">
            <v>2</v>
          </cell>
          <cell r="L225">
            <v>2</v>
          </cell>
          <cell r="M225">
            <v>2</v>
          </cell>
          <cell r="N225">
            <v>2</v>
          </cell>
          <cell r="O225">
            <v>2</v>
          </cell>
          <cell r="P225">
            <v>2</v>
          </cell>
          <cell r="Q225">
            <v>2</v>
          </cell>
          <cell r="R225">
            <v>2</v>
          </cell>
          <cell r="S225">
            <v>2</v>
          </cell>
          <cell r="T225">
            <v>2</v>
          </cell>
          <cell r="U225">
            <v>2</v>
          </cell>
          <cell r="V225">
            <v>2</v>
          </cell>
          <cell r="W225">
            <v>2</v>
          </cell>
        </row>
        <row r="226">
          <cell r="C226" t="str">
            <v>Gallagher 2</v>
          </cell>
          <cell r="D226">
            <v>0</v>
          </cell>
          <cell r="E226">
            <v>0</v>
          </cell>
          <cell r="F226">
            <v>1</v>
          </cell>
          <cell r="G226">
            <v>1</v>
          </cell>
          <cell r="H226">
            <v>1</v>
          </cell>
          <cell r="I226">
            <v>1</v>
          </cell>
          <cell r="J226">
            <v>2</v>
          </cell>
          <cell r="K226">
            <v>2</v>
          </cell>
          <cell r="L226">
            <v>2</v>
          </cell>
          <cell r="M226">
            <v>2</v>
          </cell>
          <cell r="N226">
            <v>2</v>
          </cell>
          <cell r="O226">
            <v>2</v>
          </cell>
          <cell r="P226">
            <v>2</v>
          </cell>
          <cell r="Q226">
            <v>2</v>
          </cell>
          <cell r="R226">
            <v>2</v>
          </cell>
          <cell r="S226">
            <v>2</v>
          </cell>
          <cell r="T226">
            <v>2</v>
          </cell>
          <cell r="U226">
            <v>2</v>
          </cell>
          <cell r="V226">
            <v>2</v>
          </cell>
          <cell r="W226">
            <v>2</v>
          </cell>
        </row>
        <row r="227">
          <cell r="C227" t="str">
            <v>Gallagher 3</v>
          </cell>
          <cell r="D227">
            <v>0</v>
          </cell>
          <cell r="E227">
            <v>0</v>
          </cell>
          <cell r="F227">
            <v>1</v>
          </cell>
          <cell r="G227">
            <v>1</v>
          </cell>
          <cell r="H227">
            <v>1</v>
          </cell>
          <cell r="I227">
            <v>1</v>
          </cell>
          <cell r="J227">
            <v>2</v>
          </cell>
          <cell r="K227">
            <v>2</v>
          </cell>
          <cell r="L227">
            <v>2</v>
          </cell>
          <cell r="M227">
            <v>2</v>
          </cell>
          <cell r="N227">
            <v>2</v>
          </cell>
          <cell r="O227">
            <v>2</v>
          </cell>
          <cell r="P227">
            <v>2</v>
          </cell>
          <cell r="Q227">
            <v>2</v>
          </cell>
          <cell r="R227">
            <v>2</v>
          </cell>
          <cell r="S227">
            <v>2</v>
          </cell>
          <cell r="T227">
            <v>2</v>
          </cell>
          <cell r="U227">
            <v>2</v>
          </cell>
          <cell r="V227">
            <v>2</v>
          </cell>
          <cell r="W227">
            <v>2</v>
          </cell>
        </row>
        <row r="228">
          <cell r="C228" t="str">
            <v>Gallagher 4</v>
          </cell>
          <cell r="D228">
            <v>0</v>
          </cell>
          <cell r="E228">
            <v>0</v>
          </cell>
          <cell r="F228">
            <v>1</v>
          </cell>
          <cell r="G228">
            <v>1</v>
          </cell>
          <cell r="H228">
            <v>1</v>
          </cell>
          <cell r="I228">
            <v>1</v>
          </cell>
          <cell r="J228">
            <v>2</v>
          </cell>
          <cell r="K228">
            <v>2</v>
          </cell>
          <cell r="L228">
            <v>2</v>
          </cell>
          <cell r="M228">
            <v>2</v>
          </cell>
          <cell r="N228">
            <v>2</v>
          </cell>
          <cell r="O228">
            <v>2</v>
          </cell>
          <cell r="P228">
            <v>2</v>
          </cell>
          <cell r="Q228">
            <v>2</v>
          </cell>
          <cell r="R228">
            <v>2</v>
          </cell>
          <cell r="S228">
            <v>2</v>
          </cell>
          <cell r="T228">
            <v>2</v>
          </cell>
          <cell r="U228">
            <v>2</v>
          </cell>
          <cell r="V228">
            <v>2</v>
          </cell>
          <cell r="W228">
            <v>2</v>
          </cell>
        </row>
        <row r="229">
          <cell r="C229" t="str">
            <v>Gibson 1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Gibson 2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Gibson 3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Gibson 4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Gibson 5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J.M. Stuart 1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J.M. Stuart 2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J.M. Stuart 3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J.M. Stuart 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C238" t="str">
            <v>Killen 2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C239" t="str">
            <v>Miami Fort 5</v>
          </cell>
          <cell r="D239">
            <v>0</v>
          </cell>
          <cell r="E239">
            <v>0</v>
          </cell>
          <cell r="F239">
            <v>1</v>
          </cell>
          <cell r="G239">
            <v>2</v>
          </cell>
          <cell r="H239">
            <v>2</v>
          </cell>
          <cell r="I239">
            <v>2</v>
          </cell>
          <cell r="J239">
            <v>4</v>
          </cell>
          <cell r="K239">
            <v>4</v>
          </cell>
          <cell r="L239">
            <v>4</v>
          </cell>
          <cell r="M239">
            <v>4</v>
          </cell>
          <cell r="N239">
            <v>4</v>
          </cell>
          <cell r="O239">
            <v>4</v>
          </cell>
          <cell r="P239">
            <v>4</v>
          </cell>
          <cell r="Q239">
            <v>4</v>
          </cell>
          <cell r="R239">
            <v>4</v>
          </cell>
          <cell r="S239">
            <v>4</v>
          </cell>
          <cell r="T239">
            <v>4</v>
          </cell>
          <cell r="U239">
            <v>4</v>
          </cell>
          <cell r="V239">
            <v>4</v>
          </cell>
          <cell r="W239">
            <v>4</v>
          </cell>
        </row>
        <row r="240">
          <cell r="C240" t="str">
            <v>Miami Fort 6</v>
          </cell>
          <cell r="D240">
            <v>0</v>
          </cell>
          <cell r="E240">
            <v>0</v>
          </cell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2</v>
          </cell>
          <cell r="K240">
            <v>2</v>
          </cell>
          <cell r="L240">
            <v>2</v>
          </cell>
          <cell r="M240">
            <v>2</v>
          </cell>
          <cell r="N240">
            <v>2</v>
          </cell>
          <cell r="O240">
            <v>2</v>
          </cell>
          <cell r="P240">
            <v>2</v>
          </cell>
          <cell r="Q240">
            <v>2</v>
          </cell>
          <cell r="R240">
            <v>2</v>
          </cell>
          <cell r="S240">
            <v>2</v>
          </cell>
          <cell r="T240">
            <v>2</v>
          </cell>
          <cell r="U240">
            <v>2</v>
          </cell>
          <cell r="V240">
            <v>2</v>
          </cell>
          <cell r="W240">
            <v>2</v>
          </cell>
        </row>
        <row r="241">
          <cell r="C241" t="str">
            <v>Miami Fort 7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C242" t="str">
            <v>Miami Fort 8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C243" t="str">
            <v>Noblesville 1</v>
          </cell>
          <cell r="D243">
            <v>0</v>
          </cell>
          <cell r="E243">
            <v>0</v>
          </cell>
          <cell r="F243">
            <v>1</v>
          </cell>
          <cell r="G243">
            <v>2</v>
          </cell>
          <cell r="H243">
            <v>2</v>
          </cell>
          <cell r="I243">
            <v>2</v>
          </cell>
          <cell r="J243">
            <v>4</v>
          </cell>
          <cell r="K243">
            <v>4</v>
          </cell>
          <cell r="L243">
            <v>4</v>
          </cell>
          <cell r="M243">
            <v>4</v>
          </cell>
          <cell r="N243">
            <v>4</v>
          </cell>
          <cell r="O243">
            <v>4</v>
          </cell>
          <cell r="P243">
            <v>4</v>
          </cell>
          <cell r="Q243">
            <v>4</v>
          </cell>
          <cell r="R243">
            <v>4</v>
          </cell>
          <cell r="S243">
            <v>4</v>
          </cell>
          <cell r="T243">
            <v>4</v>
          </cell>
          <cell r="U243">
            <v>4</v>
          </cell>
          <cell r="V243">
            <v>4</v>
          </cell>
          <cell r="W243">
            <v>4</v>
          </cell>
        </row>
        <row r="244">
          <cell r="C244" t="str">
            <v>Noblesville 2</v>
          </cell>
          <cell r="D244">
            <v>0</v>
          </cell>
          <cell r="E244">
            <v>0</v>
          </cell>
          <cell r="F244">
            <v>1</v>
          </cell>
          <cell r="G244">
            <v>2</v>
          </cell>
          <cell r="H244">
            <v>2</v>
          </cell>
          <cell r="I244">
            <v>2</v>
          </cell>
          <cell r="J244">
            <v>4</v>
          </cell>
          <cell r="K244">
            <v>4</v>
          </cell>
          <cell r="L244">
            <v>4</v>
          </cell>
          <cell r="M244">
            <v>4</v>
          </cell>
          <cell r="N244">
            <v>4</v>
          </cell>
          <cell r="O244">
            <v>4</v>
          </cell>
          <cell r="P244">
            <v>4</v>
          </cell>
          <cell r="Q244">
            <v>4</v>
          </cell>
          <cell r="R244">
            <v>4</v>
          </cell>
          <cell r="S244">
            <v>4</v>
          </cell>
          <cell r="T244">
            <v>4</v>
          </cell>
          <cell r="U244">
            <v>4</v>
          </cell>
          <cell r="V244">
            <v>4</v>
          </cell>
          <cell r="W244">
            <v>4</v>
          </cell>
        </row>
        <row r="245">
          <cell r="C245" t="str">
            <v>Wabash River 1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C246" t="str">
            <v>Wabash River 2</v>
          </cell>
          <cell r="D246">
            <v>0</v>
          </cell>
          <cell r="E246">
            <v>0</v>
          </cell>
          <cell r="F246">
            <v>1</v>
          </cell>
          <cell r="G246">
            <v>2</v>
          </cell>
          <cell r="H246">
            <v>2</v>
          </cell>
          <cell r="I246">
            <v>2</v>
          </cell>
          <cell r="J246">
            <v>4</v>
          </cell>
          <cell r="K246">
            <v>4</v>
          </cell>
          <cell r="L246">
            <v>4</v>
          </cell>
          <cell r="M246">
            <v>4</v>
          </cell>
          <cell r="N246">
            <v>4</v>
          </cell>
          <cell r="O246">
            <v>4</v>
          </cell>
          <cell r="P246">
            <v>4</v>
          </cell>
          <cell r="Q246">
            <v>4</v>
          </cell>
          <cell r="R246">
            <v>4</v>
          </cell>
          <cell r="S246">
            <v>4</v>
          </cell>
          <cell r="T246">
            <v>4</v>
          </cell>
          <cell r="U246">
            <v>4</v>
          </cell>
          <cell r="V246">
            <v>4</v>
          </cell>
          <cell r="W246">
            <v>4</v>
          </cell>
        </row>
        <row r="247">
          <cell r="C247" t="str">
            <v>Wabash River 3</v>
          </cell>
          <cell r="D247">
            <v>0</v>
          </cell>
          <cell r="E247">
            <v>0</v>
          </cell>
          <cell r="F247">
            <v>1</v>
          </cell>
          <cell r="G247">
            <v>2</v>
          </cell>
          <cell r="H247">
            <v>2</v>
          </cell>
          <cell r="I247">
            <v>2</v>
          </cell>
          <cell r="J247">
            <v>4</v>
          </cell>
          <cell r="K247">
            <v>4</v>
          </cell>
          <cell r="L247">
            <v>4</v>
          </cell>
          <cell r="M247">
            <v>4</v>
          </cell>
          <cell r="N247">
            <v>4</v>
          </cell>
          <cell r="O247">
            <v>4</v>
          </cell>
          <cell r="P247">
            <v>4</v>
          </cell>
          <cell r="Q247">
            <v>4</v>
          </cell>
          <cell r="R247">
            <v>4</v>
          </cell>
          <cell r="S247">
            <v>4</v>
          </cell>
          <cell r="T247">
            <v>4</v>
          </cell>
          <cell r="U247">
            <v>4</v>
          </cell>
          <cell r="V247">
            <v>4</v>
          </cell>
          <cell r="W247">
            <v>4</v>
          </cell>
        </row>
        <row r="248">
          <cell r="C248" t="str">
            <v>Wabash River 4</v>
          </cell>
          <cell r="D248">
            <v>0</v>
          </cell>
          <cell r="E248">
            <v>0</v>
          </cell>
          <cell r="F248">
            <v>1</v>
          </cell>
          <cell r="G248">
            <v>2</v>
          </cell>
          <cell r="H248">
            <v>2</v>
          </cell>
          <cell r="I248">
            <v>2</v>
          </cell>
          <cell r="J248">
            <v>4</v>
          </cell>
          <cell r="K248">
            <v>4</v>
          </cell>
          <cell r="L248">
            <v>4</v>
          </cell>
          <cell r="M248">
            <v>4</v>
          </cell>
          <cell r="N248">
            <v>4</v>
          </cell>
          <cell r="O248">
            <v>4</v>
          </cell>
          <cell r="P248">
            <v>4</v>
          </cell>
          <cell r="Q248">
            <v>4</v>
          </cell>
          <cell r="R248">
            <v>4</v>
          </cell>
          <cell r="S248">
            <v>4</v>
          </cell>
          <cell r="T248">
            <v>4</v>
          </cell>
          <cell r="U248">
            <v>4</v>
          </cell>
          <cell r="V248">
            <v>4</v>
          </cell>
          <cell r="W248">
            <v>4</v>
          </cell>
        </row>
        <row r="249">
          <cell r="C249" t="str">
            <v>Wabash River 5</v>
          </cell>
          <cell r="D249">
            <v>0</v>
          </cell>
          <cell r="E249">
            <v>0</v>
          </cell>
          <cell r="F249">
            <v>1</v>
          </cell>
          <cell r="G249">
            <v>2</v>
          </cell>
          <cell r="H249">
            <v>2</v>
          </cell>
          <cell r="I249">
            <v>2</v>
          </cell>
          <cell r="J249">
            <v>4</v>
          </cell>
          <cell r="K249">
            <v>4</v>
          </cell>
          <cell r="L249">
            <v>4</v>
          </cell>
          <cell r="M249">
            <v>4</v>
          </cell>
          <cell r="N249">
            <v>4</v>
          </cell>
          <cell r="O249">
            <v>4</v>
          </cell>
          <cell r="P249">
            <v>4</v>
          </cell>
          <cell r="Q249">
            <v>4</v>
          </cell>
          <cell r="R249">
            <v>4</v>
          </cell>
          <cell r="S249">
            <v>4</v>
          </cell>
          <cell r="T249">
            <v>4</v>
          </cell>
          <cell r="U249">
            <v>4</v>
          </cell>
          <cell r="V249">
            <v>4</v>
          </cell>
          <cell r="W249">
            <v>4</v>
          </cell>
        </row>
        <row r="250">
          <cell r="C250" t="str">
            <v>Wabash River 6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C251" t="str">
            <v>W.C. Beckjord 1</v>
          </cell>
          <cell r="D251">
            <v>0</v>
          </cell>
          <cell r="E251">
            <v>0</v>
          </cell>
          <cell r="F251">
            <v>1</v>
          </cell>
          <cell r="G251">
            <v>2</v>
          </cell>
          <cell r="H251">
            <v>2</v>
          </cell>
          <cell r="I251">
            <v>2</v>
          </cell>
          <cell r="J251">
            <v>4</v>
          </cell>
          <cell r="K251">
            <v>4</v>
          </cell>
          <cell r="L251">
            <v>4</v>
          </cell>
          <cell r="M251">
            <v>4</v>
          </cell>
          <cell r="N251">
            <v>4</v>
          </cell>
          <cell r="O251">
            <v>4</v>
          </cell>
          <cell r="P251">
            <v>4</v>
          </cell>
          <cell r="Q251">
            <v>4</v>
          </cell>
          <cell r="R251">
            <v>4</v>
          </cell>
          <cell r="S251">
            <v>4</v>
          </cell>
          <cell r="T251">
            <v>4</v>
          </cell>
          <cell r="U251">
            <v>4</v>
          </cell>
          <cell r="V251">
            <v>4</v>
          </cell>
          <cell r="W251">
            <v>4</v>
          </cell>
        </row>
        <row r="252">
          <cell r="C252" t="str">
            <v>W.C. Beckjord 2</v>
          </cell>
          <cell r="D252">
            <v>0</v>
          </cell>
          <cell r="E252">
            <v>0</v>
          </cell>
          <cell r="F252">
            <v>1</v>
          </cell>
          <cell r="G252">
            <v>2</v>
          </cell>
          <cell r="H252">
            <v>2</v>
          </cell>
          <cell r="I252">
            <v>2</v>
          </cell>
          <cell r="J252">
            <v>4</v>
          </cell>
          <cell r="K252">
            <v>4</v>
          </cell>
          <cell r="L252">
            <v>4</v>
          </cell>
          <cell r="M252">
            <v>4</v>
          </cell>
          <cell r="N252">
            <v>4</v>
          </cell>
          <cell r="O252">
            <v>4</v>
          </cell>
          <cell r="P252">
            <v>4</v>
          </cell>
          <cell r="Q252">
            <v>4</v>
          </cell>
          <cell r="R252">
            <v>4</v>
          </cell>
          <cell r="S252">
            <v>4</v>
          </cell>
          <cell r="T252">
            <v>4</v>
          </cell>
          <cell r="U252">
            <v>4</v>
          </cell>
          <cell r="V252">
            <v>4</v>
          </cell>
          <cell r="W252">
            <v>4</v>
          </cell>
        </row>
        <row r="253">
          <cell r="C253" t="str">
            <v>W.C. Beckjord 3</v>
          </cell>
          <cell r="D253">
            <v>0</v>
          </cell>
          <cell r="E253">
            <v>0</v>
          </cell>
          <cell r="F253">
            <v>1</v>
          </cell>
          <cell r="G253">
            <v>2</v>
          </cell>
          <cell r="H253">
            <v>2</v>
          </cell>
          <cell r="I253">
            <v>2</v>
          </cell>
          <cell r="J253">
            <v>4</v>
          </cell>
          <cell r="K253">
            <v>4</v>
          </cell>
          <cell r="L253">
            <v>4</v>
          </cell>
          <cell r="M253">
            <v>4</v>
          </cell>
          <cell r="N253">
            <v>4</v>
          </cell>
          <cell r="O253">
            <v>4</v>
          </cell>
          <cell r="P253">
            <v>4</v>
          </cell>
          <cell r="Q253">
            <v>4</v>
          </cell>
          <cell r="R253">
            <v>4</v>
          </cell>
          <cell r="S253">
            <v>4</v>
          </cell>
          <cell r="T253">
            <v>4</v>
          </cell>
          <cell r="U253">
            <v>4</v>
          </cell>
          <cell r="V253">
            <v>4</v>
          </cell>
          <cell r="W253">
            <v>4</v>
          </cell>
        </row>
        <row r="254">
          <cell r="C254" t="str">
            <v>W.C. Beckjord 4</v>
          </cell>
          <cell r="D254">
            <v>0</v>
          </cell>
          <cell r="E254">
            <v>0</v>
          </cell>
          <cell r="F254">
            <v>1</v>
          </cell>
          <cell r="G254">
            <v>2</v>
          </cell>
          <cell r="H254">
            <v>2</v>
          </cell>
          <cell r="I254">
            <v>2</v>
          </cell>
          <cell r="J254">
            <v>4</v>
          </cell>
          <cell r="K254">
            <v>4</v>
          </cell>
          <cell r="L254">
            <v>4</v>
          </cell>
          <cell r="M254">
            <v>4</v>
          </cell>
          <cell r="N254">
            <v>4</v>
          </cell>
          <cell r="O254">
            <v>4</v>
          </cell>
          <cell r="P254">
            <v>4</v>
          </cell>
          <cell r="Q254">
            <v>4</v>
          </cell>
          <cell r="R254">
            <v>4</v>
          </cell>
          <cell r="S254">
            <v>4</v>
          </cell>
          <cell r="T254">
            <v>4</v>
          </cell>
          <cell r="U254">
            <v>4</v>
          </cell>
          <cell r="V254">
            <v>4</v>
          </cell>
          <cell r="W254">
            <v>4</v>
          </cell>
        </row>
        <row r="255">
          <cell r="C255" t="str">
            <v>W.C. Beckjord 5</v>
          </cell>
          <cell r="D255">
            <v>0</v>
          </cell>
          <cell r="E255">
            <v>0</v>
          </cell>
          <cell r="F255">
            <v>1</v>
          </cell>
          <cell r="G255">
            <v>2</v>
          </cell>
          <cell r="H255">
            <v>2</v>
          </cell>
          <cell r="I255">
            <v>2</v>
          </cell>
          <cell r="J255">
            <v>4</v>
          </cell>
          <cell r="K255">
            <v>4</v>
          </cell>
          <cell r="L255">
            <v>4</v>
          </cell>
          <cell r="M255">
            <v>4</v>
          </cell>
          <cell r="N255">
            <v>4</v>
          </cell>
          <cell r="O255">
            <v>4</v>
          </cell>
          <cell r="P255">
            <v>4</v>
          </cell>
          <cell r="Q255">
            <v>4</v>
          </cell>
          <cell r="R255">
            <v>4</v>
          </cell>
          <cell r="S255">
            <v>4</v>
          </cell>
          <cell r="T255">
            <v>4</v>
          </cell>
          <cell r="U255">
            <v>4</v>
          </cell>
          <cell r="V255">
            <v>4</v>
          </cell>
          <cell r="W255">
            <v>4</v>
          </cell>
        </row>
        <row r="256">
          <cell r="C256" t="str">
            <v>W.C. Beckjord 6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C257" t="str">
            <v>W.H. Zimmer 1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</sheetData>
      <sheetData sheetId="23">
        <row r="2">
          <cell r="B2" t="str">
            <v>Cayuga 1</v>
          </cell>
          <cell r="C2" t="str">
            <v>PSI</v>
          </cell>
          <cell r="D2">
            <v>2576643.121894185</v>
          </cell>
          <cell r="E2">
            <v>2515298.9767125119</v>
          </cell>
          <cell r="F2">
            <v>2349214.7404021979</v>
          </cell>
          <cell r="G2">
            <v>2289847.8403143901</v>
          </cell>
          <cell r="H2">
            <v>3238367.2546699317</v>
          </cell>
          <cell r="I2">
            <v>3437668.4194923732</v>
          </cell>
          <cell r="J2">
            <v>3520743.7513050856</v>
          </cell>
          <cell r="K2">
            <v>3519339.0335290665</v>
          </cell>
          <cell r="L2">
            <v>3495493.1137745106</v>
          </cell>
          <cell r="M2">
            <v>3473941.8612088952</v>
          </cell>
          <cell r="N2">
            <v>3477547.6728712143</v>
          </cell>
          <cell r="O2">
            <v>3497211.1030731336</v>
          </cell>
          <cell r="P2">
            <v>3511221.5332252216</v>
          </cell>
          <cell r="Q2">
            <v>3481472.3812831561</v>
          </cell>
          <cell r="R2">
            <v>3506046.858265595</v>
          </cell>
          <cell r="S2">
            <v>3502123.0379503244</v>
          </cell>
          <cell r="T2">
            <v>3463648.5750929941</v>
          </cell>
          <cell r="U2">
            <v>3433631.8716918118</v>
          </cell>
          <cell r="V2">
            <v>3443653.4071355904</v>
          </cell>
          <cell r="W2">
            <v>3383877.6469728537</v>
          </cell>
        </row>
        <row r="3">
          <cell r="B3" t="str">
            <v>Cayuga 2</v>
          </cell>
          <cell r="C3" t="str">
            <v>PSI</v>
          </cell>
          <cell r="D3">
            <v>2707879.5488148592</v>
          </cell>
          <cell r="E3">
            <v>2709359.9886403843</v>
          </cell>
          <cell r="F3">
            <v>2507657.8404078339</v>
          </cell>
          <cell r="G3">
            <v>2436599.6652025953</v>
          </cell>
          <cell r="H3">
            <v>3192588.7578426092</v>
          </cell>
          <cell r="I3">
            <v>3431948.3088105274</v>
          </cell>
          <cell r="J3">
            <v>3513704.3146797176</v>
          </cell>
          <cell r="K3">
            <v>3500497.8096619551</v>
          </cell>
          <cell r="L3">
            <v>3495075.9654350346</v>
          </cell>
          <cell r="M3">
            <v>3476835.8518984956</v>
          </cell>
          <cell r="N3">
            <v>3478705.0101785641</v>
          </cell>
          <cell r="O3">
            <v>3495833.4706328306</v>
          </cell>
          <cell r="P3">
            <v>3505021.4429561808</v>
          </cell>
          <cell r="Q3">
            <v>3474341.906454789</v>
          </cell>
          <cell r="R3">
            <v>3492896.9976796419</v>
          </cell>
          <cell r="S3">
            <v>3496336.6558888634</v>
          </cell>
          <cell r="T3">
            <v>3446392.2179559334</v>
          </cell>
          <cell r="U3">
            <v>3436060.2380327587</v>
          </cell>
          <cell r="V3">
            <v>3447089.8365200325</v>
          </cell>
          <cell r="W3">
            <v>3396625.1998579567</v>
          </cell>
        </row>
        <row r="4">
          <cell r="B4" t="str">
            <v>Conesville 4</v>
          </cell>
          <cell r="C4" t="str">
            <v>CGE</v>
          </cell>
          <cell r="D4">
            <v>2191950.5802666466</v>
          </cell>
          <cell r="E4">
            <v>2273665.6918749716</v>
          </cell>
          <cell r="F4">
            <v>2262297.5583358686</v>
          </cell>
          <cell r="G4">
            <v>2292427.1830975162</v>
          </cell>
          <cell r="H4">
            <v>2296723.4712301805</v>
          </cell>
          <cell r="I4">
            <v>2308256.6343878028</v>
          </cell>
          <cell r="J4">
            <v>2301953.4140263596</v>
          </cell>
          <cell r="K4">
            <v>2309310.2774998997</v>
          </cell>
          <cell r="L4">
            <v>2305212.2165282276</v>
          </cell>
          <cell r="M4">
            <v>2297694.2186276363</v>
          </cell>
          <cell r="N4">
            <v>2294338.9796508509</v>
          </cell>
          <cell r="O4">
            <v>2300436.4744911171</v>
          </cell>
          <cell r="P4">
            <v>2302082.8448649938</v>
          </cell>
          <cell r="Q4">
            <v>2292550.0165837682</v>
          </cell>
          <cell r="R4">
            <v>2299064.1779002342</v>
          </cell>
          <cell r="S4">
            <v>2308912.7587875677</v>
          </cell>
          <cell r="T4">
            <v>2289900.0388821675</v>
          </cell>
          <cell r="U4">
            <v>2286482.4624630548</v>
          </cell>
          <cell r="V4">
            <v>2287224.9512648173</v>
          </cell>
          <cell r="W4">
            <v>2278881.6825477863</v>
          </cell>
        </row>
        <row r="5">
          <cell r="B5" t="str">
            <v>East Bend 2</v>
          </cell>
          <cell r="C5" t="str">
            <v>CGE</v>
          </cell>
          <cell r="D5">
            <v>2990035.2496796632</v>
          </cell>
          <cell r="E5">
            <v>2990035.2496796632</v>
          </cell>
          <cell r="F5">
            <v>2990035.2496796632</v>
          </cell>
          <cell r="G5">
            <v>2984921.1296076863</v>
          </cell>
          <cell r="H5">
            <v>2977501.4918547426</v>
          </cell>
          <cell r="I5">
            <v>2981701.4019073504</v>
          </cell>
          <cell r="J5">
            <v>2974969.090517059</v>
          </cell>
          <cell r="K5">
            <v>2975305.3749053599</v>
          </cell>
          <cell r="L5">
            <v>2977624.8676783638</v>
          </cell>
          <cell r="M5">
            <v>2962799.5623999476</v>
          </cell>
          <cell r="N5">
            <v>2945871.4818111421</v>
          </cell>
          <cell r="O5">
            <v>2959046.2939477353</v>
          </cell>
          <cell r="P5">
            <v>2967023.6112079457</v>
          </cell>
          <cell r="Q5">
            <v>2946680.0380865242</v>
          </cell>
          <cell r="R5">
            <v>2961556.3235622458</v>
          </cell>
          <cell r="S5">
            <v>2971004.3544057393</v>
          </cell>
          <cell r="T5">
            <v>2921883.0495396769</v>
          </cell>
          <cell r="U5">
            <v>2931472.0924488264</v>
          </cell>
          <cell r="V5">
            <v>2921411.3846925152</v>
          </cell>
          <cell r="W5">
            <v>2885984.334394196</v>
          </cell>
        </row>
        <row r="6">
          <cell r="B6" t="str">
            <v>Edwardsport 6</v>
          </cell>
          <cell r="C6" t="str">
            <v>PSI</v>
          </cell>
          <cell r="D6">
            <v>42431.84052151598</v>
          </cell>
          <cell r="E6">
            <v>30170.568278675997</v>
          </cell>
          <cell r="F6">
            <v>26180.893787648001</v>
          </cell>
          <cell r="G6">
            <v>28338.211085615996</v>
          </cell>
          <cell r="H6">
            <v>25102.716003119989</v>
          </cell>
          <cell r="I6">
            <v>26119.346761384</v>
          </cell>
          <cell r="J6">
            <v>24825.966752608008</v>
          </cell>
          <cell r="K6">
            <v>26289.741400942388</v>
          </cell>
          <cell r="L6">
            <v>30409.563093742399</v>
          </cell>
          <cell r="M6">
            <v>33386.0087143696</v>
          </cell>
          <cell r="N6">
            <v>32793.675734983997</v>
          </cell>
          <cell r="O6">
            <v>29808.694930715999</v>
          </cell>
          <cell r="P6">
            <v>31836.998354558415</v>
          </cell>
          <cell r="Q6">
            <v>33948.318117048017</v>
          </cell>
          <cell r="R6">
            <v>34064.530856232006</v>
          </cell>
          <cell r="S6">
            <v>35085.641029936</v>
          </cell>
          <cell r="T6">
            <v>36830.610732942383</v>
          </cell>
          <cell r="U6">
            <v>36658.021382683983</v>
          </cell>
          <cell r="V6">
            <v>33775.875660636004</v>
          </cell>
          <cell r="W6">
            <v>37466.105114756007</v>
          </cell>
        </row>
        <row r="7">
          <cell r="B7" t="str">
            <v>Edwardsport 7</v>
          </cell>
          <cell r="C7" t="str">
            <v>PSI</v>
          </cell>
          <cell r="D7">
            <v>171740.18561774408</v>
          </cell>
          <cell r="E7">
            <v>164230.90128810002</v>
          </cell>
          <cell r="F7">
            <v>156464.49428784719</v>
          </cell>
          <cell r="G7">
            <v>164485.0569675744</v>
          </cell>
          <cell r="H7">
            <v>148858.86650861072</v>
          </cell>
          <cell r="I7">
            <v>144829.05280309441</v>
          </cell>
          <cell r="J7">
            <v>143715.51495099001</v>
          </cell>
          <cell r="K7">
            <v>147837.69687991316</v>
          </cell>
          <cell r="L7">
            <v>142271.40688547038</v>
          </cell>
          <cell r="M7">
            <v>144471.37109595386</v>
          </cell>
          <cell r="N7">
            <v>151240.50587894756</v>
          </cell>
          <cell r="O7">
            <v>156085.50340045532</v>
          </cell>
          <cell r="P7">
            <v>165244.55323990862</v>
          </cell>
          <cell r="Q7">
            <v>165548.90972235776</v>
          </cell>
          <cell r="R7">
            <v>174258.12462433742</v>
          </cell>
          <cell r="S7">
            <v>178356.90826641233</v>
          </cell>
          <cell r="T7">
            <v>178923.56131601642</v>
          </cell>
          <cell r="U7">
            <v>168554.9674276938</v>
          </cell>
          <cell r="V7">
            <v>174700.84415441222</v>
          </cell>
          <cell r="W7">
            <v>169736.73658847</v>
          </cell>
        </row>
        <row r="8">
          <cell r="B8" t="str">
            <v>Edwardsport 8</v>
          </cell>
          <cell r="C8" t="str">
            <v>PSI</v>
          </cell>
          <cell r="D8">
            <v>285389.92014048004</v>
          </cell>
          <cell r="E8">
            <v>272917.92654570012</v>
          </cell>
          <cell r="F8">
            <v>260019.73684961419</v>
          </cell>
          <cell r="G8">
            <v>273352.12419643794</v>
          </cell>
          <cell r="H8">
            <v>247385.7129720652</v>
          </cell>
          <cell r="I8">
            <v>240689.08529060919</v>
          </cell>
          <cell r="J8">
            <v>238844.96455736249</v>
          </cell>
          <cell r="K8">
            <v>245693.45030386653</v>
          </cell>
          <cell r="L8">
            <v>236443.06054381418</v>
          </cell>
          <cell r="M8">
            <v>240095.1890616781</v>
          </cell>
          <cell r="N8">
            <v>251354.10802257078</v>
          </cell>
          <cell r="O8">
            <v>259409.24185619105</v>
          </cell>
          <cell r="P8">
            <v>274621.27497308701</v>
          </cell>
          <cell r="Q8">
            <v>275131.19775834226</v>
          </cell>
          <cell r="R8">
            <v>289600.4883810968</v>
          </cell>
          <cell r="S8">
            <v>296422.81494269933</v>
          </cell>
          <cell r="T8">
            <v>297368.81896714424</v>
          </cell>
          <cell r="U8">
            <v>280131.03616963723</v>
          </cell>
          <cell r="V8">
            <v>290352.31879908504</v>
          </cell>
          <cell r="W8">
            <v>282100.7867726296</v>
          </cell>
        </row>
        <row r="9">
          <cell r="B9" t="str">
            <v>Gallagher 1</v>
          </cell>
          <cell r="C9" t="str">
            <v>PSI</v>
          </cell>
          <cell r="D9">
            <v>698635.6894992158</v>
          </cell>
          <cell r="E9">
            <v>632936.28010267206</v>
          </cell>
          <cell r="F9">
            <v>627297.45756686386</v>
          </cell>
          <cell r="G9">
            <v>632495.6443387121</v>
          </cell>
          <cell r="H9">
            <v>596593.45757272793</v>
          </cell>
          <cell r="I9">
            <v>616194.07653384586</v>
          </cell>
          <cell r="J9">
            <v>625708.16785750003</v>
          </cell>
          <cell r="K9">
            <v>614576.54607938405</v>
          </cell>
          <cell r="L9">
            <v>609033.93852533668</v>
          </cell>
          <cell r="M9">
            <v>615754.34344096412</v>
          </cell>
          <cell r="N9">
            <v>629501.38162155997</v>
          </cell>
          <cell r="O9">
            <v>646642.14775806793</v>
          </cell>
          <cell r="P9">
            <v>668438.45684490586</v>
          </cell>
          <cell r="Q9">
            <v>670232.98984039994</v>
          </cell>
          <cell r="R9">
            <v>685150.39925831498</v>
          </cell>
          <cell r="S9">
            <v>706317.94294927642</v>
          </cell>
          <cell r="T9">
            <v>712364.54106011568</v>
          </cell>
          <cell r="U9">
            <v>690563.30650867242</v>
          </cell>
          <cell r="V9">
            <v>710778.10560594324</v>
          </cell>
          <cell r="W9">
            <v>700798.94805877563</v>
          </cell>
        </row>
        <row r="10">
          <cell r="B10" t="str">
            <v>Gallagher 2</v>
          </cell>
          <cell r="C10" t="str">
            <v>PSI</v>
          </cell>
          <cell r="D10">
            <v>729548.62764571223</v>
          </cell>
          <cell r="E10">
            <v>658804.67642348795</v>
          </cell>
          <cell r="F10">
            <v>650408.60852855991</v>
          </cell>
          <cell r="G10">
            <v>657048.30978785607</v>
          </cell>
          <cell r="H10">
            <v>623048.55049567204</v>
          </cell>
          <cell r="I10">
            <v>649783.94564199774</v>
          </cell>
          <cell r="J10">
            <v>657547.27280082402</v>
          </cell>
          <cell r="K10">
            <v>637841.90380531061</v>
          </cell>
          <cell r="L10">
            <v>629590.91829896066</v>
          </cell>
          <cell r="M10">
            <v>640002.80433466157</v>
          </cell>
          <cell r="N10">
            <v>648166.85629690404</v>
          </cell>
          <cell r="O10">
            <v>665709.55082310585</v>
          </cell>
          <cell r="P10">
            <v>684572.91277588648</v>
          </cell>
          <cell r="Q10">
            <v>685615.4605075327</v>
          </cell>
          <cell r="R10">
            <v>700256.85909270553</v>
          </cell>
          <cell r="S10">
            <v>722297.089997028</v>
          </cell>
          <cell r="T10">
            <v>728245.62416080153</v>
          </cell>
          <cell r="U10">
            <v>704593.80719239148</v>
          </cell>
          <cell r="V10">
            <v>725051.25352293195</v>
          </cell>
          <cell r="W10">
            <v>717388.29434366059</v>
          </cell>
        </row>
        <row r="11">
          <cell r="B11" t="str">
            <v>Gallagher 3</v>
          </cell>
          <cell r="C11" t="str">
            <v>PSI</v>
          </cell>
          <cell r="D11">
            <v>714734.33912361623</v>
          </cell>
          <cell r="E11">
            <v>646709.11138008011</v>
          </cell>
          <cell r="F11">
            <v>639978.17955993582</v>
          </cell>
          <cell r="G11">
            <v>645445.34445378406</v>
          </cell>
          <cell r="H11">
            <v>610534.70695095195</v>
          </cell>
          <cell r="I11">
            <v>632325.55008549336</v>
          </cell>
          <cell r="J11">
            <v>642933.02194066381</v>
          </cell>
          <cell r="K11">
            <v>626891.42488599184</v>
          </cell>
          <cell r="L11">
            <v>619639.55369398883</v>
          </cell>
          <cell r="M11">
            <v>628167.60947416571</v>
          </cell>
          <cell r="N11">
            <v>639235.42576387199</v>
          </cell>
          <cell r="O11">
            <v>657176.6311789836</v>
          </cell>
          <cell r="P11">
            <v>677591.40042451222</v>
          </cell>
          <cell r="Q11">
            <v>678379.18288873555</v>
          </cell>
          <cell r="R11">
            <v>693118.44742563379</v>
          </cell>
          <cell r="S11">
            <v>714043.60416042653</v>
          </cell>
          <cell r="T11">
            <v>721234.85017262597</v>
          </cell>
          <cell r="U11">
            <v>698136.06023743108</v>
          </cell>
          <cell r="V11">
            <v>717879.91765008389</v>
          </cell>
          <cell r="W11">
            <v>710309.59528454242</v>
          </cell>
        </row>
        <row r="12">
          <cell r="B12" t="str">
            <v>Gallagher 4</v>
          </cell>
          <cell r="C12" t="str">
            <v>PSI</v>
          </cell>
          <cell r="D12">
            <v>690023.17560478393</v>
          </cell>
          <cell r="E12">
            <v>622830.89853476803</v>
          </cell>
          <cell r="F12">
            <v>616067.66712422378</v>
          </cell>
          <cell r="G12">
            <v>623141.22220901621</v>
          </cell>
          <cell r="H12">
            <v>584476.52515263204</v>
          </cell>
          <cell r="I12">
            <v>601965.85341374169</v>
          </cell>
          <cell r="J12">
            <v>614004.03267081198</v>
          </cell>
          <cell r="K12">
            <v>606714.80560863204</v>
          </cell>
          <cell r="L12">
            <v>602159.86744838406</v>
          </cell>
          <cell r="M12">
            <v>609264.94874887576</v>
          </cell>
          <cell r="N12">
            <v>623103.44388258411</v>
          </cell>
          <cell r="O12">
            <v>639294.60900781839</v>
          </cell>
          <cell r="P12">
            <v>662058.71134740976</v>
          </cell>
          <cell r="Q12">
            <v>664242.07071619038</v>
          </cell>
          <cell r="R12">
            <v>678307.18266264768</v>
          </cell>
          <cell r="S12">
            <v>699194.84688765043</v>
          </cell>
          <cell r="T12">
            <v>705818.8762341023</v>
          </cell>
          <cell r="U12">
            <v>685789.14188743266</v>
          </cell>
          <cell r="V12">
            <v>706148.90071513772</v>
          </cell>
          <cell r="W12">
            <v>695192.57974219159</v>
          </cell>
        </row>
        <row r="13">
          <cell r="B13" t="str">
            <v>Gibson 1</v>
          </cell>
          <cell r="C13" t="str">
            <v>PSI</v>
          </cell>
          <cell r="D13">
            <v>4278096.7987740086</v>
          </cell>
          <cell r="E13">
            <v>4299901.1215223623</v>
          </cell>
          <cell r="F13">
            <v>4177526.5044727605</v>
          </cell>
          <cell r="G13">
            <v>4047873.1778889382</v>
          </cell>
          <cell r="H13">
            <v>4409736.7474863352</v>
          </cell>
          <cell r="I13">
            <v>4548928.5127414204</v>
          </cell>
          <cell r="J13">
            <v>4608765.4313046066</v>
          </cell>
          <cell r="K13">
            <v>4591719.1843681382</v>
          </cell>
          <cell r="L13">
            <v>4586342.5322135072</v>
          </cell>
          <cell r="M13">
            <v>4563365.214295594</v>
          </cell>
          <cell r="N13">
            <v>4566499.4921495328</v>
          </cell>
          <cell r="O13">
            <v>4588695.2522283765</v>
          </cell>
          <cell r="P13">
            <v>4597546.4037287943</v>
          </cell>
          <cell r="Q13">
            <v>4558749.0019187713</v>
          </cell>
          <cell r="R13">
            <v>4583742.9080294063</v>
          </cell>
          <cell r="S13">
            <v>4588060.9148496632</v>
          </cell>
          <cell r="T13">
            <v>4524552.2595112119</v>
          </cell>
          <cell r="U13">
            <v>4511007.566008335</v>
          </cell>
          <cell r="V13">
            <v>4525096.7288763085</v>
          </cell>
          <cell r="W13">
            <v>4464020.6832206687</v>
          </cell>
        </row>
        <row r="14">
          <cell r="B14" t="str">
            <v>Gibson 2</v>
          </cell>
          <cell r="C14" t="str">
            <v>PSI</v>
          </cell>
          <cell r="D14">
            <v>4318851.3198368642</v>
          </cell>
          <cell r="E14">
            <v>4354269.3680831529</v>
          </cell>
          <cell r="F14">
            <v>4231472.1044494025</v>
          </cell>
          <cell r="G14">
            <v>4122815.3026031689</v>
          </cell>
          <cell r="H14">
            <v>4411779.7359075472</v>
          </cell>
          <cell r="I14">
            <v>4549300.6826251289</v>
          </cell>
          <cell r="J14">
            <v>4609034.1439285204</v>
          </cell>
          <cell r="K14">
            <v>4595341.7041139128</v>
          </cell>
          <cell r="L14">
            <v>4587518.9428401077</v>
          </cell>
          <cell r="M14">
            <v>4567279.8019751878</v>
          </cell>
          <cell r="N14">
            <v>4569878.8428561399</v>
          </cell>
          <cell r="O14">
            <v>4588929.2414083602</v>
          </cell>
          <cell r="P14">
            <v>4598584.6336516701</v>
          </cell>
          <cell r="Q14">
            <v>4560374.2081710547</v>
          </cell>
          <cell r="R14">
            <v>4584608.3400552217</v>
          </cell>
          <cell r="S14">
            <v>4590502.6471999092</v>
          </cell>
          <cell r="T14">
            <v>4530061.0302709816</v>
          </cell>
          <cell r="U14">
            <v>4514173.2126049241</v>
          </cell>
          <cell r="V14">
            <v>4529013.3499597907</v>
          </cell>
          <cell r="W14">
            <v>4472501.8697722489</v>
          </cell>
        </row>
        <row r="15">
          <cell r="B15" t="str">
            <v>Gibson 3</v>
          </cell>
          <cell r="C15" t="str">
            <v>PSI</v>
          </cell>
          <cell r="D15">
            <v>4143850.1546540647</v>
          </cell>
          <cell r="E15">
            <v>4165251.7201605528</v>
          </cell>
          <cell r="F15">
            <v>3992899.310771287</v>
          </cell>
          <cell r="G15">
            <v>3832576.1465618717</v>
          </cell>
          <cell r="H15">
            <v>4401360.7842763932</v>
          </cell>
          <cell r="I15">
            <v>4564804.2220784081</v>
          </cell>
          <cell r="J15">
            <v>4607539.6820976194</v>
          </cell>
          <cell r="K15">
            <v>4589113.987532028</v>
          </cell>
          <cell r="L15">
            <v>4579836.3682873612</v>
          </cell>
          <cell r="M15">
            <v>4555334.0920048533</v>
          </cell>
          <cell r="N15">
            <v>4558958.9865441006</v>
          </cell>
          <cell r="O15">
            <v>4581321.0863437764</v>
          </cell>
          <cell r="P15">
            <v>4595301.0914213229</v>
          </cell>
          <cell r="Q15">
            <v>4553754.2857115781</v>
          </cell>
          <cell r="R15">
            <v>4578797.2462898139</v>
          </cell>
          <cell r="S15">
            <v>4581345.6165664606</v>
          </cell>
          <cell r="T15">
            <v>4515952.9146661358</v>
          </cell>
          <cell r="U15">
            <v>4499018.6141101522</v>
          </cell>
          <cell r="V15">
            <v>4512088.3652745178</v>
          </cell>
          <cell r="W15">
            <v>4446840.6073372317</v>
          </cell>
        </row>
        <row r="16">
          <cell r="B16" t="str">
            <v>Gibson 4</v>
          </cell>
          <cell r="C16" t="str">
            <v>PSI</v>
          </cell>
          <cell r="D16">
            <v>4543129.593603773</v>
          </cell>
          <cell r="E16">
            <v>4543129.593603773</v>
          </cell>
          <cell r="F16">
            <v>4543129.593603773</v>
          </cell>
          <cell r="G16">
            <v>4543129.593603773</v>
          </cell>
          <cell r="H16">
            <v>4539130.9084726125</v>
          </cell>
          <cell r="I16">
            <v>4541133.0452330234</v>
          </cell>
          <cell r="J16">
            <v>4530827.0261054263</v>
          </cell>
          <cell r="K16">
            <v>4541836.852377872</v>
          </cell>
          <cell r="L16">
            <v>4537139.8903026953</v>
          </cell>
          <cell r="M16">
            <v>4526004.4387011621</v>
          </cell>
          <cell r="N16">
            <v>4517886.3326275609</v>
          </cell>
          <cell r="O16">
            <v>4526264.6910534529</v>
          </cell>
          <cell r="P16">
            <v>4526975.9182139598</v>
          </cell>
          <cell r="Q16">
            <v>4506659.9382521948</v>
          </cell>
          <cell r="R16">
            <v>4519847.1953958711</v>
          </cell>
          <cell r="S16">
            <v>4538364.0764062069</v>
          </cell>
          <cell r="T16">
            <v>4491002.1805252312</v>
          </cell>
          <cell r="U16">
            <v>4489282.1869045617</v>
          </cell>
          <cell r="V16">
            <v>4485736.2774124574</v>
          </cell>
          <cell r="W16">
            <v>4461888.8456521053</v>
          </cell>
        </row>
        <row r="17">
          <cell r="B17" t="str">
            <v>Gibson 5</v>
          </cell>
          <cell r="C17" t="str">
            <v>PSI</v>
          </cell>
          <cell r="D17">
            <v>2258718.7208322305</v>
          </cell>
          <cell r="E17">
            <v>2258718.7208322305</v>
          </cell>
          <cell r="F17">
            <v>2258718.7208322305</v>
          </cell>
          <cell r="G17">
            <v>2258147.6344003747</v>
          </cell>
          <cell r="H17">
            <v>2255408.6671228181</v>
          </cell>
          <cell r="I17">
            <v>2257051.1492859726</v>
          </cell>
          <cell r="J17">
            <v>2250898.9602289484</v>
          </cell>
          <cell r="K17">
            <v>2257964.8867421807</v>
          </cell>
          <cell r="L17">
            <v>2254311.4409846254</v>
          </cell>
          <cell r="M17">
            <v>2247042.9032626594</v>
          </cell>
          <cell r="N17">
            <v>2241569.1384026017</v>
          </cell>
          <cell r="O17">
            <v>2247091.3858197359</v>
          </cell>
          <cell r="P17">
            <v>2249825.3185718204</v>
          </cell>
          <cell r="Q17">
            <v>2238306.5628579278</v>
          </cell>
          <cell r="R17">
            <v>2244642.3103609518</v>
          </cell>
          <cell r="S17">
            <v>2255374.4027716685</v>
          </cell>
          <cell r="T17">
            <v>2229034.4283554042</v>
          </cell>
          <cell r="U17">
            <v>2230005.8002669616</v>
          </cell>
          <cell r="V17">
            <v>2226724.3084624968</v>
          </cell>
          <cell r="W17">
            <v>2211855.8428677926</v>
          </cell>
        </row>
        <row r="18">
          <cell r="B18" t="str">
            <v>J.M. Stuart 1</v>
          </cell>
          <cell r="C18" t="str">
            <v>CGE</v>
          </cell>
          <cell r="D18">
            <v>1642043.1455523998</v>
          </cell>
          <cell r="E18">
            <v>1641570.8138927221</v>
          </cell>
          <cell r="F18">
            <v>1641832.2832043297</v>
          </cell>
          <cell r="G18">
            <v>1624374.1027300307</v>
          </cell>
          <cell r="H18">
            <v>1601938.0865778434</v>
          </cell>
          <cell r="I18">
            <v>1568278.7873433905</v>
          </cell>
          <cell r="J18">
            <v>1540618.9595544115</v>
          </cell>
          <cell r="K18">
            <v>1521117.5322426278</v>
          </cell>
          <cell r="L18">
            <v>1484359.9363997953</v>
          </cell>
          <cell r="M18">
            <v>1469369.04767319</v>
          </cell>
          <cell r="N18">
            <v>1460257.6830302551</v>
          </cell>
          <cell r="O18">
            <v>1471188.9131378508</v>
          </cell>
          <cell r="P18">
            <v>1463367.0247596381</v>
          </cell>
          <cell r="Q18">
            <v>1416861.5097122388</v>
          </cell>
          <cell r="R18">
            <v>1416906.3420523019</v>
          </cell>
          <cell r="S18">
            <v>1431884.1108771423</v>
          </cell>
          <cell r="T18">
            <v>1384030.7841592587</v>
          </cell>
          <cell r="U18">
            <v>1336924.2688419658</v>
          </cell>
          <cell r="V18">
            <v>1336734.392994765</v>
          </cell>
          <cell r="W18">
            <v>1349692.9833662093</v>
          </cell>
        </row>
        <row r="19">
          <cell r="B19" t="str">
            <v>J.M. Stuart 2</v>
          </cell>
          <cell r="C19" t="str">
            <v>CGE</v>
          </cell>
          <cell r="D19">
            <v>1642043.1455523998</v>
          </cell>
          <cell r="E19">
            <v>1642043.1455523998</v>
          </cell>
          <cell r="F19">
            <v>1642043.1455523998</v>
          </cell>
          <cell r="G19">
            <v>1629083.0727205253</v>
          </cell>
          <cell r="H19">
            <v>1618667.9184052222</v>
          </cell>
          <cell r="I19">
            <v>1597525.5706173962</v>
          </cell>
          <cell r="J19">
            <v>1580754.3652388528</v>
          </cell>
          <cell r="K19">
            <v>1559192.4923411412</v>
          </cell>
          <cell r="L19">
            <v>1535535.979419322</v>
          </cell>
          <cell r="M19">
            <v>1529824.9505570943</v>
          </cell>
          <cell r="N19">
            <v>1507741.6098894128</v>
          </cell>
          <cell r="O19">
            <v>1520216.862599056</v>
          </cell>
          <cell r="P19">
            <v>1506550.0505791476</v>
          </cell>
          <cell r="Q19">
            <v>1461494.2200573697</v>
          </cell>
          <cell r="R19">
            <v>1460812.5060602149</v>
          </cell>
          <cell r="S19">
            <v>1471921.8004721317</v>
          </cell>
          <cell r="T19">
            <v>1419150.0686478405</v>
          </cell>
          <cell r="U19">
            <v>1371487.9659492015</v>
          </cell>
          <cell r="V19">
            <v>1370746.738915107</v>
          </cell>
          <cell r="W19">
            <v>1384295.48393469</v>
          </cell>
        </row>
        <row r="20">
          <cell r="B20" t="str">
            <v>J.M. Stuart 3</v>
          </cell>
          <cell r="C20" t="str">
            <v>CGE</v>
          </cell>
          <cell r="D20">
            <v>1642043.1455523998</v>
          </cell>
          <cell r="E20">
            <v>1641570.8138927221</v>
          </cell>
          <cell r="F20">
            <v>1641832.2832043297</v>
          </cell>
          <cell r="G20">
            <v>1625275.9145283937</v>
          </cell>
          <cell r="H20">
            <v>1603911.9539573521</v>
          </cell>
          <cell r="I20">
            <v>1570101.6792743558</v>
          </cell>
          <cell r="J20">
            <v>1542944.3430394127</v>
          </cell>
          <cell r="K20">
            <v>1523149.4746914634</v>
          </cell>
          <cell r="L20">
            <v>1487354.7538579053</v>
          </cell>
          <cell r="M20">
            <v>1472973.8494756119</v>
          </cell>
          <cell r="N20">
            <v>1462882.248245615</v>
          </cell>
          <cell r="O20">
            <v>1472987.6122486163</v>
          </cell>
          <cell r="P20">
            <v>1465261.7810054449</v>
          </cell>
          <cell r="Q20">
            <v>1419257.5097362595</v>
          </cell>
          <cell r="R20">
            <v>1419102.6339957968</v>
          </cell>
          <cell r="S20">
            <v>1433612.8606021344</v>
          </cell>
          <cell r="T20">
            <v>1385800.1654037053</v>
          </cell>
          <cell r="U20">
            <v>1338160.0335288837</v>
          </cell>
          <cell r="V20">
            <v>1338843.0327092169</v>
          </cell>
          <cell r="W20">
            <v>1350863.2013524997</v>
          </cell>
        </row>
        <row r="21">
          <cell r="B21" t="str">
            <v>J.M. Stuart 4</v>
          </cell>
          <cell r="C21" t="str">
            <v>CGE</v>
          </cell>
          <cell r="D21">
            <v>1642043.1455523998</v>
          </cell>
          <cell r="E21">
            <v>1641832.2832043297</v>
          </cell>
          <cell r="F21">
            <v>1642043.1455523998</v>
          </cell>
          <cell r="G21">
            <v>1626336.333959708</v>
          </cell>
          <cell r="H21">
            <v>1606476.2556707168</v>
          </cell>
          <cell r="I21">
            <v>1573667.4224304415</v>
          </cell>
          <cell r="J21">
            <v>1547301.8764729465</v>
          </cell>
          <cell r="K21">
            <v>1528154.1362750987</v>
          </cell>
          <cell r="L21">
            <v>1492548.4161539106</v>
          </cell>
          <cell r="M21">
            <v>1480239.7712387824</v>
          </cell>
          <cell r="N21">
            <v>1467705.5492509378</v>
          </cell>
          <cell r="O21">
            <v>1479624.5380030731</v>
          </cell>
          <cell r="P21">
            <v>1468959.1674954807</v>
          </cell>
          <cell r="Q21">
            <v>1423341.7958355132</v>
          </cell>
          <cell r="R21">
            <v>1424266.2419198663</v>
          </cell>
          <cell r="S21">
            <v>1438049.2809899931</v>
          </cell>
          <cell r="T21">
            <v>1389853.5692246649</v>
          </cell>
          <cell r="U21">
            <v>1342079.8868594295</v>
          </cell>
          <cell r="V21">
            <v>1343228.5667923549</v>
          </cell>
          <cell r="W21">
            <v>1354789.5154261405</v>
          </cell>
        </row>
        <row r="22">
          <cell r="B22" t="str">
            <v>Killen 2</v>
          </cell>
          <cell r="C22" t="str">
            <v>CGE</v>
          </cell>
          <cell r="D22">
            <v>1430016.8585424456</v>
          </cell>
          <cell r="E22">
            <v>1428602.1497908437</v>
          </cell>
          <cell r="F22">
            <v>1424858.9764227015</v>
          </cell>
          <cell r="G22">
            <v>1408501.0389602736</v>
          </cell>
          <cell r="H22">
            <v>1378066.0519269779</v>
          </cell>
          <cell r="I22">
            <v>1345816.6133537977</v>
          </cell>
          <cell r="J22">
            <v>1314790.9206259367</v>
          </cell>
          <cell r="K22">
            <v>1294016.7094143378</v>
          </cell>
          <cell r="L22">
            <v>1258902.6321645733</v>
          </cell>
          <cell r="M22">
            <v>1244113.7476500531</v>
          </cell>
          <cell r="N22">
            <v>1247478.4542787301</v>
          </cell>
          <cell r="O22">
            <v>1256370.4576206822</v>
          </cell>
          <cell r="P22">
            <v>1248961.6539597062</v>
          </cell>
          <cell r="Q22">
            <v>1208822.8513228206</v>
          </cell>
          <cell r="R22">
            <v>1208472.6317421224</v>
          </cell>
          <cell r="S22">
            <v>1224055.8499462919</v>
          </cell>
          <cell r="T22">
            <v>1183460.2242410488</v>
          </cell>
          <cell r="U22">
            <v>1139029.6908106862</v>
          </cell>
          <cell r="V22">
            <v>1128020.0544600564</v>
          </cell>
          <cell r="W22">
            <v>1148339.473376119</v>
          </cell>
        </row>
        <row r="23">
          <cell r="B23" t="str">
            <v>Miami Fort 5</v>
          </cell>
          <cell r="C23" t="str">
            <v>CGE</v>
          </cell>
          <cell r="D23">
            <v>256507.62205279994</v>
          </cell>
          <cell r="E23">
            <v>226451.25787649606</v>
          </cell>
          <cell r="F23">
            <v>219507.01796890804</v>
          </cell>
          <cell r="G23">
            <v>243285.31567015185</v>
          </cell>
          <cell r="H23">
            <v>219403.45680228397</v>
          </cell>
          <cell r="I23">
            <v>215867.13783624719</v>
          </cell>
          <cell r="J23">
            <v>236729.50469556556</v>
          </cell>
          <cell r="K23">
            <v>251422.76669144403</v>
          </cell>
          <cell r="L23">
            <v>254207.94962791927</v>
          </cell>
          <cell r="M23">
            <v>260498.5115446625</v>
          </cell>
          <cell r="N23">
            <v>261086.18716853854</v>
          </cell>
          <cell r="O23">
            <v>270168.32492712484</v>
          </cell>
          <cell r="P23">
            <v>284320.60514668329</v>
          </cell>
          <cell r="Q23">
            <v>287466.17944732885</v>
          </cell>
          <cell r="R23">
            <v>296689.64921282185</v>
          </cell>
          <cell r="S23">
            <v>302033.22255988402</v>
          </cell>
          <cell r="T23">
            <v>308395.58841729839</v>
          </cell>
          <cell r="U23">
            <v>292776.76184712397</v>
          </cell>
          <cell r="V23">
            <v>302767.74224877445</v>
          </cell>
          <cell r="W23">
            <v>295037.16028858634</v>
          </cell>
        </row>
        <row r="24">
          <cell r="B24" t="str">
            <v>Miami Fort 6</v>
          </cell>
          <cell r="C24" t="str">
            <v>CGE</v>
          </cell>
          <cell r="D24">
            <v>1156461.2611516684</v>
          </cell>
          <cell r="E24">
            <v>1105662.3763951773</v>
          </cell>
          <cell r="F24">
            <v>1118222.6218269109</v>
          </cell>
          <cell r="G24">
            <v>1112186.3015041854</v>
          </cell>
          <cell r="H24">
            <v>1067984.428800005</v>
          </cell>
          <cell r="I24">
            <v>1023546.5894569461</v>
          </cell>
          <cell r="J24">
            <v>999752.06167018961</v>
          </cell>
          <cell r="K24">
            <v>1011709.2315067033</v>
          </cell>
          <cell r="L24">
            <v>967357.85193789448</v>
          </cell>
          <cell r="M24">
            <v>961833.73182581912</v>
          </cell>
          <cell r="N24">
            <v>968178.96663148317</v>
          </cell>
          <cell r="O24">
            <v>973609.75652550498</v>
          </cell>
          <cell r="P24">
            <v>986168.2365717435</v>
          </cell>
          <cell r="Q24">
            <v>964699.19654055848</v>
          </cell>
          <cell r="R24">
            <v>957502.76826701942</v>
          </cell>
          <cell r="S24">
            <v>976240.00137660478</v>
          </cell>
          <cell r="T24">
            <v>968675.79867454385</v>
          </cell>
          <cell r="U24">
            <v>930524.14013767231</v>
          </cell>
          <cell r="V24">
            <v>950093.53868546186</v>
          </cell>
          <cell r="W24">
            <v>954263.91679224279</v>
          </cell>
        </row>
        <row r="25">
          <cell r="B25" t="str">
            <v>Miami Fort 7</v>
          </cell>
          <cell r="C25" t="str">
            <v>CGE</v>
          </cell>
          <cell r="D25">
            <v>2106578.4574020365</v>
          </cell>
          <cell r="E25">
            <v>1999159.3819364479</v>
          </cell>
          <cell r="F25">
            <v>1967187.095805235</v>
          </cell>
          <cell r="G25">
            <v>1941165.6067209982</v>
          </cell>
          <cell r="H25">
            <v>1858034.5407438851</v>
          </cell>
          <cell r="I25">
            <v>1750131.8300934527</v>
          </cell>
          <cell r="J25">
            <v>1718412.1192759527</v>
          </cell>
          <cell r="K25">
            <v>1687757.1764231429</v>
          </cell>
          <cell r="L25">
            <v>1651988.0080459714</v>
          </cell>
          <cell r="M25">
            <v>1646025.6174889281</v>
          </cell>
          <cell r="N25">
            <v>1661644.719167847</v>
          </cell>
          <cell r="O25">
            <v>1690680.2090784968</v>
          </cell>
          <cell r="P25">
            <v>1695264.6870979774</v>
          </cell>
          <cell r="Q25">
            <v>1648227.4876622753</v>
          </cell>
          <cell r="R25">
            <v>1647089.7477814457</v>
          </cell>
          <cell r="S25">
            <v>1680475.2445458937</v>
          </cell>
          <cell r="T25">
            <v>1665985.7128795346</v>
          </cell>
          <cell r="U25">
            <v>1616918.7043223325</v>
          </cell>
          <cell r="V25">
            <v>1650529.8757044191</v>
          </cell>
          <cell r="W25">
            <v>1673843.6589318151</v>
          </cell>
        </row>
        <row r="26">
          <cell r="B26" t="str">
            <v>Miami Fort 8</v>
          </cell>
          <cell r="C26" t="str">
            <v>CGE</v>
          </cell>
          <cell r="D26">
            <v>2243795.6140206819</v>
          </cell>
          <cell r="E26">
            <v>2152028.5287365247</v>
          </cell>
          <cell r="F26">
            <v>2145710.3703559167</v>
          </cell>
          <cell r="G26">
            <v>2120733.3037401605</v>
          </cell>
          <cell r="H26">
            <v>2049232.016384986</v>
          </cell>
          <cell r="I26">
            <v>1988453.6783974522</v>
          </cell>
          <cell r="J26">
            <v>1943287.9535855555</v>
          </cell>
          <cell r="K26">
            <v>1887167.6817199364</v>
          </cell>
          <cell r="L26">
            <v>1821396.2085307268</v>
          </cell>
          <cell r="M26">
            <v>1792952.4817223034</v>
          </cell>
          <cell r="N26">
            <v>1811568.8153343229</v>
          </cell>
          <cell r="O26">
            <v>1832846.8030321079</v>
          </cell>
          <cell r="P26">
            <v>1830309.5885851141</v>
          </cell>
          <cell r="Q26">
            <v>1770231.178937257</v>
          </cell>
          <cell r="R26">
            <v>1767388.8759062393</v>
          </cell>
          <cell r="S26">
            <v>1802623.2918601213</v>
          </cell>
          <cell r="T26">
            <v>1781103.2459560353</v>
          </cell>
          <cell r="U26">
            <v>1717730.3776289478</v>
          </cell>
          <cell r="V26">
            <v>1762289.7184679008</v>
          </cell>
          <cell r="W26">
            <v>1798047.2954166273</v>
          </cell>
        </row>
        <row r="27">
          <cell r="B27" t="str">
            <v>Noblesville 1</v>
          </cell>
          <cell r="C27" t="str">
            <v>PSI</v>
          </cell>
          <cell r="D27">
            <v>156878.16993115202</v>
          </cell>
          <cell r="E27">
            <v>144050.16170433594</v>
          </cell>
          <cell r="F27">
            <v>137872.29970408315</v>
          </cell>
          <cell r="G27">
            <v>148111.11994978803</v>
          </cell>
          <cell r="H27">
            <v>132813.87120525155</v>
          </cell>
          <cell r="I27">
            <v>130564.44616311997</v>
          </cell>
          <cell r="J27">
            <v>137320.60567526639</v>
          </cell>
          <cell r="K27">
            <v>149803.00978038571</v>
          </cell>
          <cell r="L27">
            <v>152664.44561514712</v>
          </cell>
          <cell r="M27">
            <v>155699.64280694432</v>
          </cell>
          <cell r="N27">
            <v>154815.32418795451</v>
          </cell>
          <cell r="O27">
            <v>165274.96869897476</v>
          </cell>
          <cell r="P27">
            <v>174454.77425579636</v>
          </cell>
          <cell r="Q27">
            <v>174711.18802848569</v>
          </cell>
          <cell r="R27">
            <v>181766.18436930366</v>
          </cell>
          <cell r="S27">
            <v>184203.86290948436</v>
          </cell>
          <cell r="T27">
            <v>188367.28522066708</v>
          </cell>
          <cell r="U27">
            <v>178192.12703355722</v>
          </cell>
          <cell r="V27">
            <v>183485.34558915661</v>
          </cell>
          <cell r="W27">
            <v>172732.29461847906</v>
          </cell>
        </row>
        <row r="28">
          <cell r="B28" t="str">
            <v>Noblesville 2</v>
          </cell>
          <cell r="C28" t="str">
            <v>PSI</v>
          </cell>
          <cell r="D28">
            <v>156878.16993115202</v>
          </cell>
          <cell r="E28">
            <v>144050.16170433594</v>
          </cell>
          <cell r="F28">
            <v>137872.29970408315</v>
          </cell>
          <cell r="G28">
            <v>148111.11994978803</v>
          </cell>
          <cell r="H28">
            <v>132813.87120525155</v>
          </cell>
          <cell r="I28">
            <v>130564.44616311997</v>
          </cell>
          <cell r="J28">
            <v>137320.60567526639</v>
          </cell>
          <cell r="K28">
            <v>149803.00978038571</v>
          </cell>
          <cell r="L28">
            <v>152664.44561514712</v>
          </cell>
          <cell r="M28">
            <v>155699.64280694432</v>
          </cell>
          <cell r="N28">
            <v>154815.32418795451</v>
          </cell>
          <cell r="O28">
            <v>165274.96869897476</v>
          </cell>
          <cell r="P28">
            <v>174454.77425579636</v>
          </cell>
          <cell r="Q28">
            <v>174711.18802848569</v>
          </cell>
          <cell r="R28">
            <v>181766.18436930366</v>
          </cell>
          <cell r="S28">
            <v>184203.86290948436</v>
          </cell>
          <cell r="T28">
            <v>188367.28522066708</v>
          </cell>
          <cell r="U28">
            <v>178192.12703355722</v>
          </cell>
          <cell r="V28">
            <v>183485.34558915661</v>
          </cell>
          <cell r="W28">
            <v>172732.29461847906</v>
          </cell>
        </row>
        <row r="29">
          <cell r="B29" t="str">
            <v>Wabash River 1</v>
          </cell>
          <cell r="C29" t="str">
            <v>PSI</v>
          </cell>
          <cell r="D29">
            <v>692389.20254466299</v>
          </cell>
          <cell r="E29">
            <v>683676.11733246909</v>
          </cell>
          <cell r="F29">
            <v>690202.95456307416</v>
          </cell>
          <cell r="G29">
            <v>721173.03137560678</v>
          </cell>
          <cell r="H29">
            <v>692286.60239329422</v>
          </cell>
          <cell r="I29">
            <v>708479.2366659696</v>
          </cell>
          <cell r="J29">
            <v>704138.33084820746</v>
          </cell>
          <cell r="K29">
            <v>695021.26917683869</v>
          </cell>
          <cell r="L29">
            <v>740689.82048071316</v>
          </cell>
          <cell r="M29">
            <v>752205.05550375266</v>
          </cell>
          <cell r="N29">
            <v>722250.85506326845</v>
          </cell>
          <cell r="O29">
            <v>747732.80091178964</v>
          </cell>
          <cell r="P29">
            <v>754966.87848779967</v>
          </cell>
          <cell r="Q29">
            <v>746736.57633778895</v>
          </cell>
          <cell r="R29">
            <v>736788.26364482671</v>
          </cell>
          <cell r="S29">
            <v>762165.56089566532</v>
          </cell>
          <cell r="T29">
            <v>765302.54432457732</v>
          </cell>
          <cell r="U29">
            <v>752268.23621984792</v>
          </cell>
          <cell r="V29">
            <v>740988.81872900145</v>
          </cell>
          <cell r="W29">
            <v>750747.16596743767</v>
          </cell>
        </row>
        <row r="30">
          <cell r="B30" t="str">
            <v>Wabash River 2</v>
          </cell>
          <cell r="C30" t="str">
            <v>PSI</v>
          </cell>
          <cell r="D30">
            <v>343215.24548372609</v>
          </cell>
          <cell r="E30">
            <v>324839.97099038993</v>
          </cell>
          <cell r="F30">
            <v>315596.81631759915</v>
          </cell>
          <cell r="G30">
            <v>335472.15910969244</v>
          </cell>
          <cell r="H30">
            <v>313398.308550858</v>
          </cell>
          <cell r="I30">
            <v>306694.12496724701</v>
          </cell>
          <cell r="J30">
            <v>326614.51580094022</v>
          </cell>
          <cell r="K30">
            <v>339247.44084778684</v>
          </cell>
          <cell r="L30">
            <v>337864.0344657622</v>
          </cell>
          <cell r="M30">
            <v>349993.31462158641</v>
          </cell>
          <cell r="N30">
            <v>361981.50706984429</v>
          </cell>
          <cell r="O30">
            <v>369771.40170352237</v>
          </cell>
          <cell r="P30">
            <v>385162.67247678241</v>
          </cell>
          <cell r="Q30">
            <v>385267.82852105156</v>
          </cell>
          <cell r="R30">
            <v>391575.22222864337</v>
          </cell>
          <cell r="S30">
            <v>399022.85305767809</v>
          </cell>
          <cell r="T30">
            <v>400369.12666784978</v>
          </cell>
          <cell r="U30">
            <v>391539.6119123777</v>
          </cell>
          <cell r="V30">
            <v>396770.51874204283</v>
          </cell>
          <cell r="W30">
            <v>373533.14643643243</v>
          </cell>
        </row>
        <row r="31">
          <cell r="B31" t="str">
            <v>Wabash River 3</v>
          </cell>
          <cell r="C31" t="str">
            <v>PSI</v>
          </cell>
          <cell r="D31">
            <v>348870.39180388994</v>
          </cell>
          <cell r="E31">
            <v>331296.42142510408</v>
          </cell>
          <cell r="F31">
            <v>322050.07308933727</v>
          </cell>
          <cell r="G31">
            <v>341825.47320677637</v>
          </cell>
          <cell r="H31">
            <v>318878.36426191701</v>
          </cell>
          <cell r="I31">
            <v>312238.85621590057</v>
          </cell>
          <cell r="J31">
            <v>334065.25359647529</v>
          </cell>
          <cell r="K31">
            <v>345493.25630477333</v>
          </cell>
          <cell r="L31">
            <v>343941.37925261987</v>
          </cell>
          <cell r="M31">
            <v>356860.0638325105</v>
          </cell>
          <cell r="N31">
            <v>368758.35122409987</v>
          </cell>
          <cell r="O31">
            <v>376884.77601469902</v>
          </cell>
          <cell r="P31">
            <v>391017.66274695768</v>
          </cell>
          <cell r="Q31">
            <v>391938.28242507594</v>
          </cell>
          <cell r="R31">
            <v>396722.08419375087</v>
          </cell>
          <cell r="S31">
            <v>404798.23073666974</v>
          </cell>
          <cell r="T31">
            <v>407011.18242389301</v>
          </cell>
          <cell r="U31">
            <v>396608.67000007833</v>
          </cell>
          <cell r="V31">
            <v>401796.37766978471</v>
          </cell>
          <cell r="W31">
            <v>379743.47305238922</v>
          </cell>
        </row>
        <row r="32">
          <cell r="B32" t="str">
            <v>Wabash River 4</v>
          </cell>
          <cell r="C32" t="str">
            <v>PSI</v>
          </cell>
          <cell r="D32">
            <v>367117.56103266007</v>
          </cell>
          <cell r="E32">
            <v>353928.59497553611</v>
          </cell>
          <cell r="F32">
            <v>346096.34803572117</v>
          </cell>
          <cell r="G32">
            <v>360250.82593508839</v>
          </cell>
          <cell r="H32">
            <v>335202.6227240343</v>
          </cell>
          <cell r="I32">
            <v>328031.28575480916</v>
          </cell>
          <cell r="J32">
            <v>350261.37061698968</v>
          </cell>
          <cell r="K32">
            <v>361947.34328289033</v>
          </cell>
          <cell r="L32">
            <v>361106.04370304139</v>
          </cell>
          <cell r="M32">
            <v>374707.1329986293</v>
          </cell>
          <cell r="N32">
            <v>385312.10199094465</v>
          </cell>
          <cell r="O32">
            <v>393476.77509840095</v>
          </cell>
          <cell r="P32">
            <v>407204.59107714245</v>
          </cell>
          <cell r="Q32">
            <v>408798.65800301003</v>
          </cell>
          <cell r="R32">
            <v>412019.05158755096</v>
          </cell>
          <cell r="S32">
            <v>420727.47959609242</v>
          </cell>
          <cell r="T32">
            <v>421779.38894860819</v>
          </cell>
          <cell r="U32">
            <v>410575.25382626749</v>
          </cell>
          <cell r="V32">
            <v>413921.31331881846</v>
          </cell>
          <cell r="W32">
            <v>394315.27170973358</v>
          </cell>
        </row>
        <row r="33">
          <cell r="B33" t="str">
            <v>Wabash River 5</v>
          </cell>
          <cell r="C33" t="str">
            <v>PSI</v>
          </cell>
          <cell r="D33">
            <v>404264.98697459011</v>
          </cell>
          <cell r="E33">
            <v>387401.23286830401</v>
          </cell>
          <cell r="F33">
            <v>378521.21581009327</v>
          </cell>
          <cell r="G33">
            <v>396215.61895950441</v>
          </cell>
          <cell r="H33">
            <v>369516.92342193751</v>
          </cell>
          <cell r="I33">
            <v>362457.38365966565</v>
          </cell>
          <cell r="J33">
            <v>387023.06110988872</v>
          </cell>
          <cell r="K33">
            <v>399745.35411715141</v>
          </cell>
          <cell r="L33">
            <v>398253.27905019716</v>
          </cell>
          <cell r="M33">
            <v>413506.52820003725</v>
          </cell>
          <cell r="N33">
            <v>425363.6757479774</v>
          </cell>
          <cell r="O33">
            <v>434498.94852976681</v>
          </cell>
          <cell r="P33">
            <v>450336.4466965262</v>
          </cell>
          <cell r="Q33">
            <v>451629.96964689746</v>
          </cell>
          <cell r="R33">
            <v>455951.55838273547</v>
          </cell>
          <cell r="S33">
            <v>465037.77485515067</v>
          </cell>
          <cell r="T33">
            <v>466299.09671184956</v>
          </cell>
          <cell r="U33">
            <v>454455.6235200222</v>
          </cell>
          <cell r="V33">
            <v>458961.44705730496</v>
          </cell>
          <cell r="W33">
            <v>436323.63067807653</v>
          </cell>
        </row>
        <row r="34">
          <cell r="B34" t="str">
            <v>Wabash River 6</v>
          </cell>
          <cell r="C34" t="str">
            <v>PSI</v>
          </cell>
          <cell r="D34">
            <v>1282592.2493223578</v>
          </cell>
          <cell r="E34">
            <v>1229575.8897805149</v>
          </cell>
          <cell r="F34">
            <v>1151301.099136241</v>
          </cell>
          <cell r="G34">
            <v>1146018.2124691922</v>
          </cell>
          <cell r="H34">
            <v>1075155.9204504509</v>
          </cell>
          <cell r="I34">
            <v>1089702.7016227269</v>
          </cell>
          <cell r="J34">
            <v>1100262.6720594906</v>
          </cell>
          <cell r="K34">
            <v>1101316.852061379</v>
          </cell>
          <cell r="L34">
            <v>1103795.9001005017</v>
          </cell>
          <cell r="M34">
            <v>1127274.5995170774</v>
          </cell>
          <cell r="N34">
            <v>1167606.8094555696</v>
          </cell>
          <cell r="O34">
            <v>1222359.1121708164</v>
          </cell>
          <cell r="P34">
            <v>1251094.881914949</v>
          </cell>
          <cell r="Q34">
            <v>1269187.6738188798</v>
          </cell>
          <cell r="R34">
            <v>1275947.7765023236</v>
          </cell>
          <cell r="S34">
            <v>1299231.0792116695</v>
          </cell>
          <cell r="T34">
            <v>1307414.4109898158</v>
          </cell>
          <cell r="U34">
            <v>1273377.570752294</v>
          </cell>
          <cell r="V34">
            <v>1288723.136194759</v>
          </cell>
          <cell r="W34">
            <v>1240127.0126146425</v>
          </cell>
        </row>
        <row r="35">
          <cell r="B35" t="str">
            <v>W.C. Beckjord 1</v>
          </cell>
          <cell r="C35" t="str">
            <v>CGE</v>
          </cell>
          <cell r="D35">
            <v>473332.32800887944</v>
          </cell>
          <cell r="E35">
            <v>427956.99728637113</v>
          </cell>
          <cell r="F35">
            <v>424304.54645220673</v>
          </cell>
          <cell r="G35">
            <v>442662.2325930926</v>
          </cell>
          <cell r="H35">
            <v>414406.85634740186</v>
          </cell>
          <cell r="I35">
            <v>392564.69780946104</v>
          </cell>
          <cell r="J35">
            <v>412223.31749805785</v>
          </cell>
          <cell r="K35">
            <v>428513.7772643186</v>
          </cell>
          <cell r="L35">
            <v>430578.55317670124</v>
          </cell>
          <cell r="M35">
            <v>446189.38499672676</v>
          </cell>
          <cell r="N35">
            <v>449325.76306308137</v>
          </cell>
          <cell r="O35">
            <v>456734.31299292599</v>
          </cell>
          <cell r="P35">
            <v>470389.1234316763</v>
          </cell>
          <cell r="Q35">
            <v>469941.43430078321</v>
          </cell>
          <cell r="R35">
            <v>472883.15422799223</v>
          </cell>
          <cell r="S35">
            <v>482465.70179469435</v>
          </cell>
          <cell r="T35">
            <v>482711.59075498016</v>
          </cell>
          <cell r="U35">
            <v>470001.36195771111</v>
          </cell>
          <cell r="V35">
            <v>477981.15116326208</v>
          </cell>
          <cell r="W35">
            <v>470723.58916711534</v>
          </cell>
        </row>
        <row r="36">
          <cell r="B36" t="str">
            <v>W.C. Beckjord 2</v>
          </cell>
          <cell r="C36" t="str">
            <v>CGE</v>
          </cell>
          <cell r="D36">
            <v>581949.10107222537</v>
          </cell>
          <cell r="E36">
            <v>531759.39268672653</v>
          </cell>
          <cell r="F36">
            <v>529672.04520046618</v>
          </cell>
          <cell r="G36">
            <v>540887.21356188285</v>
          </cell>
          <cell r="H36">
            <v>507454.83402651787</v>
          </cell>
          <cell r="I36">
            <v>479370.76024008443</v>
          </cell>
          <cell r="J36">
            <v>494523.272216329</v>
          </cell>
          <cell r="K36">
            <v>512927.07414448174</v>
          </cell>
          <cell r="L36">
            <v>499837.80774824717</v>
          </cell>
          <cell r="M36">
            <v>510144.77781103662</v>
          </cell>
          <cell r="N36">
            <v>510948.13593815587</v>
          </cell>
          <cell r="O36">
            <v>517934.05546046287</v>
          </cell>
          <cell r="P36">
            <v>527274.70528548874</v>
          </cell>
          <cell r="Q36">
            <v>519741.01053590013</v>
          </cell>
          <cell r="R36">
            <v>518303.34192657337</v>
          </cell>
          <cell r="S36">
            <v>527592.83397259086</v>
          </cell>
          <cell r="T36">
            <v>523292.21181322256</v>
          </cell>
          <cell r="U36">
            <v>505956.22406005225</v>
          </cell>
          <cell r="V36">
            <v>514254.68228363618</v>
          </cell>
          <cell r="W36">
            <v>508318.27035790338</v>
          </cell>
        </row>
        <row r="37">
          <cell r="B37" t="str">
            <v>W.C. Beckjord 3</v>
          </cell>
          <cell r="C37" t="str">
            <v>CGE</v>
          </cell>
          <cell r="D37">
            <v>903826.16284533602</v>
          </cell>
          <cell r="E37">
            <v>862639.01517537236</v>
          </cell>
          <cell r="F37">
            <v>872474.25968163786</v>
          </cell>
          <cell r="G37">
            <v>885840.06466362369</v>
          </cell>
          <cell r="H37">
            <v>842246.20727374067</v>
          </cell>
          <cell r="I37">
            <v>789328.96166341589</v>
          </cell>
          <cell r="J37">
            <v>785261.55172540178</v>
          </cell>
          <cell r="K37">
            <v>810815.68199531524</v>
          </cell>
          <cell r="L37">
            <v>776055.53647151077</v>
          </cell>
          <cell r="M37">
            <v>784960.16233485308</v>
          </cell>
          <cell r="N37">
            <v>781274.18158909469</v>
          </cell>
          <cell r="O37">
            <v>782088.69897322531</v>
          </cell>
          <cell r="P37">
            <v>792862.18294361094</v>
          </cell>
          <cell r="Q37">
            <v>777863.82264228899</v>
          </cell>
          <cell r="R37">
            <v>773569.5344624127</v>
          </cell>
          <cell r="S37">
            <v>783214.44035013614</v>
          </cell>
          <cell r="T37">
            <v>767318.4386402641</v>
          </cell>
          <cell r="U37">
            <v>742234.44844037842</v>
          </cell>
          <cell r="V37">
            <v>748365.3706726681</v>
          </cell>
          <cell r="W37">
            <v>745916.14922958065</v>
          </cell>
        </row>
        <row r="38">
          <cell r="B38" t="str">
            <v>W.C. Beckjord 4</v>
          </cell>
          <cell r="C38" t="str">
            <v>CGE</v>
          </cell>
          <cell r="D38">
            <v>1106888.2903288072</v>
          </cell>
          <cell r="E38">
            <v>1091517.7307013234</v>
          </cell>
          <cell r="F38">
            <v>1102087.0621660557</v>
          </cell>
          <cell r="G38">
            <v>1111955.1091083472</v>
          </cell>
          <cell r="H38">
            <v>1072237.2999591751</v>
          </cell>
          <cell r="I38">
            <v>1025414.5032724197</v>
          </cell>
          <cell r="J38">
            <v>1031136.0565654252</v>
          </cell>
          <cell r="K38">
            <v>1045595.9997785636</v>
          </cell>
          <cell r="L38">
            <v>1002273.2476143837</v>
          </cell>
          <cell r="M38">
            <v>1007440.1777169362</v>
          </cell>
          <cell r="N38">
            <v>999124.42612045736</v>
          </cell>
          <cell r="O38">
            <v>995809.00348747184</v>
          </cell>
          <cell r="P38">
            <v>1001000.5754446554</v>
          </cell>
          <cell r="Q38">
            <v>979575.69793033181</v>
          </cell>
          <cell r="R38">
            <v>972317.75267349614</v>
          </cell>
          <cell r="S38">
            <v>985093.19043399615</v>
          </cell>
          <cell r="T38">
            <v>959032.35096334736</v>
          </cell>
          <cell r="U38">
            <v>920562.98858743173</v>
          </cell>
          <cell r="V38">
            <v>934592.51531433268</v>
          </cell>
          <cell r="W38">
            <v>935079.29540375096</v>
          </cell>
        </row>
        <row r="39">
          <cell r="B39" t="str">
            <v>W.C. Beckjord 5</v>
          </cell>
          <cell r="C39" t="str">
            <v>CGE</v>
          </cell>
          <cell r="D39">
            <v>1722586.7118123479</v>
          </cell>
          <cell r="E39">
            <v>1651244.3556625363</v>
          </cell>
          <cell r="F39">
            <v>1676864.6433395022</v>
          </cell>
          <cell r="G39">
            <v>1693952.4982879919</v>
          </cell>
          <cell r="H39">
            <v>1628870.6261937665</v>
          </cell>
          <cell r="I39">
            <v>1547291.710658696</v>
          </cell>
          <cell r="J39">
            <v>1544108.0391917082</v>
          </cell>
          <cell r="K39">
            <v>1568026.9966682091</v>
          </cell>
          <cell r="L39">
            <v>1498141.2945170661</v>
          </cell>
          <cell r="M39">
            <v>1501021.836501773</v>
          </cell>
          <cell r="N39">
            <v>1508092.9959138555</v>
          </cell>
          <cell r="O39">
            <v>1507443.8999120584</v>
          </cell>
          <cell r="P39">
            <v>1523745.1368573338</v>
          </cell>
          <cell r="Q39">
            <v>1488108.7404825983</v>
          </cell>
          <cell r="R39">
            <v>1481579.1363903326</v>
          </cell>
          <cell r="S39">
            <v>1495067.8035666205</v>
          </cell>
          <cell r="T39">
            <v>1464122.4741463044</v>
          </cell>
          <cell r="U39">
            <v>1403338.3366848854</v>
          </cell>
          <cell r="V39">
            <v>1430328.5566803475</v>
          </cell>
          <cell r="W39">
            <v>1434589.4343731904</v>
          </cell>
        </row>
        <row r="40">
          <cell r="B40" t="str">
            <v>W.C. Beckjord 6</v>
          </cell>
          <cell r="C40" t="str">
            <v>CGE</v>
          </cell>
          <cell r="D40">
            <v>1089125.9416905704</v>
          </cell>
          <cell r="E40">
            <v>1044660.6132104837</v>
          </cell>
          <cell r="F40">
            <v>1038372.275022454</v>
          </cell>
          <cell r="G40">
            <v>1025426.5577614888</v>
          </cell>
          <cell r="H40">
            <v>991378.09188036213</v>
          </cell>
          <cell r="I40">
            <v>959529.20178194542</v>
          </cell>
          <cell r="J40">
            <v>918628.99118231097</v>
          </cell>
          <cell r="K40">
            <v>907255.57798654656</v>
          </cell>
          <cell r="L40">
            <v>873728.98310908</v>
          </cell>
          <cell r="M40">
            <v>860143.42751177249</v>
          </cell>
          <cell r="N40">
            <v>870403.862828293</v>
          </cell>
          <cell r="O40">
            <v>883347.21713712486</v>
          </cell>
          <cell r="P40">
            <v>883222.80474373605</v>
          </cell>
          <cell r="Q40">
            <v>853650.66229479271</v>
          </cell>
          <cell r="R40">
            <v>852852.02793551644</v>
          </cell>
          <cell r="S40">
            <v>869110.01406364515</v>
          </cell>
          <cell r="T40">
            <v>844017.12179527176</v>
          </cell>
          <cell r="U40">
            <v>818734.72523688187</v>
          </cell>
          <cell r="V40">
            <v>834253.49108649895</v>
          </cell>
          <cell r="W40">
            <v>852909.26917378383</v>
          </cell>
        </row>
        <row r="41">
          <cell r="B41" t="str">
            <v>W.H. Zimmer 1</v>
          </cell>
          <cell r="C41" t="str">
            <v>CGE</v>
          </cell>
          <cell r="D41">
            <v>4261024.7076318441</v>
          </cell>
          <cell r="E41">
            <v>4261024.7076318441</v>
          </cell>
          <cell r="F41">
            <v>4261024.7076318441</v>
          </cell>
          <cell r="G41">
            <v>4259897.315131844</v>
          </cell>
          <cell r="H41">
            <v>4253724.7591766063</v>
          </cell>
          <cell r="I41">
            <v>4257433.8670560755</v>
          </cell>
          <cell r="J41">
            <v>4245449.3540210184</v>
          </cell>
          <cell r="K41">
            <v>4254606.5976948524</v>
          </cell>
          <cell r="L41">
            <v>4255147.868130588</v>
          </cell>
          <cell r="M41">
            <v>4239575.3674962958</v>
          </cell>
          <cell r="N41">
            <v>4226649.5664305827</v>
          </cell>
          <cell r="O41">
            <v>4238777.3239618875</v>
          </cell>
          <cell r="P41">
            <v>4243425.6024657795</v>
          </cell>
          <cell r="Q41">
            <v>4220868.3297768133</v>
          </cell>
          <cell r="R41">
            <v>4234228.3909738027</v>
          </cell>
          <cell r="S41">
            <v>4254823.8982918989</v>
          </cell>
          <cell r="T41">
            <v>4207440.3812958114</v>
          </cell>
          <cell r="U41">
            <v>4208348.3022452444</v>
          </cell>
          <cell r="V41">
            <v>4203034.4145652456</v>
          </cell>
          <cell r="W41">
            <v>4182928.8000697116</v>
          </cell>
        </row>
        <row r="42">
          <cell r="B42" t="str">
            <v>Cayuga Diesel 3A-D</v>
          </cell>
          <cell r="C42" t="str">
            <v>PSI</v>
          </cell>
          <cell r="D42">
            <v>17875.401389999999</v>
          </cell>
          <cell r="E42">
            <v>13990.051844999998</v>
          </cell>
          <cell r="F42">
            <v>11457.877725000002</v>
          </cell>
          <cell r="G42">
            <v>12496.939560000001</v>
          </cell>
          <cell r="H42">
            <v>10863.303695999999</v>
          </cell>
          <cell r="I42">
            <v>10635.02622</v>
          </cell>
          <cell r="J42">
            <v>10206.003276000001</v>
          </cell>
          <cell r="K42">
            <v>10501.525754999995</v>
          </cell>
          <cell r="L42">
            <v>11976.230825999995</v>
          </cell>
          <cell r="M42">
            <v>12635.361459000003</v>
          </cell>
          <cell r="N42">
            <v>12434.397066000001</v>
          </cell>
          <cell r="O42">
            <v>11797.377858000002</v>
          </cell>
          <cell r="P42">
            <v>11933.400339000003</v>
          </cell>
          <cell r="Q42">
            <v>12882.562812</v>
          </cell>
          <cell r="R42">
            <v>12532.195241999996</v>
          </cell>
          <cell r="S42">
            <v>12876.222744000001</v>
          </cell>
          <cell r="T42">
            <v>13130.955117000003</v>
          </cell>
          <cell r="U42">
            <v>12947.066873999995</v>
          </cell>
          <cell r="V42">
            <v>11888.713367999999</v>
          </cell>
          <cell r="W42">
            <v>12755.227274999996</v>
          </cell>
        </row>
        <row r="43">
          <cell r="B43" t="str">
            <v>Cayuga CT 4</v>
          </cell>
          <cell r="C43" t="str">
            <v>PSI</v>
          </cell>
          <cell r="D43">
            <v>137984.33447399997</v>
          </cell>
          <cell r="E43">
            <v>98382.353615999964</v>
          </cell>
          <cell r="F43">
            <v>83676.45371099998</v>
          </cell>
          <cell r="G43">
            <v>89467.886729999998</v>
          </cell>
          <cell r="H43">
            <v>80070.756948000009</v>
          </cell>
          <cell r="I43">
            <v>81641.789094000007</v>
          </cell>
          <cell r="J43">
            <v>77098.803272999969</v>
          </cell>
          <cell r="K43">
            <v>79958.929894199973</v>
          </cell>
          <cell r="L43">
            <v>92988.014149199968</v>
          </cell>
          <cell r="M43">
            <v>101241.23320979998</v>
          </cell>
          <cell r="N43">
            <v>98771.16102179997</v>
          </cell>
          <cell r="O43">
            <v>90477.072305999987</v>
          </cell>
          <cell r="P43">
            <v>94700.393173199991</v>
          </cell>
          <cell r="Q43">
            <v>102638.03561400002</v>
          </cell>
          <cell r="R43">
            <v>102190.12355699997</v>
          </cell>
          <cell r="S43">
            <v>104304.73306500005</v>
          </cell>
          <cell r="T43">
            <v>108687.36211019999</v>
          </cell>
          <cell r="U43">
            <v>106827.83727420002</v>
          </cell>
          <cell r="V43">
            <v>99258.839397000003</v>
          </cell>
          <cell r="W43">
            <v>107675.88090899998</v>
          </cell>
        </row>
        <row r="44">
          <cell r="B44" t="str">
            <v>Connersville CT 1</v>
          </cell>
          <cell r="C44" t="str">
            <v>PSI</v>
          </cell>
          <cell r="D44">
            <v>18040.650457499993</v>
          </cell>
          <cell r="E44">
            <v>13930.078657500007</v>
          </cell>
          <cell r="F44">
            <v>11691.993765000005</v>
          </cell>
          <cell r="G44">
            <v>13880.727847499995</v>
          </cell>
          <cell r="H44">
            <v>11850.181499999999</v>
          </cell>
          <cell r="I44">
            <v>12594.506324999998</v>
          </cell>
          <cell r="J44">
            <v>11983.159267499996</v>
          </cell>
          <cell r="K44">
            <v>13582.861069499999</v>
          </cell>
          <cell r="L44">
            <v>16889.100196500003</v>
          </cell>
          <cell r="M44">
            <v>18924.594454499995</v>
          </cell>
          <cell r="N44">
            <v>19131.743837999991</v>
          </cell>
          <cell r="O44">
            <v>16464.011819999992</v>
          </cell>
          <cell r="P44">
            <v>18543.181972499995</v>
          </cell>
          <cell r="Q44">
            <v>19815.162749999996</v>
          </cell>
          <cell r="R44">
            <v>20677.39068</v>
          </cell>
          <cell r="S44">
            <v>21964.16814749999</v>
          </cell>
          <cell r="T44">
            <v>24405.771675</v>
          </cell>
          <cell r="U44">
            <v>24797.178337499987</v>
          </cell>
          <cell r="V44">
            <v>22482.757919999993</v>
          </cell>
          <cell r="W44">
            <v>32459.811037500011</v>
          </cell>
        </row>
        <row r="45">
          <cell r="B45" t="str">
            <v>Connersville CT 2</v>
          </cell>
          <cell r="C45" t="str">
            <v>PSI</v>
          </cell>
          <cell r="D45">
            <v>18040.650457499993</v>
          </cell>
          <cell r="E45">
            <v>13930.078657500007</v>
          </cell>
          <cell r="F45">
            <v>11691.993765000005</v>
          </cell>
          <cell r="G45">
            <v>13880.727847499995</v>
          </cell>
          <cell r="H45">
            <v>11850.181499999999</v>
          </cell>
          <cell r="I45">
            <v>12594.506324999998</v>
          </cell>
          <cell r="J45">
            <v>11983.159267499996</v>
          </cell>
          <cell r="K45">
            <v>13582.861069499999</v>
          </cell>
          <cell r="L45">
            <v>16889.100196500003</v>
          </cell>
          <cell r="M45">
            <v>18924.594454499995</v>
          </cell>
          <cell r="N45">
            <v>19131.743837999991</v>
          </cell>
          <cell r="O45">
            <v>16464.011819999992</v>
          </cell>
          <cell r="P45">
            <v>18543.181972499995</v>
          </cell>
          <cell r="Q45">
            <v>19815.162749999996</v>
          </cell>
          <cell r="R45">
            <v>20677.39068</v>
          </cell>
          <cell r="S45">
            <v>21964.16814749999</v>
          </cell>
          <cell r="T45">
            <v>24405.771675</v>
          </cell>
          <cell r="U45">
            <v>24797.178337499987</v>
          </cell>
          <cell r="V45">
            <v>22482.757919999993</v>
          </cell>
          <cell r="W45">
            <v>32459.811037500011</v>
          </cell>
        </row>
        <row r="46">
          <cell r="B46" t="str">
            <v>Dicks Creek CT 1</v>
          </cell>
          <cell r="C46" t="str">
            <v>CGE</v>
          </cell>
          <cell r="D46">
            <v>12955.785045000004</v>
          </cell>
          <cell r="E46">
            <v>10990.305645000004</v>
          </cell>
          <cell r="F46">
            <v>9939.4413000000022</v>
          </cell>
          <cell r="G46">
            <v>12087.056834999998</v>
          </cell>
          <cell r="H46">
            <v>10064.015744999997</v>
          </cell>
          <cell r="I46">
            <v>10894.426515000006</v>
          </cell>
          <cell r="J46">
            <v>11054.068260000002</v>
          </cell>
          <cell r="K46">
            <v>11587.219515000004</v>
          </cell>
          <cell r="L46">
            <v>14011.011419999993</v>
          </cell>
          <cell r="M46">
            <v>15782.594309999999</v>
          </cell>
          <cell r="N46">
            <v>17341.293030000001</v>
          </cell>
          <cell r="O46">
            <v>15976.875704999997</v>
          </cell>
          <cell r="P46">
            <v>17607.419624999995</v>
          </cell>
          <cell r="Q46">
            <v>17866.147875000002</v>
          </cell>
          <cell r="R46">
            <v>20411.991090000003</v>
          </cell>
          <cell r="S46">
            <v>20905.713015000005</v>
          </cell>
          <cell r="T46">
            <v>22810.038465000005</v>
          </cell>
          <cell r="U46">
            <v>23418.755474999998</v>
          </cell>
          <cell r="V46">
            <v>22741.443404999995</v>
          </cell>
          <cell r="W46">
            <v>38385.179759999999</v>
          </cell>
        </row>
        <row r="47">
          <cell r="B47" t="str">
            <v>Dicks Creek CT 3</v>
          </cell>
          <cell r="C47" t="str">
            <v>CGE</v>
          </cell>
          <cell r="D47">
            <v>2009.8480875</v>
          </cell>
          <cell r="E47">
            <v>1708.2693074999997</v>
          </cell>
          <cell r="F47">
            <v>1538.2827089999998</v>
          </cell>
          <cell r="G47">
            <v>1878.2559059999996</v>
          </cell>
          <cell r="H47">
            <v>1562.3936159999994</v>
          </cell>
          <cell r="I47">
            <v>1690.0086524999999</v>
          </cell>
          <cell r="J47">
            <v>1716.463081500001</v>
          </cell>
          <cell r="K47">
            <v>1798.6830704999998</v>
          </cell>
          <cell r="L47">
            <v>2179.9330455000004</v>
          </cell>
          <cell r="M47">
            <v>2457.0032040000006</v>
          </cell>
          <cell r="N47">
            <v>2710.0650915000006</v>
          </cell>
          <cell r="O47">
            <v>2492.8060620000001</v>
          </cell>
          <cell r="P47">
            <v>2751.8678790000004</v>
          </cell>
          <cell r="Q47">
            <v>2800.0426514999999</v>
          </cell>
          <cell r="R47">
            <v>3202.2987944999995</v>
          </cell>
          <cell r="S47">
            <v>3285.9770699999995</v>
          </cell>
          <cell r="T47">
            <v>3586.503831</v>
          </cell>
          <cell r="U47">
            <v>3686.4071474999973</v>
          </cell>
          <cell r="V47">
            <v>3579.8282144999994</v>
          </cell>
          <cell r="W47">
            <v>6097.4294235000007</v>
          </cell>
        </row>
        <row r="48">
          <cell r="B48" t="str">
            <v>Dicks Creek CT 4-5</v>
          </cell>
          <cell r="C48" t="str">
            <v>CGE</v>
          </cell>
          <cell r="D48">
            <v>4589.1634679999979</v>
          </cell>
          <cell r="E48">
            <v>3996.2695079999994</v>
          </cell>
          <cell r="F48">
            <v>3835.627062</v>
          </cell>
          <cell r="G48">
            <v>5031.4562040000001</v>
          </cell>
          <cell r="H48">
            <v>3853.4515139999999</v>
          </cell>
          <cell r="I48">
            <v>4536.8191079999988</v>
          </cell>
          <cell r="J48">
            <v>4413.4164239999991</v>
          </cell>
          <cell r="K48">
            <v>4647.3067620000011</v>
          </cell>
          <cell r="L48">
            <v>5786.0189700000001</v>
          </cell>
          <cell r="M48">
            <v>6041.0010060000013</v>
          </cell>
          <cell r="N48">
            <v>6742.6378079999968</v>
          </cell>
          <cell r="O48">
            <v>6975.9636479999972</v>
          </cell>
          <cell r="P48">
            <v>7340.8346279999996</v>
          </cell>
          <cell r="Q48">
            <v>7322.4114660000023</v>
          </cell>
          <cell r="R48">
            <v>7880.477609999999</v>
          </cell>
          <cell r="S48">
            <v>8324.8743839999952</v>
          </cell>
          <cell r="T48">
            <v>8783.0072759999966</v>
          </cell>
          <cell r="U48">
            <v>9712.1367719999998</v>
          </cell>
          <cell r="V48">
            <v>10017.581508000003</v>
          </cell>
          <cell r="W48">
            <v>15998.061485999995</v>
          </cell>
        </row>
        <row r="49">
          <cell r="B49" t="str">
            <v>Miami Fort CT 3-6</v>
          </cell>
          <cell r="C49" t="str">
            <v>CGE</v>
          </cell>
          <cell r="D49">
            <v>9017.0515679999935</v>
          </cell>
          <cell r="E49">
            <v>7703.9779020000005</v>
          </cell>
          <cell r="F49">
            <v>6935.7987600000024</v>
          </cell>
          <cell r="G49">
            <v>8492.3164649999962</v>
          </cell>
          <cell r="H49">
            <v>6989.1951389999995</v>
          </cell>
          <cell r="I49">
            <v>7624.1014349999987</v>
          </cell>
          <cell r="J49">
            <v>7914.3047249999954</v>
          </cell>
          <cell r="K49">
            <v>8369.598020999998</v>
          </cell>
          <cell r="L49">
            <v>10080.848049000004</v>
          </cell>
          <cell r="M49">
            <v>12374.480399999999</v>
          </cell>
          <cell r="N49">
            <v>12600.929627999996</v>
          </cell>
          <cell r="O49">
            <v>11836.291428</v>
          </cell>
          <cell r="P49">
            <v>13085.593925999996</v>
          </cell>
          <cell r="Q49">
            <v>13564.450736999996</v>
          </cell>
          <cell r="R49">
            <v>15500.807171999995</v>
          </cell>
          <cell r="S49">
            <v>15966.021948000003</v>
          </cell>
          <cell r="T49">
            <v>18530.681763000001</v>
          </cell>
          <cell r="U49">
            <v>18270.490950000007</v>
          </cell>
          <cell r="V49">
            <v>17332.372251000004</v>
          </cell>
          <cell r="W49">
            <v>28495.21756500001</v>
          </cell>
        </row>
        <row r="50">
          <cell r="B50" t="str">
            <v>Miami-Wabash CT 1-6</v>
          </cell>
          <cell r="C50" t="str">
            <v>PSI</v>
          </cell>
          <cell r="D50">
            <v>12552.72492000001</v>
          </cell>
          <cell r="E50">
            <v>10627.572915000008</v>
          </cell>
          <cell r="F50">
            <v>9620.4571650000071</v>
          </cell>
          <cell r="G50">
            <v>11740.745865000006</v>
          </cell>
          <cell r="H50">
            <v>9492.6325800000068</v>
          </cell>
          <cell r="I50">
            <v>10436.969310000008</v>
          </cell>
          <cell r="J50">
            <v>10399.464405000001</v>
          </cell>
          <cell r="K50">
            <v>11175.862980000004</v>
          </cell>
          <cell r="L50">
            <v>13187.614110000008</v>
          </cell>
          <cell r="M50">
            <v>14614.254510000006</v>
          </cell>
          <cell r="N50">
            <v>16447.376235000011</v>
          </cell>
          <cell r="O50">
            <v>14987.33637000001</v>
          </cell>
          <cell r="P50">
            <v>16246.081380000011</v>
          </cell>
          <cell r="Q50">
            <v>16408.374555000006</v>
          </cell>
          <cell r="R50">
            <v>18844.653840000003</v>
          </cell>
          <cell r="S50">
            <v>19454.653800000015</v>
          </cell>
          <cell r="T50">
            <v>20241.358740000007</v>
          </cell>
          <cell r="U50">
            <v>21357.568005000005</v>
          </cell>
          <cell r="V50">
            <v>20726.655960000007</v>
          </cell>
          <cell r="W50">
            <v>35102.58112499999</v>
          </cell>
        </row>
        <row r="51">
          <cell r="B51" t="str">
            <v>Wabash Diesel 7A-B</v>
          </cell>
          <cell r="C51" t="str">
            <v>PSI</v>
          </cell>
          <cell r="D51">
            <v>13095.327240000008</v>
          </cell>
          <cell r="E51">
            <v>10271.12664</v>
          </cell>
          <cell r="F51">
            <v>8438.3898000000027</v>
          </cell>
          <cell r="G51">
            <v>9198.5804399999979</v>
          </cell>
          <cell r="H51">
            <v>7995.8917919999976</v>
          </cell>
          <cell r="I51">
            <v>7845.8379599999971</v>
          </cell>
          <cell r="J51">
            <v>7534.0297919999994</v>
          </cell>
          <cell r="K51">
            <v>7758.8026320000008</v>
          </cell>
          <cell r="L51">
            <v>8846.3336880000006</v>
          </cell>
          <cell r="M51">
            <v>9323.1805440000007</v>
          </cell>
          <cell r="N51">
            <v>9184.4166719999994</v>
          </cell>
          <cell r="O51">
            <v>8729.260223999996</v>
          </cell>
          <cell r="P51">
            <v>8821.5641999999989</v>
          </cell>
          <cell r="Q51">
            <v>9523.6628640000035</v>
          </cell>
          <cell r="R51">
            <v>9263.1726959999996</v>
          </cell>
          <cell r="S51">
            <v>9520.8574799999988</v>
          </cell>
          <cell r="T51">
            <v>9711.9657119999938</v>
          </cell>
          <cell r="U51">
            <v>9581.0706000000009</v>
          </cell>
          <cell r="V51">
            <v>8807.0583119999992</v>
          </cell>
          <cell r="W51">
            <v>9462.3549600000024</v>
          </cell>
        </row>
        <row r="52">
          <cell r="B52" t="str">
            <v>W.C. Beckjord CT 1</v>
          </cell>
          <cell r="C52" t="str">
            <v>CGE</v>
          </cell>
          <cell r="D52">
            <v>11218.251648000003</v>
          </cell>
          <cell r="E52">
            <v>9424.4395110000023</v>
          </cell>
          <cell r="F52">
            <v>8221.6525035000013</v>
          </cell>
          <cell r="G52">
            <v>9987.953916000004</v>
          </cell>
          <cell r="H52">
            <v>8297.0044335000039</v>
          </cell>
          <cell r="I52">
            <v>9278.952981000004</v>
          </cell>
          <cell r="J52">
            <v>9260.6110725000017</v>
          </cell>
          <cell r="K52">
            <v>9936.379326000002</v>
          </cell>
          <cell r="L52">
            <v>12469.658184000002</v>
          </cell>
          <cell r="M52">
            <v>15309.205431899994</v>
          </cell>
          <cell r="N52">
            <v>14816.053991999994</v>
          </cell>
          <cell r="O52">
            <v>13591.645000500004</v>
          </cell>
          <cell r="P52">
            <v>15193.181421000003</v>
          </cell>
          <cell r="Q52">
            <v>16137.347091000009</v>
          </cell>
          <cell r="R52">
            <v>17564.504947500001</v>
          </cell>
          <cell r="S52">
            <v>18399.713950500009</v>
          </cell>
          <cell r="T52">
            <v>21733.019045999994</v>
          </cell>
          <cell r="U52">
            <v>21580.797028500001</v>
          </cell>
          <cell r="V52">
            <v>19748.149995000003</v>
          </cell>
          <cell r="W52">
            <v>30189.511270499999</v>
          </cell>
        </row>
        <row r="53">
          <cell r="B53" t="str">
            <v>W.C. Beckjord CT 2</v>
          </cell>
          <cell r="C53" t="str">
            <v>CGE</v>
          </cell>
          <cell r="D53">
            <v>11218.251648000003</v>
          </cell>
          <cell r="E53">
            <v>9424.4395110000023</v>
          </cell>
          <cell r="F53">
            <v>8221.6525035000013</v>
          </cell>
          <cell r="G53">
            <v>9987.953916000004</v>
          </cell>
          <cell r="H53">
            <v>8297.0044335000039</v>
          </cell>
          <cell r="I53">
            <v>9278.952981000004</v>
          </cell>
          <cell r="J53">
            <v>9260.6110725000017</v>
          </cell>
          <cell r="K53">
            <v>9936.379326000002</v>
          </cell>
          <cell r="L53">
            <v>12469.658184000002</v>
          </cell>
          <cell r="M53">
            <v>15309.205431899994</v>
          </cell>
          <cell r="N53">
            <v>14816.053991999994</v>
          </cell>
          <cell r="O53">
            <v>13591.645000500004</v>
          </cell>
          <cell r="P53">
            <v>15193.181421000003</v>
          </cell>
          <cell r="Q53">
            <v>16137.347091000009</v>
          </cell>
          <cell r="R53">
            <v>17564.504947500001</v>
          </cell>
          <cell r="S53">
            <v>18399.713950500009</v>
          </cell>
          <cell r="T53">
            <v>21733.019045999994</v>
          </cell>
          <cell r="U53">
            <v>21580.797028500001</v>
          </cell>
          <cell r="V53">
            <v>19748.149995000003</v>
          </cell>
          <cell r="W53">
            <v>30189.511270499999</v>
          </cell>
        </row>
        <row r="54">
          <cell r="B54" t="str">
            <v>W.C. Beckjord CT 3</v>
          </cell>
          <cell r="C54" t="str">
            <v>CGE</v>
          </cell>
          <cell r="D54">
            <v>11218.251648000003</v>
          </cell>
          <cell r="E54">
            <v>9424.4395110000023</v>
          </cell>
          <cell r="F54">
            <v>8221.6525035000013</v>
          </cell>
          <cell r="G54">
            <v>9987.953916000004</v>
          </cell>
          <cell r="H54">
            <v>8297.0044335000039</v>
          </cell>
          <cell r="I54">
            <v>9278.952981000004</v>
          </cell>
          <cell r="J54">
            <v>9260.6110725000017</v>
          </cell>
          <cell r="K54">
            <v>9936.379326000002</v>
          </cell>
          <cell r="L54">
            <v>12469.658184000002</v>
          </cell>
          <cell r="M54">
            <v>15309.205431899994</v>
          </cell>
          <cell r="N54">
            <v>14816.053991999994</v>
          </cell>
          <cell r="O54">
            <v>13591.645000500004</v>
          </cell>
          <cell r="P54">
            <v>15193.181421000003</v>
          </cell>
          <cell r="Q54">
            <v>16137.347091000009</v>
          </cell>
          <cell r="R54">
            <v>17564.504947500001</v>
          </cell>
          <cell r="S54">
            <v>18399.713950500009</v>
          </cell>
          <cell r="T54">
            <v>21733.019045999994</v>
          </cell>
          <cell r="U54">
            <v>21580.797028500001</v>
          </cell>
          <cell r="V54">
            <v>19748.149995000003</v>
          </cell>
          <cell r="W54">
            <v>30189.511270499999</v>
          </cell>
        </row>
        <row r="55">
          <cell r="B55" t="str">
            <v>W.C. Beckjord CT 4</v>
          </cell>
          <cell r="C55" t="str">
            <v>CGE</v>
          </cell>
          <cell r="D55">
            <v>11218.251648000003</v>
          </cell>
          <cell r="E55">
            <v>9424.4395110000023</v>
          </cell>
          <cell r="F55">
            <v>8221.6525035000013</v>
          </cell>
          <cell r="G55">
            <v>9987.953916000004</v>
          </cell>
          <cell r="H55">
            <v>8297.0044335000039</v>
          </cell>
          <cell r="I55">
            <v>9278.952981000004</v>
          </cell>
          <cell r="J55">
            <v>9260.6110725000017</v>
          </cell>
          <cell r="K55">
            <v>9936.379326000002</v>
          </cell>
          <cell r="L55">
            <v>12469.658184000002</v>
          </cell>
          <cell r="M55">
            <v>15309.205431899994</v>
          </cell>
          <cell r="N55">
            <v>14816.053991999994</v>
          </cell>
          <cell r="O55">
            <v>13591.645000500004</v>
          </cell>
          <cell r="P55">
            <v>15193.181421000003</v>
          </cell>
          <cell r="Q55">
            <v>16137.347091000009</v>
          </cell>
          <cell r="R55">
            <v>17564.504947500001</v>
          </cell>
          <cell r="S55">
            <v>18399.713950500009</v>
          </cell>
          <cell r="T55">
            <v>21733.019045999994</v>
          </cell>
          <cell r="U55">
            <v>21580.797028500001</v>
          </cell>
          <cell r="V55">
            <v>19748.149995000003</v>
          </cell>
          <cell r="W55">
            <v>30189.511270499999</v>
          </cell>
        </row>
        <row r="56">
          <cell r="B56" t="str">
            <v>Woodsdale CT 1</v>
          </cell>
          <cell r="C56" t="str">
            <v>CGE</v>
          </cell>
          <cell r="D56">
            <v>34113.520757999999</v>
          </cell>
          <cell r="E56">
            <v>29714.909576999988</v>
          </cell>
          <cell r="F56">
            <v>26354.068098</v>
          </cell>
          <cell r="G56">
            <v>31907.231642999981</v>
          </cell>
          <cell r="H56">
            <v>24741.562454999996</v>
          </cell>
          <cell r="I56">
            <v>27450.545591999995</v>
          </cell>
          <cell r="J56">
            <v>25212.251151000004</v>
          </cell>
          <cell r="K56">
            <v>25634.187746999989</v>
          </cell>
          <cell r="L56">
            <v>31110.784836000003</v>
          </cell>
          <cell r="M56">
            <v>30680.697231000002</v>
          </cell>
          <cell r="N56">
            <v>33391.878489000002</v>
          </cell>
          <cell r="O56">
            <v>33680.046164999985</v>
          </cell>
          <cell r="P56">
            <v>35656.670123999989</v>
          </cell>
          <cell r="Q56">
            <v>35629.035381000002</v>
          </cell>
          <cell r="R56">
            <v>37927.337669999994</v>
          </cell>
          <cell r="S56">
            <v>39495.273630000011</v>
          </cell>
          <cell r="T56">
            <v>40551.184245000004</v>
          </cell>
          <cell r="U56">
            <v>42766.111890000015</v>
          </cell>
          <cell r="V56">
            <v>43900.598915999981</v>
          </cell>
          <cell r="W56">
            <v>67702.725509999975</v>
          </cell>
        </row>
        <row r="57">
          <cell r="B57" t="str">
            <v>Woodsdale CT 2</v>
          </cell>
          <cell r="C57" t="str">
            <v>CGE</v>
          </cell>
          <cell r="D57">
            <v>34113.520757999999</v>
          </cell>
          <cell r="E57">
            <v>29714.909576999988</v>
          </cell>
          <cell r="F57">
            <v>26354.068098</v>
          </cell>
          <cell r="G57">
            <v>31907.231642999981</v>
          </cell>
          <cell r="H57">
            <v>24741.562454999996</v>
          </cell>
          <cell r="I57">
            <v>27450.545591999995</v>
          </cell>
          <cell r="J57">
            <v>25212.251151000004</v>
          </cell>
          <cell r="K57">
            <v>25634.187746999989</v>
          </cell>
          <cell r="L57">
            <v>31110.784836000003</v>
          </cell>
          <cell r="M57">
            <v>30680.697231000002</v>
          </cell>
          <cell r="N57">
            <v>33391.878489000002</v>
          </cell>
          <cell r="O57">
            <v>33680.046164999985</v>
          </cell>
          <cell r="P57">
            <v>35656.670123999989</v>
          </cell>
          <cell r="Q57">
            <v>35629.035381000002</v>
          </cell>
          <cell r="R57">
            <v>37927.337669999994</v>
          </cell>
          <cell r="S57">
            <v>39495.273630000011</v>
          </cell>
          <cell r="T57">
            <v>40551.184245000004</v>
          </cell>
          <cell r="U57">
            <v>42766.111890000015</v>
          </cell>
          <cell r="V57">
            <v>43900.598915999981</v>
          </cell>
          <cell r="W57">
            <v>67702.725509999975</v>
          </cell>
        </row>
        <row r="58">
          <cell r="B58" t="str">
            <v>Woodsdale CT 3</v>
          </cell>
          <cell r="C58" t="str">
            <v>CGE</v>
          </cell>
          <cell r="D58">
            <v>34113.520757999999</v>
          </cell>
          <cell r="E58">
            <v>29714.909576999988</v>
          </cell>
          <cell r="F58">
            <v>26354.068098</v>
          </cell>
          <cell r="G58">
            <v>31907.231642999981</v>
          </cell>
          <cell r="H58">
            <v>24741.562454999996</v>
          </cell>
          <cell r="I58">
            <v>27450.545591999995</v>
          </cell>
          <cell r="J58">
            <v>25212.251151000004</v>
          </cell>
          <cell r="K58">
            <v>25634.187746999989</v>
          </cell>
          <cell r="L58">
            <v>31110.784836000003</v>
          </cell>
          <cell r="M58">
            <v>30680.697231000002</v>
          </cell>
          <cell r="N58">
            <v>33391.878489000002</v>
          </cell>
          <cell r="O58">
            <v>33680.046164999985</v>
          </cell>
          <cell r="P58">
            <v>35656.670123999989</v>
          </cell>
          <cell r="Q58">
            <v>35629.035381000002</v>
          </cell>
          <cell r="R58">
            <v>37927.337669999994</v>
          </cell>
          <cell r="S58">
            <v>39495.273630000011</v>
          </cell>
          <cell r="T58">
            <v>40551.184245000004</v>
          </cell>
          <cell r="U58">
            <v>42766.111890000015</v>
          </cell>
          <cell r="V58">
            <v>43900.598915999981</v>
          </cell>
          <cell r="W58">
            <v>67702.725509999975</v>
          </cell>
        </row>
        <row r="59">
          <cell r="B59" t="str">
            <v>Woodsdale CT 4</v>
          </cell>
          <cell r="C59" t="str">
            <v>CGE</v>
          </cell>
          <cell r="D59">
            <v>34113.520757999999</v>
          </cell>
          <cell r="E59">
            <v>29714.909576999988</v>
          </cell>
          <cell r="F59">
            <v>26354.068098</v>
          </cell>
          <cell r="G59">
            <v>31907.231642999981</v>
          </cell>
          <cell r="H59">
            <v>24741.562454999996</v>
          </cell>
          <cell r="I59">
            <v>27450.545591999995</v>
          </cell>
          <cell r="J59">
            <v>25212.251151000004</v>
          </cell>
          <cell r="K59">
            <v>25634.187746999989</v>
          </cell>
          <cell r="L59">
            <v>31110.784836000003</v>
          </cell>
          <cell r="M59">
            <v>30680.697231000002</v>
          </cell>
          <cell r="N59">
            <v>33391.878489000002</v>
          </cell>
          <cell r="O59">
            <v>33680.046164999985</v>
          </cell>
          <cell r="P59">
            <v>35656.670123999989</v>
          </cell>
          <cell r="Q59">
            <v>35629.035381000002</v>
          </cell>
          <cell r="R59">
            <v>37927.337669999994</v>
          </cell>
          <cell r="S59">
            <v>39495.273630000011</v>
          </cell>
          <cell r="T59">
            <v>40551.184245000004</v>
          </cell>
          <cell r="U59">
            <v>42766.111890000015</v>
          </cell>
          <cell r="V59">
            <v>43900.598915999981</v>
          </cell>
          <cell r="W59">
            <v>67702.725509999975</v>
          </cell>
        </row>
        <row r="60">
          <cell r="B60" t="str">
            <v>Woodsdale CT 5</v>
          </cell>
          <cell r="C60" t="str">
            <v>CGE</v>
          </cell>
          <cell r="D60">
            <v>34113.520757999999</v>
          </cell>
          <cell r="E60">
            <v>29714.909576999988</v>
          </cell>
          <cell r="F60">
            <v>26354.068098</v>
          </cell>
          <cell r="G60">
            <v>31907.231642999981</v>
          </cell>
          <cell r="H60">
            <v>24741.562454999996</v>
          </cell>
          <cell r="I60">
            <v>27450.545591999995</v>
          </cell>
          <cell r="J60">
            <v>25212.251151000004</v>
          </cell>
          <cell r="K60">
            <v>25634.187746999989</v>
          </cell>
          <cell r="L60">
            <v>31110.784836000003</v>
          </cell>
          <cell r="M60">
            <v>30680.697231000002</v>
          </cell>
          <cell r="N60">
            <v>33391.878489000002</v>
          </cell>
          <cell r="O60">
            <v>33680.046164999985</v>
          </cell>
          <cell r="P60">
            <v>35656.670123999989</v>
          </cell>
          <cell r="Q60">
            <v>35629.035381000002</v>
          </cell>
          <cell r="R60">
            <v>37927.337669999994</v>
          </cell>
          <cell r="S60">
            <v>39495.273630000011</v>
          </cell>
          <cell r="T60">
            <v>40551.184245000004</v>
          </cell>
          <cell r="U60">
            <v>42766.111890000015</v>
          </cell>
          <cell r="V60">
            <v>43900.598915999981</v>
          </cell>
          <cell r="W60">
            <v>67702.725509999975</v>
          </cell>
        </row>
        <row r="61">
          <cell r="B61" t="str">
            <v>Woodsdale CT 6</v>
          </cell>
          <cell r="C61" t="str">
            <v>CGE</v>
          </cell>
          <cell r="D61">
            <v>34113.520757999999</v>
          </cell>
          <cell r="E61">
            <v>29714.909576999988</v>
          </cell>
          <cell r="F61">
            <v>26354.068098</v>
          </cell>
          <cell r="G61">
            <v>31907.231642999981</v>
          </cell>
          <cell r="H61">
            <v>24741.562454999996</v>
          </cell>
          <cell r="I61">
            <v>27450.545591999995</v>
          </cell>
          <cell r="J61">
            <v>25212.251151000004</v>
          </cell>
          <cell r="K61">
            <v>25634.187746999989</v>
          </cell>
          <cell r="L61">
            <v>31110.784836000003</v>
          </cell>
          <cell r="M61">
            <v>30680.697231000002</v>
          </cell>
          <cell r="N61">
            <v>33391.878489000002</v>
          </cell>
          <cell r="O61">
            <v>33680.046164999985</v>
          </cell>
          <cell r="P61">
            <v>35656.670123999989</v>
          </cell>
          <cell r="Q61">
            <v>35629.035381000002</v>
          </cell>
          <cell r="R61">
            <v>37927.337669999994</v>
          </cell>
          <cell r="S61">
            <v>39495.273630000011</v>
          </cell>
          <cell r="T61">
            <v>40551.184245000004</v>
          </cell>
          <cell r="U61">
            <v>42766.111890000015</v>
          </cell>
          <cell r="V61">
            <v>43900.598915999981</v>
          </cell>
          <cell r="W61">
            <v>67702.725509999975</v>
          </cell>
        </row>
        <row r="62">
          <cell r="B62" t="str">
            <v>Markland 1 -3</v>
          </cell>
          <cell r="C62" t="str">
            <v>PSI</v>
          </cell>
          <cell r="D62">
            <v>288407.9676513598</v>
          </cell>
          <cell r="E62">
            <v>288407.9676513598</v>
          </cell>
          <cell r="F62">
            <v>288407.9676513598</v>
          </cell>
          <cell r="G62">
            <v>288407.9676513598</v>
          </cell>
          <cell r="H62">
            <v>288407.9676513598</v>
          </cell>
          <cell r="I62">
            <v>288407.9676513598</v>
          </cell>
          <cell r="J62">
            <v>288407.9676513598</v>
          </cell>
          <cell r="K62">
            <v>288407.9676513598</v>
          </cell>
          <cell r="L62">
            <v>288407.9676513598</v>
          </cell>
          <cell r="M62">
            <v>288407.9676513598</v>
          </cell>
          <cell r="N62">
            <v>288407.9676513598</v>
          </cell>
          <cell r="O62">
            <v>288407.9676513598</v>
          </cell>
          <cell r="P62">
            <v>288407.9676513598</v>
          </cell>
          <cell r="Q62">
            <v>288407.9676513598</v>
          </cell>
          <cell r="R62">
            <v>288407.9676513598</v>
          </cell>
          <cell r="S62">
            <v>288407.9676513598</v>
          </cell>
          <cell r="T62">
            <v>288407.9676513598</v>
          </cell>
          <cell r="U62">
            <v>288407.9676513598</v>
          </cell>
          <cell r="V62">
            <v>288407.9676513598</v>
          </cell>
          <cell r="W62">
            <v>288407.9676513598</v>
          </cell>
        </row>
      </sheetData>
      <sheetData sheetId="24">
        <row r="2">
          <cell r="B2" t="str">
            <v>Cayuga 1</v>
          </cell>
          <cell r="C2" t="str">
            <v>PSI</v>
          </cell>
          <cell r="D2">
            <v>26137467.828494612</v>
          </cell>
          <cell r="E2">
            <v>25515192.819771722</v>
          </cell>
          <cell r="F2">
            <v>23830434.326639902</v>
          </cell>
          <cell r="G2">
            <v>23229555.553418182</v>
          </cell>
          <cell r="H2">
            <v>33431670.696927141</v>
          </cell>
          <cell r="I2">
            <v>35544192.523657233</v>
          </cell>
          <cell r="J2">
            <v>36423474.496027336</v>
          </cell>
          <cell r="K2">
            <v>36418260.604274631</v>
          </cell>
          <cell r="L2">
            <v>36168373.002293423</v>
          </cell>
          <cell r="M2">
            <v>35945240.500781499</v>
          </cell>
          <cell r="N2">
            <v>35984514.866937391</v>
          </cell>
          <cell r="O2">
            <v>36188653.517440557</v>
          </cell>
          <cell r="P2">
            <v>36335012.369648635</v>
          </cell>
          <cell r="Q2">
            <v>36027482.654945686</v>
          </cell>
          <cell r="R2">
            <v>36282117.277751833</v>
          </cell>
          <cell r="S2">
            <v>36240180.405781128</v>
          </cell>
          <cell r="T2">
            <v>35844826.912764415</v>
          </cell>
          <cell r="U2">
            <v>35530658.23658289</v>
          </cell>
          <cell r="V2">
            <v>35636258.931562617</v>
          </cell>
          <cell r="W2">
            <v>35016425.220259629</v>
          </cell>
        </row>
        <row r="3">
          <cell r="B3" t="str">
            <v>Cayuga 2</v>
          </cell>
          <cell r="C3" t="str">
            <v>PSI</v>
          </cell>
          <cell r="D3">
            <v>27078795.488148592</v>
          </cell>
          <cell r="E3">
            <v>27093599.886403851</v>
          </cell>
          <cell r="F3">
            <v>25076578.404078331</v>
          </cell>
          <cell r="G3">
            <v>24365996.652025949</v>
          </cell>
          <cell r="H3">
            <v>32480188.012207665</v>
          </cell>
          <cell r="I3">
            <v>34988509.501477689</v>
          </cell>
          <cell r="J3">
            <v>35843752.826771803</v>
          </cell>
          <cell r="K3">
            <v>35715952.643903077</v>
          </cell>
          <cell r="L3">
            <v>35660858.031217836</v>
          </cell>
          <cell r="M3">
            <v>35474961.104034826</v>
          </cell>
          <cell r="N3">
            <v>35495590.259151362</v>
          </cell>
          <cell r="O3">
            <v>35670741.339474</v>
          </cell>
          <cell r="P3">
            <v>35764788.273577921</v>
          </cell>
          <cell r="Q3">
            <v>35451716.88807483</v>
          </cell>
          <cell r="R3">
            <v>35640988.193403229</v>
          </cell>
          <cell r="S3">
            <v>35675497.452437699</v>
          </cell>
          <cell r="T3">
            <v>35166522.61802312</v>
          </cell>
          <cell r="U3">
            <v>35059779.90987777</v>
          </cell>
          <cell r="V3">
            <v>35174014.743272536</v>
          </cell>
          <cell r="W3">
            <v>34658504.556565888</v>
          </cell>
        </row>
        <row r="4">
          <cell r="B4" t="str">
            <v>Conesville 4</v>
          </cell>
          <cell r="C4" t="str">
            <v>CGE</v>
          </cell>
          <cell r="D4">
            <v>22020335.52935873</v>
          </cell>
          <cell r="E4">
            <v>22841245.540575936</v>
          </cell>
          <cell r="F4">
            <v>22727041.27104212</v>
          </cell>
          <cell r="G4">
            <v>23444767.172322184</v>
          </cell>
          <cell r="H4">
            <v>23529348.713064454</v>
          </cell>
          <cell r="I4">
            <v>23650012.685612302</v>
          </cell>
          <cell r="J4">
            <v>23585814.680114042</v>
          </cell>
          <cell r="K4">
            <v>23661193.103263937</v>
          </cell>
          <cell r="L4">
            <v>23622771.157044154</v>
          </cell>
          <cell r="M4">
            <v>23546352.567775074</v>
          </cell>
          <cell r="N4">
            <v>23512025.669850755</v>
          </cell>
          <cell r="O4">
            <v>23574635.956954375</v>
          </cell>
          <cell r="P4">
            <v>23591760.75851509</v>
          </cell>
          <cell r="Q4">
            <v>23494087.399945661</v>
          </cell>
          <cell r="R4">
            <v>23560831.496794168</v>
          </cell>
          <cell r="S4">
            <v>23661740.056565791</v>
          </cell>
          <cell r="T4">
            <v>23466935.728415065</v>
          </cell>
          <cell r="U4">
            <v>23431919.240424827</v>
          </cell>
          <cell r="V4">
            <v>23439526.78068769</v>
          </cell>
          <cell r="W4">
            <v>23353476.519521173</v>
          </cell>
        </row>
        <row r="5">
          <cell r="B5" t="str">
            <v>East Bend 2</v>
          </cell>
          <cell r="C5" t="str">
            <v>CGE</v>
          </cell>
          <cell r="D5">
            <v>30623941.027219139</v>
          </cell>
          <cell r="E5">
            <v>30623941.027219139</v>
          </cell>
          <cell r="F5">
            <v>30623941.027219139</v>
          </cell>
          <cell r="G5">
            <v>30571562.209441952</v>
          </cell>
          <cell r="H5">
            <v>30495570.279576302</v>
          </cell>
          <cell r="I5">
            <v>30538585.758335114</v>
          </cell>
          <cell r="J5">
            <v>30469633.425075751</v>
          </cell>
          <cell r="K5">
            <v>30476475.877674866</v>
          </cell>
          <cell r="L5">
            <v>30501757.137568042</v>
          </cell>
          <cell r="M5">
            <v>30350500.896841053</v>
          </cell>
          <cell r="N5">
            <v>30177091.031028081</v>
          </cell>
          <cell r="O5">
            <v>30312202.363827176</v>
          </cell>
          <cell r="P5">
            <v>30394235.896491166</v>
          </cell>
          <cell r="Q5">
            <v>30185877.02058157</v>
          </cell>
          <cell r="R5">
            <v>30338239.936423901</v>
          </cell>
          <cell r="S5">
            <v>30435006.668322969</v>
          </cell>
          <cell r="T5">
            <v>29931906.26388476</v>
          </cell>
          <cell r="U5">
            <v>30030117.241360262</v>
          </cell>
          <cell r="V5">
            <v>29927075.472520128</v>
          </cell>
          <cell r="W5">
            <v>29563505.129525889</v>
          </cell>
        </row>
        <row r="6">
          <cell r="B6" t="str">
            <v>Edwardsport 6</v>
          </cell>
          <cell r="C6" t="str">
            <v>PSI</v>
          </cell>
          <cell r="D6">
            <v>568501.79930727114</v>
          </cell>
          <cell r="E6">
            <v>404225.27379770117</v>
          </cell>
          <cell r="F6">
            <v>350771.61496690789</v>
          </cell>
          <cell r="G6">
            <v>379675.35212508315</v>
          </cell>
          <cell r="H6">
            <v>336326.18900980183</v>
          </cell>
          <cell r="I6">
            <v>349947.0079090228</v>
          </cell>
          <cell r="J6">
            <v>332618.30255144194</v>
          </cell>
          <cell r="K6">
            <v>352229.9552898265</v>
          </cell>
          <cell r="L6">
            <v>407427.32632996072</v>
          </cell>
          <cell r="M6">
            <v>447305.74475512392</v>
          </cell>
          <cell r="N6">
            <v>439369.6674973155</v>
          </cell>
          <cell r="O6">
            <v>399376.8946817331</v>
          </cell>
          <cell r="P6">
            <v>426552.10395437328</v>
          </cell>
          <cell r="Q6">
            <v>454839.56613220891</v>
          </cell>
          <cell r="R6">
            <v>456396.58441179642</v>
          </cell>
          <cell r="S6">
            <v>470077.41851908236</v>
          </cell>
          <cell r="T6">
            <v>493456.52259996213</v>
          </cell>
          <cell r="U6">
            <v>491144.17048520019</v>
          </cell>
          <cell r="V6">
            <v>452529.18210120121</v>
          </cell>
          <cell r="W6">
            <v>501970.8763275008</v>
          </cell>
        </row>
        <row r="7">
          <cell r="B7" t="str">
            <v>Edwardsport 7</v>
          </cell>
          <cell r="C7" t="str">
            <v>PSI</v>
          </cell>
          <cell r="D7">
            <v>2300975.0069065341</v>
          </cell>
          <cell r="E7">
            <v>2200365.6154579637</v>
          </cell>
          <cell r="F7">
            <v>2056237.9161151873</v>
          </cell>
          <cell r="G7">
            <v>2125735.7994021894</v>
          </cell>
          <cell r="H7">
            <v>1944353.8020814792</v>
          </cell>
          <cell r="I7">
            <v>1919523.6133757944</v>
          </cell>
          <cell r="J7">
            <v>1889207.066309636</v>
          </cell>
          <cell r="K7">
            <v>1918028.6503025361</v>
          </cell>
          <cell r="L7">
            <v>1872136.119526264</v>
          </cell>
          <cell r="M7">
            <v>1888205.9552967062</v>
          </cell>
          <cell r="N7">
            <v>1984806.5728064403</v>
          </cell>
          <cell r="O7">
            <v>2050778.4769716393</v>
          </cell>
          <cell r="P7">
            <v>2164170.7891427777</v>
          </cell>
          <cell r="Q7">
            <v>2175114.711833186</v>
          </cell>
          <cell r="R7">
            <v>2280874.8736147834</v>
          </cell>
          <cell r="S7">
            <v>2343458.2056958284</v>
          </cell>
          <cell r="T7">
            <v>2336110.4737831033</v>
          </cell>
          <cell r="U7">
            <v>2222562.8041200666</v>
          </cell>
          <cell r="V7">
            <v>2303044.4842500524</v>
          </cell>
          <cell r="W7">
            <v>2251048.0990317925</v>
          </cell>
        </row>
        <row r="8">
          <cell r="B8" t="str">
            <v>Edwardsport 8</v>
          </cell>
          <cell r="C8" t="str">
            <v>PSI</v>
          </cell>
          <cell r="D8">
            <v>3823654.1500421506</v>
          </cell>
          <cell r="E8">
            <v>3656554.3798592878</v>
          </cell>
          <cell r="F8">
            <v>3417148.8184053223</v>
          </cell>
          <cell r="G8">
            <v>3532641.1068868823</v>
          </cell>
          <cell r="H8">
            <v>3231259.9538181382</v>
          </cell>
          <cell r="I8">
            <v>3189999.2983846287</v>
          </cell>
          <cell r="J8">
            <v>3139701.0513195167</v>
          </cell>
          <cell r="K8">
            <v>3187573.9070850485</v>
          </cell>
          <cell r="L8">
            <v>3111322.0969530381</v>
          </cell>
          <cell r="M8">
            <v>3137996.7216490279</v>
          </cell>
          <cell r="N8">
            <v>3298615.7102406169</v>
          </cell>
          <cell r="O8">
            <v>3408322.0492006172</v>
          </cell>
          <cell r="P8">
            <v>3596615.8126914743</v>
          </cell>
          <cell r="Q8">
            <v>3614859.0650742268</v>
          </cell>
          <cell r="R8">
            <v>3790578.8963096426</v>
          </cell>
          <cell r="S8">
            <v>3894692.0194001915</v>
          </cell>
          <cell r="T8">
            <v>3882567.7024834109</v>
          </cell>
          <cell r="U8">
            <v>3693763.8686510832</v>
          </cell>
          <cell r="V8">
            <v>3827623.9742392641</v>
          </cell>
          <cell r="W8">
            <v>3741195.0088142925</v>
          </cell>
        </row>
        <row r="9">
          <cell r="B9" t="str">
            <v>Gallagher 1</v>
          </cell>
          <cell r="C9" t="str">
            <v>PSI</v>
          </cell>
          <cell r="D9">
            <v>7509635.0264270715</v>
          </cell>
          <cell r="E9">
            <v>6803432.0748236207</v>
          </cell>
          <cell r="F9">
            <v>6629348.0399290975</v>
          </cell>
          <cell r="G9">
            <v>6682690.8223506501</v>
          </cell>
          <cell r="H9">
            <v>6304823.2432893394</v>
          </cell>
          <cell r="I9">
            <v>6533097.6005365131</v>
          </cell>
          <cell r="J9">
            <v>6549520.549548652</v>
          </cell>
          <cell r="K9">
            <v>6367855.5629532095</v>
          </cell>
          <cell r="L9">
            <v>6342819.0360120181</v>
          </cell>
          <cell r="M9">
            <v>6405630.8082386991</v>
          </cell>
          <cell r="N9">
            <v>6560077.8153005568</v>
          </cell>
          <cell r="O9">
            <v>6760631.4586245762</v>
          </cell>
          <cell r="P9">
            <v>6961091.9631898226</v>
          </cell>
          <cell r="Q9">
            <v>6973275.0642156787</v>
          </cell>
          <cell r="R9">
            <v>7136142.8762817169</v>
          </cell>
          <cell r="S9">
            <v>7360647.3806894515</v>
          </cell>
          <cell r="T9">
            <v>7420561.6526717898</v>
          </cell>
          <cell r="U9">
            <v>7196719.1351923468</v>
          </cell>
          <cell r="V9">
            <v>7411643.4773075292</v>
          </cell>
          <cell r="W9">
            <v>7347219.2853015661</v>
          </cell>
        </row>
        <row r="10">
          <cell r="B10" t="str">
            <v>Gallagher 2</v>
          </cell>
          <cell r="C10" t="str">
            <v>PSI</v>
          </cell>
          <cell r="D10">
            <v>7743429.1338315858</v>
          </cell>
          <cell r="E10">
            <v>6992552.8355589053</v>
          </cell>
          <cell r="F10">
            <v>6793747.98467289</v>
          </cell>
          <cell r="G10">
            <v>6861773.6850719862</v>
          </cell>
          <cell r="H10">
            <v>6508677.032650888</v>
          </cell>
          <cell r="I10">
            <v>6809488.9915627697</v>
          </cell>
          <cell r="J10">
            <v>6808989.9890009277</v>
          </cell>
          <cell r="K10">
            <v>6539970.1239955081</v>
          </cell>
          <cell r="L10">
            <v>6485773.1736541428</v>
          </cell>
          <cell r="M10">
            <v>6587496.2874477422</v>
          </cell>
          <cell r="N10">
            <v>6680532.6756306598</v>
          </cell>
          <cell r="O10">
            <v>6882514.9223203287</v>
          </cell>
          <cell r="P10">
            <v>7050017.9905708944</v>
          </cell>
          <cell r="Q10">
            <v>7054243.7706357408</v>
          </cell>
          <cell r="R10">
            <v>7212037.5897214767</v>
          </cell>
          <cell r="S10">
            <v>7443062.1877931496</v>
          </cell>
          <cell r="T10">
            <v>7501454.6669873521</v>
          </cell>
          <cell r="U10">
            <v>7260302.0696389405</v>
          </cell>
          <cell r="V10">
            <v>7475217.3704386028</v>
          </cell>
          <cell r="W10">
            <v>7435266.2714436958</v>
          </cell>
        </row>
        <row r="11">
          <cell r="B11" t="str">
            <v>Gallagher 3</v>
          </cell>
          <cell r="C11" t="str">
            <v>PSI</v>
          </cell>
          <cell r="D11">
            <v>7629074.3358054804</v>
          </cell>
          <cell r="E11">
            <v>6902973.0548709743</v>
          </cell>
          <cell r="F11">
            <v>6719756.6156144571</v>
          </cell>
          <cell r="G11">
            <v>6775627.5167367719</v>
          </cell>
          <cell r="H11">
            <v>6410887.3797510676</v>
          </cell>
          <cell r="I11">
            <v>6660767.4605114367</v>
          </cell>
          <cell r="J11">
            <v>6689791.9742854796</v>
          </cell>
          <cell r="K11">
            <v>6457743.3275783285</v>
          </cell>
          <cell r="L11">
            <v>6414190.5051756585</v>
          </cell>
          <cell r="M11">
            <v>6496071.7602104321</v>
          </cell>
          <cell r="N11">
            <v>6620856.5267570755</v>
          </cell>
          <cell r="O11">
            <v>6828301.8130947985</v>
          </cell>
          <cell r="P11">
            <v>7013096.073754021</v>
          </cell>
          <cell r="Q11">
            <v>7014579.7437818218</v>
          </cell>
          <cell r="R11">
            <v>7174312.5845512571</v>
          </cell>
          <cell r="S11">
            <v>7394693.0236621425</v>
          </cell>
          <cell r="T11">
            <v>7466558.1006008722</v>
          </cell>
          <cell r="U11">
            <v>7230179.0700430265</v>
          </cell>
          <cell r="V11">
            <v>7438589.9078879431</v>
          </cell>
          <cell r="W11">
            <v>7399836.9137501577</v>
          </cell>
        </row>
        <row r="12">
          <cell r="B12" t="str">
            <v>Gallagher 4</v>
          </cell>
          <cell r="C12" t="str">
            <v>PSI</v>
          </cell>
          <cell r="D12">
            <v>7455700.4124096967</v>
          </cell>
          <cell r="E12">
            <v>6729687.8586681671</v>
          </cell>
          <cell r="F12">
            <v>6541569.4241783293</v>
          </cell>
          <cell r="G12">
            <v>6615431.6333720982</v>
          </cell>
          <cell r="H12">
            <v>6205815.875509942</v>
          </cell>
          <cell r="I12">
            <v>6412601.3746312736</v>
          </cell>
          <cell r="J12">
            <v>6455561.6968611516</v>
          </cell>
          <cell r="K12">
            <v>6313990.2902965294</v>
          </cell>
          <cell r="L12">
            <v>6299776.567761492</v>
          </cell>
          <cell r="M12">
            <v>6366884.8088877788</v>
          </cell>
          <cell r="N12">
            <v>6523180.9921564283</v>
          </cell>
          <cell r="O12">
            <v>6714563.3631862737</v>
          </cell>
          <cell r="P12">
            <v>6926287.675097215</v>
          </cell>
          <cell r="Q12">
            <v>6942695.608500842</v>
          </cell>
          <cell r="R12">
            <v>7097239.508176581</v>
          </cell>
          <cell r="S12">
            <v>7319825.6209337655</v>
          </cell>
          <cell r="T12">
            <v>7386244.6203592457</v>
          </cell>
          <cell r="U12">
            <v>7180508.247065613</v>
          </cell>
          <cell r="V12">
            <v>7398132.7718129801</v>
          </cell>
          <cell r="W12">
            <v>7323162.8446626989</v>
          </cell>
        </row>
        <row r="13">
          <cell r="B13" t="str">
            <v>Gibson 1</v>
          </cell>
          <cell r="C13" t="str">
            <v>PSI</v>
          </cell>
          <cell r="D13">
            <v>42584175.534996502</v>
          </cell>
          <cell r="E13">
            <v>42801215.763633616</v>
          </cell>
          <cell r="F13">
            <v>41583098.825521871</v>
          </cell>
          <cell r="G13">
            <v>40292529.612706497</v>
          </cell>
          <cell r="H13">
            <v>44663523.048101895</v>
          </cell>
          <cell r="I13">
            <v>46169714.171792537</v>
          </cell>
          <cell r="J13">
            <v>46803494.239929296</v>
          </cell>
          <cell r="K13">
            <v>46638758.973306581</v>
          </cell>
          <cell r="L13">
            <v>46584733.828610703</v>
          </cell>
          <cell r="M13">
            <v>46351726.632168382</v>
          </cell>
          <cell r="N13">
            <v>46385520.242605612</v>
          </cell>
          <cell r="O13">
            <v>46611380.621733673</v>
          </cell>
          <cell r="P13">
            <v>46701321.651610069</v>
          </cell>
          <cell r="Q13">
            <v>46307335.714062072</v>
          </cell>
          <cell r="R13">
            <v>46561296.138150923</v>
          </cell>
          <cell r="S13">
            <v>46604354.505846664</v>
          </cell>
          <cell r="T13">
            <v>45959934.064925566</v>
          </cell>
          <cell r="U13">
            <v>45820802.202214003</v>
          </cell>
          <cell r="V13">
            <v>45965878.48921667</v>
          </cell>
          <cell r="W13">
            <v>45344762.985993221</v>
          </cell>
        </row>
        <row r="14">
          <cell r="B14" t="str">
            <v>Gibson 2</v>
          </cell>
          <cell r="C14" t="str">
            <v>PSI</v>
          </cell>
          <cell r="D14">
            <v>42812773.133542873</v>
          </cell>
          <cell r="E14">
            <v>43163872.245808333</v>
          </cell>
          <cell r="F14">
            <v>41946582.971406966</v>
          </cell>
          <cell r="G14">
            <v>40869468.094705231</v>
          </cell>
          <cell r="H14">
            <v>44494525.398162097</v>
          </cell>
          <cell r="I14">
            <v>45986128.491318874</v>
          </cell>
          <cell r="J14">
            <v>46617306.090536207</v>
          </cell>
          <cell r="K14">
            <v>46487739.26686421</v>
          </cell>
          <cell r="L14">
            <v>46408787.957252562</v>
          </cell>
          <cell r="M14">
            <v>46204783.10695491</v>
          </cell>
          <cell r="N14">
            <v>46232966.463427216</v>
          </cell>
          <cell r="O14">
            <v>46425610.448969461</v>
          </cell>
          <cell r="P14">
            <v>46523491.363922291</v>
          </cell>
          <cell r="Q14">
            <v>46136862.71581272</v>
          </cell>
          <cell r="R14">
            <v>46382156.133402452</v>
          </cell>
          <cell r="S14">
            <v>46441058.078732692</v>
          </cell>
          <cell r="T14">
            <v>45830178.961382806</v>
          </cell>
          <cell r="U14">
            <v>45667991.364608109</v>
          </cell>
          <cell r="V14">
            <v>45820086.467601389</v>
          </cell>
          <cell r="W14">
            <v>45247625.372167274</v>
          </cell>
        </row>
        <row r="15">
          <cell r="B15" t="str">
            <v>Gibson 3</v>
          </cell>
          <cell r="C15" t="str">
            <v>PSI</v>
          </cell>
          <cell r="D15">
            <v>41703707.956438489</v>
          </cell>
          <cell r="E15">
            <v>41919093.311695807</v>
          </cell>
          <cell r="F15">
            <v>40184538.663602233</v>
          </cell>
          <cell r="G15">
            <v>38571046.338998675</v>
          </cell>
          <cell r="H15">
            <v>45081199.571605198</v>
          </cell>
          <cell r="I15">
            <v>46839168.697870187</v>
          </cell>
          <cell r="J15">
            <v>47298518.123769358</v>
          </cell>
          <cell r="K15">
            <v>47116587.303894073</v>
          </cell>
          <cell r="L15">
            <v>47021291.401339032</v>
          </cell>
          <cell r="M15">
            <v>46770022.980143249</v>
          </cell>
          <cell r="N15">
            <v>46809458.320092805</v>
          </cell>
          <cell r="O15">
            <v>47039639.44579982</v>
          </cell>
          <cell r="P15">
            <v>47183881.849285357</v>
          </cell>
          <cell r="Q15">
            <v>46757098.803721279</v>
          </cell>
          <cell r="R15">
            <v>47014227.214605831</v>
          </cell>
          <cell r="S15">
            <v>47039304.395715043</v>
          </cell>
          <cell r="T15">
            <v>46368923.071447194</v>
          </cell>
          <cell r="U15">
            <v>46193162.550447524</v>
          </cell>
          <cell r="V15">
            <v>46329955.923769616</v>
          </cell>
          <cell r="W15">
            <v>45659225.032648094</v>
          </cell>
        </row>
        <row r="16">
          <cell r="B16" t="str">
            <v>Gibson 4</v>
          </cell>
          <cell r="C16" t="str">
            <v>PSI</v>
          </cell>
          <cell r="D16">
            <v>45072388.698142998</v>
          </cell>
          <cell r="E16">
            <v>45072388.698142998</v>
          </cell>
          <cell r="F16">
            <v>45072388.698142998</v>
          </cell>
          <cell r="G16">
            <v>45072388.698142998</v>
          </cell>
          <cell r="H16">
            <v>45032717.742956765</v>
          </cell>
          <cell r="I16">
            <v>45052580.941756792</v>
          </cell>
          <cell r="J16">
            <v>44950334.9259919</v>
          </cell>
          <cell r="K16">
            <v>45059563.412440836</v>
          </cell>
          <cell r="L16">
            <v>45020651.153887823</v>
          </cell>
          <cell r="M16">
            <v>44911576.295541398</v>
          </cell>
          <cell r="N16">
            <v>44831036.565185197</v>
          </cell>
          <cell r="O16">
            <v>44914158.259128474</v>
          </cell>
          <cell r="P16">
            <v>44921214.343787864</v>
          </cell>
          <cell r="Q16">
            <v>44719659.5065872</v>
          </cell>
          <cell r="R16">
            <v>44850490.284709603</v>
          </cell>
          <cell r="S16">
            <v>45034196.261213154</v>
          </cell>
          <cell r="T16">
            <v>44564318.892177992</v>
          </cell>
          <cell r="U16">
            <v>44547254.835467339</v>
          </cell>
          <cell r="V16">
            <v>44512075.867396161</v>
          </cell>
          <cell r="W16">
            <v>44274709.046250731</v>
          </cell>
        </row>
        <row r="17">
          <cell r="B17" t="str">
            <v>Gibson 5</v>
          </cell>
          <cell r="C17" t="str">
            <v>PSI</v>
          </cell>
          <cell r="D17">
            <v>23025378.640163843</v>
          </cell>
          <cell r="E17">
            <v>23025378.640163843</v>
          </cell>
          <cell r="F17">
            <v>23025378.640163843</v>
          </cell>
          <cell r="G17">
            <v>23019556.985077504</v>
          </cell>
          <cell r="H17">
            <v>22991635.952650093</v>
          </cell>
          <cell r="I17">
            <v>23008379.415821292</v>
          </cell>
          <cell r="J17">
            <v>22945664.000573978</v>
          </cell>
          <cell r="K17">
            <v>23017694.055449877</v>
          </cell>
          <cell r="L17">
            <v>22984026.072026197</v>
          </cell>
          <cell r="M17">
            <v>22910588.371890135</v>
          </cell>
          <cell r="N17">
            <v>22854839.640023567</v>
          </cell>
          <cell r="O17">
            <v>22911219.604514275</v>
          </cell>
          <cell r="P17">
            <v>22939236.734962884</v>
          </cell>
          <cell r="Q17">
            <v>22821814.53921546</v>
          </cell>
          <cell r="R17">
            <v>22886401.149261288</v>
          </cell>
          <cell r="S17">
            <v>22995804.09929613</v>
          </cell>
          <cell r="T17">
            <v>22727294.400096729</v>
          </cell>
          <cell r="U17">
            <v>22737196.565363139</v>
          </cell>
          <cell r="V17">
            <v>22703745.03790842</v>
          </cell>
          <cell r="W17">
            <v>22551647.261809312</v>
          </cell>
        </row>
        <row r="18">
          <cell r="B18" t="str">
            <v>J.M. Stuart 1</v>
          </cell>
          <cell r="C18" t="str">
            <v>CGE</v>
          </cell>
          <cell r="D18">
            <v>16106801.214723568</v>
          </cell>
          <cell r="E18">
            <v>16102168.113473788</v>
          </cell>
          <cell r="F18">
            <v>16104732.865951344</v>
          </cell>
          <cell r="G18">
            <v>15933485.573678935</v>
          </cell>
          <cell r="H18">
            <v>15713410.691242117</v>
          </cell>
          <cell r="I18">
            <v>15385467.117987664</v>
          </cell>
          <cell r="J18">
            <v>15117690.212623747</v>
          </cell>
          <cell r="K18">
            <v>14925461.936129393</v>
          </cell>
          <cell r="L18">
            <v>14565893.145985506</v>
          </cell>
          <cell r="M18">
            <v>14424555.229201615</v>
          </cell>
          <cell r="N18">
            <v>14336425.682227867</v>
          </cell>
          <cell r="O18">
            <v>14443808.466354353</v>
          </cell>
          <cell r="P18">
            <v>14367174.466734564</v>
          </cell>
          <cell r="Q18">
            <v>13911130.893931774</v>
          </cell>
          <cell r="R18">
            <v>13911388.847391259</v>
          </cell>
          <cell r="S18">
            <v>14057949.218073059</v>
          </cell>
          <cell r="T18">
            <v>13588777.785968743</v>
          </cell>
          <cell r="U18">
            <v>13126042.268391099</v>
          </cell>
          <cell r="V18">
            <v>13125034.981752904</v>
          </cell>
          <cell r="W18">
            <v>13251599.085273981</v>
          </cell>
        </row>
        <row r="19">
          <cell r="B19" t="str">
            <v>J.M. Stuart 2</v>
          </cell>
          <cell r="C19" t="str">
            <v>CGE</v>
          </cell>
          <cell r="D19">
            <v>15839148.181998489</v>
          </cell>
          <cell r="E19">
            <v>15839148.181998489</v>
          </cell>
          <cell r="F19">
            <v>15839148.181998489</v>
          </cell>
          <cell r="G19">
            <v>15714135.319462223</v>
          </cell>
          <cell r="H19">
            <v>15613670.740936806</v>
          </cell>
          <cell r="I19">
            <v>15412187.900100173</v>
          </cell>
          <cell r="J19">
            <v>15253803.416560208</v>
          </cell>
          <cell r="K19">
            <v>15045403.902160173</v>
          </cell>
          <cell r="L19">
            <v>14817854.772303725</v>
          </cell>
          <cell r="M19">
            <v>14769113.70746712</v>
          </cell>
          <cell r="N19">
            <v>14556811.9141577</v>
          </cell>
          <cell r="O19">
            <v>14677148.20179492</v>
          </cell>
          <cell r="P19">
            <v>14545318.133050885</v>
          </cell>
          <cell r="Q19">
            <v>14110709.591837808</v>
          </cell>
          <cell r="R19">
            <v>14104133.778621245</v>
          </cell>
          <cell r="S19">
            <v>14211294.032518592</v>
          </cell>
          <cell r="T19">
            <v>13702167.003859403</v>
          </cell>
          <cell r="U19">
            <v>13242085.303358588</v>
          </cell>
          <cell r="V19">
            <v>13235359.388739536</v>
          </cell>
          <cell r="W19">
            <v>13365603.913514724</v>
          </cell>
        </row>
        <row r="20">
          <cell r="B20" t="str">
            <v>J.M. Stuart 3</v>
          </cell>
          <cell r="C20" t="str">
            <v>CGE</v>
          </cell>
          <cell r="D20">
            <v>16095306.912704689</v>
          </cell>
          <cell r="E20">
            <v>16090677.11777653</v>
          </cell>
          <cell r="F20">
            <v>16093240.039968902</v>
          </cell>
          <cell r="G20">
            <v>15930954.514207372</v>
          </cell>
          <cell r="H20">
            <v>15721544.972690012</v>
          </cell>
          <cell r="I20">
            <v>15392357.153183568</v>
          </cell>
          <cell r="J20">
            <v>15129699.288826834</v>
          </cell>
          <cell r="K20">
            <v>14934789.860694982</v>
          </cell>
          <cell r="L20">
            <v>14584857.827155096</v>
          </cell>
          <cell r="M20">
            <v>14449735.408672154</v>
          </cell>
          <cell r="N20">
            <v>14352050.093873611</v>
          </cell>
          <cell r="O20">
            <v>14451140.992646106</v>
          </cell>
          <cell r="P20">
            <v>14375503.298282629</v>
          </cell>
          <cell r="Q20">
            <v>13924698.455599241</v>
          </cell>
          <cell r="R20">
            <v>13922998.556627024</v>
          </cell>
          <cell r="S20">
            <v>14064871.234101286</v>
          </cell>
          <cell r="T20">
            <v>13596462.369141586</v>
          </cell>
          <cell r="U20">
            <v>13128901.351695012</v>
          </cell>
          <cell r="V20">
            <v>13136346.727482997</v>
          </cell>
          <cell r="W20">
            <v>13253621.711092029</v>
          </cell>
        </row>
        <row r="21">
          <cell r="B21" t="str">
            <v>J.M. Stuart 4</v>
          </cell>
          <cell r="C21" t="str">
            <v>CGE</v>
          </cell>
          <cell r="D21">
            <v>16067392.179230273</v>
          </cell>
          <cell r="E21">
            <v>16065328.891154403</v>
          </cell>
          <cell r="F21">
            <v>16067392.179230273</v>
          </cell>
          <cell r="G21">
            <v>15913701.027795775</v>
          </cell>
          <cell r="H21">
            <v>15719370.161737993</v>
          </cell>
          <cell r="I21">
            <v>15400556.221418193</v>
          </cell>
          <cell r="J21">
            <v>15146107.699642301</v>
          </cell>
          <cell r="K21">
            <v>14957900.671196783</v>
          </cell>
          <cell r="L21">
            <v>14610422.105609823</v>
          </cell>
          <cell r="M21">
            <v>14495845.713308232</v>
          </cell>
          <cell r="N21">
            <v>14374377.095990505</v>
          </cell>
          <cell r="O21">
            <v>14491171.546042401</v>
          </cell>
          <cell r="P21">
            <v>14386772.774810536</v>
          </cell>
          <cell r="Q21">
            <v>13940535.817414921</v>
          </cell>
          <cell r="R21">
            <v>13949490.618868213</v>
          </cell>
          <cell r="S21">
            <v>14083910.188966239</v>
          </cell>
          <cell r="T21">
            <v>13612566.32271781</v>
          </cell>
          <cell r="U21">
            <v>13144562.211588969</v>
          </cell>
          <cell r="V21">
            <v>13156498.846930442</v>
          </cell>
          <cell r="W21">
            <v>13269166.923361709</v>
          </cell>
        </row>
        <row r="22">
          <cell r="B22" t="str">
            <v>Killen 2</v>
          </cell>
          <cell r="C22" t="str">
            <v>CGE</v>
          </cell>
          <cell r="D22">
            <v>14230097.759355871</v>
          </cell>
          <cell r="E22">
            <v>14216019.992568681</v>
          </cell>
          <cell r="F22">
            <v>14178771.674382301</v>
          </cell>
          <cell r="G22">
            <v>14015993.838693673</v>
          </cell>
          <cell r="H22">
            <v>13713135.282725362</v>
          </cell>
          <cell r="I22">
            <v>13394154.631485229</v>
          </cell>
          <cell r="J22">
            <v>13088346.097662136</v>
          </cell>
          <cell r="K22">
            <v>12880510.295856796</v>
          </cell>
          <cell r="L22">
            <v>12532216.46259268</v>
          </cell>
          <cell r="M22">
            <v>12389358.753428286</v>
          </cell>
          <cell r="N22">
            <v>12424383.671558015</v>
          </cell>
          <cell r="O22">
            <v>12513168.728644215</v>
          </cell>
          <cell r="P22">
            <v>12439484.549092732</v>
          </cell>
          <cell r="Q22">
            <v>12040039.906433795</v>
          </cell>
          <cell r="R22">
            <v>12036660.832308264</v>
          </cell>
          <cell r="S22">
            <v>12191243.96353635</v>
          </cell>
          <cell r="T22">
            <v>11787552.430829341</v>
          </cell>
          <cell r="U22">
            <v>11344430.07097568</v>
          </cell>
          <cell r="V22">
            <v>11236204.188053563</v>
          </cell>
          <cell r="W22">
            <v>11437736.405262098</v>
          </cell>
        </row>
        <row r="23">
          <cell r="B23" t="str">
            <v>Miami Fort 5</v>
          </cell>
          <cell r="C23" t="str">
            <v>CGE</v>
          </cell>
          <cell r="D23">
            <v>3749115.4039237248</v>
          </cell>
          <cell r="E23">
            <v>3309811.5851228656</v>
          </cell>
          <cell r="F23">
            <v>3079838.6498780954</v>
          </cell>
          <cell r="G23">
            <v>3294091.4985467303</v>
          </cell>
          <cell r="H23">
            <v>2987710.3940216317</v>
          </cell>
          <cell r="I23">
            <v>3012620.2798481267</v>
          </cell>
          <cell r="J23">
            <v>3100477.244263412</v>
          </cell>
          <cell r="K23">
            <v>3208980.7188331946</v>
          </cell>
          <cell r="L23">
            <v>3287516.1501873541</v>
          </cell>
          <cell r="M23">
            <v>3326715.7152511342</v>
          </cell>
          <cell r="N23">
            <v>3350002.5274550621</v>
          </cell>
          <cell r="O23">
            <v>3513492.6735242973</v>
          </cell>
          <cell r="P23">
            <v>3687025.0271423953</v>
          </cell>
          <cell r="Q23">
            <v>3739762.1249494618</v>
          </cell>
          <cell r="R23">
            <v>3867708.6429580385</v>
          </cell>
          <cell r="S23">
            <v>3950758.2415374587</v>
          </cell>
          <cell r="T23">
            <v>4033017.473927428</v>
          </cell>
          <cell r="U23">
            <v>3834536.351297609</v>
          </cell>
          <cell r="V23">
            <v>3993832.1787817921</v>
          </cell>
          <cell r="W23">
            <v>3938989.6968888636</v>
          </cell>
        </row>
        <row r="24">
          <cell r="B24" t="str">
            <v>Miami Fort 6</v>
          </cell>
          <cell r="C24" t="str">
            <v>CGE</v>
          </cell>
          <cell r="D24">
            <v>11606245.216918146</v>
          </cell>
          <cell r="E24">
            <v>11096427.609501999</v>
          </cell>
          <cell r="F24">
            <v>11113923.855438154</v>
          </cell>
          <cell r="G24">
            <v>11050916.839663276</v>
          </cell>
          <cell r="H24">
            <v>10615004.541292146</v>
          </cell>
          <cell r="I24">
            <v>10186240.087627213</v>
          </cell>
          <cell r="J24">
            <v>9865927.912745636</v>
          </cell>
          <cell r="K24">
            <v>9927059.4832237344</v>
          </cell>
          <cell r="L24">
            <v>9514742.2816028222</v>
          </cell>
          <cell r="M24">
            <v>9453001.3321158607</v>
          </cell>
          <cell r="N24">
            <v>9522746.7586193327</v>
          </cell>
          <cell r="O24">
            <v>9592648.1619467735</v>
          </cell>
          <cell r="P24">
            <v>9685636.0359264985</v>
          </cell>
          <cell r="Q24">
            <v>9463629.0865545962</v>
          </cell>
          <cell r="R24">
            <v>9393495.732702041</v>
          </cell>
          <cell r="S24">
            <v>9579499.1542675961</v>
          </cell>
          <cell r="T24">
            <v>9498546.4058148377</v>
          </cell>
          <cell r="U24">
            <v>9125097.6404942479</v>
          </cell>
          <cell r="V24">
            <v>9319410.9450205378</v>
          </cell>
          <cell r="W24">
            <v>9402644.6153376251</v>
          </cell>
        </row>
        <row r="25">
          <cell r="B25" t="str">
            <v>Miami Fort 7</v>
          </cell>
          <cell r="C25" t="str">
            <v>CGE</v>
          </cell>
          <cell r="D25">
            <v>21396517.391832482</v>
          </cell>
          <cell r="E25">
            <v>20305461.842328504</v>
          </cell>
          <cell r="F25">
            <v>19980719.332093772</v>
          </cell>
          <cell r="G25">
            <v>19716419.067465182</v>
          </cell>
          <cell r="H25">
            <v>18872056.830335639</v>
          </cell>
          <cell r="I25">
            <v>17779014.583017703</v>
          </cell>
          <cell r="J25">
            <v>17461351.527018216</v>
          </cell>
          <cell r="K25">
            <v>17147614.346091378</v>
          </cell>
          <cell r="L25">
            <v>16786471.717844047</v>
          </cell>
          <cell r="M25">
            <v>16731373.590690726</v>
          </cell>
          <cell r="N25">
            <v>16892784.42003379</v>
          </cell>
          <cell r="O25">
            <v>17188263.158767864</v>
          </cell>
          <cell r="P25">
            <v>17235875.116443496</v>
          </cell>
          <cell r="Q25">
            <v>16757655.983071728</v>
          </cell>
          <cell r="R25">
            <v>16746387.997946717</v>
          </cell>
          <cell r="S25">
            <v>17084166.280026156</v>
          </cell>
          <cell r="T25">
            <v>16937784.253093708</v>
          </cell>
          <cell r="U25">
            <v>16437396.826123057</v>
          </cell>
          <cell r="V25">
            <v>16781558.533114944</v>
          </cell>
          <cell r="W25">
            <v>17017286.256313071</v>
          </cell>
        </row>
        <row r="26">
          <cell r="B26" t="str">
            <v>Miami Fort 8</v>
          </cell>
          <cell r="C26" t="str">
            <v>CGE</v>
          </cell>
          <cell r="D26">
            <v>22204601.396348715</v>
          </cell>
          <cell r="E26">
            <v>21296474.320376657</v>
          </cell>
          <cell r="F26">
            <v>21233949.825042158</v>
          </cell>
          <cell r="G26">
            <v>20986776.773812633</v>
          </cell>
          <cell r="H26">
            <v>20279200.034145817</v>
          </cell>
          <cell r="I26">
            <v>19680793.634046827</v>
          </cell>
          <cell r="J26">
            <v>19238539.044292025</v>
          </cell>
          <cell r="K26">
            <v>18681655.978758935</v>
          </cell>
          <cell r="L26">
            <v>18032316.629169498</v>
          </cell>
          <cell r="M26">
            <v>17758361.043192219</v>
          </cell>
          <cell r="N26">
            <v>17944710.692622498</v>
          </cell>
          <cell r="O26">
            <v>18155438.570918299</v>
          </cell>
          <cell r="P26">
            <v>18130551.550803762</v>
          </cell>
          <cell r="Q26">
            <v>17535649.307533886</v>
          </cell>
          <cell r="R26">
            <v>17507726.554486308</v>
          </cell>
          <cell r="S26">
            <v>17855759.46367437</v>
          </cell>
          <cell r="T26">
            <v>17643155.124868475</v>
          </cell>
          <cell r="U26">
            <v>17014611.411447108</v>
          </cell>
          <cell r="V26">
            <v>17457467.144133452</v>
          </cell>
          <cell r="W26">
            <v>17810356.424726453</v>
          </cell>
        </row>
        <row r="27">
          <cell r="B27" t="str">
            <v>Noblesville 1</v>
          </cell>
          <cell r="C27" t="str">
            <v>PSI</v>
          </cell>
          <cell r="D27">
            <v>2027650.3463601393</v>
          </cell>
          <cell r="E27">
            <v>1861848.3400285435</v>
          </cell>
          <cell r="F27">
            <v>1745565.6321807846</v>
          </cell>
          <cell r="G27">
            <v>1843388.5110889554</v>
          </cell>
          <cell r="H27">
            <v>1671108.2878656639</v>
          </cell>
          <cell r="I27">
            <v>1668547.2464511239</v>
          </cell>
          <cell r="J27">
            <v>1695157.0538213039</v>
          </cell>
          <cell r="K27">
            <v>1809773.7555432105</v>
          </cell>
          <cell r="L27">
            <v>1856317.0980529406</v>
          </cell>
          <cell r="M27">
            <v>1883866.6764420695</v>
          </cell>
          <cell r="N27">
            <v>1893439.1403737282</v>
          </cell>
          <cell r="O27">
            <v>2009490.3440929588</v>
          </cell>
          <cell r="P27">
            <v>2113536.477750666</v>
          </cell>
          <cell r="Q27">
            <v>2123123.85208729</v>
          </cell>
          <cell r="R27">
            <v>2204376.1240345105</v>
          </cell>
          <cell r="S27">
            <v>2242854.2029453008</v>
          </cell>
          <cell r="T27">
            <v>2283096.2448804565</v>
          </cell>
          <cell r="U27">
            <v>2174625.5576785225</v>
          </cell>
          <cell r="V27">
            <v>2241355.7041242276</v>
          </cell>
          <cell r="W27">
            <v>2115475.8409362566</v>
          </cell>
        </row>
        <row r="28">
          <cell r="B28" t="str">
            <v>Noblesville 2</v>
          </cell>
          <cell r="C28" t="str">
            <v>PSI</v>
          </cell>
          <cell r="D28">
            <v>2027650.3463601393</v>
          </cell>
          <cell r="E28">
            <v>1861848.3400285435</v>
          </cell>
          <cell r="F28">
            <v>1745565.6321807846</v>
          </cell>
          <cell r="G28">
            <v>1843388.5110889554</v>
          </cell>
          <cell r="H28">
            <v>1671108.2878656639</v>
          </cell>
          <cell r="I28">
            <v>1668547.2464511239</v>
          </cell>
          <cell r="J28">
            <v>1695157.0538213039</v>
          </cell>
          <cell r="K28">
            <v>1809773.7555432105</v>
          </cell>
          <cell r="L28">
            <v>1856317.0980529406</v>
          </cell>
          <cell r="M28">
            <v>1883866.6764420695</v>
          </cell>
          <cell r="N28">
            <v>1893439.1403737282</v>
          </cell>
          <cell r="O28">
            <v>2009490.3440929588</v>
          </cell>
          <cell r="P28">
            <v>2113536.477750666</v>
          </cell>
          <cell r="Q28">
            <v>2123123.85208729</v>
          </cell>
          <cell r="R28">
            <v>2204376.1240345105</v>
          </cell>
          <cell r="S28">
            <v>2242854.2029453008</v>
          </cell>
          <cell r="T28">
            <v>2283096.2448804565</v>
          </cell>
          <cell r="U28">
            <v>2174625.5576785225</v>
          </cell>
          <cell r="V28">
            <v>2241355.7041242276</v>
          </cell>
          <cell r="W28">
            <v>2115475.8409362566</v>
          </cell>
        </row>
        <row r="29">
          <cell r="B29" t="str">
            <v>Wabash River 1</v>
          </cell>
          <cell r="C29" t="str">
            <v>PSI</v>
          </cell>
          <cell r="D29">
            <v>5539113.6203573039</v>
          </cell>
          <cell r="E29">
            <v>5469408.9386597527</v>
          </cell>
          <cell r="F29">
            <v>5521623.6365045933</v>
          </cell>
          <cell r="G29">
            <v>5769384.2510048542</v>
          </cell>
          <cell r="H29">
            <v>5538292.8191463538</v>
          </cell>
          <cell r="I29">
            <v>5667833.8933277568</v>
          </cell>
          <cell r="J29">
            <v>5633106.6467856597</v>
          </cell>
          <cell r="K29">
            <v>5560170.1534147095</v>
          </cell>
          <cell r="L29">
            <v>5925518.5638457052</v>
          </cell>
          <cell r="M29">
            <v>6017640.4440300213</v>
          </cell>
          <cell r="N29">
            <v>5778006.8405061476</v>
          </cell>
          <cell r="O29">
            <v>5981862.4072943171</v>
          </cell>
          <cell r="P29">
            <v>6039735.0279023973</v>
          </cell>
          <cell r="Q29">
            <v>5973892.6107023116</v>
          </cell>
          <cell r="R29">
            <v>5894306.1091586137</v>
          </cell>
          <cell r="S29">
            <v>6097324.4871653225</v>
          </cell>
          <cell r="T29">
            <v>6122420.3545966186</v>
          </cell>
          <cell r="U29">
            <v>6018145.8897587834</v>
          </cell>
          <cell r="V29">
            <v>5927910.5498320116</v>
          </cell>
          <cell r="W29">
            <v>6005977.3277395014</v>
          </cell>
        </row>
        <row r="30">
          <cell r="B30" t="str">
            <v>Wabash River 2</v>
          </cell>
          <cell r="C30" t="str">
            <v>PSI</v>
          </cell>
          <cell r="D30">
            <v>3827536.4176345128</v>
          </cell>
          <cell r="E30">
            <v>3622615.3564848276</v>
          </cell>
          <cell r="F30">
            <v>3442851.3885440193</v>
          </cell>
          <cell r="G30">
            <v>3584941.6784946094</v>
          </cell>
          <cell r="H30">
            <v>3364239.8953778357</v>
          </cell>
          <cell r="I30">
            <v>3335892.1073577758</v>
          </cell>
          <cell r="J30">
            <v>3429018.3771239184</v>
          </cell>
          <cell r="K30">
            <v>3505933.7044246471</v>
          </cell>
          <cell r="L30">
            <v>3514243.3330173874</v>
          </cell>
          <cell r="M30">
            <v>3617714.9279161301</v>
          </cell>
          <cell r="N30">
            <v>3761016.5607558261</v>
          </cell>
          <cell r="O30">
            <v>3866609.0241807401</v>
          </cell>
          <cell r="P30">
            <v>4018872.0742448135</v>
          </cell>
          <cell r="Q30">
            <v>4023900.7063528732</v>
          </cell>
          <cell r="R30">
            <v>4090225.0515624937</v>
          </cell>
          <cell r="S30">
            <v>4175550.9912566459</v>
          </cell>
          <cell r="T30">
            <v>4184461.6054788921</v>
          </cell>
          <cell r="U30">
            <v>4103365.1308530243</v>
          </cell>
          <cell r="V30">
            <v>4170437.3702357654</v>
          </cell>
          <cell r="W30">
            <v>3945481.1563306805</v>
          </cell>
        </row>
        <row r="31">
          <cell r="B31" t="str">
            <v>Wabash River 3</v>
          </cell>
          <cell r="C31" t="str">
            <v>PSI</v>
          </cell>
          <cell r="D31">
            <v>3844202.8472870653</v>
          </cell>
          <cell r="E31">
            <v>3650555.2676832206</v>
          </cell>
          <cell r="F31">
            <v>3474276.3317276714</v>
          </cell>
          <cell r="G31">
            <v>3614998.7112524952</v>
          </cell>
          <cell r="H31">
            <v>3386849.5454000477</v>
          </cell>
          <cell r="I31">
            <v>3358753.2253591213</v>
          </cell>
          <cell r="J31">
            <v>3474119.0123528754</v>
          </cell>
          <cell r="K31">
            <v>3538002.5411261255</v>
          </cell>
          <cell r="L31">
            <v>3544062.3980347151</v>
          </cell>
          <cell r="M31">
            <v>3655523.9525166806</v>
          </cell>
          <cell r="N31">
            <v>3796017.4584362553</v>
          </cell>
          <cell r="O31">
            <v>3903783.5535184895</v>
          </cell>
          <cell r="P31">
            <v>4040681.1635051165</v>
          </cell>
          <cell r="Q31">
            <v>4054530.7765114643</v>
          </cell>
          <cell r="R31">
            <v>4103372.5232160306</v>
          </cell>
          <cell r="S31">
            <v>4194607.8661023593</v>
          </cell>
          <cell r="T31">
            <v>4213113.3484690525</v>
          </cell>
          <cell r="U31">
            <v>4115253.5948967957</v>
          </cell>
          <cell r="V31">
            <v>4180965.5396751161</v>
          </cell>
          <cell r="W31">
            <v>3971067.727840953</v>
          </cell>
        </row>
        <row r="32">
          <cell r="B32" t="str">
            <v>Wabash River 4</v>
          </cell>
          <cell r="C32" t="str">
            <v>PSI</v>
          </cell>
          <cell r="D32">
            <v>3931461.9610987562</v>
          </cell>
          <cell r="E32">
            <v>3790221.3235930158</v>
          </cell>
          <cell r="F32">
            <v>3637292.0204760288</v>
          </cell>
          <cell r="G32">
            <v>3717229.4295871574</v>
          </cell>
          <cell r="H32">
            <v>3471920.0240608575</v>
          </cell>
          <cell r="I32">
            <v>3437049.3135091122</v>
          </cell>
          <cell r="J32">
            <v>3559094.1243266743</v>
          </cell>
          <cell r="K32">
            <v>3626570.6893233932</v>
          </cell>
          <cell r="L32">
            <v>3639372.4436388016</v>
          </cell>
          <cell r="M32">
            <v>3756486.8295061304</v>
          </cell>
          <cell r="N32">
            <v>3878827.8727817265</v>
          </cell>
          <cell r="O32">
            <v>3983165.3876672201</v>
          </cell>
          <cell r="P32">
            <v>4112763.1318188608</v>
          </cell>
          <cell r="Q32">
            <v>4133282.9500252348</v>
          </cell>
          <cell r="R32">
            <v>4164047.1240162975</v>
          </cell>
          <cell r="S32">
            <v>4259419.9908197168</v>
          </cell>
          <cell r="T32">
            <v>4265213.3381163701</v>
          </cell>
          <cell r="U32">
            <v>4160701.9186004638</v>
          </cell>
          <cell r="V32">
            <v>4204503.3179980461</v>
          </cell>
          <cell r="W32">
            <v>4025274.2270716084</v>
          </cell>
        </row>
        <row r="33">
          <cell r="B33" t="str">
            <v>Wabash River 5</v>
          </cell>
          <cell r="C33" t="str">
            <v>PSI</v>
          </cell>
          <cell r="D33">
            <v>4355550.9696642328</v>
          </cell>
          <cell r="E33">
            <v>4173860.8829231057</v>
          </cell>
          <cell r="F33">
            <v>3999936.8789620358</v>
          </cell>
          <cell r="G33">
            <v>4109388.920762016</v>
          </cell>
          <cell r="H33">
            <v>3847709.6247770195</v>
          </cell>
          <cell r="I33">
            <v>3819129.6558527271</v>
          </cell>
          <cell r="J33">
            <v>3952293.015025808</v>
          </cell>
          <cell r="K33">
            <v>4024076.5811563297</v>
          </cell>
          <cell r="L33">
            <v>4032582.907850014</v>
          </cell>
          <cell r="M33">
            <v>4164643.4561229832</v>
          </cell>
          <cell r="N33">
            <v>4302246.7501452146</v>
          </cell>
          <cell r="O33">
            <v>4419894.9557599761</v>
          </cell>
          <cell r="P33">
            <v>4570696.0631607613</v>
          </cell>
          <cell r="Q33">
            <v>4588559.934614474</v>
          </cell>
          <cell r="R33">
            <v>4630934.9336675936</v>
          </cell>
          <cell r="S33">
            <v>4731213.3405100442</v>
          </cell>
          <cell r="T33">
            <v>4738602.8039031168</v>
          </cell>
          <cell r="U33">
            <v>4628523.9319810085</v>
          </cell>
          <cell r="V33">
            <v>4686160.8546864809</v>
          </cell>
          <cell r="W33">
            <v>4477084.7945807222</v>
          </cell>
        </row>
        <row r="34">
          <cell r="B34" t="str">
            <v>Wabash River 6</v>
          </cell>
          <cell r="C34" t="str">
            <v>PSI</v>
          </cell>
          <cell r="D34">
            <v>13826344.447695017</v>
          </cell>
          <cell r="E34">
            <v>13254828.091833957</v>
          </cell>
          <cell r="F34">
            <v>12411025.848688673</v>
          </cell>
          <cell r="G34">
            <v>12354395.009771369</v>
          </cell>
          <cell r="H34">
            <v>11590731.103363659</v>
          </cell>
          <cell r="I34">
            <v>11750188.921415031</v>
          </cell>
          <cell r="J34">
            <v>11875769.737652756</v>
          </cell>
          <cell r="K34">
            <v>11891755.18802299</v>
          </cell>
          <cell r="L34">
            <v>11919707.623935757</v>
          </cell>
          <cell r="M34">
            <v>12173802.606503015</v>
          </cell>
          <cell r="N34">
            <v>12609487.222062208</v>
          </cell>
          <cell r="O34">
            <v>13203729.159425065</v>
          </cell>
          <cell r="P34">
            <v>13514101.247733191</v>
          </cell>
          <cell r="Q34">
            <v>13713916.340497239</v>
          </cell>
          <cell r="R34">
            <v>13784778.339851573</v>
          </cell>
          <cell r="S34">
            <v>14028707.171965921</v>
          </cell>
          <cell r="T34">
            <v>14121830.818490285</v>
          </cell>
          <cell r="U34">
            <v>13750736.526086163</v>
          </cell>
          <cell r="V34">
            <v>13918285.026660042</v>
          </cell>
          <cell r="W34">
            <v>13391886.520472426</v>
          </cell>
        </row>
        <row r="35">
          <cell r="B35" t="str">
            <v>W.C. Beckjord 1</v>
          </cell>
          <cell r="C35" t="str">
            <v>CGE</v>
          </cell>
          <cell r="D35">
            <v>5291382.0948112607</v>
          </cell>
          <cell r="E35">
            <v>4784131.2726643421</v>
          </cell>
          <cell r="F35">
            <v>4658157.0243469272</v>
          </cell>
          <cell r="G35">
            <v>4775038.95752858</v>
          </cell>
          <cell r="H35">
            <v>4487433.8432109561</v>
          </cell>
          <cell r="I35">
            <v>4293995.1516787671</v>
          </cell>
          <cell r="J35">
            <v>4371224.0284581324</v>
          </cell>
          <cell r="K35">
            <v>4482395.1178180147</v>
          </cell>
          <cell r="L35">
            <v>4531082.660099647</v>
          </cell>
          <cell r="M35">
            <v>4670467.6466486314</v>
          </cell>
          <cell r="N35">
            <v>4715453.4353276715</v>
          </cell>
          <cell r="O35">
            <v>4818743.73953846</v>
          </cell>
          <cell r="P35">
            <v>4949792.2588942852</v>
          </cell>
          <cell r="Q35">
            <v>4949287.7048890637</v>
          </cell>
          <cell r="R35">
            <v>4977704.7971775522</v>
          </cell>
          <cell r="S35">
            <v>5087812.7980292682</v>
          </cell>
          <cell r="T35">
            <v>5083595.8808132727</v>
          </cell>
          <cell r="U35">
            <v>4961318.4565338204</v>
          </cell>
          <cell r="V35">
            <v>5059249.5865886137</v>
          </cell>
          <cell r="W35">
            <v>5016013.5273193</v>
          </cell>
        </row>
        <row r="36">
          <cell r="B36" t="str">
            <v>W.C. Beckjord 2</v>
          </cell>
          <cell r="C36" t="str">
            <v>CGE</v>
          </cell>
          <cell r="D36">
            <v>6182045.3006902523</v>
          </cell>
          <cell r="E36">
            <v>5648880.0285110958</v>
          </cell>
          <cell r="F36">
            <v>5552131.9115083525</v>
          </cell>
          <cell r="G36">
            <v>5593897.9088083282</v>
          </cell>
          <cell r="H36">
            <v>5263499.2112437934</v>
          </cell>
          <cell r="I36">
            <v>5010443.8863191344</v>
          </cell>
          <cell r="J36">
            <v>5046163.0381333902</v>
          </cell>
          <cell r="K36">
            <v>5179470.3209052915</v>
          </cell>
          <cell r="L36">
            <v>5062949.4088463141</v>
          </cell>
          <cell r="M36">
            <v>5141803.2408929579</v>
          </cell>
          <cell r="N36">
            <v>5159007.5112418747</v>
          </cell>
          <cell r="O36">
            <v>5251184.6894907299</v>
          </cell>
          <cell r="P36">
            <v>5331467.5379733527</v>
          </cell>
          <cell r="Q36">
            <v>5255462.3922775062</v>
          </cell>
          <cell r="R36">
            <v>5236068.5610754015</v>
          </cell>
          <cell r="S36">
            <v>5337543.1542053595</v>
          </cell>
          <cell r="T36">
            <v>5285828.8416064885</v>
          </cell>
          <cell r="U36">
            <v>5118773.4116658755</v>
          </cell>
          <cell r="V36">
            <v>5214689.7278788872</v>
          </cell>
          <cell r="W36">
            <v>5184798.6320142671</v>
          </cell>
        </row>
        <row r="37">
          <cell r="B37" t="str">
            <v>W.C. Beckjord 3</v>
          </cell>
          <cell r="C37" t="str">
            <v>CGE</v>
          </cell>
          <cell r="D37">
            <v>9209084.7732311431</v>
          </cell>
          <cell r="E37">
            <v>8789428.9256218728</v>
          </cell>
          <cell r="F37">
            <v>8800026.3294571973</v>
          </cell>
          <cell r="G37">
            <v>8843222.7045310214</v>
          </cell>
          <cell r="H37">
            <v>8428737.3167446274</v>
          </cell>
          <cell r="I37">
            <v>7944118.3821325609</v>
          </cell>
          <cell r="J37">
            <v>7752557.3171390211</v>
          </cell>
          <cell r="K37">
            <v>7938413.2926799906</v>
          </cell>
          <cell r="L37">
            <v>7611220.668044081</v>
          </cell>
          <cell r="M37">
            <v>7665766.8107050443</v>
          </cell>
          <cell r="N37">
            <v>7638211.8785872236</v>
          </cell>
          <cell r="O37">
            <v>7668215.6918039396</v>
          </cell>
          <cell r="P37">
            <v>7754862.1281986358</v>
          </cell>
          <cell r="Q37">
            <v>7606850.3660820555</v>
          </cell>
          <cell r="R37">
            <v>7558057.3103111209</v>
          </cell>
          <cell r="S37">
            <v>7660167.9912796915</v>
          </cell>
          <cell r="T37">
            <v>7490639.0661367765</v>
          </cell>
          <cell r="U37">
            <v>7255401.4558726586</v>
          </cell>
          <cell r="V37">
            <v>7327309.6943230107</v>
          </cell>
          <cell r="W37">
            <v>7342411.0259206053</v>
          </cell>
        </row>
        <row r="38">
          <cell r="B38" t="str">
            <v>W.C. Beckjord 4</v>
          </cell>
          <cell r="C38" t="str">
            <v>CGE</v>
          </cell>
          <cell r="D38">
            <v>10943804.526480922</v>
          </cell>
          <cell r="E38">
            <v>10791835.803443993</v>
          </cell>
          <cell r="F38">
            <v>10800751.580383815</v>
          </cell>
          <cell r="G38">
            <v>10799130.561298957</v>
          </cell>
          <cell r="H38">
            <v>10438088.905871831</v>
          </cell>
          <cell r="I38">
            <v>10033499.103243982</v>
          </cell>
          <cell r="J38">
            <v>9930290.1552913245</v>
          </cell>
          <cell r="K38">
            <v>9994193.5663803481</v>
          </cell>
          <cell r="L38">
            <v>9594335.9325070772</v>
          </cell>
          <cell r="M38">
            <v>9607151.7907651812</v>
          </cell>
          <cell r="N38">
            <v>9535403.5784756709</v>
          </cell>
          <cell r="O38">
            <v>9525815.5722735934</v>
          </cell>
          <cell r="P38">
            <v>9552176.6612393465</v>
          </cell>
          <cell r="Q38">
            <v>9345420.7502976079</v>
          </cell>
          <cell r="R38">
            <v>9268287.40238587</v>
          </cell>
          <cell r="S38">
            <v>9398689.6380592603</v>
          </cell>
          <cell r="T38">
            <v>9132966.539519798</v>
          </cell>
          <cell r="U38">
            <v>8774273.1668073907</v>
          </cell>
          <cell r="V38">
            <v>8923066.8253043965</v>
          </cell>
          <cell r="W38">
            <v>8970782.3548235744</v>
          </cell>
        </row>
        <row r="39">
          <cell r="B39" t="str">
            <v>W.C. Beckjord 5</v>
          </cell>
          <cell r="C39" t="str">
            <v>CGE</v>
          </cell>
          <cell r="D39">
            <v>17255151.0922243</v>
          </cell>
          <cell r="E39">
            <v>16540514.710671604</v>
          </cell>
          <cell r="F39">
            <v>16641253.237235894</v>
          </cell>
          <cell r="G39">
            <v>16650629.991255123</v>
          </cell>
          <cell r="H39">
            <v>16050249.94239898</v>
          </cell>
          <cell r="I39">
            <v>15328018.038692355</v>
          </cell>
          <cell r="J39">
            <v>15035360.724520881</v>
          </cell>
          <cell r="K39">
            <v>15145814.239063062</v>
          </cell>
          <cell r="L39">
            <v>14492335.026817285</v>
          </cell>
          <cell r="M39">
            <v>14462861.015256109</v>
          </cell>
          <cell r="N39">
            <v>14552601.25705207</v>
          </cell>
          <cell r="O39">
            <v>14584611.708999453</v>
          </cell>
          <cell r="P39">
            <v>14707289.659133546</v>
          </cell>
          <cell r="Q39">
            <v>14358489.159817081</v>
          </cell>
          <cell r="R39">
            <v>14284295.767427824</v>
          </cell>
          <cell r="S39">
            <v>14425357.860106165</v>
          </cell>
          <cell r="T39">
            <v>14102866.901782766</v>
          </cell>
          <cell r="U39">
            <v>13527755.90643291</v>
          </cell>
          <cell r="V39">
            <v>13816414.794893222</v>
          </cell>
          <cell r="W39">
            <v>13929072.786737034</v>
          </cell>
        </row>
        <row r="40">
          <cell r="B40" t="str">
            <v>W.C. Beckjord 6</v>
          </cell>
          <cell r="C40" t="str">
            <v>CGE</v>
          </cell>
          <cell r="D40">
            <v>10959874.351232219</v>
          </cell>
          <cell r="E40">
            <v>10512419.750737103</v>
          </cell>
          <cell r="F40">
            <v>10449140.203550959</v>
          </cell>
          <cell r="G40">
            <v>10318867.450753866</v>
          </cell>
          <cell r="H40">
            <v>9976237.7385920901</v>
          </cell>
          <cell r="I40">
            <v>9657176.8894152697</v>
          </cell>
          <cell r="J40">
            <v>9247869.4686471503</v>
          </cell>
          <cell r="K40">
            <v>9132374.5623755138</v>
          </cell>
          <cell r="L40">
            <v>8795944.0450091679</v>
          </cell>
          <cell r="M40">
            <v>8662181.4501144439</v>
          </cell>
          <cell r="N40">
            <v>8766713.467959661</v>
          </cell>
          <cell r="O40">
            <v>8897337.5152213071</v>
          </cell>
          <cell r="P40">
            <v>8896388.5700830705</v>
          </cell>
          <cell r="Q40">
            <v>8598637.6872197874</v>
          </cell>
          <cell r="R40">
            <v>8590642.5944251977</v>
          </cell>
          <cell r="S40">
            <v>8753748.6678053811</v>
          </cell>
          <cell r="T40">
            <v>8501608.5135723948</v>
          </cell>
          <cell r="U40">
            <v>8246254.424838312</v>
          </cell>
          <cell r="V40">
            <v>8403691.8966652155</v>
          </cell>
          <cell r="W40">
            <v>8590934.6210621204</v>
          </cell>
        </row>
        <row r="41">
          <cell r="B41" t="str">
            <v>W.H. Zimmer 1</v>
          </cell>
          <cell r="C41" t="str">
            <v>CGE</v>
          </cell>
          <cell r="D41">
            <v>40526605.99428653</v>
          </cell>
          <cell r="E41">
            <v>40526605.99428653</v>
          </cell>
          <cell r="F41">
            <v>40526605.99428653</v>
          </cell>
          <cell r="G41">
            <v>40515883.364219025</v>
          </cell>
          <cell r="H41">
            <v>40457176.184528761</v>
          </cell>
          <cell r="I41">
            <v>40492453.50957039</v>
          </cell>
          <cell r="J41">
            <v>40378468.806093961</v>
          </cell>
          <cell r="K41">
            <v>40472535.918001249</v>
          </cell>
          <cell r="L41">
            <v>40478792.004226133</v>
          </cell>
          <cell r="M41">
            <v>40331123.369672596</v>
          </cell>
          <cell r="N41">
            <v>40208186.075736582</v>
          </cell>
          <cell r="O41">
            <v>40323533.177616842</v>
          </cell>
          <cell r="P41">
            <v>40367742.954467356</v>
          </cell>
          <cell r="Q41">
            <v>40153200.733922593</v>
          </cell>
          <cell r="R41">
            <v>40280268.275967166</v>
          </cell>
          <cell r="S41">
            <v>40476152.146069571</v>
          </cell>
          <cell r="T41">
            <v>40025487.515919782</v>
          </cell>
          <cell r="U41">
            <v>40034122.752069838</v>
          </cell>
          <cell r="V41">
            <v>39983582.366345376</v>
          </cell>
          <cell r="W41">
            <v>39791999.327558815</v>
          </cell>
        </row>
        <row r="42">
          <cell r="B42" t="str">
            <v>Cayuga Diesel 3A-D</v>
          </cell>
          <cell r="C42" t="str">
            <v>PSI</v>
          </cell>
          <cell r="D42">
            <v>190730.53283129993</v>
          </cell>
          <cell r="E42">
            <v>149273.85318614997</v>
          </cell>
          <cell r="F42">
            <v>122255.55532575004</v>
          </cell>
          <cell r="G42">
            <v>133342.34510519999</v>
          </cell>
          <cell r="H42">
            <v>115911.45043632001</v>
          </cell>
          <cell r="I42">
            <v>113475.72976740006</v>
          </cell>
          <cell r="J42">
            <v>108898.05495492001</v>
          </cell>
          <cell r="K42">
            <v>112051.27980585003</v>
          </cell>
          <cell r="L42">
            <v>127786.38291341996</v>
          </cell>
          <cell r="M42">
            <v>134819.30676753004</v>
          </cell>
          <cell r="N42">
            <v>132675.01669421993</v>
          </cell>
          <cell r="O42">
            <v>125878.02174486</v>
          </cell>
          <cell r="P42">
            <v>127329.38161712993</v>
          </cell>
          <cell r="Q42">
            <v>137456.94520403998</v>
          </cell>
          <cell r="R42">
            <v>133718.52323214</v>
          </cell>
          <cell r="S42">
            <v>137389.29667847999</v>
          </cell>
          <cell r="T42">
            <v>140107.29109839004</v>
          </cell>
          <cell r="U42">
            <v>138145.20354558007</v>
          </cell>
          <cell r="V42">
            <v>126852.57163655995</v>
          </cell>
          <cell r="W42">
            <v>136098.27502425</v>
          </cell>
        </row>
        <row r="43">
          <cell r="B43" t="str">
            <v>Cayuga CT 4</v>
          </cell>
          <cell r="C43" t="str">
            <v>PSI</v>
          </cell>
          <cell r="D43">
            <v>1721768.5255665723</v>
          </cell>
          <cell r="E43">
            <v>1227615.0084204474</v>
          </cell>
          <cell r="F43">
            <v>1044114.789405858</v>
          </cell>
          <cell r="G43">
            <v>1116380.2906169398</v>
          </cell>
          <cell r="H43">
            <v>999122.90519714355</v>
          </cell>
          <cell r="I43">
            <v>1018726.2443149318</v>
          </cell>
          <cell r="J43">
            <v>962038.86724049377</v>
          </cell>
          <cell r="K43">
            <v>997727.52721982787</v>
          </cell>
          <cell r="L43">
            <v>1160304.4405537171</v>
          </cell>
          <cell r="M43">
            <v>1263288.107991884</v>
          </cell>
          <cell r="N43">
            <v>1232466.5472300202</v>
          </cell>
          <cell r="O43">
            <v>1128972.908234268</v>
          </cell>
          <cell r="P43">
            <v>1181671.5060151895</v>
          </cell>
          <cell r="Q43">
            <v>1280717.4083914922</v>
          </cell>
          <cell r="R43">
            <v>1275128.3617442455</v>
          </cell>
          <cell r="S43">
            <v>1301514.4591850697</v>
          </cell>
          <cell r="T43">
            <v>1356200.9044110754</v>
          </cell>
          <cell r="U43">
            <v>1332997.7535074679</v>
          </cell>
          <cell r="V43">
            <v>1238551.7979957662</v>
          </cell>
          <cell r="W43">
            <v>1343579.6419825018</v>
          </cell>
        </row>
        <row r="44">
          <cell r="B44" t="str">
            <v>Connersville CT 1</v>
          </cell>
          <cell r="C44" t="str">
            <v>PSI</v>
          </cell>
          <cell r="D44">
            <v>274037.48044942488</v>
          </cell>
          <cell r="E44">
            <v>211597.89480742498</v>
          </cell>
          <cell r="F44">
            <v>177601.38529034998</v>
          </cell>
          <cell r="G44">
            <v>210848.25600352508</v>
          </cell>
          <cell r="H44">
            <v>180004.25698499993</v>
          </cell>
          <cell r="I44">
            <v>191310.55107675004</v>
          </cell>
          <cell r="J44">
            <v>182024.18927332488</v>
          </cell>
          <cell r="K44">
            <v>206323.65964570496</v>
          </cell>
          <cell r="L44">
            <v>256545.43198483478</v>
          </cell>
          <cell r="M44">
            <v>287464.5897638551</v>
          </cell>
          <cell r="N44">
            <v>290611.18889921973</v>
          </cell>
          <cell r="O44">
            <v>250088.33954579994</v>
          </cell>
          <cell r="P44">
            <v>281670.93416227511</v>
          </cell>
          <cell r="Q44">
            <v>300992.3221724999</v>
          </cell>
          <cell r="R44">
            <v>314089.56442919996</v>
          </cell>
          <cell r="S44">
            <v>333635.71416052507</v>
          </cell>
          <cell r="T44">
            <v>370723.67174324981</v>
          </cell>
          <cell r="U44">
            <v>376669.13894662494</v>
          </cell>
          <cell r="V44">
            <v>341513.0928047999</v>
          </cell>
          <cell r="W44">
            <v>493064.52965962497</v>
          </cell>
        </row>
        <row r="45">
          <cell r="B45" t="str">
            <v>Connersville CT 2</v>
          </cell>
          <cell r="C45" t="str">
            <v>PSI</v>
          </cell>
          <cell r="D45">
            <v>274037.48044942488</v>
          </cell>
          <cell r="E45">
            <v>211597.89480742498</v>
          </cell>
          <cell r="F45">
            <v>177601.38529034998</v>
          </cell>
          <cell r="G45">
            <v>210848.25600352508</v>
          </cell>
          <cell r="H45">
            <v>180004.25698499993</v>
          </cell>
          <cell r="I45">
            <v>191310.55107675004</v>
          </cell>
          <cell r="J45">
            <v>182024.18927332488</v>
          </cell>
          <cell r="K45">
            <v>206323.65964570496</v>
          </cell>
          <cell r="L45">
            <v>256545.43198483478</v>
          </cell>
          <cell r="M45">
            <v>287464.5897638551</v>
          </cell>
          <cell r="N45">
            <v>290611.18889921973</v>
          </cell>
          <cell r="O45">
            <v>250088.33954579994</v>
          </cell>
          <cell r="P45">
            <v>281670.93416227511</v>
          </cell>
          <cell r="Q45">
            <v>300992.3221724999</v>
          </cell>
          <cell r="R45">
            <v>314089.56442919996</v>
          </cell>
          <cell r="S45">
            <v>333635.71416052507</v>
          </cell>
          <cell r="T45">
            <v>370723.67174324981</v>
          </cell>
          <cell r="U45">
            <v>376669.13894662494</v>
          </cell>
          <cell r="V45">
            <v>341513.0928047999</v>
          </cell>
          <cell r="W45">
            <v>493064.52965962497</v>
          </cell>
        </row>
        <row r="46">
          <cell r="B46" t="str">
            <v>Dicks Creek CT 1</v>
          </cell>
          <cell r="C46" t="str">
            <v>CGE</v>
          </cell>
          <cell r="D46">
            <v>301623.63163264492</v>
          </cell>
          <cell r="E46">
            <v>255865.30572124501</v>
          </cell>
          <cell r="F46">
            <v>231400.13290529986</v>
          </cell>
          <cell r="G46">
            <v>281398.77017563483</v>
          </cell>
          <cell r="H46">
            <v>234300.35055934486</v>
          </cell>
          <cell r="I46">
            <v>253633.143695715</v>
          </cell>
          <cell r="J46">
            <v>257349.76316105996</v>
          </cell>
          <cell r="K46">
            <v>269762.057528715</v>
          </cell>
          <cell r="L46">
            <v>326190.35686901992</v>
          </cell>
          <cell r="M46">
            <v>367434.57813110994</v>
          </cell>
          <cell r="N46">
            <v>403722.64303143002</v>
          </cell>
          <cell r="O46">
            <v>371957.64328810497</v>
          </cell>
          <cell r="P46">
            <v>409918.3362896248</v>
          </cell>
          <cell r="Q46">
            <v>415941.78867787472</v>
          </cell>
          <cell r="R46">
            <v>475211.56456628995</v>
          </cell>
          <cell r="S46">
            <v>486705.90470221505</v>
          </cell>
          <cell r="T46">
            <v>531040.50550366507</v>
          </cell>
          <cell r="U46">
            <v>545212.04621347459</v>
          </cell>
          <cell r="V46">
            <v>529443.54391180491</v>
          </cell>
          <cell r="W46">
            <v>893645.36999255989</v>
          </cell>
        </row>
        <row r="47">
          <cell r="B47" t="str">
            <v>Dicks Creek CT 3</v>
          </cell>
          <cell r="C47" t="str">
            <v>CGE</v>
          </cell>
          <cell r="D47">
            <v>46791.273325087503</v>
          </cell>
          <cell r="E47">
            <v>39770.217747907489</v>
          </cell>
          <cell r="F47">
            <v>35812.759748228993</v>
          </cell>
          <cell r="G47">
            <v>43727.675747585985</v>
          </cell>
          <cell r="H47">
            <v>36374.085774095991</v>
          </cell>
          <cell r="I47">
            <v>39345.091438852491</v>
          </cell>
          <cell r="J47">
            <v>39960.977000401494</v>
          </cell>
          <cell r="K47">
            <v>41875.140564310466</v>
          </cell>
          <cell r="L47">
            <v>50751.021232285471</v>
          </cell>
          <cell r="M47">
            <v>57201.491592323997</v>
          </cell>
          <cell r="N47">
            <v>63093.025395211444</v>
          </cell>
          <cell r="O47">
            <v>58035.017929421978</v>
          </cell>
          <cell r="P47">
            <v>64066.236090998958</v>
          </cell>
          <cell r="Q47">
            <v>65187.79296957147</v>
          </cell>
          <cell r="R47">
            <v>74552.718234754459</v>
          </cell>
          <cell r="S47">
            <v>76500.832166669978</v>
          </cell>
          <cell r="T47">
            <v>83497.395689510959</v>
          </cell>
          <cell r="U47">
            <v>85823.244800947432</v>
          </cell>
          <cell r="V47">
            <v>83341.980661774476</v>
          </cell>
          <cell r="W47">
            <v>141954.25440850348</v>
          </cell>
        </row>
        <row r="48">
          <cell r="B48" t="str">
            <v>Dicks Creek CT 4-5</v>
          </cell>
          <cell r="C48" t="str">
            <v>CGE</v>
          </cell>
          <cell r="D48">
            <v>106840.31469850799</v>
          </cell>
          <cell r="E48">
            <v>93037.150415747979</v>
          </cell>
          <cell r="F48">
            <v>89297.233630421964</v>
          </cell>
          <cell r="G48">
            <v>117137.33188532401</v>
          </cell>
          <cell r="H48">
            <v>89712.20469743399</v>
          </cell>
          <cell r="I48">
            <v>105621.685653348</v>
          </cell>
          <cell r="J48">
            <v>102748.74776714401</v>
          </cell>
          <cell r="K48">
            <v>108193.94872612195</v>
          </cell>
          <cell r="L48">
            <v>134704.30764057004</v>
          </cell>
          <cell r="M48">
            <v>140640.54442068603</v>
          </cell>
          <cell r="N48">
            <v>156975.35080804804</v>
          </cell>
          <cell r="O48">
            <v>162407.409689088</v>
          </cell>
          <cell r="P48">
            <v>170901.97097446804</v>
          </cell>
          <cell r="Q48">
            <v>170473.06133994606</v>
          </cell>
          <cell r="R48">
            <v>183465.39923841</v>
          </cell>
          <cell r="S48">
            <v>193811.40053390394</v>
          </cell>
          <cell r="T48">
            <v>204477.19239255597</v>
          </cell>
          <cell r="U48">
            <v>226108.25618893202</v>
          </cell>
          <cell r="V48">
            <v>233219.31508774793</v>
          </cell>
          <cell r="W48">
            <v>372450.86945556576</v>
          </cell>
        </row>
        <row r="49">
          <cell r="B49" t="str">
            <v>Miami Fort CT 3-6</v>
          </cell>
          <cell r="C49" t="str">
            <v>CGE</v>
          </cell>
          <cell r="D49">
            <v>183298.6242743039</v>
          </cell>
          <cell r="E49">
            <v>156606.4627918558</v>
          </cell>
          <cell r="F49">
            <v>140990.91719327986</v>
          </cell>
          <cell r="G49">
            <v>172631.80910051989</v>
          </cell>
          <cell r="H49">
            <v>142076.35878559184</v>
          </cell>
          <cell r="I49">
            <v>154982.73397067984</v>
          </cell>
          <cell r="J49">
            <v>160881.98644979982</v>
          </cell>
          <cell r="K49">
            <v>170137.18857088793</v>
          </cell>
          <cell r="L49">
            <v>204923.47914007187</v>
          </cell>
          <cell r="M49">
            <v>251548.43757119987</v>
          </cell>
          <cell r="N49">
            <v>256151.69747798383</v>
          </cell>
          <cell r="O49">
            <v>240608.13214838385</v>
          </cell>
          <cell r="P49">
            <v>266003.9533277278</v>
          </cell>
          <cell r="Q49">
            <v>275738.1545817359</v>
          </cell>
          <cell r="R49">
            <v>315100.40819241584</v>
          </cell>
          <cell r="S49">
            <v>324557.29415894375</v>
          </cell>
          <cell r="T49">
            <v>376691.69887826405</v>
          </cell>
          <cell r="U49">
            <v>371402.54003159993</v>
          </cell>
          <cell r="V49">
            <v>352332.46311832801</v>
          </cell>
          <cell r="W49">
            <v>579250.78266131994</v>
          </cell>
        </row>
        <row r="50">
          <cell r="B50" t="str">
            <v>Miami-Wabash CT 1-6</v>
          </cell>
          <cell r="C50" t="str">
            <v>PSI</v>
          </cell>
          <cell r="D50">
            <v>313818.12300000002</v>
          </cell>
          <cell r="E50">
            <v>265689.32287499984</v>
          </cell>
          <cell r="F50">
            <v>240511.42912499994</v>
          </cell>
          <cell r="G50">
            <v>293518.64662499982</v>
          </cell>
          <cell r="H50">
            <v>237315.81449999995</v>
          </cell>
          <cell r="I50">
            <v>260924.23274999991</v>
          </cell>
          <cell r="J50">
            <v>259986.61012499983</v>
          </cell>
          <cell r="K50">
            <v>279396.57449999993</v>
          </cell>
          <cell r="L50">
            <v>329690.35274999979</v>
          </cell>
          <cell r="M50">
            <v>365356.36275000015</v>
          </cell>
          <cell r="N50">
            <v>411184.40587499994</v>
          </cell>
          <cell r="O50">
            <v>374683.40925000003</v>
          </cell>
          <cell r="P50">
            <v>406152.03449999995</v>
          </cell>
          <cell r="Q50">
            <v>410209.36387499986</v>
          </cell>
          <cell r="R50">
            <v>471116.34599999996</v>
          </cell>
          <cell r="S50">
            <v>486366.34499999968</v>
          </cell>
          <cell r="T50">
            <v>506033.96849999984</v>
          </cell>
          <cell r="U50">
            <v>533939.20012499986</v>
          </cell>
          <cell r="V50">
            <v>518166.39899999992</v>
          </cell>
          <cell r="W50">
            <v>877564.52812500019</v>
          </cell>
        </row>
        <row r="51">
          <cell r="B51" t="str">
            <v>Wabash Diesel 7A-B</v>
          </cell>
          <cell r="C51" t="str">
            <v>PSI</v>
          </cell>
          <cell r="D51">
            <v>139727.14165080001</v>
          </cell>
          <cell r="E51">
            <v>109592.92124880003</v>
          </cell>
          <cell r="F51">
            <v>90037.619165999989</v>
          </cell>
          <cell r="G51">
            <v>98148.853294799992</v>
          </cell>
          <cell r="H51">
            <v>85316.165420639983</v>
          </cell>
          <cell r="I51">
            <v>83715.091033199991</v>
          </cell>
          <cell r="J51">
            <v>80388.097880640024</v>
          </cell>
          <cell r="K51">
            <v>82786.424083440012</v>
          </cell>
          <cell r="L51">
            <v>94390.380450959972</v>
          </cell>
          <cell r="M51">
            <v>99478.336404479996</v>
          </cell>
          <cell r="N51">
            <v>97997.725890239992</v>
          </cell>
          <cell r="O51">
            <v>93141.206590080037</v>
          </cell>
          <cell r="P51">
            <v>94126.090014000016</v>
          </cell>
          <cell r="Q51">
            <v>101617.48275888004</v>
          </cell>
          <cell r="R51">
            <v>98838.052666320014</v>
          </cell>
          <cell r="S51">
            <v>101587.54931160001</v>
          </cell>
          <cell r="T51">
            <v>103626.67414703999</v>
          </cell>
          <cell r="U51">
            <v>102230.02330199996</v>
          </cell>
          <cell r="V51">
            <v>93971.312189039963</v>
          </cell>
          <cell r="W51">
            <v>100963.32742320005</v>
          </cell>
        </row>
        <row r="52">
          <cell r="B52" t="str">
            <v>W.C. Beckjord CT 1</v>
          </cell>
          <cell r="C52" t="str">
            <v>CGE</v>
          </cell>
          <cell r="D52">
            <v>196274.53083340797</v>
          </cell>
          <cell r="E52">
            <v>164889.99368445604</v>
          </cell>
          <cell r="F52">
            <v>143846.03220123603</v>
          </cell>
          <cell r="G52">
            <v>174749.24171433607</v>
          </cell>
          <cell r="H52">
            <v>145164.38956851597</v>
          </cell>
          <cell r="I52">
            <v>162344.56135557604</v>
          </cell>
          <cell r="J52">
            <v>162023.65132446008</v>
          </cell>
          <cell r="K52">
            <v>173846.89268769603</v>
          </cell>
          <cell r="L52">
            <v>218169.13958726413</v>
          </cell>
          <cell r="M52">
            <v>267849.85823652236</v>
          </cell>
          <cell r="N52">
            <v>259221.68064403202</v>
          </cell>
          <cell r="O52">
            <v>237799.42092874798</v>
          </cell>
          <cell r="P52">
            <v>265819.90214181581</v>
          </cell>
          <cell r="Q52">
            <v>282339.02470413601</v>
          </cell>
          <cell r="R52">
            <v>307308.57856146002</v>
          </cell>
          <cell r="S52">
            <v>321921.39527794789</v>
          </cell>
          <cell r="T52">
            <v>380240.9012288159</v>
          </cell>
          <cell r="U52">
            <v>377577.62481063587</v>
          </cell>
          <cell r="V52">
            <v>345513.63231251994</v>
          </cell>
          <cell r="W52">
            <v>528195.68918866804</v>
          </cell>
        </row>
        <row r="53">
          <cell r="B53" t="str">
            <v>W.C. Beckjord CT 2</v>
          </cell>
          <cell r="C53" t="str">
            <v>CGE</v>
          </cell>
          <cell r="D53">
            <v>196274.53083340797</v>
          </cell>
          <cell r="E53">
            <v>164889.99368445604</v>
          </cell>
          <cell r="F53">
            <v>143846.03220123603</v>
          </cell>
          <cell r="G53">
            <v>174749.24171433607</v>
          </cell>
          <cell r="H53">
            <v>145164.38956851597</v>
          </cell>
          <cell r="I53">
            <v>162344.56135557604</v>
          </cell>
          <cell r="J53">
            <v>162023.65132446008</v>
          </cell>
          <cell r="K53">
            <v>173846.89268769603</v>
          </cell>
          <cell r="L53">
            <v>218169.13958726413</v>
          </cell>
          <cell r="M53">
            <v>267849.85823652236</v>
          </cell>
          <cell r="N53">
            <v>259221.68064403202</v>
          </cell>
          <cell r="O53">
            <v>237799.42092874798</v>
          </cell>
          <cell r="P53">
            <v>265819.90214181581</v>
          </cell>
          <cell r="Q53">
            <v>282339.02470413601</v>
          </cell>
          <cell r="R53">
            <v>307308.57856146002</v>
          </cell>
          <cell r="S53">
            <v>321921.39527794789</v>
          </cell>
          <cell r="T53">
            <v>380240.9012288159</v>
          </cell>
          <cell r="U53">
            <v>377577.62481063587</v>
          </cell>
          <cell r="V53">
            <v>345513.63231251994</v>
          </cell>
          <cell r="W53">
            <v>528195.68918866804</v>
          </cell>
        </row>
        <row r="54">
          <cell r="B54" t="str">
            <v>W.C. Beckjord CT 3</v>
          </cell>
          <cell r="C54" t="str">
            <v>CGE</v>
          </cell>
          <cell r="D54">
            <v>196274.53083340797</v>
          </cell>
          <cell r="E54">
            <v>164889.99368445604</v>
          </cell>
          <cell r="F54">
            <v>143846.03220123603</v>
          </cell>
          <cell r="G54">
            <v>174749.24171433607</v>
          </cell>
          <cell r="H54">
            <v>145164.38956851597</v>
          </cell>
          <cell r="I54">
            <v>162344.56135557604</v>
          </cell>
          <cell r="J54">
            <v>162023.65132446008</v>
          </cell>
          <cell r="K54">
            <v>173846.89268769603</v>
          </cell>
          <cell r="L54">
            <v>218169.13958726413</v>
          </cell>
          <cell r="M54">
            <v>267849.85823652236</v>
          </cell>
          <cell r="N54">
            <v>259221.68064403202</v>
          </cell>
          <cell r="O54">
            <v>237799.42092874798</v>
          </cell>
          <cell r="P54">
            <v>265819.90214181581</v>
          </cell>
          <cell r="Q54">
            <v>282339.02470413601</v>
          </cell>
          <cell r="R54">
            <v>307308.57856146002</v>
          </cell>
          <cell r="S54">
            <v>321921.39527794789</v>
          </cell>
          <cell r="T54">
            <v>380240.9012288159</v>
          </cell>
          <cell r="U54">
            <v>377577.62481063587</v>
          </cell>
          <cell r="V54">
            <v>345513.63231251994</v>
          </cell>
          <cell r="W54">
            <v>528195.68918866804</v>
          </cell>
        </row>
        <row r="55">
          <cell r="B55" t="str">
            <v>W.C. Beckjord CT 4</v>
          </cell>
          <cell r="C55" t="str">
            <v>CGE</v>
          </cell>
          <cell r="D55">
            <v>196274.53083340797</v>
          </cell>
          <cell r="E55">
            <v>164889.99368445604</v>
          </cell>
          <cell r="F55">
            <v>143846.03220123603</v>
          </cell>
          <cell r="G55">
            <v>174749.24171433607</v>
          </cell>
          <cell r="H55">
            <v>145164.38956851597</v>
          </cell>
          <cell r="I55">
            <v>162344.56135557604</v>
          </cell>
          <cell r="J55">
            <v>162023.65132446008</v>
          </cell>
          <cell r="K55">
            <v>173846.89268769603</v>
          </cell>
          <cell r="L55">
            <v>218169.13958726413</v>
          </cell>
          <cell r="M55">
            <v>267849.85823652236</v>
          </cell>
          <cell r="N55">
            <v>259221.68064403202</v>
          </cell>
          <cell r="O55">
            <v>237799.42092874798</v>
          </cell>
          <cell r="P55">
            <v>265819.90214181581</v>
          </cell>
          <cell r="Q55">
            <v>282339.02470413601</v>
          </cell>
          <cell r="R55">
            <v>307308.57856146002</v>
          </cell>
          <cell r="S55">
            <v>321921.39527794789</v>
          </cell>
          <cell r="T55">
            <v>380240.9012288159</v>
          </cell>
          <cell r="U55">
            <v>377577.62481063587</v>
          </cell>
          <cell r="V55">
            <v>345513.63231251994</v>
          </cell>
          <cell r="W55">
            <v>528195.68918866804</v>
          </cell>
        </row>
        <row r="56">
          <cell r="B56" t="str">
            <v>Woodsdale CT 1</v>
          </cell>
          <cell r="C56" t="str">
            <v>CGE</v>
          </cell>
          <cell r="D56">
            <v>558915.92409907188</v>
          </cell>
          <cell r="E56">
            <v>486849.078509568</v>
          </cell>
          <cell r="F56">
            <v>431785.05171763204</v>
          </cell>
          <cell r="G56">
            <v>522768.08323891193</v>
          </cell>
          <cell r="H56">
            <v>405365.75926271995</v>
          </cell>
          <cell r="I56">
            <v>449749.73897932819</v>
          </cell>
          <cell r="J56">
            <v>413077.522857984</v>
          </cell>
          <cell r="K56">
            <v>419990.53204684803</v>
          </cell>
          <cell r="L56">
            <v>509719.0987530236</v>
          </cell>
          <cell r="M56">
            <v>502672.54343270394</v>
          </cell>
          <cell r="N56">
            <v>547092.53716377588</v>
          </cell>
          <cell r="O56">
            <v>551813.87636736024</v>
          </cell>
          <cell r="P56">
            <v>584198.88331161579</v>
          </cell>
          <cell r="Q56">
            <v>583746.11568230402</v>
          </cell>
          <cell r="R56">
            <v>621401.50038527988</v>
          </cell>
          <cell r="S56">
            <v>647090.56315392023</v>
          </cell>
          <cell r="T56">
            <v>664390.60267007991</v>
          </cell>
          <cell r="U56">
            <v>700679.97720576008</v>
          </cell>
          <cell r="V56">
            <v>719267.41263974388</v>
          </cell>
          <cell r="W56">
            <v>1109241.4547558399</v>
          </cell>
        </row>
        <row r="57">
          <cell r="B57" t="str">
            <v>Woodsdale CT 2</v>
          </cell>
          <cell r="C57" t="str">
            <v>CGE</v>
          </cell>
          <cell r="D57">
            <v>558915.92409907188</v>
          </cell>
          <cell r="E57">
            <v>486849.078509568</v>
          </cell>
          <cell r="F57">
            <v>431785.05171763204</v>
          </cell>
          <cell r="G57">
            <v>522768.08323891193</v>
          </cell>
          <cell r="H57">
            <v>405365.75926271995</v>
          </cell>
          <cell r="I57">
            <v>449749.73897932819</v>
          </cell>
          <cell r="J57">
            <v>413077.522857984</v>
          </cell>
          <cell r="K57">
            <v>419990.53204684803</v>
          </cell>
          <cell r="L57">
            <v>509719.0987530236</v>
          </cell>
          <cell r="M57">
            <v>502672.54343270394</v>
          </cell>
          <cell r="N57">
            <v>547092.53716377588</v>
          </cell>
          <cell r="O57">
            <v>551813.87636736024</v>
          </cell>
          <cell r="P57">
            <v>584198.88331161579</v>
          </cell>
          <cell r="Q57">
            <v>583746.11568230402</v>
          </cell>
          <cell r="R57">
            <v>621401.50038527988</v>
          </cell>
          <cell r="S57">
            <v>647090.56315392023</v>
          </cell>
          <cell r="T57">
            <v>664390.60267007991</v>
          </cell>
          <cell r="U57">
            <v>700679.97720576008</v>
          </cell>
          <cell r="V57">
            <v>719267.41263974388</v>
          </cell>
          <cell r="W57">
            <v>1109241.4547558399</v>
          </cell>
        </row>
        <row r="58">
          <cell r="B58" t="str">
            <v>Woodsdale CT 3</v>
          </cell>
          <cell r="C58" t="str">
            <v>CGE</v>
          </cell>
          <cell r="D58">
            <v>558915.92409907188</v>
          </cell>
          <cell r="E58">
            <v>486849.078509568</v>
          </cell>
          <cell r="F58">
            <v>431785.05171763204</v>
          </cell>
          <cell r="G58">
            <v>522768.08323891193</v>
          </cell>
          <cell r="H58">
            <v>405365.75926271995</v>
          </cell>
          <cell r="I58">
            <v>449749.73897932819</v>
          </cell>
          <cell r="J58">
            <v>413077.522857984</v>
          </cell>
          <cell r="K58">
            <v>419990.53204684803</v>
          </cell>
          <cell r="L58">
            <v>509719.0987530236</v>
          </cell>
          <cell r="M58">
            <v>502672.54343270394</v>
          </cell>
          <cell r="N58">
            <v>547092.53716377588</v>
          </cell>
          <cell r="O58">
            <v>551813.87636736024</v>
          </cell>
          <cell r="P58">
            <v>584198.88331161579</v>
          </cell>
          <cell r="Q58">
            <v>583746.11568230402</v>
          </cell>
          <cell r="R58">
            <v>621401.50038527988</v>
          </cell>
          <cell r="S58">
            <v>647090.56315392023</v>
          </cell>
          <cell r="T58">
            <v>664390.60267007991</v>
          </cell>
          <cell r="U58">
            <v>700679.97720576008</v>
          </cell>
          <cell r="V58">
            <v>719267.41263974388</v>
          </cell>
          <cell r="W58">
            <v>1109241.4547558399</v>
          </cell>
        </row>
        <row r="59">
          <cell r="B59" t="str">
            <v>Woodsdale CT 4</v>
          </cell>
          <cell r="C59" t="str">
            <v>CGE</v>
          </cell>
          <cell r="D59">
            <v>558915.92409907188</v>
          </cell>
          <cell r="E59">
            <v>486849.078509568</v>
          </cell>
          <cell r="F59">
            <v>431785.05171763204</v>
          </cell>
          <cell r="G59">
            <v>522768.08323891193</v>
          </cell>
          <cell r="H59">
            <v>405365.75926271995</v>
          </cell>
          <cell r="I59">
            <v>449749.73897932819</v>
          </cell>
          <cell r="J59">
            <v>413077.522857984</v>
          </cell>
          <cell r="K59">
            <v>419990.53204684803</v>
          </cell>
          <cell r="L59">
            <v>509719.0987530236</v>
          </cell>
          <cell r="M59">
            <v>502672.54343270394</v>
          </cell>
          <cell r="N59">
            <v>547092.53716377588</v>
          </cell>
          <cell r="O59">
            <v>551813.87636736024</v>
          </cell>
          <cell r="P59">
            <v>584198.88331161579</v>
          </cell>
          <cell r="Q59">
            <v>583746.11568230402</v>
          </cell>
          <cell r="R59">
            <v>621401.50038527988</v>
          </cell>
          <cell r="S59">
            <v>647090.56315392023</v>
          </cell>
          <cell r="T59">
            <v>664390.60267007991</v>
          </cell>
          <cell r="U59">
            <v>700679.97720576008</v>
          </cell>
          <cell r="V59">
            <v>719267.41263974388</v>
          </cell>
          <cell r="W59">
            <v>1109241.4547558399</v>
          </cell>
        </row>
        <row r="60">
          <cell r="B60" t="str">
            <v>Woodsdale CT 5</v>
          </cell>
          <cell r="C60" t="str">
            <v>CGE</v>
          </cell>
          <cell r="D60">
            <v>558915.92409907188</v>
          </cell>
          <cell r="E60">
            <v>486849.078509568</v>
          </cell>
          <cell r="F60">
            <v>431785.05171763204</v>
          </cell>
          <cell r="G60">
            <v>522768.08323891193</v>
          </cell>
          <cell r="H60">
            <v>405365.75926271995</v>
          </cell>
          <cell r="I60">
            <v>449749.73897932819</v>
          </cell>
          <cell r="J60">
            <v>413077.522857984</v>
          </cell>
          <cell r="K60">
            <v>419990.53204684803</v>
          </cell>
          <cell r="L60">
            <v>509719.0987530236</v>
          </cell>
          <cell r="M60">
            <v>502672.54343270394</v>
          </cell>
          <cell r="N60">
            <v>547092.53716377588</v>
          </cell>
          <cell r="O60">
            <v>551813.87636736024</v>
          </cell>
          <cell r="P60">
            <v>584198.88331161579</v>
          </cell>
          <cell r="Q60">
            <v>583746.11568230402</v>
          </cell>
          <cell r="R60">
            <v>621401.50038527988</v>
          </cell>
          <cell r="S60">
            <v>647090.56315392023</v>
          </cell>
          <cell r="T60">
            <v>664390.60267007991</v>
          </cell>
          <cell r="U60">
            <v>700679.97720576008</v>
          </cell>
          <cell r="V60">
            <v>719267.41263974388</v>
          </cell>
          <cell r="W60">
            <v>1109241.4547558399</v>
          </cell>
        </row>
        <row r="61">
          <cell r="B61" t="str">
            <v>Woodsdale CT 6</v>
          </cell>
          <cell r="C61" t="str">
            <v>CGE</v>
          </cell>
          <cell r="D61">
            <v>558915.92409907188</v>
          </cell>
          <cell r="E61">
            <v>486849.078509568</v>
          </cell>
          <cell r="F61">
            <v>431785.05171763204</v>
          </cell>
          <cell r="G61">
            <v>522768.08323891193</v>
          </cell>
          <cell r="H61">
            <v>405365.75926271995</v>
          </cell>
          <cell r="I61">
            <v>449749.73897932819</v>
          </cell>
          <cell r="J61">
            <v>413077.522857984</v>
          </cell>
          <cell r="K61">
            <v>419990.53204684803</v>
          </cell>
          <cell r="L61">
            <v>509719.0987530236</v>
          </cell>
          <cell r="M61">
            <v>502672.54343270394</v>
          </cell>
          <cell r="N61">
            <v>547092.53716377588</v>
          </cell>
          <cell r="O61">
            <v>551813.87636736024</v>
          </cell>
          <cell r="P61">
            <v>584198.88331161579</v>
          </cell>
          <cell r="Q61">
            <v>583746.11568230402</v>
          </cell>
          <cell r="R61">
            <v>621401.50038527988</v>
          </cell>
          <cell r="S61">
            <v>647090.56315392023</v>
          </cell>
          <cell r="T61">
            <v>664390.60267007991</v>
          </cell>
          <cell r="U61">
            <v>700679.97720576008</v>
          </cell>
          <cell r="V61">
            <v>719267.41263974388</v>
          </cell>
          <cell r="W61">
            <v>1109241.4547558399</v>
          </cell>
        </row>
        <row r="62">
          <cell r="B62" t="str">
            <v>Markland 1 -3</v>
          </cell>
          <cell r="C62" t="str">
            <v>PSI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</sheetData>
      <sheetData sheetId="25">
        <row r="2">
          <cell r="B2" t="str">
            <v>Cayuga 1</v>
          </cell>
          <cell r="C2" t="str">
            <v>PSI</v>
          </cell>
          <cell r="D2">
            <v>10735246.023736034</v>
          </cell>
          <cell r="E2">
            <v>10411541.517973445</v>
          </cell>
          <cell r="F2">
            <v>9769476.4235429317</v>
          </cell>
          <cell r="G2">
            <v>9474983.341923682</v>
          </cell>
          <cell r="H2">
            <v>15405742.759813352</v>
          </cell>
          <cell r="I2">
            <v>16037062.088310502</v>
          </cell>
          <cell r="J2">
            <v>16528794.363705747</v>
          </cell>
          <cell r="K2">
            <v>16565622.125152595</v>
          </cell>
          <cell r="L2">
            <v>16370869.051489986</v>
          </cell>
          <cell r="M2">
            <v>16239915.313965645</v>
          </cell>
          <cell r="N2">
            <v>16215859.053110011</v>
          </cell>
          <cell r="O2">
            <v>16405039.769220648</v>
          </cell>
          <cell r="P2">
            <v>16494137.990490103</v>
          </cell>
          <cell r="Q2">
            <v>16273012.283654671</v>
          </cell>
          <cell r="R2">
            <v>16446142.408076482</v>
          </cell>
          <cell r="S2">
            <v>16416436.528413855</v>
          </cell>
          <cell r="T2">
            <v>16120316.852580301</v>
          </cell>
          <cell r="U2">
            <v>15880145.476382913</v>
          </cell>
          <cell r="V2">
            <v>15966600.382056959</v>
          </cell>
          <cell r="W2">
            <v>15538177.189267522</v>
          </cell>
        </row>
        <row r="3">
          <cell r="B3" t="str">
            <v>Cayuga 2</v>
          </cell>
          <cell r="C3" t="str">
            <v>PSI</v>
          </cell>
          <cell r="D3">
            <v>11237032.608856196</v>
          </cell>
          <cell r="E3">
            <v>11280203.042571044</v>
          </cell>
          <cell r="F3">
            <v>10363560.289851736</v>
          </cell>
          <cell r="G3">
            <v>9976645.9232807569</v>
          </cell>
          <cell r="H3">
            <v>14829749.943777202</v>
          </cell>
          <cell r="I3">
            <v>15797301.828064052</v>
          </cell>
          <cell r="J3">
            <v>16262194.529351201</v>
          </cell>
          <cell r="K3">
            <v>16195438.257210203</v>
          </cell>
          <cell r="L3">
            <v>16147284.786075618</v>
          </cell>
          <cell r="M3">
            <v>16027493.743250923</v>
          </cell>
          <cell r="N3">
            <v>15997727.624590166</v>
          </cell>
          <cell r="O3">
            <v>16158322.440618651</v>
          </cell>
          <cell r="P3">
            <v>16225497.514056316</v>
          </cell>
          <cell r="Q3">
            <v>16001072.052678969</v>
          </cell>
          <cell r="R3">
            <v>16123164.867991105</v>
          </cell>
          <cell r="S3">
            <v>16156137.975033086</v>
          </cell>
          <cell r="T3">
            <v>15781568.0166381</v>
          </cell>
          <cell r="U3">
            <v>15690419.2617731</v>
          </cell>
          <cell r="V3">
            <v>15790978.244369293</v>
          </cell>
          <cell r="W3">
            <v>15421014.774244616</v>
          </cell>
        </row>
        <row r="4">
          <cell r="B4" t="str">
            <v>Conesville 4</v>
          </cell>
          <cell r="C4" t="str">
            <v>CGE</v>
          </cell>
          <cell r="D4">
            <v>9228715.6560086925</v>
          </cell>
          <cell r="E4">
            <v>10031000.549646694</v>
          </cell>
          <cell r="F4">
            <v>9930017.2184981331</v>
          </cell>
          <cell r="G4">
            <v>10461413.741456294</v>
          </cell>
          <cell r="H4">
            <v>10492030.887634322</v>
          </cell>
          <cell r="I4">
            <v>10588073.464044284</v>
          </cell>
          <cell r="J4">
            <v>10532840.988714594</v>
          </cell>
          <cell r="K4">
            <v>10592865.201369636</v>
          </cell>
          <cell r="L4">
            <v>10565675.531476999</v>
          </cell>
          <cell r="M4">
            <v>10511669.140789447</v>
          </cell>
          <cell r="N4">
            <v>10486001.320427191</v>
          </cell>
          <cell r="O4">
            <v>10531738.441218629</v>
          </cell>
          <cell r="P4">
            <v>10541747.921867907</v>
          </cell>
          <cell r="Q4">
            <v>10468755.593846461</v>
          </cell>
          <cell r="R4">
            <v>10522531.166870615</v>
          </cell>
          <cell r="S4">
            <v>10590861.241553808</v>
          </cell>
          <cell r="T4">
            <v>10452294.722784141</v>
          </cell>
          <cell r="U4">
            <v>10419799.642844032</v>
          </cell>
          <cell r="V4">
            <v>10439232.075809127</v>
          </cell>
          <cell r="W4">
            <v>10377796.135446768</v>
          </cell>
        </row>
        <row r="5">
          <cell r="B5" t="str">
            <v>East Bend 2</v>
          </cell>
          <cell r="C5" t="str">
            <v>CGE</v>
          </cell>
          <cell r="D5">
            <v>13829066.613978937</v>
          </cell>
          <cell r="E5">
            <v>13829066.613978937</v>
          </cell>
          <cell r="F5">
            <v>13829066.613978937</v>
          </cell>
          <cell r="G5">
            <v>13783099.863856943</v>
          </cell>
          <cell r="H5">
            <v>13706982.207174525</v>
          </cell>
          <cell r="I5">
            <v>13757667.021756213</v>
          </cell>
          <cell r="J5">
            <v>13708202.345095957</v>
          </cell>
          <cell r="K5">
            <v>13737345.63032685</v>
          </cell>
          <cell r="L5">
            <v>13739596.827405207</v>
          </cell>
          <cell r="M5">
            <v>13645352.663568081</v>
          </cell>
          <cell r="N5">
            <v>13508351.771485519</v>
          </cell>
          <cell r="O5">
            <v>13612019.395458899</v>
          </cell>
          <cell r="P5">
            <v>13675792.676721836</v>
          </cell>
          <cell r="Q5">
            <v>13531557.190539174</v>
          </cell>
          <cell r="R5">
            <v>13625595.328196472</v>
          </cell>
          <cell r="S5">
            <v>13686228.737809366</v>
          </cell>
          <cell r="T5">
            <v>13333556.950411875</v>
          </cell>
          <cell r="U5">
            <v>13388015.040088115</v>
          </cell>
          <cell r="V5">
            <v>13350255.822873825</v>
          </cell>
          <cell r="W5">
            <v>13100225.736260863</v>
          </cell>
        </row>
        <row r="6">
          <cell r="B6" t="str">
            <v>Edwardsport 6</v>
          </cell>
          <cell r="C6" t="str">
            <v>PSI</v>
          </cell>
          <cell r="D6">
            <v>261943.12081575967</v>
          </cell>
          <cell r="E6">
            <v>204036.84949301076</v>
          </cell>
          <cell r="F6">
            <v>188347.37363436454</v>
          </cell>
          <cell r="G6">
            <v>201949.12325665125</v>
          </cell>
          <cell r="H6">
            <v>179074.65133284804</v>
          </cell>
          <cell r="I6">
            <v>190090.80151649463</v>
          </cell>
          <cell r="J6">
            <v>185569.50846891809</v>
          </cell>
          <cell r="K6">
            <v>201428.10464899655</v>
          </cell>
          <cell r="L6">
            <v>223040.36570294644</v>
          </cell>
          <cell r="M6">
            <v>245037.86473061919</v>
          </cell>
          <cell r="N6">
            <v>243650.08801894079</v>
          </cell>
          <cell r="O6">
            <v>228136.86974753134</v>
          </cell>
          <cell r="P6">
            <v>241768.52220915427</v>
          </cell>
          <cell r="Q6">
            <v>252181.38712237732</v>
          </cell>
          <cell r="R6">
            <v>250555.15256835398</v>
          </cell>
          <cell r="S6">
            <v>259121.54321139414</v>
          </cell>
          <cell r="T6">
            <v>270008.8601109928</v>
          </cell>
          <cell r="U6">
            <v>271105.20744943398</v>
          </cell>
          <cell r="V6">
            <v>258657.82941882755</v>
          </cell>
          <cell r="W6">
            <v>288733.1178972738</v>
          </cell>
        </row>
        <row r="7">
          <cell r="B7" t="str">
            <v>Edwardsport 7</v>
          </cell>
          <cell r="C7" t="str">
            <v>PSI</v>
          </cell>
          <cell r="D7">
            <v>892236.61316083116</v>
          </cell>
          <cell r="E7">
            <v>858582.12503002281</v>
          </cell>
          <cell r="F7">
            <v>813536.7748191643</v>
          </cell>
          <cell r="G7">
            <v>845726.12612282368</v>
          </cell>
          <cell r="H7">
            <v>761134.11557403195</v>
          </cell>
          <cell r="I7">
            <v>744296.55030410504</v>
          </cell>
          <cell r="J7">
            <v>736024.23507153045</v>
          </cell>
          <cell r="K7">
            <v>755968.41990977363</v>
          </cell>
          <cell r="L7">
            <v>725140.7765805372</v>
          </cell>
          <cell r="M7">
            <v>723235.97503948689</v>
          </cell>
          <cell r="N7">
            <v>756284.12718925509</v>
          </cell>
          <cell r="O7">
            <v>795873.022971945</v>
          </cell>
          <cell r="P7">
            <v>827217.97686882166</v>
          </cell>
          <cell r="Q7">
            <v>829680.49831858638</v>
          </cell>
          <cell r="R7">
            <v>876591.73808172613</v>
          </cell>
          <cell r="S7">
            <v>908452.87501899572</v>
          </cell>
          <cell r="T7">
            <v>910488.09869132843</v>
          </cell>
          <cell r="U7">
            <v>849514.03951612045</v>
          </cell>
          <cell r="V7">
            <v>898629.90016278881</v>
          </cell>
          <cell r="W7">
            <v>871255.2542495213</v>
          </cell>
        </row>
        <row r="8">
          <cell r="B8" t="str">
            <v>Edwardsport 8</v>
          </cell>
          <cell r="C8" t="str">
            <v>PSI</v>
          </cell>
          <cell r="D8">
            <v>1486550.3717270053</v>
          </cell>
          <cell r="E8">
            <v>1430528.748961685</v>
          </cell>
          <cell r="F8">
            <v>1355518.544605942</v>
          </cell>
          <cell r="G8">
            <v>1409131.4936030367</v>
          </cell>
          <cell r="H8">
            <v>1268251.8210793103</v>
          </cell>
          <cell r="I8">
            <v>1240224.4770237196</v>
          </cell>
          <cell r="J8">
            <v>1226445.8921615621</v>
          </cell>
          <cell r="K8">
            <v>1259618.3902086443</v>
          </cell>
          <cell r="L8">
            <v>1208323.624818627</v>
          </cell>
          <cell r="M8">
            <v>1205139.8711553705</v>
          </cell>
          <cell r="N8">
            <v>1260270.5021021641</v>
          </cell>
          <cell r="O8">
            <v>1326183.4437361029</v>
          </cell>
          <cell r="P8">
            <v>1378433.6600869864</v>
          </cell>
          <cell r="Q8">
            <v>1382531.590774653</v>
          </cell>
          <cell r="R8">
            <v>1460625.7378538689</v>
          </cell>
          <cell r="S8">
            <v>1513826.4131067724</v>
          </cell>
          <cell r="T8">
            <v>1517169.5137513834</v>
          </cell>
          <cell r="U8">
            <v>1415620.6395742085</v>
          </cell>
          <cell r="V8">
            <v>1497400.3593604534</v>
          </cell>
          <cell r="W8">
            <v>1451845.5357223996</v>
          </cell>
        </row>
        <row r="9">
          <cell r="B9" t="str">
            <v>Gallagher 1</v>
          </cell>
          <cell r="C9" t="str">
            <v>PSI</v>
          </cell>
          <cell r="D9">
            <v>3024500.9890041738</v>
          </cell>
          <cell r="E9">
            <v>2730450.3562942995</v>
          </cell>
          <cell r="F9">
            <v>2680557.3178699766</v>
          </cell>
          <cell r="G9">
            <v>2689124.4875185653</v>
          </cell>
          <cell r="H9">
            <v>2506325.9496300304</v>
          </cell>
          <cell r="I9">
            <v>2596967.4282065774</v>
          </cell>
          <cell r="J9">
            <v>2635004.2691240357</v>
          </cell>
          <cell r="K9">
            <v>2553992.8705275063</v>
          </cell>
          <cell r="L9">
            <v>2541265.6656810734</v>
          </cell>
          <cell r="M9">
            <v>2540669.3793082782</v>
          </cell>
          <cell r="N9">
            <v>2619072.2521802997</v>
          </cell>
          <cell r="O9">
            <v>2705326.2644973691</v>
          </cell>
          <cell r="P9">
            <v>2767065.9935324695</v>
          </cell>
          <cell r="Q9">
            <v>2759087.7387006525</v>
          </cell>
          <cell r="R9">
            <v>2849136.5091970451</v>
          </cell>
          <cell r="S9">
            <v>2949607.7019617762</v>
          </cell>
          <cell r="T9">
            <v>2936508.7506349315</v>
          </cell>
          <cell r="U9">
            <v>2874912.2633805084</v>
          </cell>
          <cell r="V9">
            <v>2997652.7943438818</v>
          </cell>
          <cell r="W9">
            <v>2946041.7540669912</v>
          </cell>
        </row>
        <row r="10">
          <cell r="B10" t="str">
            <v>Gallagher 2</v>
          </cell>
          <cell r="C10" t="str">
            <v>PSI</v>
          </cell>
          <cell r="D10">
            <v>3138709.8951724763</v>
          </cell>
          <cell r="E10">
            <v>2808188.8056083499</v>
          </cell>
          <cell r="F10">
            <v>2748547.1227178704</v>
          </cell>
          <cell r="G10">
            <v>2770936.589892637</v>
          </cell>
          <cell r="H10">
            <v>2589722.4316591551</v>
          </cell>
          <cell r="I10">
            <v>2717074.9155342104</v>
          </cell>
          <cell r="J10">
            <v>2740351.0238601626</v>
          </cell>
          <cell r="K10">
            <v>2630814.9139340534</v>
          </cell>
          <cell r="L10">
            <v>2601301.4015207845</v>
          </cell>
          <cell r="M10">
            <v>2627644.4865642353</v>
          </cell>
          <cell r="N10">
            <v>2667483.1921867598</v>
          </cell>
          <cell r="O10">
            <v>2758132.743956259</v>
          </cell>
          <cell r="P10">
            <v>2810195.8736932781</v>
          </cell>
          <cell r="Q10">
            <v>2798738.9335944676</v>
          </cell>
          <cell r="R10">
            <v>2884884.5506425798</v>
          </cell>
          <cell r="S10">
            <v>2993620.7822974231</v>
          </cell>
          <cell r="T10">
            <v>2970693.9569003521</v>
          </cell>
          <cell r="U10">
            <v>2905989.6435304219</v>
          </cell>
          <cell r="V10">
            <v>3032027.5225078487</v>
          </cell>
          <cell r="W10">
            <v>2986447.0763852876</v>
          </cell>
        </row>
        <row r="11">
          <cell r="B11" t="str">
            <v>Gallagher 3</v>
          </cell>
          <cell r="C11" t="str">
            <v>PSI</v>
          </cell>
          <cell r="D11">
            <v>3077098.9224826889</v>
          </cell>
          <cell r="E11">
            <v>2773945.9951865817</v>
          </cell>
          <cell r="F11">
            <v>2720519.9040790857</v>
          </cell>
          <cell r="G11">
            <v>2727039.6325157704</v>
          </cell>
          <cell r="H11">
            <v>2554834.3970368369</v>
          </cell>
          <cell r="I11">
            <v>2649021.5132196429</v>
          </cell>
          <cell r="J11">
            <v>2689986.8242571796</v>
          </cell>
          <cell r="K11">
            <v>2596498.1201677802</v>
          </cell>
          <cell r="L11">
            <v>2570651.5609918847</v>
          </cell>
          <cell r="M11">
            <v>2580919.7354721189</v>
          </cell>
          <cell r="N11">
            <v>2642779.7550176848</v>
          </cell>
          <cell r="O11">
            <v>2733042.6032821275</v>
          </cell>
          <cell r="P11">
            <v>2793256.2507762592</v>
          </cell>
          <cell r="Q11">
            <v>2776413.6222997052</v>
          </cell>
          <cell r="R11">
            <v>2870301.6349714701</v>
          </cell>
          <cell r="S11">
            <v>2970793.0459774942</v>
          </cell>
          <cell r="T11">
            <v>2954079.8439409565</v>
          </cell>
          <cell r="U11">
            <v>2891245.1310401582</v>
          </cell>
          <cell r="V11">
            <v>3015780.0950831766</v>
          </cell>
          <cell r="W11">
            <v>2967179.9532867069</v>
          </cell>
        </row>
        <row r="12">
          <cell r="B12" t="str">
            <v>Gallagher 4</v>
          </cell>
          <cell r="C12" t="str">
            <v>PSI</v>
          </cell>
          <cell r="D12">
            <v>2998444.2009835863</v>
          </cell>
          <cell r="E12">
            <v>2694663.6791752744</v>
          </cell>
          <cell r="F12">
            <v>2644591.9351025112</v>
          </cell>
          <cell r="G12">
            <v>2659749.922080691</v>
          </cell>
          <cell r="H12">
            <v>2470997.5030192751</v>
          </cell>
          <cell r="I12">
            <v>2550897.8745407877</v>
          </cell>
          <cell r="J12">
            <v>2596940.0904494547</v>
          </cell>
          <cell r="K12">
            <v>2534305.3011433575</v>
          </cell>
          <cell r="L12">
            <v>2527174.400999424</v>
          </cell>
          <cell r="M12">
            <v>2520356.7908721333</v>
          </cell>
          <cell r="N12">
            <v>2599305.2548647961</v>
          </cell>
          <cell r="O12">
            <v>2684498.2178448336</v>
          </cell>
          <cell r="P12">
            <v>2758949.8306777547</v>
          </cell>
          <cell r="Q12">
            <v>2743972.3226126861</v>
          </cell>
          <cell r="R12">
            <v>2834185.0712424852</v>
          </cell>
          <cell r="S12">
            <v>2938529.5160857127</v>
          </cell>
          <cell r="T12">
            <v>2922332.3914401066</v>
          </cell>
          <cell r="U12">
            <v>2866925.8838315587</v>
          </cell>
          <cell r="V12">
            <v>2989547.466976705</v>
          </cell>
          <cell r="W12">
            <v>2932127.5930833523</v>
          </cell>
        </row>
        <row r="13">
          <cell r="B13" t="str">
            <v>Gibson 1</v>
          </cell>
          <cell r="C13" t="str">
            <v>PSI</v>
          </cell>
          <cell r="D13">
            <v>17492357.40525372</v>
          </cell>
          <cell r="E13">
            <v>17720649.791494027</v>
          </cell>
          <cell r="F13">
            <v>17284786.551192552</v>
          </cell>
          <cell r="G13">
            <v>16594433.21790213</v>
          </cell>
          <cell r="H13">
            <v>19956819.342355374</v>
          </cell>
          <cell r="I13">
            <v>20586264.341257285</v>
          </cell>
          <cell r="J13">
            <v>20991168.668853953</v>
          </cell>
          <cell r="K13">
            <v>20905347.97351639</v>
          </cell>
          <cell r="L13">
            <v>20860881.43339397</v>
          </cell>
          <cell r="M13">
            <v>20706720.290799446</v>
          </cell>
          <cell r="N13">
            <v>20668848.368253514</v>
          </cell>
          <cell r="O13">
            <v>20871740.278498121</v>
          </cell>
          <cell r="P13">
            <v>20946295.237652544</v>
          </cell>
          <cell r="Q13">
            <v>20663944.15863172</v>
          </cell>
          <cell r="R13">
            <v>20822643.091737449</v>
          </cell>
          <cell r="S13">
            <v>20871279.997464202</v>
          </cell>
          <cell r="T13">
            <v>20399242.881153911</v>
          </cell>
          <cell r="U13">
            <v>20281377.589590743</v>
          </cell>
          <cell r="V13">
            <v>20408943.672492035</v>
          </cell>
          <cell r="W13">
            <v>19964875.101137962</v>
          </cell>
        </row>
        <row r="14">
          <cell r="B14" t="str">
            <v>Gibson 2</v>
          </cell>
          <cell r="C14" t="str">
            <v>PSI</v>
          </cell>
          <cell r="D14">
            <v>17714633.454038464</v>
          </cell>
          <cell r="E14">
            <v>18061194.35570905</v>
          </cell>
          <cell r="F14">
            <v>17396355.556995314</v>
          </cell>
          <cell r="G14">
            <v>16855591.59996634</v>
          </cell>
          <cell r="H14">
            <v>19817602.120719507</v>
          </cell>
          <cell r="I14">
            <v>20507333.230207577</v>
          </cell>
          <cell r="J14">
            <v>20906426.855547298</v>
          </cell>
          <cell r="K14">
            <v>20834182.81376313</v>
          </cell>
          <cell r="L14">
            <v>20778605.002298191</v>
          </cell>
          <cell r="M14">
            <v>20646924.225462861</v>
          </cell>
          <cell r="N14">
            <v>20598556.07406814</v>
          </cell>
          <cell r="O14">
            <v>20789863.7250004</v>
          </cell>
          <cell r="P14">
            <v>20861751.312250745</v>
          </cell>
          <cell r="Q14">
            <v>20593117.410993829</v>
          </cell>
          <cell r="R14">
            <v>20743330.643899336</v>
          </cell>
          <cell r="S14">
            <v>20798869.493905488</v>
          </cell>
          <cell r="T14">
            <v>20362649.610424723</v>
          </cell>
          <cell r="U14">
            <v>20225625.688177735</v>
          </cell>
          <cell r="V14">
            <v>20355839.950610727</v>
          </cell>
          <cell r="W14">
            <v>19950966.628265511</v>
          </cell>
        </row>
        <row r="15">
          <cell r="B15" t="str">
            <v>Gibson 3</v>
          </cell>
          <cell r="C15" t="str">
            <v>PSI</v>
          </cell>
          <cell r="D15">
            <v>17066125.263430905</v>
          </cell>
          <cell r="E15">
            <v>17209685.128474325</v>
          </cell>
          <cell r="F15">
            <v>16669084.697228931</v>
          </cell>
          <cell r="G15">
            <v>15911677.801812911</v>
          </cell>
          <cell r="H15">
            <v>20274034.925993677</v>
          </cell>
          <cell r="I15">
            <v>20918230.12346594</v>
          </cell>
          <cell r="J15">
            <v>21212520.590977032</v>
          </cell>
          <cell r="K15">
            <v>21121952.023868669</v>
          </cell>
          <cell r="L15">
            <v>21041983.139824785</v>
          </cell>
          <cell r="M15">
            <v>20889852.403013535</v>
          </cell>
          <cell r="N15">
            <v>20854359.633911654</v>
          </cell>
          <cell r="O15">
            <v>21074328.197885606</v>
          </cell>
          <cell r="P15">
            <v>21162312.911119781</v>
          </cell>
          <cell r="Q15">
            <v>20870911.932563487</v>
          </cell>
          <cell r="R15">
            <v>21027559.401535217</v>
          </cell>
          <cell r="S15">
            <v>21053472.348455764</v>
          </cell>
          <cell r="T15">
            <v>20568416.068339001</v>
          </cell>
          <cell r="U15">
            <v>20424006.980887603</v>
          </cell>
          <cell r="V15">
            <v>20544484.926661652</v>
          </cell>
          <cell r="W15">
            <v>20079436.422705382</v>
          </cell>
        </row>
        <row r="16">
          <cell r="B16" t="str">
            <v>Gibson 4</v>
          </cell>
          <cell r="C16" t="str">
            <v>PSI</v>
          </cell>
          <cell r="D16">
            <v>20229814.951853517</v>
          </cell>
          <cell r="E16">
            <v>20229814.951853517</v>
          </cell>
          <cell r="F16">
            <v>20229814.951853517</v>
          </cell>
          <cell r="G16">
            <v>20229814.951853517</v>
          </cell>
          <cell r="H16">
            <v>20190143.996667281</v>
          </cell>
          <cell r="I16">
            <v>20219508.918699991</v>
          </cell>
          <cell r="J16">
            <v>20127509.859362498</v>
          </cell>
          <cell r="K16">
            <v>20216989.666151349</v>
          </cell>
          <cell r="L16">
            <v>20191142.901820131</v>
          </cell>
          <cell r="M16">
            <v>20105354.912988916</v>
          </cell>
          <cell r="N16">
            <v>20027796.115411591</v>
          </cell>
          <cell r="O16">
            <v>20100111.92803143</v>
          </cell>
          <cell r="P16">
            <v>20114992.961235382</v>
          </cell>
          <cell r="Q16">
            <v>19962110.153256577</v>
          </cell>
          <cell r="R16">
            <v>20072703.699339017</v>
          </cell>
          <cell r="S16">
            <v>20192389.993612789</v>
          </cell>
          <cell r="T16">
            <v>19864630.904969711</v>
          </cell>
          <cell r="U16">
            <v>19842262.990870263</v>
          </cell>
          <cell r="V16">
            <v>19840765.255856212</v>
          </cell>
          <cell r="W16">
            <v>19671503.896188986</v>
          </cell>
        </row>
        <row r="17">
          <cell r="B17" t="str">
            <v>Gibson 5</v>
          </cell>
          <cell r="C17" t="str">
            <v>PSI</v>
          </cell>
          <cell r="D17">
            <v>10298028.068173653</v>
          </cell>
          <cell r="E17">
            <v>10298028.068173653</v>
          </cell>
          <cell r="F17">
            <v>10298028.068173653</v>
          </cell>
          <cell r="G17">
            <v>10292206.413087314</v>
          </cell>
          <cell r="H17">
            <v>10264285.380659902</v>
          </cell>
          <cell r="I17">
            <v>10286850.490407882</v>
          </cell>
          <cell r="J17">
            <v>10233201.573927693</v>
          </cell>
          <cell r="K17">
            <v>10290343.483459685</v>
          </cell>
          <cell r="L17">
            <v>10267646.259891624</v>
          </cell>
          <cell r="M17">
            <v>10214832.793327743</v>
          </cell>
          <cell r="N17">
            <v>10167480.847394949</v>
          </cell>
          <cell r="O17">
            <v>10212131.197978009</v>
          </cell>
          <cell r="P17">
            <v>10233916.400282927</v>
          </cell>
          <cell r="Q17">
            <v>10145965.542767374</v>
          </cell>
          <cell r="R17">
            <v>10199545.757324737</v>
          </cell>
          <cell r="S17">
            <v>10273686.882689727</v>
          </cell>
          <cell r="T17">
            <v>10085183.67478494</v>
          </cell>
          <cell r="U17">
            <v>10086118.945498921</v>
          </cell>
          <cell r="V17">
            <v>10081999.895697981</v>
          </cell>
          <cell r="W17">
            <v>9970090.6000467744</v>
          </cell>
        </row>
        <row r="18">
          <cell r="B18" t="str">
            <v>J.M. Stuart 1</v>
          </cell>
          <cell r="C18" t="str">
            <v>CGE</v>
          </cell>
          <cell r="D18">
            <v>7283440.3022564687</v>
          </cell>
          <cell r="E18">
            <v>7278807.20100669</v>
          </cell>
          <cell r="F18">
            <v>7281371.9534842456</v>
          </cell>
          <cell r="G18">
            <v>7143338.0455540558</v>
          </cell>
          <cell r="H18">
            <v>6961261.1495106425</v>
          </cell>
          <cell r="I18">
            <v>6703573.6305655744</v>
          </cell>
          <cell r="J18">
            <v>6503914.6611830294</v>
          </cell>
          <cell r="K18">
            <v>6427662.2715244889</v>
          </cell>
          <cell r="L18">
            <v>6154436.8132691793</v>
          </cell>
          <cell r="M18">
            <v>6098952.5755789503</v>
          </cell>
          <cell r="N18">
            <v>6049754.493727657</v>
          </cell>
          <cell r="O18">
            <v>6151925.4894118821</v>
          </cell>
          <cell r="P18">
            <v>6113650.0418603038</v>
          </cell>
          <cell r="Q18">
            <v>5867791.8950464604</v>
          </cell>
          <cell r="R18">
            <v>5858820.8360667862</v>
          </cell>
          <cell r="S18">
            <v>5981766.0653829714</v>
          </cell>
          <cell r="T18">
            <v>5626834.0626126174</v>
          </cell>
          <cell r="U18">
            <v>5441388.7912318548</v>
          </cell>
          <cell r="V18">
            <v>5498528.1154772397</v>
          </cell>
          <cell r="W18">
            <v>5549350.8533385014</v>
          </cell>
        </row>
        <row r="19">
          <cell r="B19" t="str">
            <v>J.M. Stuart 2</v>
          </cell>
          <cell r="C19" t="str">
            <v>CGE</v>
          </cell>
          <cell r="D19">
            <v>7162408.5182552692</v>
          </cell>
          <cell r="E19">
            <v>7162408.5182552692</v>
          </cell>
          <cell r="F19">
            <v>7162408.5182552692</v>
          </cell>
          <cell r="G19">
            <v>7059262.9755112408</v>
          </cell>
          <cell r="H19">
            <v>6983226.4934566645</v>
          </cell>
          <cell r="I19">
            <v>6838971.8569678878</v>
          </cell>
          <cell r="J19">
            <v>6708865.4216185678</v>
          </cell>
          <cell r="K19">
            <v>6590838.0450735167</v>
          </cell>
          <cell r="L19">
            <v>6403586.1309027048</v>
          </cell>
          <cell r="M19">
            <v>6381855.4053640924</v>
          </cell>
          <cell r="N19">
            <v>6261349.3275849139</v>
          </cell>
          <cell r="O19">
            <v>6372585.8063185057</v>
          </cell>
          <cell r="P19">
            <v>6286461.3342112312</v>
          </cell>
          <cell r="Q19">
            <v>6033756.0884000687</v>
          </cell>
          <cell r="R19">
            <v>5997137.7008636752</v>
          </cell>
          <cell r="S19">
            <v>6109133.014693561</v>
          </cell>
          <cell r="T19">
            <v>5733225.8463269332</v>
          </cell>
          <cell r="U19">
            <v>5513202.5956203481</v>
          </cell>
          <cell r="V19">
            <v>5560519.0239713285</v>
          </cell>
          <cell r="W19">
            <v>5641163.0841977187</v>
          </cell>
        </row>
        <row r="20">
          <cell r="B20" t="str">
            <v>J.M. Stuart 3</v>
          </cell>
          <cell r="C20" t="str">
            <v>CGE</v>
          </cell>
          <cell r="D20">
            <v>7278242.6182809714</v>
          </cell>
          <cell r="E20">
            <v>7273612.8233528109</v>
          </cell>
          <cell r="F20">
            <v>7276175.7455451861</v>
          </cell>
          <cell r="G20">
            <v>7144852.3122183653</v>
          </cell>
          <cell r="H20">
            <v>6974707.0798338791</v>
          </cell>
          <cell r="I20">
            <v>6716658.5283740545</v>
          </cell>
          <cell r="J20">
            <v>6514566.2014859067</v>
          </cell>
          <cell r="K20">
            <v>6436302.7717196485</v>
          </cell>
          <cell r="L20">
            <v>6172505.3979292512</v>
          </cell>
          <cell r="M20">
            <v>6116757.9784425078</v>
          </cell>
          <cell r="N20">
            <v>6058892.6240677498</v>
          </cell>
          <cell r="O20">
            <v>6156053.020186373</v>
          </cell>
          <cell r="P20">
            <v>6121144.8971254323</v>
          </cell>
          <cell r="Q20">
            <v>5873690.9921178278</v>
          </cell>
          <cell r="R20">
            <v>5865883.7838900639</v>
          </cell>
          <cell r="S20">
            <v>5988216.2292561149</v>
          </cell>
          <cell r="T20">
            <v>5629928.8177642226</v>
          </cell>
          <cell r="U20">
            <v>5443483.937490941</v>
          </cell>
          <cell r="V20">
            <v>5504109.9826832414</v>
          </cell>
          <cell r="W20">
            <v>5553331.4636933859</v>
          </cell>
        </row>
        <row r="21">
          <cell r="B21" t="str">
            <v>J.M. Stuart 4</v>
          </cell>
          <cell r="C21" t="str">
            <v>CGE</v>
          </cell>
          <cell r="D21">
            <v>7265619.671483282</v>
          </cell>
          <cell r="E21">
            <v>7263556.383407413</v>
          </cell>
          <cell r="F21">
            <v>7265619.671483282</v>
          </cell>
          <cell r="G21">
            <v>7142836.9136902504</v>
          </cell>
          <cell r="H21">
            <v>6986385.7943907473</v>
          </cell>
          <cell r="I21">
            <v>6730982.0885070013</v>
          </cell>
          <cell r="J21">
            <v>6540725.5729705347</v>
          </cell>
          <cell r="K21">
            <v>6461953.6418077676</v>
          </cell>
          <cell r="L21">
            <v>6192370.3232062198</v>
          </cell>
          <cell r="M21">
            <v>6143665.3686989956</v>
          </cell>
          <cell r="N21">
            <v>6076375.0425697947</v>
          </cell>
          <cell r="O21">
            <v>6184834.7715824423</v>
          </cell>
          <cell r="P21">
            <v>6131304.1303579863</v>
          </cell>
          <cell r="Q21">
            <v>5888179.1240618648</v>
          </cell>
          <cell r="R21">
            <v>5882958.1616232768</v>
          </cell>
          <cell r="S21">
            <v>6001271.511364527</v>
          </cell>
          <cell r="T21">
            <v>5643750.0980940983</v>
          </cell>
          <cell r="U21">
            <v>5452147.7059913455</v>
          </cell>
          <cell r="V21">
            <v>5514945.4347051643</v>
          </cell>
          <cell r="W21">
            <v>5563567.0607281439</v>
          </cell>
        </row>
        <row r="22">
          <cell r="B22" t="str">
            <v>Killen 2</v>
          </cell>
          <cell r="C22" t="str">
            <v>CGE</v>
          </cell>
          <cell r="D22">
            <v>6425984.4826195212</v>
          </cell>
          <cell r="E22">
            <v>6411906.7158323284</v>
          </cell>
          <cell r="F22">
            <v>6374658.397645941</v>
          </cell>
          <cell r="G22">
            <v>6245075.6711207721</v>
          </cell>
          <cell r="H22">
            <v>5989436.0226375433</v>
          </cell>
          <cell r="I22">
            <v>5748070.45636677</v>
          </cell>
          <cell r="J22">
            <v>5533821.5895838942</v>
          </cell>
          <cell r="K22">
            <v>5436426.8923577191</v>
          </cell>
          <cell r="L22">
            <v>5228180.8335181344</v>
          </cell>
          <cell r="M22">
            <v>5164034.0410415903</v>
          </cell>
          <cell r="N22">
            <v>5177030.2902045567</v>
          </cell>
          <cell r="O22">
            <v>5270000.0106142499</v>
          </cell>
          <cell r="P22">
            <v>5230234.431167732</v>
          </cell>
          <cell r="Q22">
            <v>5037709.9197297832</v>
          </cell>
          <cell r="R22">
            <v>5027791.541685069</v>
          </cell>
          <cell r="S22">
            <v>5137888.2502346309</v>
          </cell>
          <cell r="T22">
            <v>4846937.9060780583</v>
          </cell>
          <cell r="U22">
            <v>4669452.5369966719</v>
          </cell>
          <cell r="V22">
            <v>4664896.7189300545</v>
          </cell>
          <cell r="W22">
            <v>4766659.2633957211</v>
          </cell>
        </row>
        <row r="23">
          <cell r="B23" t="str">
            <v>Miami Fort 5</v>
          </cell>
          <cell r="C23" t="str">
            <v>CGE</v>
          </cell>
          <cell r="D23">
            <v>1444733.5608330995</v>
          </cell>
          <cell r="E23">
            <v>1295040.5074092245</v>
          </cell>
          <cell r="F23">
            <v>1232655.2401737412</v>
          </cell>
          <cell r="G23">
            <v>1316350.095029993</v>
          </cell>
          <cell r="H23">
            <v>1185425.9023528248</v>
          </cell>
          <cell r="I23">
            <v>1186006.2768170654</v>
          </cell>
          <cell r="J23">
            <v>1237529.6022624709</v>
          </cell>
          <cell r="K23">
            <v>1298125.1233899137</v>
          </cell>
          <cell r="L23">
            <v>1312875.1851755951</v>
          </cell>
          <cell r="M23">
            <v>1323212.9614075453</v>
          </cell>
          <cell r="N23">
            <v>1326343.5531331825</v>
          </cell>
          <cell r="O23">
            <v>1371730.8434727625</v>
          </cell>
          <cell r="P23">
            <v>1443355.4330851741</v>
          </cell>
          <cell r="Q23">
            <v>1451999.989102056</v>
          </cell>
          <cell r="R23">
            <v>1521501.90450244</v>
          </cell>
          <cell r="S23">
            <v>1546605.3077636734</v>
          </cell>
          <cell r="T23">
            <v>1600780.6897647455</v>
          </cell>
          <cell r="U23">
            <v>1507839.1280756206</v>
          </cell>
          <cell r="V23">
            <v>1571103.8952713483</v>
          </cell>
          <cell r="W23">
            <v>1547297.2522614927</v>
          </cell>
        </row>
        <row r="24">
          <cell r="B24" t="str">
            <v>Miami Fort 6</v>
          </cell>
          <cell r="C24" t="str">
            <v>CGE</v>
          </cell>
          <cell r="D24">
            <v>4968623.1380078355</v>
          </cell>
          <cell r="E24">
            <v>4570376.3387452159</v>
          </cell>
          <cell r="F24">
            <v>4630167.6213718383</v>
          </cell>
          <cell r="G24">
            <v>4580351.9377415739</v>
          </cell>
          <cell r="H24">
            <v>4381989.3354436699</v>
          </cell>
          <cell r="I24">
            <v>4239111.4134659003</v>
          </cell>
          <cell r="J24">
            <v>4094987.375651327</v>
          </cell>
          <cell r="K24">
            <v>4125555.8173554759</v>
          </cell>
          <cell r="L24">
            <v>3906350.5317078684</v>
          </cell>
          <cell r="M24">
            <v>3852034.3086074316</v>
          </cell>
          <cell r="N24">
            <v>3882635.192643343</v>
          </cell>
          <cell r="O24">
            <v>3933999.3493635291</v>
          </cell>
          <cell r="P24">
            <v>3964240.8355062334</v>
          </cell>
          <cell r="Q24">
            <v>3855615.2105061351</v>
          </cell>
          <cell r="R24">
            <v>3833163.2996916212</v>
          </cell>
          <cell r="S24">
            <v>3947372.179815405</v>
          </cell>
          <cell r="T24">
            <v>3853181.9324952881</v>
          </cell>
          <cell r="U24">
            <v>3709962.021262411</v>
          </cell>
          <cell r="V24">
            <v>3858041.959120133</v>
          </cell>
          <cell r="W24">
            <v>3863237.9760787915</v>
          </cell>
        </row>
        <row r="25">
          <cell r="B25" t="str">
            <v>Miami Fort 7</v>
          </cell>
          <cell r="C25" t="str">
            <v>CGE</v>
          </cell>
          <cell r="D25">
            <v>8976635.2712109443</v>
          </cell>
          <cell r="E25">
            <v>8504112.7022559885</v>
          </cell>
          <cell r="F25">
            <v>8430295.2129929494</v>
          </cell>
          <cell r="G25">
            <v>8274891.9615772283</v>
          </cell>
          <cell r="H25">
            <v>7941061.4905670034</v>
          </cell>
          <cell r="I25">
            <v>7381916.8988989815</v>
          </cell>
          <cell r="J25">
            <v>7268763.2673486229</v>
          </cell>
          <cell r="K25">
            <v>7084724.9028294291</v>
          </cell>
          <cell r="L25">
            <v>6904991.5521933446</v>
          </cell>
          <cell r="M25">
            <v>6858918.2219834384</v>
          </cell>
          <cell r="N25">
            <v>6886089.5872530099</v>
          </cell>
          <cell r="O25">
            <v>7064129.4754930176</v>
          </cell>
          <cell r="P25">
            <v>7056959.1258725552</v>
          </cell>
          <cell r="Q25">
            <v>6814564.7136457209</v>
          </cell>
          <cell r="R25">
            <v>6825269.2258265102</v>
          </cell>
          <cell r="S25">
            <v>7062487.65611248</v>
          </cell>
          <cell r="T25">
            <v>6850415.5483570695</v>
          </cell>
          <cell r="U25">
            <v>6701061.8653658787</v>
          </cell>
          <cell r="V25">
            <v>6940002.6300943308</v>
          </cell>
          <cell r="W25">
            <v>7014001.6450558398</v>
          </cell>
        </row>
        <row r="26">
          <cell r="B26" t="str">
            <v>Miami Fort 8</v>
          </cell>
          <cell r="C26" t="str">
            <v>CGE</v>
          </cell>
          <cell r="D26">
            <v>10042017.756740712</v>
          </cell>
          <cell r="E26">
            <v>9162645.4189035147</v>
          </cell>
          <cell r="F26">
            <v>9156674.4614697471</v>
          </cell>
          <cell r="G26">
            <v>8963983.3258005772</v>
          </cell>
          <cell r="H26">
            <v>8491036.8903205507</v>
          </cell>
          <cell r="I26">
            <v>8189284.4219534425</v>
          </cell>
          <cell r="J26">
            <v>8051031.1065531503</v>
          </cell>
          <cell r="K26">
            <v>7746294.8130193241</v>
          </cell>
          <cell r="L26">
            <v>7455528.2671170151</v>
          </cell>
          <cell r="M26">
            <v>7317238.8369239345</v>
          </cell>
          <cell r="N26">
            <v>7370566.4687481765</v>
          </cell>
          <cell r="O26">
            <v>7528288.3221999146</v>
          </cell>
          <cell r="P26">
            <v>7514897.0946936104</v>
          </cell>
          <cell r="Q26">
            <v>7219452.5555880908</v>
          </cell>
          <cell r="R26">
            <v>7221469.1609046161</v>
          </cell>
          <cell r="S26">
            <v>7468089.9391043354</v>
          </cell>
          <cell r="T26">
            <v>7213433.9118386917</v>
          </cell>
          <cell r="U26">
            <v>6996868.4457898512</v>
          </cell>
          <cell r="V26">
            <v>7302269.2877937732</v>
          </cell>
          <cell r="W26">
            <v>7480221.5074158395</v>
          </cell>
        </row>
        <row r="27">
          <cell r="B27" t="str">
            <v>Noblesville 1</v>
          </cell>
          <cell r="C27" t="str">
            <v>PSI</v>
          </cell>
          <cell r="D27">
            <v>783774.92746591836</v>
          </cell>
          <cell r="E27">
            <v>724659.68958956108</v>
          </cell>
          <cell r="F27">
            <v>694910.50231352402</v>
          </cell>
          <cell r="G27">
            <v>738830.16671019455</v>
          </cell>
          <cell r="H27">
            <v>656431.39725389285</v>
          </cell>
          <cell r="I27">
            <v>647130.67110020015</v>
          </cell>
          <cell r="J27">
            <v>660570.06279833894</v>
          </cell>
          <cell r="K27">
            <v>728871.90460204612</v>
          </cell>
          <cell r="L27">
            <v>738995.74120248528</v>
          </cell>
          <cell r="M27">
            <v>741448.2176586627</v>
          </cell>
          <cell r="N27">
            <v>730845.96281855181</v>
          </cell>
          <cell r="O27">
            <v>789076.13487420743</v>
          </cell>
          <cell r="P27">
            <v>819030.82461510319</v>
          </cell>
          <cell r="Q27">
            <v>822355.51179783675</v>
          </cell>
          <cell r="R27">
            <v>862307.26070356055</v>
          </cell>
          <cell r="S27">
            <v>881355.72457613575</v>
          </cell>
          <cell r="T27">
            <v>905727.24009148777</v>
          </cell>
          <cell r="U27">
            <v>849205.60504629079</v>
          </cell>
          <cell r="V27">
            <v>884808.60241102264</v>
          </cell>
          <cell r="W27">
            <v>826650.14695113571</v>
          </cell>
        </row>
        <row r="28">
          <cell r="B28" t="str">
            <v>Noblesville 2</v>
          </cell>
          <cell r="C28" t="str">
            <v>PSI</v>
          </cell>
          <cell r="D28">
            <v>783774.92746591836</v>
          </cell>
          <cell r="E28">
            <v>724659.68958956108</v>
          </cell>
          <cell r="F28">
            <v>694910.50231352402</v>
          </cell>
          <cell r="G28">
            <v>738830.16671019455</v>
          </cell>
          <cell r="H28">
            <v>656431.39725389285</v>
          </cell>
          <cell r="I28">
            <v>647130.67110020015</v>
          </cell>
          <cell r="J28">
            <v>660570.06279833894</v>
          </cell>
          <cell r="K28">
            <v>728871.90460204612</v>
          </cell>
          <cell r="L28">
            <v>738995.74120248528</v>
          </cell>
          <cell r="M28">
            <v>741448.2176586627</v>
          </cell>
          <cell r="N28">
            <v>730845.96281855181</v>
          </cell>
          <cell r="O28">
            <v>789076.13487420743</v>
          </cell>
          <cell r="P28">
            <v>819030.82461510319</v>
          </cell>
          <cell r="Q28">
            <v>822355.51179783675</v>
          </cell>
          <cell r="R28">
            <v>862307.26070356055</v>
          </cell>
          <cell r="S28">
            <v>881355.72457613575</v>
          </cell>
          <cell r="T28">
            <v>905727.24009148777</v>
          </cell>
          <cell r="U28">
            <v>849205.60504629079</v>
          </cell>
          <cell r="V28">
            <v>884808.60241102264</v>
          </cell>
          <cell r="W28">
            <v>826650.14695113571</v>
          </cell>
        </row>
        <row r="29">
          <cell r="B29" t="str">
            <v>Wabash River 1</v>
          </cell>
          <cell r="C29" t="str">
            <v>PSI</v>
          </cell>
          <cell r="D29">
            <v>2374152.1234355359</v>
          </cell>
          <cell r="E29">
            <v>2420667.8741815193</v>
          </cell>
          <cell r="F29">
            <v>2562814.0360555835</v>
          </cell>
          <cell r="G29">
            <v>2669498.4494043966</v>
          </cell>
          <cell r="H29">
            <v>2572735.5308924941</v>
          </cell>
          <cell r="I29">
            <v>2603934.2454247396</v>
          </cell>
          <cell r="J29">
            <v>2629305.9186574179</v>
          </cell>
          <cell r="K29">
            <v>2640522.1762354244</v>
          </cell>
          <cell r="L29">
            <v>2761145.2416173141</v>
          </cell>
          <cell r="M29">
            <v>2862788.2957365811</v>
          </cell>
          <cell r="N29">
            <v>2717893.7198390509</v>
          </cell>
          <cell r="O29">
            <v>2863683.1664506216</v>
          </cell>
          <cell r="P29">
            <v>2840350.0284551247</v>
          </cell>
          <cell r="Q29">
            <v>2821950.2738540596</v>
          </cell>
          <cell r="R29">
            <v>2763764.2078710562</v>
          </cell>
          <cell r="S29">
            <v>2829846.8680378925</v>
          </cell>
          <cell r="T29">
            <v>2874144.311400386</v>
          </cell>
          <cell r="U29">
            <v>2835242.5860093189</v>
          </cell>
          <cell r="V29">
            <v>2748463.2859258018</v>
          </cell>
          <cell r="W29">
            <v>2837880.8010879396</v>
          </cell>
        </row>
        <row r="30">
          <cell r="B30" t="str">
            <v>Wabash River 2</v>
          </cell>
          <cell r="C30" t="str">
            <v>PSI</v>
          </cell>
          <cell r="D30">
            <v>1506830.6155334264</v>
          </cell>
          <cell r="E30">
            <v>1423233.0707924301</v>
          </cell>
          <cell r="F30">
            <v>1366582.6158707503</v>
          </cell>
          <cell r="G30">
            <v>1422193.1554386532</v>
          </cell>
          <cell r="H30">
            <v>1324207.8122654338</v>
          </cell>
          <cell r="I30">
            <v>1314478.1783244275</v>
          </cell>
          <cell r="J30">
            <v>1381586.8534309799</v>
          </cell>
          <cell r="K30">
            <v>1401052.3202378135</v>
          </cell>
          <cell r="L30">
            <v>1391214.1684005072</v>
          </cell>
          <cell r="M30">
            <v>1425100.1653147081</v>
          </cell>
          <cell r="N30">
            <v>1491850.8991750148</v>
          </cell>
          <cell r="O30">
            <v>1530954.619292882</v>
          </cell>
          <cell r="P30">
            <v>1577668.3222538806</v>
          </cell>
          <cell r="Q30">
            <v>1564521.6563329485</v>
          </cell>
          <cell r="R30">
            <v>1618532.2213386975</v>
          </cell>
          <cell r="S30">
            <v>1655937.9583938038</v>
          </cell>
          <cell r="T30">
            <v>1655015.7579884848</v>
          </cell>
          <cell r="U30">
            <v>1620588.7973521445</v>
          </cell>
          <cell r="V30">
            <v>1667691.4550699976</v>
          </cell>
          <cell r="W30">
            <v>1551393.1299197879</v>
          </cell>
        </row>
        <row r="31">
          <cell r="B31" t="str">
            <v>Wabash River 3</v>
          </cell>
          <cell r="C31" t="str">
            <v>PSI</v>
          </cell>
          <cell r="D31">
            <v>1520424.3511726293</v>
          </cell>
          <cell r="E31">
            <v>1437660.4480726141</v>
          </cell>
          <cell r="F31">
            <v>1382307.9887601964</v>
          </cell>
          <cell r="G31">
            <v>1436586.825598256</v>
          </cell>
          <cell r="H31">
            <v>1330899.5477724185</v>
          </cell>
          <cell r="I31">
            <v>1323524.6355826841</v>
          </cell>
          <cell r="J31">
            <v>1401859.2145687984</v>
          </cell>
          <cell r="K31">
            <v>1414562.2061292296</v>
          </cell>
          <cell r="L31">
            <v>1401350.355543816</v>
          </cell>
          <cell r="M31">
            <v>1444560.1239753889</v>
          </cell>
          <cell r="N31">
            <v>1506058.8262783112</v>
          </cell>
          <cell r="O31">
            <v>1543686.1684561681</v>
          </cell>
          <cell r="P31">
            <v>1588568.6194119786</v>
          </cell>
          <cell r="Q31">
            <v>1572741.3950628152</v>
          </cell>
          <cell r="R31">
            <v>1625779.0281647593</v>
          </cell>
          <cell r="S31">
            <v>1659845.1864753889</v>
          </cell>
          <cell r="T31">
            <v>1665800.1905409107</v>
          </cell>
          <cell r="U31">
            <v>1628625.664147486</v>
          </cell>
          <cell r="V31">
            <v>1674311.5059446653</v>
          </cell>
          <cell r="W31">
            <v>1559391.626997717</v>
          </cell>
        </row>
        <row r="32">
          <cell r="B32" t="str">
            <v>Wabash River 4</v>
          </cell>
          <cell r="C32" t="str">
            <v>PSI</v>
          </cell>
          <cell r="D32">
            <v>1548570.4736821523</v>
          </cell>
          <cell r="E32">
            <v>1495516.225744905</v>
          </cell>
          <cell r="F32">
            <v>1450270.5334042322</v>
          </cell>
          <cell r="G32">
            <v>1481719.2763377088</v>
          </cell>
          <cell r="H32">
            <v>1371578.6675344361</v>
          </cell>
          <cell r="I32">
            <v>1358718.3242142359</v>
          </cell>
          <cell r="J32">
            <v>1435178.0777577921</v>
          </cell>
          <cell r="K32">
            <v>1447753.0480161465</v>
          </cell>
          <cell r="L32">
            <v>1439998.0774928767</v>
          </cell>
          <cell r="M32">
            <v>1491226.5739312386</v>
          </cell>
          <cell r="N32">
            <v>1545601.6873462894</v>
          </cell>
          <cell r="O32">
            <v>1575835.825365273</v>
          </cell>
          <cell r="P32">
            <v>1625519.1365375964</v>
          </cell>
          <cell r="Q32">
            <v>1612871.2271722695</v>
          </cell>
          <cell r="R32">
            <v>1650238.109665635</v>
          </cell>
          <cell r="S32">
            <v>1689271.4080015174</v>
          </cell>
          <cell r="T32">
            <v>1682658.086774664</v>
          </cell>
          <cell r="U32">
            <v>1649356.3899054057</v>
          </cell>
          <cell r="V32">
            <v>1679724.3478858087</v>
          </cell>
          <cell r="W32">
            <v>1588886.7326962275</v>
          </cell>
        </row>
        <row r="33">
          <cell r="B33" t="str">
            <v>Wabash River 5</v>
          </cell>
          <cell r="C33" t="str">
            <v>PSI</v>
          </cell>
          <cell r="D33">
            <v>1716341.028484554</v>
          </cell>
          <cell r="E33">
            <v>1652001.4374593883</v>
          </cell>
          <cell r="F33">
            <v>1603276.1560004409</v>
          </cell>
          <cell r="G33">
            <v>1640273.0909531997</v>
          </cell>
          <cell r="H33">
            <v>1521744.1832487935</v>
          </cell>
          <cell r="I33">
            <v>1512801.9508711216</v>
          </cell>
          <cell r="J33">
            <v>1594874.6828515648</v>
          </cell>
          <cell r="K33">
            <v>1609097.0187457877</v>
          </cell>
          <cell r="L33">
            <v>1597022.1986220311</v>
          </cell>
          <cell r="M33">
            <v>1655967.390026842</v>
          </cell>
          <cell r="N33">
            <v>1720300.9567820979</v>
          </cell>
          <cell r="O33">
            <v>1753877.796917317</v>
          </cell>
          <cell r="P33">
            <v>1807016.6557081831</v>
          </cell>
          <cell r="Q33">
            <v>1787475.2024561777</v>
          </cell>
          <cell r="R33">
            <v>1839981.6509845692</v>
          </cell>
          <cell r="S33">
            <v>1880690.743077453</v>
          </cell>
          <cell r="T33">
            <v>1872859.3357844197</v>
          </cell>
          <cell r="U33">
            <v>1839825.3491441896</v>
          </cell>
          <cell r="V33">
            <v>1876726.2289182767</v>
          </cell>
          <cell r="W33">
            <v>1769334.8413605297</v>
          </cell>
        </row>
        <row r="34">
          <cell r="B34" t="str">
            <v>Wabash River 6</v>
          </cell>
          <cell r="C34" t="str">
            <v>PSI</v>
          </cell>
          <cell r="D34">
            <v>5561732.3945803642</v>
          </cell>
          <cell r="E34">
            <v>5358530.7725199433</v>
          </cell>
          <cell r="F34">
            <v>5047142.5916964002</v>
          </cell>
          <cell r="G34">
            <v>4976312.8030462973</v>
          </cell>
          <cell r="H34">
            <v>4595518.7650326621</v>
          </cell>
          <cell r="I34">
            <v>4677313.7397839744</v>
          </cell>
          <cell r="J34">
            <v>4824686.6785576912</v>
          </cell>
          <cell r="K34">
            <v>4852018.8235483952</v>
          </cell>
          <cell r="L34">
            <v>4811755.2920548217</v>
          </cell>
          <cell r="M34">
            <v>4875539.6599811763</v>
          </cell>
          <cell r="N34">
            <v>4994199.7401430225</v>
          </cell>
          <cell r="O34">
            <v>5335981.001466454</v>
          </cell>
          <cell r="P34">
            <v>5393044.7627572464</v>
          </cell>
          <cell r="Q34">
            <v>5426312.7070318153</v>
          </cell>
          <cell r="R34">
            <v>5561311.4155783793</v>
          </cell>
          <cell r="S34">
            <v>5631421.4674527775</v>
          </cell>
          <cell r="T34">
            <v>5662594.2418228723</v>
          </cell>
          <cell r="U34">
            <v>5504126.9462540559</v>
          </cell>
          <cell r="V34">
            <v>5625513.8164287973</v>
          </cell>
          <cell r="W34">
            <v>5367114.3240285097</v>
          </cell>
        </row>
        <row r="35">
          <cell r="B35" t="str">
            <v>W.C. Beckjord 1</v>
          </cell>
          <cell r="C35" t="str">
            <v>CGE</v>
          </cell>
          <cell r="D35">
            <v>2111030.022027934</v>
          </cell>
          <cell r="E35">
            <v>1900763.2434690199</v>
          </cell>
          <cell r="F35">
            <v>1865629.9481444762</v>
          </cell>
          <cell r="G35">
            <v>1911863.5221663225</v>
          </cell>
          <cell r="H35">
            <v>1780855.8539360994</v>
          </cell>
          <cell r="I35">
            <v>1699944.0617201757</v>
          </cell>
          <cell r="J35">
            <v>1762809.9031755894</v>
          </cell>
          <cell r="K35">
            <v>1801982.8492095557</v>
          </cell>
          <cell r="L35">
            <v>1808448.4691193798</v>
          </cell>
          <cell r="M35">
            <v>1852281.0067998711</v>
          </cell>
          <cell r="N35">
            <v>1879986.5100808141</v>
          </cell>
          <cell r="O35">
            <v>1903826.1800966719</v>
          </cell>
          <cell r="P35">
            <v>1946295.29035606</v>
          </cell>
          <cell r="Q35">
            <v>1937885.3308306003</v>
          </cell>
          <cell r="R35">
            <v>1971208.0836011721</v>
          </cell>
          <cell r="S35">
            <v>2013976.8665305469</v>
          </cell>
          <cell r="T35">
            <v>1991277.4622700969</v>
          </cell>
          <cell r="U35">
            <v>1969984.3342023981</v>
          </cell>
          <cell r="V35">
            <v>2023909.5704506871</v>
          </cell>
          <cell r="W35">
            <v>1994264.0234296799</v>
          </cell>
        </row>
        <row r="36">
          <cell r="B36" t="str">
            <v>W.C. Beckjord 2</v>
          </cell>
          <cell r="C36" t="str">
            <v>CGE</v>
          </cell>
          <cell r="D36">
            <v>2578078.8304654388</v>
          </cell>
          <cell r="E36">
            <v>2286600.3790081786</v>
          </cell>
          <cell r="F36">
            <v>2263293.9582842276</v>
          </cell>
          <cell r="G36">
            <v>2277900.0872952221</v>
          </cell>
          <cell r="H36">
            <v>2118746.7679085075</v>
          </cell>
          <cell r="I36">
            <v>2006800.438667981</v>
          </cell>
          <cell r="J36">
            <v>2044078.1808548251</v>
          </cell>
          <cell r="K36">
            <v>2103179.624889628</v>
          </cell>
          <cell r="L36">
            <v>2035986.8389666365</v>
          </cell>
          <cell r="M36">
            <v>2069431.460728247</v>
          </cell>
          <cell r="N36">
            <v>2078639.5496230728</v>
          </cell>
          <cell r="O36">
            <v>2099865.2302365769</v>
          </cell>
          <cell r="P36">
            <v>2119198.6403656481</v>
          </cell>
          <cell r="Q36">
            <v>2084302.4908872277</v>
          </cell>
          <cell r="R36">
            <v>2079888.6886993491</v>
          </cell>
          <cell r="S36">
            <v>2141839.4127781764</v>
          </cell>
          <cell r="T36">
            <v>2081853.8572276798</v>
          </cell>
          <cell r="U36">
            <v>2046275.3614338762</v>
          </cell>
          <cell r="V36">
            <v>2108384.3161921785</v>
          </cell>
          <cell r="W36">
            <v>2073290.7617531994</v>
          </cell>
        </row>
        <row r="37">
          <cell r="B37" t="str">
            <v>W.C. Beckjord 3</v>
          </cell>
          <cell r="C37" t="str">
            <v>CGE</v>
          </cell>
          <cell r="D37">
            <v>3878000.3310201354</v>
          </cell>
          <cell r="E37">
            <v>3602355.60556409</v>
          </cell>
          <cell r="F37">
            <v>3655342.2848403347</v>
          </cell>
          <cell r="G37">
            <v>3666626.9407125576</v>
          </cell>
          <cell r="H37">
            <v>3493021.7389815627</v>
          </cell>
          <cell r="I37">
            <v>3306361.4983285735</v>
          </cell>
          <cell r="J37">
            <v>3224654.3654661668</v>
          </cell>
          <cell r="K37">
            <v>3306509.3300930089</v>
          </cell>
          <cell r="L37">
            <v>3115608.9562856718</v>
          </cell>
          <cell r="M37">
            <v>3136888.9784882921</v>
          </cell>
          <cell r="N37">
            <v>3124602.0066119987</v>
          </cell>
          <cell r="O37">
            <v>3118402.9343173737</v>
          </cell>
          <cell r="P37">
            <v>3151434.6802865225</v>
          </cell>
          <cell r="Q37">
            <v>3082936.8134531379</v>
          </cell>
          <cell r="R37">
            <v>3071514.7118596775</v>
          </cell>
          <cell r="S37">
            <v>3135513.8472826062</v>
          </cell>
          <cell r="T37">
            <v>3008907.7862021732</v>
          </cell>
          <cell r="U37">
            <v>2940189.9981637611</v>
          </cell>
          <cell r="V37">
            <v>3017739.4103440172</v>
          </cell>
          <cell r="W37">
            <v>2988433.0915596439</v>
          </cell>
        </row>
        <row r="38">
          <cell r="B38" t="str">
            <v>W.C. Beckjord 4</v>
          </cell>
          <cell r="C38" t="str">
            <v>CGE</v>
          </cell>
          <cell r="D38">
            <v>4910157.3947998965</v>
          </cell>
          <cell r="E38">
            <v>4759595.1265316671</v>
          </cell>
          <cell r="F38">
            <v>4727440.6335006338</v>
          </cell>
          <cell r="G38">
            <v>4700078.8081051875</v>
          </cell>
          <cell r="H38">
            <v>4436583.7719289567</v>
          </cell>
          <cell r="I38">
            <v>4209866.7092675082</v>
          </cell>
          <cell r="J38">
            <v>4155179.9495508727</v>
          </cell>
          <cell r="K38">
            <v>4185679.6615688773</v>
          </cell>
          <cell r="L38">
            <v>3973250.7530110483</v>
          </cell>
          <cell r="M38">
            <v>3977732.6700164471</v>
          </cell>
          <cell r="N38">
            <v>3962132.6611071588</v>
          </cell>
          <cell r="O38">
            <v>3941633.3542423998</v>
          </cell>
          <cell r="P38">
            <v>3968347.7442281097</v>
          </cell>
          <cell r="Q38">
            <v>3861709.5745365359</v>
          </cell>
          <cell r="R38">
            <v>3840460.598071991</v>
          </cell>
          <cell r="S38">
            <v>3925323.707766688</v>
          </cell>
          <cell r="T38">
            <v>3731326.9116293071</v>
          </cell>
          <cell r="U38">
            <v>3603425.1212145789</v>
          </cell>
          <cell r="V38">
            <v>3725719.9001335111</v>
          </cell>
          <cell r="W38">
            <v>3730866.3617791221</v>
          </cell>
        </row>
        <row r="39">
          <cell r="B39" t="str">
            <v>W.C. Beckjord 5</v>
          </cell>
          <cell r="C39" t="str">
            <v>CGE</v>
          </cell>
          <cell r="D39">
            <v>7719643.8662959943</v>
          </cell>
          <cell r="E39">
            <v>7029503.4051147476</v>
          </cell>
          <cell r="F39">
            <v>7102673.6775798025</v>
          </cell>
          <cell r="G39">
            <v>7064384.2631701948</v>
          </cell>
          <cell r="H39">
            <v>6718559.9517221609</v>
          </cell>
          <cell r="I39">
            <v>6362967.7840185333</v>
          </cell>
          <cell r="J39">
            <v>6324964.4092053054</v>
          </cell>
          <cell r="K39">
            <v>6319952.7924853154</v>
          </cell>
          <cell r="L39">
            <v>6005574.573377558</v>
          </cell>
          <cell r="M39">
            <v>5980454.6533339871</v>
          </cell>
          <cell r="N39">
            <v>6055177.2595706163</v>
          </cell>
          <cell r="O39">
            <v>6035100.7037077174</v>
          </cell>
          <cell r="P39">
            <v>6101746.0388481626</v>
          </cell>
          <cell r="Q39">
            <v>5939630.7108526137</v>
          </cell>
          <cell r="R39">
            <v>5926260.1813050099</v>
          </cell>
          <cell r="S39">
            <v>6034912.1171433832</v>
          </cell>
          <cell r="T39">
            <v>5788878.318235009</v>
          </cell>
          <cell r="U39">
            <v>5559070.456162205</v>
          </cell>
          <cell r="V39">
            <v>5789514.8352950588</v>
          </cell>
          <cell r="W39">
            <v>5803238.4604524933</v>
          </cell>
        </row>
        <row r="40">
          <cell r="B40" t="str">
            <v>W.C. Beckjord 6</v>
          </cell>
          <cell r="C40" t="str">
            <v>CGE</v>
          </cell>
          <cell r="D40">
            <v>4839174.2343604453</v>
          </cell>
          <cell r="E40">
            <v>4418704.1223819079</v>
          </cell>
          <cell r="F40">
            <v>4407656.6073483769</v>
          </cell>
          <cell r="G40">
            <v>4314075.4750706423</v>
          </cell>
          <cell r="H40">
            <v>4114615.068380544</v>
          </cell>
          <cell r="I40">
            <v>3977700.4679497713</v>
          </cell>
          <cell r="J40">
            <v>3830680.7991269422</v>
          </cell>
          <cell r="K40">
            <v>3749211.3559888587</v>
          </cell>
          <cell r="L40">
            <v>3602516.067493313</v>
          </cell>
          <cell r="M40">
            <v>3522312.649829668</v>
          </cell>
          <cell r="N40">
            <v>3554499.3838497722</v>
          </cell>
          <cell r="O40">
            <v>3644623.1525857965</v>
          </cell>
          <cell r="P40">
            <v>3636920.416816168</v>
          </cell>
          <cell r="Q40">
            <v>3496377.6438361453</v>
          </cell>
          <cell r="R40">
            <v>3489798.0392884407</v>
          </cell>
          <cell r="S40">
            <v>3607663.5983778071</v>
          </cell>
          <cell r="T40">
            <v>3423887.1766886287</v>
          </cell>
          <cell r="U40">
            <v>3342105.9649791014</v>
          </cell>
          <cell r="V40">
            <v>3463291.7237462057</v>
          </cell>
          <cell r="W40">
            <v>3543706.3585512149</v>
          </cell>
        </row>
        <row r="41">
          <cell r="B41" t="str">
            <v>W.H. Zimmer 1</v>
          </cell>
          <cell r="C41" t="str">
            <v>CGE</v>
          </cell>
          <cell r="D41">
            <v>18689782.065277323</v>
          </cell>
          <cell r="E41">
            <v>18689782.065277323</v>
          </cell>
          <cell r="F41">
            <v>18689782.065277323</v>
          </cell>
          <cell r="G41">
            <v>18679059.435209822</v>
          </cell>
          <cell r="H41">
            <v>18620352.255519554</v>
          </cell>
          <cell r="I41">
            <v>18667050.089534223</v>
          </cell>
          <cell r="J41">
            <v>18568346.34876819</v>
          </cell>
          <cell r="K41">
            <v>18644007.29660055</v>
          </cell>
          <cell r="L41">
            <v>18651145.588612031</v>
          </cell>
          <cell r="M41">
            <v>18543914.736082651</v>
          </cell>
          <cell r="N41">
            <v>18422746.816776272</v>
          </cell>
          <cell r="O41">
            <v>18533459.135935247</v>
          </cell>
          <cell r="P41">
            <v>18569274.664143439</v>
          </cell>
          <cell r="Q41">
            <v>18408914.496108755</v>
          </cell>
          <cell r="R41">
            <v>18511530.705256946</v>
          </cell>
          <cell r="S41">
            <v>18647765.339281086</v>
          </cell>
          <cell r="T41">
            <v>18319002.749324121</v>
          </cell>
          <cell r="U41">
            <v>18324258.29589425</v>
          </cell>
          <cell r="V41">
            <v>18315410.962376527</v>
          </cell>
          <cell r="W41">
            <v>18161186.885927547</v>
          </cell>
        </row>
        <row r="42">
          <cell r="B42" t="str">
            <v>Cayuga Diesel 3A-D</v>
          </cell>
          <cell r="C42" t="str">
            <v>PSI</v>
          </cell>
          <cell r="D42">
            <v>71782.186845599994</v>
          </cell>
          <cell r="E42">
            <v>58955.129402400016</v>
          </cell>
          <cell r="F42">
            <v>52066.472569649981</v>
          </cell>
          <cell r="G42">
            <v>56487.920400449977</v>
          </cell>
          <cell r="H42">
            <v>48976.411259159984</v>
          </cell>
          <cell r="I42">
            <v>50239.775505149977</v>
          </cell>
          <cell r="J42">
            <v>48850.364489850013</v>
          </cell>
          <cell r="K42">
            <v>51075.477732510008</v>
          </cell>
          <cell r="L42">
            <v>59032.121646959997</v>
          </cell>
          <cell r="M42">
            <v>60529.265742329982</v>
          </cell>
          <cell r="N42">
            <v>60845.550630480015</v>
          </cell>
          <cell r="O42">
            <v>59379.801430949999</v>
          </cell>
          <cell r="P42">
            <v>58899.908023109994</v>
          </cell>
          <cell r="Q42">
            <v>64121.738823449996</v>
          </cell>
          <cell r="R42">
            <v>61903.44649566002</v>
          </cell>
          <cell r="S42">
            <v>63796.110216299996</v>
          </cell>
          <cell r="T42">
            <v>65686.718318760017</v>
          </cell>
          <cell r="U42">
            <v>65907.697273110025</v>
          </cell>
          <cell r="V42">
            <v>61068.678640200014</v>
          </cell>
          <cell r="W42">
            <v>67841.473357349983</v>
          </cell>
        </row>
        <row r="43">
          <cell r="B43" t="str">
            <v>Cayuga CT 4</v>
          </cell>
          <cell r="C43" t="str">
            <v>PSI</v>
          </cell>
          <cell r="D43">
            <v>668724.85820527177</v>
          </cell>
          <cell r="E43">
            <v>534349.74340654793</v>
          </cell>
          <cell r="F43">
            <v>487888.90546465799</v>
          </cell>
          <cell r="G43">
            <v>515970.53239974007</v>
          </cell>
          <cell r="H43">
            <v>458959.03352294408</v>
          </cell>
          <cell r="I43">
            <v>481347.87775813183</v>
          </cell>
          <cell r="J43">
            <v>467729.10566939384</v>
          </cell>
          <cell r="K43">
            <v>499119.9767185477</v>
          </cell>
          <cell r="L43">
            <v>552257.48899547744</v>
          </cell>
          <cell r="M43">
            <v>609388.11357388424</v>
          </cell>
          <cell r="N43">
            <v>609156.94866644021</v>
          </cell>
          <cell r="O43">
            <v>570676.57221346814</v>
          </cell>
          <cell r="P43">
            <v>594694.07247522962</v>
          </cell>
          <cell r="Q43">
            <v>627142.92319219199</v>
          </cell>
          <cell r="R43">
            <v>618757.69899414585</v>
          </cell>
          <cell r="S43">
            <v>636870.52606329019</v>
          </cell>
          <cell r="T43">
            <v>662010.33942139568</v>
          </cell>
          <cell r="U43">
            <v>660698.48390786781</v>
          </cell>
          <cell r="V43">
            <v>635548.63846236584</v>
          </cell>
          <cell r="W43">
            <v>695458.77025060216</v>
          </cell>
        </row>
        <row r="44">
          <cell r="B44" t="str">
            <v>Connersville CT 1</v>
          </cell>
          <cell r="C44" t="str">
            <v>PSI</v>
          </cell>
          <cell r="D44">
            <v>166974.24836452503</v>
          </cell>
          <cell r="E44">
            <v>134746.27580032506</v>
          </cell>
          <cell r="F44">
            <v>122817.33977309999</v>
          </cell>
          <cell r="G44">
            <v>140887.59750922499</v>
          </cell>
          <cell r="H44">
            <v>119104.22417249995</v>
          </cell>
          <cell r="I44">
            <v>129004.13350649996</v>
          </cell>
          <cell r="J44">
            <v>128157.37945027497</v>
          </cell>
          <cell r="K44">
            <v>142221.87662812512</v>
          </cell>
          <cell r="L44">
            <v>169336.06531705498</v>
          </cell>
          <cell r="M44">
            <v>180064.86469765499</v>
          </cell>
          <cell r="N44">
            <v>185038.65969749994</v>
          </cell>
          <cell r="O44">
            <v>170536.33188375004</v>
          </cell>
          <cell r="P44">
            <v>187039.75357567496</v>
          </cell>
          <cell r="Q44">
            <v>193243.11211799993</v>
          </cell>
          <cell r="R44">
            <v>197996.88747929997</v>
          </cell>
          <cell r="S44">
            <v>205137.61932667482</v>
          </cell>
          <cell r="T44">
            <v>222958.43052839983</v>
          </cell>
          <cell r="U44">
            <v>225889.10250742495</v>
          </cell>
          <cell r="V44">
            <v>213170.90205495004</v>
          </cell>
          <cell r="W44">
            <v>279284.30247637496</v>
          </cell>
        </row>
        <row r="45">
          <cell r="B45" t="str">
            <v>Connersville CT 2</v>
          </cell>
          <cell r="C45" t="str">
            <v>PSI</v>
          </cell>
          <cell r="D45">
            <v>166974.24836452503</v>
          </cell>
          <cell r="E45">
            <v>134746.27580032506</v>
          </cell>
          <cell r="F45">
            <v>122817.33977309999</v>
          </cell>
          <cell r="G45">
            <v>140887.59750922499</v>
          </cell>
          <cell r="H45">
            <v>119104.22417249995</v>
          </cell>
          <cell r="I45">
            <v>129004.13350649996</v>
          </cell>
          <cell r="J45">
            <v>128157.37945027497</v>
          </cell>
          <cell r="K45">
            <v>142221.87662812512</v>
          </cell>
          <cell r="L45">
            <v>169336.06531705498</v>
          </cell>
          <cell r="M45">
            <v>180064.86469765499</v>
          </cell>
          <cell r="N45">
            <v>185038.65969749994</v>
          </cell>
          <cell r="O45">
            <v>170536.33188375004</v>
          </cell>
          <cell r="P45">
            <v>187039.75357567496</v>
          </cell>
          <cell r="Q45">
            <v>193243.11211799993</v>
          </cell>
          <cell r="R45">
            <v>197996.88747929997</v>
          </cell>
          <cell r="S45">
            <v>205137.61932667482</v>
          </cell>
          <cell r="T45">
            <v>222958.43052839983</v>
          </cell>
          <cell r="U45">
            <v>225889.10250742495</v>
          </cell>
          <cell r="V45">
            <v>213170.90205495004</v>
          </cell>
          <cell r="W45">
            <v>279284.30247637496</v>
          </cell>
        </row>
        <row r="46">
          <cell r="B46" t="str">
            <v>Dicks Creek CT 1</v>
          </cell>
          <cell r="C46" t="str">
            <v>CGE</v>
          </cell>
          <cell r="D46">
            <v>280544.5351096649</v>
          </cell>
          <cell r="E46">
            <v>238097.61459385499</v>
          </cell>
          <cell r="F46">
            <v>223966.89397460991</v>
          </cell>
          <cell r="G46">
            <v>262663.3442182648</v>
          </cell>
          <cell r="H46">
            <v>220513.11606802489</v>
          </cell>
          <cell r="I46">
            <v>241819.21211902495</v>
          </cell>
          <cell r="J46">
            <v>242147.7640674749</v>
          </cell>
          <cell r="K46">
            <v>254569.01894281502</v>
          </cell>
          <cell r="L46">
            <v>299281.95229096489</v>
          </cell>
          <cell r="M46">
            <v>331712.02082690987</v>
          </cell>
          <cell r="N46">
            <v>350826.77494294487</v>
          </cell>
          <cell r="O46">
            <v>333181.54408724996</v>
          </cell>
          <cell r="P46">
            <v>354738.53435342974</v>
          </cell>
          <cell r="Q46">
            <v>348170.4822203248</v>
          </cell>
          <cell r="R46">
            <v>391387.01078507974</v>
          </cell>
          <cell r="S46">
            <v>390252.01314497984</v>
          </cell>
          <cell r="T46">
            <v>425246.77810276503</v>
          </cell>
          <cell r="U46">
            <v>431868.59328197973</v>
          </cell>
          <cell r="V46">
            <v>424377.60885731981</v>
          </cell>
          <cell r="W46">
            <v>611752.77628228499</v>
          </cell>
        </row>
        <row r="47">
          <cell r="B47" t="str">
            <v>Dicks Creek CT 3</v>
          </cell>
          <cell r="C47" t="str">
            <v>CGE</v>
          </cell>
          <cell r="D47">
            <v>43293.091124863495</v>
          </cell>
          <cell r="E47">
            <v>36739.774048840503</v>
          </cell>
          <cell r="F47">
            <v>34562.470242582</v>
          </cell>
          <cell r="G47">
            <v>40530.865289167486</v>
          </cell>
          <cell r="H47">
            <v>34028.523545752483</v>
          </cell>
          <cell r="I47">
            <v>37318.224600505499</v>
          </cell>
          <cell r="J47">
            <v>37367.208709183491</v>
          </cell>
          <cell r="K47">
            <v>39285.553843345486</v>
          </cell>
          <cell r="L47">
            <v>46180.564945756487</v>
          </cell>
          <cell r="M47">
            <v>51180.030428003993</v>
          </cell>
          <cell r="N47">
            <v>54128.336139958483</v>
          </cell>
          <cell r="O47">
            <v>51412.605383028</v>
          </cell>
          <cell r="P47">
            <v>54732.971286302964</v>
          </cell>
          <cell r="Q47">
            <v>53718.343132771457</v>
          </cell>
          <cell r="R47">
            <v>60377.49376067397</v>
          </cell>
          <cell r="S47">
            <v>60203.460789191973</v>
          </cell>
          <cell r="T47">
            <v>65598.781588723476</v>
          </cell>
          <cell r="U47">
            <v>66619.980781223974</v>
          </cell>
          <cell r="V47">
            <v>65466.066513788974</v>
          </cell>
          <cell r="W47">
            <v>94329.156062728463</v>
          </cell>
        </row>
        <row r="48">
          <cell r="B48" t="str">
            <v>Dicks Creek CT 4-5</v>
          </cell>
          <cell r="C48" t="str">
            <v>CGE</v>
          </cell>
          <cell r="D48">
            <v>96827.246044109997</v>
          </cell>
          <cell r="E48">
            <v>84222.798567209931</v>
          </cell>
          <cell r="F48">
            <v>81056.752518509966</v>
          </cell>
          <cell r="G48">
            <v>99491.50366245005</v>
          </cell>
          <cell r="H48">
            <v>78983.888407379971</v>
          </cell>
          <cell r="I48">
            <v>93912.094210590018</v>
          </cell>
          <cell r="J48">
            <v>90949.153002750012</v>
          </cell>
          <cell r="K48">
            <v>97042.298228549975</v>
          </cell>
          <cell r="L48">
            <v>115763.78561840998</v>
          </cell>
          <cell r="M48">
            <v>120429.22328640003</v>
          </cell>
          <cell r="N48">
            <v>128069.54950581004</v>
          </cell>
          <cell r="O48">
            <v>133254.69661953</v>
          </cell>
          <cell r="P48">
            <v>137358.60913925999</v>
          </cell>
          <cell r="Q48">
            <v>136629.82118088004</v>
          </cell>
          <cell r="R48">
            <v>145685.90761451999</v>
          </cell>
          <cell r="S48">
            <v>155590.25544233996</v>
          </cell>
          <cell r="T48">
            <v>156671.49003632995</v>
          </cell>
          <cell r="U48">
            <v>170339.25109184999</v>
          </cell>
          <cell r="V48">
            <v>173188.69253567996</v>
          </cell>
          <cell r="W48">
            <v>237865.63700601005</v>
          </cell>
        </row>
        <row r="49">
          <cell r="B49" t="str">
            <v>Miami Fort CT 3-6</v>
          </cell>
          <cell r="C49" t="str">
            <v>CGE</v>
          </cell>
          <cell r="D49">
            <v>165671.28231746375</v>
          </cell>
          <cell r="E49">
            <v>140430.02746449577</v>
          </cell>
          <cell r="F49">
            <v>133200.87866315982</v>
          </cell>
          <cell r="G49">
            <v>154577.62762595981</v>
          </cell>
          <cell r="H49">
            <v>128555.71719883182</v>
          </cell>
          <cell r="I49">
            <v>142617.42786059977</v>
          </cell>
          <cell r="J49">
            <v>146532.87630827978</v>
          </cell>
          <cell r="K49">
            <v>155128.2592970877</v>
          </cell>
          <cell r="L49">
            <v>181534.23835747174</v>
          </cell>
          <cell r="M49">
            <v>214336.89876059972</v>
          </cell>
          <cell r="N49">
            <v>210597.22821614376</v>
          </cell>
          <cell r="O49">
            <v>205952.41448258382</v>
          </cell>
          <cell r="P49">
            <v>219644.48733796773</v>
          </cell>
          <cell r="Q49">
            <v>219723.07449153581</v>
          </cell>
          <cell r="R49">
            <v>243466.13133057571</v>
          </cell>
          <cell r="S49">
            <v>245728.46770718371</v>
          </cell>
          <cell r="T49">
            <v>278609.8891292637</v>
          </cell>
          <cell r="U49">
            <v>276185.16248399968</v>
          </cell>
          <cell r="V49">
            <v>265625.7961175277</v>
          </cell>
          <cell r="W49">
            <v>370330.6599392395</v>
          </cell>
        </row>
        <row r="50">
          <cell r="B50" t="str">
            <v>Miami-Wabash CT 1-6</v>
          </cell>
          <cell r="C50" t="str">
            <v>PSI</v>
          </cell>
          <cell r="D50">
            <v>296767.71749999991</v>
          </cell>
          <cell r="E50">
            <v>251038.03387499988</v>
          </cell>
          <cell r="F50">
            <v>233707.51762499992</v>
          </cell>
          <cell r="G50">
            <v>276352.77562499995</v>
          </cell>
          <cell r="H50">
            <v>225760.71149999998</v>
          </cell>
          <cell r="I50">
            <v>251674.16324999993</v>
          </cell>
          <cell r="J50">
            <v>247443.635625</v>
          </cell>
          <cell r="K50">
            <v>266297.65499999991</v>
          </cell>
          <cell r="L50">
            <v>305836.03574999992</v>
          </cell>
          <cell r="M50">
            <v>333765.85725000012</v>
          </cell>
          <cell r="N50">
            <v>364532.06737500004</v>
          </cell>
          <cell r="O50">
            <v>341660.27625000005</v>
          </cell>
          <cell r="P50">
            <v>359050.66349999997</v>
          </cell>
          <cell r="Q50">
            <v>349542.93487499998</v>
          </cell>
          <cell r="R50">
            <v>394990.36949999986</v>
          </cell>
          <cell r="S50">
            <v>396598.33349999995</v>
          </cell>
          <cell r="T50">
            <v>413422.08449999994</v>
          </cell>
          <cell r="U50">
            <v>431662.42612499988</v>
          </cell>
          <cell r="V50">
            <v>429728.37899999996</v>
          </cell>
          <cell r="W50">
            <v>624190.45612500003</v>
          </cell>
        </row>
        <row r="51">
          <cell r="B51" t="str">
            <v>Wabash Diesel 7A-B</v>
          </cell>
          <cell r="C51" t="str">
            <v>PSI</v>
          </cell>
          <cell r="D51">
            <v>55234.511072399997</v>
          </cell>
          <cell r="E51">
            <v>45436.782718799986</v>
          </cell>
          <cell r="F51">
            <v>40180.177342800001</v>
          </cell>
          <cell r="G51">
            <v>43556.816212800004</v>
          </cell>
          <cell r="H51">
            <v>37770.169794720001</v>
          </cell>
          <cell r="I51">
            <v>38796.668011199989</v>
          </cell>
          <cell r="J51">
            <v>37734.395674799976</v>
          </cell>
          <cell r="K51">
            <v>39473.455953359997</v>
          </cell>
          <cell r="L51">
            <v>45552.136003439984</v>
          </cell>
          <cell r="M51">
            <v>46707.859102080023</v>
          </cell>
          <cell r="N51">
            <v>46975.069875359994</v>
          </cell>
          <cell r="O51">
            <v>45905.496698160016</v>
          </cell>
          <cell r="P51">
            <v>45518.552135759994</v>
          </cell>
          <cell r="Q51">
            <v>49525.253566799984</v>
          </cell>
          <cell r="R51">
            <v>47825.617828560004</v>
          </cell>
          <cell r="S51">
            <v>49312.069015439971</v>
          </cell>
          <cell r="T51">
            <v>50763.476166479995</v>
          </cell>
          <cell r="U51">
            <v>50917.523907359981</v>
          </cell>
          <cell r="V51">
            <v>47243.010732720017</v>
          </cell>
          <cell r="W51">
            <v>52478.443670400011</v>
          </cell>
        </row>
        <row r="52">
          <cell r="B52" t="str">
            <v>W.C. Beckjord CT 1</v>
          </cell>
          <cell r="C52" t="str">
            <v>CGE</v>
          </cell>
          <cell r="D52">
            <v>158221.29019802407</v>
          </cell>
          <cell r="E52">
            <v>131007.98488042803</v>
          </cell>
          <cell r="F52">
            <v>123213.06600850796</v>
          </cell>
          <cell r="G52">
            <v>141979.9803998759</v>
          </cell>
          <cell r="H52">
            <v>118692.64156460397</v>
          </cell>
          <cell r="I52">
            <v>135015.28248978007</v>
          </cell>
          <cell r="J52">
            <v>135246.705834672</v>
          </cell>
          <cell r="K52">
            <v>141795.91915563596</v>
          </cell>
          <cell r="L52">
            <v>176713.75879920003</v>
          </cell>
          <cell r="M52">
            <v>201460.61351532236</v>
          </cell>
          <cell r="N52">
            <v>197767.22263120802</v>
          </cell>
          <cell r="O52">
            <v>190445.17654936796</v>
          </cell>
          <cell r="P52">
            <v>204688.52398778402</v>
          </cell>
          <cell r="Q52">
            <v>208836.26182292416</v>
          </cell>
          <cell r="R52">
            <v>221091.29889368408</v>
          </cell>
          <cell r="S52">
            <v>224802.52725772801</v>
          </cell>
          <cell r="T52">
            <v>256520.69411727609</v>
          </cell>
          <cell r="U52">
            <v>259789.72656527991</v>
          </cell>
          <cell r="V52">
            <v>244415.97372931184</v>
          </cell>
          <cell r="W52">
            <v>329450.92177859979</v>
          </cell>
        </row>
        <row r="53">
          <cell r="B53" t="str">
            <v>W.C. Beckjord CT 2</v>
          </cell>
          <cell r="C53" t="str">
            <v>CGE</v>
          </cell>
          <cell r="D53">
            <v>158221.29019802407</v>
          </cell>
          <cell r="E53">
            <v>131007.98488042803</v>
          </cell>
          <cell r="F53">
            <v>123213.06600850796</v>
          </cell>
          <cell r="G53">
            <v>141979.9803998759</v>
          </cell>
          <cell r="H53">
            <v>118692.64156460397</v>
          </cell>
          <cell r="I53">
            <v>135015.28248978007</v>
          </cell>
          <cell r="J53">
            <v>135246.705834672</v>
          </cell>
          <cell r="K53">
            <v>141795.91915563596</v>
          </cell>
          <cell r="L53">
            <v>176713.75879920003</v>
          </cell>
          <cell r="M53">
            <v>201460.61351532236</v>
          </cell>
          <cell r="N53">
            <v>197767.22263120802</v>
          </cell>
          <cell r="O53">
            <v>190445.17654936796</v>
          </cell>
          <cell r="P53">
            <v>204688.52398778402</v>
          </cell>
          <cell r="Q53">
            <v>208836.26182292416</v>
          </cell>
          <cell r="R53">
            <v>221091.29889368408</v>
          </cell>
          <cell r="S53">
            <v>224802.52725772801</v>
          </cell>
          <cell r="T53">
            <v>256520.69411727609</v>
          </cell>
          <cell r="U53">
            <v>259789.72656527991</v>
          </cell>
          <cell r="V53">
            <v>244415.97372931184</v>
          </cell>
          <cell r="W53">
            <v>329450.92177859979</v>
          </cell>
        </row>
        <row r="54">
          <cell r="B54" t="str">
            <v>W.C. Beckjord CT 3</v>
          </cell>
          <cell r="C54" t="str">
            <v>CGE</v>
          </cell>
          <cell r="D54">
            <v>158221.29019802407</v>
          </cell>
          <cell r="E54">
            <v>131007.98488042803</v>
          </cell>
          <cell r="F54">
            <v>123213.06600850796</v>
          </cell>
          <cell r="G54">
            <v>141979.9803998759</v>
          </cell>
          <cell r="H54">
            <v>118692.64156460397</v>
          </cell>
          <cell r="I54">
            <v>135015.28248978007</v>
          </cell>
          <cell r="J54">
            <v>135246.705834672</v>
          </cell>
          <cell r="K54">
            <v>141795.91915563596</v>
          </cell>
          <cell r="L54">
            <v>176713.75879920003</v>
          </cell>
          <cell r="M54">
            <v>201460.61351532236</v>
          </cell>
          <cell r="N54">
            <v>197767.22263120802</v>
          </cell>
          <cell r="O54">
            <v>190445.17654936796</v>
          </cell>
          <cell r="P54">
            <v>204688.52398778402</v>
          </cell>
          <cell r="Q54">
            <v>208836.26182292416</v>
          </cell>
          <cell r="R54">
            <v>221091.29889368408</v>
          </cell>
          <cell r="S54">
            <v>224802.52725772801</v>
          </cell>
          <cell r="T54">
            <v>256520.69411727609</v>
          </cell>
          <cell r="U54">
            <v>259789.72656527991</v>
          </cell>
          <cell r="V54">
            <v>244415.97372931184</v>
          </cell>
          <cell r="W54">
            <v>329450.92177859979</v>
          </cell>
        </row>
        <row r="55">
          <cell r="B55" t="str">
            <v>W.C. Beckjord CT 4</v>
          </cell>
          <cell r="C55" t="str">
            <v>CGE</v>
          </cell>
          <cell r="D55">
            <v>158221.29019802407</v>
          </cell>
          <cell r="E55">
            <v>131007.98488042803</v>
          </cell>
          <cell r="F55">
            <v>123213.06600850796</v>
          </cell>
          <cell r="G55">
            <v>141979.9803998759</v>
          </cell>
          <cell r="H55">
            <v>118692.64156460397</v>
          </cell>
          <cell r="I55">
            <v>135015.28248978007</v>
          </cell>
          <cell r="J55">
            <v>135246.705834672</v>
          </cell>
          <cell r="K55">
            <v>141795.91915563596</v>
          </cell>
          <cell r="L55">
            <v>176713.75879920003</v>
          </cell>
          <cell r="M55">
            <v>201460.61351532236</v>
          </cell>
          <cell r="N55">
            <v>197767.22263120802</v>
          </cell>
          <cell r="O55">
            <v>190445.17654936796</v>
          </cell>
          <cell r="P55">
            <v>204688.52398778402</v>
          </cell>
          <cell r="Q55">
            <v>208836.26182292416</v>
          </cell>
          <cell r="R55">
            <v>221091.29889368408</v>
          </cell>
          <cell r="S55">
            <v>224802.52725772801</v>
          </cell>
          <cell r="T55">
            <v>256520.69411727609</v>
          </cell>
          <cell r="U55">
            <v>259789.72656527991</v>
          </cell>
          <cell r="V55">
            <v>244415.97372931184</v>
          </cell>
          <cell r="W55">
            <v>329450.92177859979</v>
          </cell>
        </row>
        <row r="56">
          <cell r="B56" t="str">
            <v>Woodsdale CT 1</v>
          </cell>
          <cell r="C56" t="str">
            <v>CGE</v>
          </cell>
          <cell r="D56">
            <v>342908.91010867216</v>
          </cell>
          <cell r="E56">
            <v>310680.2908692481</v>
          </cell>
          <cell r="F56">
            <v>293677.61220403208</v>
          </cell>
          <cell r="G56">
            <v>339086.80020787189</v>
          </cell>
          <cell r="H56">
            <v>271989.18795264</v>
          </cell>
          <cell r="I56">
            <v>300784.84483276791</v>
          </cell>
          <cell r="J56">
            <v>286327.81047398405</v>
          </cell>
          <cell r="K56">
            <v>299654.67741388793</v>
          </cell>
          <cell r="L56">
            <v>347742.91572326416</v>
          </cell>
          <cell r="M56">
            <v>343281.80229734397</v>
          </cell>
          <cell r="N56">
            <v>363105.76560537599</v>
          </cell>
          <cell r="O56">
            <v>374776.2681446402</v>
          </cell>
          <cell r="P56">
            <v>390940.95534489601</v>
          </cell>
          <cell r="Q56">
            <v>392976.93828710413</v>
          </cell>
          <cell r="R56">
            <v>415262.60662272014</v>
          </cell>
          <cell r="S56">
            <v>442040.49776640005</v>
          </cell>
          <cell r="T56">
            <v>442465.79945472023</v>
          </cell>
          <cell r="U56">
            <v>456210.68120063999</v>
          </cell>
          <cell r="V56">
            <v>462651.44436326413</v>
          </cell>
          <cell r="W56">
            <v>633883.08897791943</v>
          </cell>
        </row>
        <row r="57">
          <cell r="B57" t="str">
            <v>Woodsdale CT 2</v>
          </cell>
          <cell r="C57" t="str">
            <v>CGE</v>
          </cell>
          <cell r="D57">
            <v>342908.91010867216</v>
          </cell>
          <cell r="E57">
            <v>310680.2908692481</v>
          </cell>
          <cell r="F57">
            <v>293677.61220403208</v>
          </cell>
          <cell r="G57">
            <v>339086.80020787189</v>
          </cell>
          <cell r="H57">
            <v>271989.18795264</v>
          </cell>
          <cell r="I57">
            <v>300784.84483276791</v>
          </cell>
          <cell r="J57">
            <v>286327.81047398405</v>
          </cell>
          <cell r="K57">
            <v>299654.67741388793</v>
          </cell>
          <cell r="L57">
            <v>347742.91572326416</v>
          </cell>
          <cell r="M57">
            <v>343281.80229734397</v>
          </cell>
          <cell r="N57">
            <v>363105.76560537599</v>
          </cell>
          <cell r="O57">
            <v>374776.2681446402</v>
          </cell>
          <cell r="P57">
            <v>390940.95534489601</v>
          </cell>
          <cell r="Q57">
            <v>392976.93828710413</v>
          </cell>
          <cell r="R57">
            <v>415262.60662272014</v>
          </cell>
          <cell r="S57">
            <v>442040.49776640005</v>
          </cell>
          <cell r="T57">
            <v>442465.79945472023</v>
          </cell>
          <cell r="U57">
            <v>456210.68120063999</v>
          </cell>
          <cell r="V57">
            <v>462651.44436326413</v>
          </cell>
          <cell r="W57">
            <v>633883.08897791943</v>
          </cell>
        </row>
        <row r="58">
          <cell r="B58" t="str">
            <v>Woodsdale CT 3</v>
          </cell>
          <cell r="C58" t="str">
            <v>CGE</v>
          </cell>
          <cell r="D58">
            <v>342908.91010867216</v>
          </cell>
          <cell r="E58">
            <v>310680.2908692481</v>
          </cell>
          <cell r="F58">
            <v>293677.61220403208</v>
          </cell>
          <cell r="G58">
            <v>339086.80020787189</v>
          </cell>
          <cell r="H58">
            <v>271989.18795264</v>
          </cell>
          <cell r="I58">
            <v>300784.84483276791</v>
          </cell>
          <cell r="J58">
            <v>286327.81047398405</v>
          </cell>
          <cell r="K58">
            <v>299654.67741388793</v>
          </cell>
          <cell r="L58">
            <v>347742.91572326416</v>
          </cell>
          <cell r="M58">
            <v>343281.80229734397</v>
          </cell>
          <cell r="N58">
            <v>363105.76560537599</v>
          </cell>
          <cell r="O58">
            <v>374776.2681446402</v>
          </cell>
          <cell r="P58">
            <v>390940.95534489601</v>
          </cell>
          <cell r="Q58">
            <v>392976.93828710413</v>
          </cell>
          <cell r="R58">
            <v>415262.60662272014</v>
          </cell>
          <cell r="S58">
            <v>442040.49776640005</v>
          </cell>
          <cell r="T58">
            <v>442465.79945472023</v>
          </cell>
          <cell r="U58">
            <v>456210.68120063999</v>
          </cell>
          <cell r="V58">
            <v>462651.44436326413</v>
          </cell>
          <cell r="W58">
            <v>633883.08897791943</v>
          </cell>
        </row>
        <row r="59">
          <cell r="B59" t="str">
            <v>Woodsdale CT 4</v>
          </cell>
          <cell r="C59" t="str">
            <v>CGE</v>
          </cell>
          <cell r="D59">
            <v>342908.91010867216</v>
          </cell>
          <cell r="E59">
            <v>310680.2908692481</v>
          </cell>
          <cell r="F59">
            <v>293677.61220403208</v>
          </cell>
          <cell r="G59">
            <v>339086.80020787189</v>
          </cell>
          <cell r="H59">
            <v>271989.18795264</v>
          </cell>
          <cell r="I59">
            <v>300784.84483276791</v>
          </cell>
          <cell r="J59">
            <v>286327.81047398405</v>
          </cell>
          <cell r="K59">
            <v>299654.67741388793</v>
          </cell>
          <cell r="L59">
            <v>347742.91572326416</v>
          </cell>
          <cell r="M59">
            <v>343281.80229734397</v>
          </cell>
          <cell r="N59">
            <v>363105.76560537599</v>
          </cell>
          <cell r="O59">
            <v>374776.2681446402</v>
          </cell>
          <cell r="P59">
            <v>390940.95534489601</v>
          </cell>
          <cell r="Q59">
            <v>392976.93828710413</v>
          </cell>
          <cell r="R59">
            <v>415262.60662272014</v>
          </cell>
          <cell r="S59">
            <v>442040.49776640005</v>
          </cell>
          <cell r="T59">
            <v>442465.79945472023</v>
          </cell>
          <cell r="U59">
            <v>456210.68120063999</v>
          </cell>
          <cell r="V59">
            <v>462651.44436326413</v>
          </cell>
          <cell r="W59">
            <v>633883.08897791943</v>
          </cell>
        </row>
        <row r="60">
          <cell r="B60" t="str">
            <v>Woodsdale CT 5</v>
          </cell>
          <cell r="C60" t="str">
            <v>CGE</v>
          </cell>
          <cell r="D60">
            <v>342908.91010867216</v>
          </cell>
          <cell r="E60">
            <v>310680.2908692481</v>
          </cell>
          <cell r="F60">
            <v>293677.61220403208</v>
          </cell>
          <cell r="G60">
            <v>339086.80020787189</v>
          </cell>
          <cell r="H60">
            <v>271989.18795264</v>
          </cell>
          <cell r="I60">
            <v>300784.84483276791</v>
          </cell>
          <cell r="J60">
            <v>286327.81047398405</v>
          </cell>
          <cell r="K60">
            <v>299654.67741388793</v>
          </cell>
          <cell r="L60">
            <v>347742.91572326416</v>
          </cell>
          <cell r="M60">
            <v>343281.80229734397</v>
          </cell>
          <cell r="N60">
            <v>363105.76560537599</v>
          </cell>
          <cell r="O60">
            <v>374776.2681446402</v>
          </cell>
          <cell r="P60">
            <v>390940.95534489601</v>
          </cell>
          <cell r="Q60">
            <v>392976.93828710413</v>
          </cell>
          <cell r="R60">
            <v>415262.60662272014</v>
          </cell>
          <cell r="S60">
            <v>442040.49776640005</v>
          </cell>
          <cell r="T60">
            <v>442465.79945472023</v>
          </cell>
          <cell r="U60">
            <v>456210.68120063999</v>
          </cell>
          <cell r="V60">
            <v>462651.44436326413</v>
          </cell>
          <cell r="W60">
            <v>633883.08897791943</v>
          </cell>
        </row>
        <row r="61">
          <cell r="B61" t="str">
            <v>Woodsdale CT 6</v>
          </cell>
          <cell r="C61" t="str">
            <v>CGE</v>
          </cell>
          <cell r="D61">
            <v>342908.91010867216</v>
          </cell>
          <cell r="E61">
            <v>310680.2908692481</v>
          </cell>
          <cell r="F61">
            <v>293677.61220403208</v>
          </cell>
          <cell r="G61">
            <v>339086.80020787189</v>
          </cell>
          <cell r="H61">
            <v>271989.18795264</v>
          </cell>
          <cell r="I61">
            <v>300784.84483276791</v>
          </cell>
          <cell r="J61">
            <v>286327.81047398405</v>
          </cell>
          <cell r="K61">
            <v>299654.67741388793</v>
          </cell>
          <cell r="L61">
            <v>347742.91572326416</v>
          </cell>
          <cell r="M61">
            <v>343281.80229734397</v>
          </cell>
          <cell r="N61">
            <v>363105.76560537599</v>
          </cell>
          <cell r="O61">
            <v>374776.2681446402</v>
          </cell>
          <cell r="P61">
            <v>390940.95534489601</v>
          </cell>
          <cell r="Q61">
            <v>392976.93828710413</v>
          </cell>
          <cell r="R61">
            <v>415262.60662272014</v>
          </cell>
          <cell r="S61">
            <v>442040.49776640005</v>
          </cell>
          <cell r="T61">
            <v>442465.79945472023</v>
          </cell>
          <cell r="U61">
            <v>456210.68120063999</v>
          </cell>
          <cell r="V61">
            <v>462651.44436326413</v>
          </cell>
          <cell r="W61">
            <v>633883.08897791943</v>
          </cell>
        </row>
        <row r="62">
          <cell r="B62" t="str">
            <v>Markland 1 -3</v>
          </cell>
          <cell r="C62" t="str">
            <v>PSI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</sheetData>
      <sheetData sheetId="26">
        <row r="2">
          <cell r="B2" t="str">
            <v>Cayuga 1</v>
          </cell>
          <cell r="C2" t="str">
            <v>PSI</v>
          </cell>
          <cell r="D2">
            <v>15909.763021494527</v>
          </cell>
          <cell r="E2">
            <v>31893.991024714647</v>
          </cell>
          <cell r="F2">
            <v>29788.042908299925</v>
          </cell>
          <cell r="G2">
            <v>28992.822372958577</v>
          </cell>
          <cell r="H2">
            <v>8329.6955466823911</v>
          </cell>
          <cell r="I2">
            <v>5718.0311378621682</v>
          </cell>
          <cell r="J2">
            <v>5048.1399393241163</v>
          </cell>
          <cell r="K2">
            <v>4863.9145295459521</v>
          </cell>
          <cell r="L2">
            <v>4853.0266990758046</v>
          </cell>
          <cell r="M2">
            <v>4824.0829725472977</v>
          </cell>
          <cell r="N2">
            <v>4815.234000351883</v>
          </cell>
          <cell r="O2">
            <v>4837.7502380273036</v>
          </cell>
          <cell r="P2">
            <v>4847.3921859208458</v>
          </cell>
          <cell r="Q2">
            <v>4804.0507551018372</v>
          </cell>
          <cell r="R2">
            <v>4835.6375402400608</v>
          </cell>
          <cell r="S2">
            <v>4839.6160582175871</v>
          </cell>
          <cell r="T2">
            <v>4766.8231437416553</v>
          </cell>
          <cell r="U2">
            <v>4750.4083125765837</v>
          </cell>
          <cell r="V2">
            <v>4750.8764355120475</v>
          </cell>
          <cell r="W2">
            <v>4677.2325354231243</v>
          </cell>
        </row>
        <row r="3">
          <cell r="B3" t="str">
            <v>Cayuga 2</v>
          </cell>
          <cell r="C3" t="str">
            <v>PSI</v>
          </cell>
          <cell r="D3">
            <v>16482.745075033268</v>
          </cell>
          <cell r="E3">
            <v>33866.999858004863</v>
          </cell>
          <cell r="F3">
            <v>31345.723005097985</v>
          </cell>
          <cell r="G3">
            <v>30457.495815032511</v>
          </cell>
          <cell r="H3">
            <v>9118.4899242158754</v>
          </cell>
          <cell r="I3">
            <v>5737.977626837901</v>
          </cell>
          <cell r="J3">
            <v>4973.2597978061394</v>
          </cell>
          <cell r="K3">
            <v>4793.2436466242116</v>
          </cell>
          <cell r="L3">
            <v>4784.2544287582341</v>
          </cell>
          <cell r="M3">
            <v>4757.8253923769225</v>
          </cell>
          <cell r="N3">
            <v>4749.5501161223892</v>
          </cell>
          <cell r="O3">
            <v>4770.3087972816693</v>
          </cell>
          <cell r="P3">
            <v>4780.7960992377539</v>
          </cell>
          <cell r="Q3">
            <v>4739.0980765505738</v>
          </cell>
          <cell r="R3">
            <v>4764.8413239045531</v>
          </cell>
          <cell r="S3">
            <v>4773.62621073426</v>
          </cell>
          <cell r="T3">
            <v>4700.9698482987533</v>
          </cell>
          <cell r="U3">
            <v>4696.032934320403</v>
          </cell>
          <cell r="V3">
            <v>4699.3223708456917</v>
          </cell>
          <cell r="W3">
            <v>4634.4918576319542</v>
          </cell>
        </row>
        <row r="4">
          <cell r="B4" t="str">
            <v>Conesville 4</v>
          </cell>
          <cell r="C4" t="str">
            <v>CGE</v>
          </cell>
          <cell r="D4">
            <v>26864.305641652489</v>
          </cell>
          <cell r="E4">
            <v>27865.797077431449</v>
          </cell>
          <cell r="F4">
            <v>27726.470480965905</v>
          </cell>
          <cell r="G4">
            <v>6205.8677084566179</v>
          </cell>
          <cell r="H4">
            <v>4073.9311179107899</v>
          </cell>
          <cell r="I4">
            <v>3962.027184671228</v>
          </cell>
          <cell r="J4">
            <v>2247.9808120785992</v>
          </cell>
          <cell r="K4">
            <v>2255.1651833281776</v>
          </cell>
          <cell r="L4">
            <v>2233.7474169436859</v>
          </cell>
          <cell r="M4">
            <v>2223.423210625469</v>
          </cell>
          <cell r="N4">
            <v>2219.8982017306294</v>
          </cell>
          <cell r="O4">
            <v>2225.1918251587313</v>
          </cell>
          <cell r="P4">
            <v>2225.5491625375498</v>
          </cell>
          <cell r="Q4">
            <v>2216.2398450985183</v>
          </cell>
          <cell r="R4">
            <v>2222.6012725526843</v>
          </cell>
          <cell r="S4">
            <v>2232.2189393247527</v>
          </cell>
          <cell r="T4">
            <v>2213.6519999278312</v>
          </cell>
          <cell r="U4">
            <v>2210.3145534933528</v>
          </cell>
          <cell r="V4">
            <v>2211.0396335794117</v>
          </cell>
          <cell r="W4">
            <v>2205.6513828247598</v>
          </cell>
        </row>
        <row r="5">
          <cell r="B5" t="str">
            <v>East Bend 2</v>
          </cell>
          <cell r="C5" t="str">
            <v>CGE</v>
          </cell>
          <cell r="D5">
            <v>5103.9901714583966</v>
          </cell>
          <cell r="E5">
            <v>5103.9901714583966</v>
          </cell>
          <cell r="F5">
            <v>5103.9901714583966</v>
          </cell>
          <cell r="G5">
            <v>5095.2603684950955</v>
          </cell>
          <cell r="H5">
            <v>5082.5950468501869</v>
          </cell>
          <cell r="I5">
            <v>5089.764293310348</v>
          </cell>
          <cell r="J5">
            <v>5078.272237766545</v>
          </cell>
          <cell r="K5">
            <v>5049.8424001393842</v>
          </cell>
          <cell r="L5">
            <v>5040.7857720280444</v>
          </cell>
          <cell r="M5">
            <v>5010.4899617148258</v>
          </cell>
          <cell r="N5">
            <v>4981.8708119936746</v>
          </cell>
          <cell r="O5">
            <v>2860.9611432037664</v>
          </cell>
          <cell r="P5">
            <v>2867.1384308037973</v>
          </cell>
          <cell r="Q5">
            <v>2847.2795977966011</v>
          </cell>
          <cell r="R5">
            <v>2861.8014159288655</v>
          </cell>
          <cell r="S5">
            <v>2871.0243221335882</v>
          </cell>
          <cell r="T5">
            <v>2823.0734639137263</v>
          </cell>
          <cell r="U5">
            <v>2832.4340221939779</v>
          </cell>
          <cell r="V5">
            <v>2822.6130377447712</v>
          </cell>
          <cell r="W5">
            <v>2791.5760476884461</v>
          </cell>
        </row>
        <row r="6">
          <cell r="B6" t="str">
            <v>Edwardsport 6</v>
          </cell>
          <cell r="C6" t="str">
            <v>PSI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B7" t="str">
            <v>Edwardsport 7</v>
          </cell>
          <cell r="C7" t="str">
            <v>PSI</v>
          </cell>
          <cell r="D7">
            <v>2876.2187586331715</v>
          </cell>
          <cell r="E7">
            <v>2750.4570193224586</v>
          </cell>
          <cell r="F7">
            <v>2491.5241211630268</v>
          </cell>
          <cell r="G7">
            <v>2503.7743480367321</v>
          </cell>
          <cell r="H7">
            <v>2332.0433430940598</v>
          </cell>
          <cell r="I7">
            <v>2358.3286393446197</v>
          </cell>
          <cell r="J7">
            <v>2290.1659539986704</v>
          </cell>
          <cell r="K7">
            <v>2260.9278672290325</v>
          </cell>
          <cell r="L7">
            <v>2246.0805517968161</v>
          </cell>
          <cell r="M7">
            <v>2253.3447361312346</v>
          </cell>
          <cell r="N7">
            <v>2380.3447410920262</v>
          </cell>
          <cell r="O7">
            <v>2463.985075668726</v>
          </cell>
          <cell r="P7">
            <v>2581.7835214172305</v>
          </cell>
          <cell r="Q7">
            <v>2609.9506742227441</v>
          </cell>
          <cell r="R7">
            <v>2711.4495184235088</v>
          </cell>
          <cell r="S7">
            <v>2820.1419781552827</v>
          </cell>
          <cell r="T7">
            <v>2778.3062221712953</v>
          </cell>
          <cell r="U7">
            <v>2673.8622921851957</v>
          </cell>
          <cell r="V7">
            <v>2776.021123861748</v>
          </cell>
          <cell r="W7">
            <v>2745.5229284000102</v>
          </cell>
        </row>
        <row r="8">
          <cell r="B8" t="str">
            <v>Edwardsport 8</v>
          </cell>
          <cell r="C8" t="str">
            <v>PSI</v>
          </cell>
          <cell r="D8">
            <v>4779.5676875526906</v>
          </cell>
          <cell r="E8">
            <v>4570.6929748241064</v>
          </cell>
          <cell r="F8">
            <v>4140.5273022240754</v>
          </cell>
          <cell r="G8">
            <v>4160.7864909280206</v>
          </cell>
          <cell r="H8">
            <v>3875.4993719761919</v>
          </cell>
          <cell r="I8">
            <v>3919.1841236249743</v>
          </cell>
          <cell r="J8">
            <v>3806.0069810354285</v>
          </cell>
          <cell r="K8">
            <v>3757.380277327075</v>
          </cell>
          <cell r="L8">
            <v>3732.7707950090944</v>
          </cell>
          <cell r="M8">
            <v>3744.8352393825876</v>
          </cell>
          <cell r="N8">
            <v>3955.8981868570872</v>
          </cell>
          <cell r="O8">
            <v>4095.0269971406365</v>
          </cell>
          <cell r="P8">
            <v>4290.5477504684131</v>
          </cell>
          <cell r="Q8">
            <v>4337.4409737884507</v>
          </cell>
          <cell r="R8">
            <v>4506.1006510826655</v>
          </cell>
          <cell r="S8">
            <v>4686.8053252031723</v>
          </cell>
          <cell r="T8">
            <v>4617.4280128430946</v>
          </cell>
          <cell r="U8">
            <v>4443.7092263313316</v>
          </cell>
          <cell r="V8">
            <v>4613.6311019836839</v>
          </cell>
          <cell r="W8">
            <v>4562.9479538944815</v>
          </cell>
        </row>
        <row r="9">
          <cell r="B9" t="str">
            <v>Gallagher 1</v>
          </cell>
          <cell r="C9" t="str">
            <v>PSI</v>
          </cell>
          <cell r="D9">
            <v>4380.6204333340711</v>
          </cell>
          <cell r="E9">
            <v>3968.6687114476872</v>
          </cell>
          <cell r="F9">
            <v>3757.5895118657963</v>
          </cell>
          <cell r="G9">
            <v>3786.2615905149723</v>
          </cell>
          <cell r="H9">
            <v>3573.6043695122162</v>
          </cell>
          <cell r="I9">
            <v>7742.8909050529364</v>
          </cell>
          <cell r="J9">
            <v>7520.0904092838919</v>
          </cell>
          <cell r="K9">
            <v>7230.1496049159023</v>
          </cell>
          <cell r="L9">
            <v>3453.8546770107869</v>
          </cell>
          <cell r="M9">
            <v>3469.2845994020072</v>
          </cell>
          <cell r="N9">
            <v>3538.131651441392</v>
          </cell>
          <cell r="O9">
            <v>3658.4945276866201</v>
          </cell>
          <cell r="P9">
            <v>3726.5817267187067</v>
          </cell>
          <cell r="Q9">
            <v>7808.0720344474948</v>
          </cell>
          <cell r="R9">
            <v>8000.5804496004221</v>
          </cell>
          <cell r="S9">
            <v>8318.0867158422952</v>
          </cell>
          <cell r="T9">
            <v>8359.2878487259077</v>
          </cell>
          <cell r="U9">
            <v>8124.4327055040048</v>
          </cell>
          <cell r="V9">
            <v>8337.7459337384225</v>
          </cell>
          <cell r="W9">
            <v>8380.5184836257522</v>
          </cell>
        </row>
        <row r="10">
          <cell r="B10" t="str">
            <v>Gallagher 2</v>
          </cell>
          <cell r="C10" t="str">
            <v>PSI</v>
          </cell>
          <cell r="D10">
            <v>4517.0003293589943</v>
          </cell>
          <cell r="E10">
            <v>4078.9891552414456</v>
          </cell>
          <cell r="F10">
            <v>3853.4894796604044</v>
          </cell>
          <cell r="G10">
            <v>3890.7265937989227</v>
          </cell>
          <cell r="H10">
            <v>3692.5190800070918</v>
          </cell>
          <cell r="I10">
            <v>8080.5953015733712</v>
          </cell>
          <cell r="J10">
            <v>7837.3230344697877</v>
          </cell>
          <cell r="K10">
            <v>7435.8213693058569</v>
          </cell>
          <cell r="L10">
            <v>3536.2869292601954</v>
          </cell>
          <cell r="M10">
            <v>3569.7430247081111</v>
          </cell>
          <cell r="N10">
            <v>3605.1371276972186</v>
          </cell>
          <cell r="O10">
            <v>3726.5338723498758</v>
          </cell>
          <cell r="P10">
            <v>3776.2855419019679</v>
          </cell>
          <cell r="Q10">
            <v>7900.7330736001195</v>
          </cell>
          <cell r="R10">
            <v>8089.0935961106479</v>
          </cell>
          <cell r="S10">
            <v>8411.9649698121084</v>
          </cell>
          <cell r="T10">
            <v>8446.6548702809287</v>
          </cell>
          <cell r="U10">
            <v>8198.7288792620857</v>
          </cell>
          <cell r="V10">
            <v>8411.7012822708566</v>
          </cell>
          <cell r="W10">
            <v>8483.8485791913608</v>
          </cell>
        </row>
        <row r="11">
          <cell r="B11" t="str">
            <v>Gallagher 3</v>
          </cell>
          <cell r="C11" t="str">
            <v>PSI</v>
          </cell>
          <cell r="D11">
            <v>4450.2933638247096</v>
          </cell>
          <cell r="E11">
            <v>4026.7342831585638</v>
          </cell>
          <cell r="F11">
            <v>3810.3278476973228</v>
          </cell>
          <cell r="G11">
            <v>3840.4746622556977</v>
          </cell>
          <cell r="H11">
            <v>3635.4751157992364</v>
          </cell>
          <cell r="I11">
            <v>7898.9303370510552</v>
          </cell>
          <cell r="J11">
            <v>7691.3194275751966</v>
          </cell>
          <cell r="K11">
            <v>7337.1475291395791</v>
          </cell>
          <cell r="L11">
            <v>3495.5033025355697</v>
          </cell>
          <cell r="M11">
            <v>3520.6639606115327</v>
          </cell>
          <cell r="N11">
            <v>3571.4027484652929</v>
          </cell>
          <cell r="O11">
            <v>3697.1227030431719</v>
          </cell>
          <cell r="P11">
            <v>3755.0271673922634</v>
          </cell>
          <cell r="Q11">
            <v>7852.5069928653529</v>
          </cell>
          <cell r="R11">
            <v>8043.7535222381621</v>
          </cell>
          <cell r="S11">
            <v>8355.2282611725695</v>
          </cell>
          <cell r="T11">
            <v>8408.4075472310396</v>
          </cell>
          <cell r="U11">
            <v>8162.144490320522</v>
          </cell>
          <cell r="V11">
            <v>8369.0427704758931</v>
          </cell>
          <cell r="W11">
            <v>8442.1571036554706</v>
          </cell>
        </row>
        <row r="12">
          <cell r="B12" t="str">
            <v>Gallagher 4</v>
          </cell>
          <cell r="C12" t="str">
            <v>PSI</v>
          </cell>
          <cell r="D12">
            <v>4349.1585751482653</v>
          </cell>
          <cell r="E12">
            <v>3925.6512520113756</v>
          </cell>
          <cell r="F12">
            <v>3706.3853193298787</v>
          </cell>
          <cell r="G12">
            <v>3747.0270635996021</v>
          </cell>
          <cell r="H12">
            <v>3515.8500716243962</v>
          </cell>
          <cell r="I12">
            <v>7595.6753737404706</v>
          </cell>
          <cell r="J12">
            <v>7406.7729090138919</v>
          </cell>
          <cell r="K12">
            <v>7164.7952596728646</v>
          </cell>
          <cell r="L12">
            <v>3428.7923529104819</v>
          </cell>
          <cell r="M12">
            <v>3448.2432782933174</v>
          </cell>
          <cell r="N12">
            <v>3517.6945745078456</v>
          </cell>
          <cell r="O12">
            <v>3634.0595563343009</v>
          </cell>
          <cell r="P12">
            <v>3707.5445013919748</v>
          </cell>
          <cell r="Q12">
            <v>7772.9290928487399</v>
          </cell>
          <cell r="R12">
            <v>7954.5710428494031</v>
          </cell>
          <cell r="S12">
            <v>8271.9180303498288</v>
          </cell>
          <cell r="T12">
            <v>8320.7625806190426</v>
          </cell>
          <cell r="U12">
            <v>8106.9082565140397</v>
          </cell>
          <cell r="V12">
            <v>8321.5463133181183</v>
          </cell>
          <cell r="W12">
            <v>8352.8001408203054</v>
          </cell>
        </row>
        <row r="13">
          <cell r="B13" t="str">
            <v>Gibson 1</v>
          </cell>
          <cell r="C13" t="str">
            <v>PSI</v>
          </cell>
          <cell r="D13">
            <v>25920.802492157221</v>
          </cell>
          <cell r="E13">
            <v>53501.519704542035</v>
          </cell>
          <cell r="F13">
            <v>51978.873531902318</v>
          </cell>
          <cell r="G13">
            <v>50365.662015883107</v>
          </cell>
          <cell r="H13">
            <v>12350.472297874205</v>
          </cell>
          <cell r="I13">
            <v>7410.2559128616422</v>
          </cell>
          <cell r="J13">
            <v>6450.8724201216301</v>
          </cell>
          <cell r="K13">
            <v>6257.8741651836945</v>
          </cell>
          <cell r="L13">
            <v>6246.4875269539716</v>
          </cell>
          <cell r="M13">
            <v>6212.5642594948422</v>
          </cell>
          <cell r="N13">
            <v>6203.2782127692726</v>
          </cell>
          <cell r="O13">
            <v>6230.6560787773142</v>
          </cell>
          <cell r="P13">
            <v>6242.4517458288929</v>
          </cell>
          <cell r="Q13">
            <v>6188.9884379889781</v>
          </cell>
          <cell r="R13">
            <v>6222.4030350550474</v>
          </cell>
          <cell r="S13">
            <v>6233.8281883855116</v>
          </cell>
          <cell r="T13">
            <v>6142.8009722146462</v>
          </cell>
          <cell r="U13">
            <v>6135.1169755185201</v>
          </cell>
          <cell r="V13">
            <v>6140.6756351173726</v>
          </cell>
          <cell r="W13">
            <v>4237.4812164985351</v>
          </cell>
        </row>
        <row r="14">
          <cell r="B14" t="str">
            <v>Gibson 2</v>
          </cell>
          <cell r="C14" t="str">
            <v>PSI</v>
          </cell>
          <cell r="D14">
            <v>26059.948856449973</v>
          </cell>
          <cell r="E14">
            <v>53954.840307260507</v>
          </cell>
          <cell r="F14">
            <v>52433.228714258803</v>
          </cell>
          <cell r="G14">
            <v>51086.835118381641</v>
          </cell>
          <cell r="H14">
            <v>12790.646456183793</v>
          </cell>
          <cell r="I14">
            <v>7427.1829762019579</v>
          </cell>
          <cell r="J14">
            <v>6424.8133308519346</v>
          </cell>
          <cell r="K14">
            <v>6233.4214817821012</v>
          </cell>
          <cell r="L14">
            <v>6221.5284048167141</v>
          </cell>
          <cell r="M14">
            <v>6188.9732136619568</v>
          </cell>
          <cell r="N14">
            <v>6179.461607106985</v>
          </cell>
          <cell r="O14">
            <v>6205.8205076629856</v>
          </cell>
          <cell r="P14">
            <v>6217.5089194397269</v>
          </cell>
          <cell r="Q14">
            <v>6166.2396647883443</v>
          </cell>
          <cell r="R14">
            <v>6198.1865251334712</v>
          </cell>
          <cell r="S14">
            <v>6211.1912289048914</v>
          </cell>
          <cell r="T14">
            <v>6125.3092560796094</v>
          </cell>
          <cell r="U14">
            <v>6113.8392743262257</v>
          </cell>
          <cell r="V14">
            <v>6120.3982458259015</v>
          </cell>
          <cell r="W14">
            <v>4227.9820207967996</v>
          </cell>
        </row>
        <row r="15">
          <cell r="B15" t="str">
            <v>Gibson 3</v>
          </cell>
          <cell r="C15" t="str">
            <v>PSI</v>
          </cell>
          <cell r="D15">
            <v>25384.865705362005</v>
          </cell>
          <cell r="E15">
            <v>52398.8666396197</v>
          </cell>
          <cell r="F15">
            <v>50230.673329502781</v>
          </cell>
          <cell r="G15">
            <v>48213.807923748303</v>
          </cell>
          <cell r="H15">
            <v>11435.620448729405</v>
          </cell>
          <cell r="I15">
            <v>7170.6761227846391</v>
          </cell>
          <cell r="J15">
            <v>6476.9836310787487</v>
          </cell>
          <cell r="K15">
            <v>6325.6667748124337</v>
          </cell>
          <cell r="L15">
            <v>6313.1742839091212</v>
          </cell>
          <cell r="M15">
            <v>6277.3198144042854</v>
          </cell>
          <cell r="N15">
            <v>6266.7914453190551</v>
          </cell>
          <cell r="O15">
            <v>6293.4957135232098</v>
          </cell>
          <cell r="P15">
            <v>6307.8025840100781</v>
          </cell>
          <cell r="Q15">
            <v>6252.0779560164192</v>
          </cell>
          <cell r="R15">
            <v>6286.516908755425</v>
          </cell>
          <cell r="S15">
            <v>6297.6367779875027</v>
          </cell>
          <cell r="T15">
            <v>6200.4466698019778</v>
          </cell>
          <cell r="U15">
            <v>6190.3692878559687</v>
          </cell>
          <cell r="V15">
            <v>6190.1488651562122</v>
          </cell>
          <cell r="W15">
            <v>4267.7729732923908</v>
          </cell>
        </row>
        <row r="16">
          <cell r="B16" t="str">
            <v>Gibson 4</v>
          </cell>
          <cell r="C16" t="str">
            <v>PSI</v>
          </cell>
          <cell r="D16">
            <v>6146.2348229862491</v>
          </cell>
          <cell r="E16">
            <v>6146.2348229862491</v>
          </cell>
          <cell r="F16">
            <v>6146.2348229862491</v>
          </cell>
          <cell r="G16">
            <v>6146.2348229862491</v>
          </cell>
          <cell r="H16">
            <v>6140.8251472785832</v>
          </cell>
          <cell r="I16">
            <v>6143.5337652969956</v>
          </cell>
          <cell r="J16">
            <v>6129.5911267824386</v>
          </cell>
          <cell r="K16">
            <v>6144.4859203903525</v>
          </cell>
          <cell r="L16">
            <v>6086.1389775052885</v>
          </cell>
          <cell r="M16">
            <v>6061.6044754196164</v>
          </cell>
          <cell r="N16">
            <v>6050.6217849155828</v>
          </cell>
          <cell r="O16">
            <v>6061.9565613633395</v>
          </cell>
          <cell r="P16">
            <v>6062.9187547260626</v>
          </cell>
          <cell r="Q16">
            <v>6035.4340041964097</v>
          </cell>
          <cell r="R16">
            <v>6053.2745648509517</v>
          </cell>
          <cell r="S16">
            <v>6078.325379830796</v>
          </cell>
          <cell r="T16">
            <v>6014.2511931388426</v>
          </cell>
          <cell r="U16">
            <v>6011.9242763144666</v>
          </cell>
          <cell r="V16">
            <v>6007.1271443043624</v>
          </cell>
          <cell r="W16">
            <v>4179.7742266178175</v>
          </cell>
        </row>
        <row r="17">
          <cell r="B17" t="str">
            <v>Gibson 5</v>
          </cell>
          <cell r="C17" t="str">
            <v>PSI</v>
          </cell>
          <cell r="D17">
            <v>3139.8243602839875</v>
          </cell>
          <cell r="E17">
            <v>3139.8243602839875</v>
          </cell>
          <cell r="F17">
            <v>3139.8243602839875</v>
          </cell>
          <cell r="G17">
            <v>3139.030498226693</v>
          </cell>
          <cell r="H17">
            <v>3135.223084713547</v>
          </cell>
          <cell r="I17">
            <v>3137.5062842370826</v>
          </cell>
          <cell r="J17">
            <v>3128.9541821571916</v>
          </cell>
          <cell r="K17">
            <v>3138.7764623683593</v>
          </cell>
          <cell r="L17">
            <v>3108.8482792506688</v>
          </cell>
          <cell r="M17">
            <v>3094.1725269103313</v>
          </cell>
          <cell r="N17">
            <v>3086.2102245737442</v>
          </cell>
          <cell r="O17">
            <v>3093.2876998094598</v>
          </cell>
          <cell r="P17">
            <v>3096.0634790470331</v>
          </cell>
          <cell r="Q17">
            <v>3080.0513614437778</v>
          </cell>
          <cell r="R17">
            <v>3088.8586264507608</v>
          </cell>
          <cell r="S17">
            <v>3103.7772105476638</v>
          </cell>
          <cell r="T17">
            <v>3067.1622515628774</v>
          </cell>
          <cell r="U17">
            <v>3068.5125468265919</v>
          </cell>
          <cell r="V17">
            <v>3063.9509749005688</v>
          </cell>
          <cell r="W17">
            <v>2129.6558659953107</v>
          </cell>
        </row>
        <row r="18">
          <cell r="B18" t="str">
            <v>J.M. Stuart 1</v>
          </cell>
          <cell r="C18" t="str">
            <v>CGE</v>
          </cell>
          <cell r="D18">
            <v>9395.6340446065024</v>
          </cell>
          <cell r="E18">
            <v>9392.9314022100261</v>
          </cell>
          <cell r="F18">
            <v>9394.4275078223618</v>
          </cell>
          <cell r="G18">
            <v>9294.5332539682549</v>
          </cell>
          <cell r="H18">
            <v>9166.1562391767729</v>
          </cell>
          <cell r="I18">
            <v>8941.7968449835043</v>
          </cell>
          <cell r="J18">
            <v>8732.9143212488107</v>
          </cell>
          <cell r="K18">
            <v>8634.7577742641879</v>
          </cell>
          <cell r="L18">
            <v>8410.3226621551185</v>
          </cell>
          <cell r="M18">
            <v>8242.8984330911226</v>
          </cell>
          <cell r="N18">
            <v>8172.9712518858014</v>
          </cell>
          <cell r="O18">
            <v>8233.2537044767032</v>
          </cell>
          <cell r="P18">
            <v>8187.1971556142807</v>
          </cell>
          <cell r="Q18">
            <v>7919.2508082051527</v>
          </cell>
          <cell r="R18">
            <v>7922.1080458661017</v>
          </cell>
          <cell r="S18">
            <v>8012.9101607061639</v>
          </cell>
          <cell r="T18">
            <v>7735.9238995936248</v>
          </cell>
          <cell r="U18">
            <v>7475.9357801284468</v>
          </cell>
          <cell r="V18">
            <v>15607.235239849453</v>
          </cell>
          <cell r="W18">
            <v>15778.663369494188</v>
          </cell>
        </row>
        <row r="19">
          <cell r="B19" t="str">
            <v>J.M. Stuart 2</v>
          </cell>
          <cell r="C19" t="str">
            <v>CGE</v>
          </cell>
          <cell r="D19">
            <v>9239.5031088056548</v>
          </cell>
          <cell r="E19">
            <v>9239.5031088056548</v>
          </cell>
          <cell r="F19">
            <v>9239.5031088056548</v>
          </cell>
          <cell r="G19">
            <v>9166.5789389719976</v>
          </cell>
          <cell r="H19">
            <v>9107.9746014820939</v>
          </cell>
          <cell r="I19">
            <v>8954.457918050206</v>
          </cell>
          <cell r="J19">
            <v>8812.3938006605404</v>
          </cell>
          <cell r="K19">
            <v>8696.8881250782852</v>
          </cell>
          <cell r="L19">
            <v>8554.7515163048902</v>
          </cell>
          <cell r="M19">
            <v>8433.3254219712471</v>
          </cell>
          <cell r="N19">
            <v>8299.0206888272587</v>
          </cell>
          <cell r="O19">
            <v>8369.2168566356959</v>
          </cell>
          <cell r="P19">
            <v>8292.3159831797002</v>
          </cell>
          <cell r="Q19">
            <v>8038.7943340663041</v>
          </cell>
          <cell r="R19">
            <v>8034.9584430222094</v>
          </cell>
          <cell r="S19">
            <v>8097.4685911468614</v>
          </cell>
          <cell r="T19">
            <v>7801.8095982336754</v>
          </cell>
          <cell r="U19">
            <v>7538.3080427652121</v>
          </cell>
          <cell r="V19">
            <v>15744.341692031761</v>
          </cell>
          <cell r="W19">
            <v>15916.922869480528</v>
          </cell>
        </row>
        <row r="20">
          <cell r="B20" t="str">
            <v>J.M. Stuart 3</v>
          </cell>
          <cell r="C20" t="str">
            <v>CGE</v>
          </cell>
          <cell r="D20">
            <v>9388.929035093628</v>
          </cell>
          <cell r="E20">
            <v>9386.2283213847622</v>
          </cell>
          <cell r="F20">
            <v>9387.723359330741</v>
          </cell>
          <cell r="G20">
            <v>9293.0568026094679</v>
          </cell>
          <cell r="H20">
            <v>9170.9012366894367</v>
          </cell>
          <cell r="I20">
            <v>8945.8386997143607</v>
          </cell>
          <cell r="J20">
            <v>8739.9784038441849</v>
          </cell>
          <cell r="K20">
            <v>8639.3757171527013</v>
          </cell>
          <cell r="L20">
            <v>8421.444667832684</v>
          </cell>
          <cell r="M20">
            <v>8255.7480326848981</v>
          </cell>
          <cell r="N20">
            <v>8180.4270005852441</v>
          </cell>
          <cell r="O20">
            <v>8237.6628665756361</v>
          </cell>
          <cell r="P20">
            <v>8192.1884237526156</v>
          </cell>
          <cell r="Q20">
            <v>7927.2993193703714</v>
          </cell>
          <cell r="R20">
            <v>7929.0126204997414</v>
          </cell>
          <cell r="S20">
            <v>8017.0766077133103</v>
          </cell>
          <cell r="T20">
            <v>7740.1011665275137</v>
          </cell>
          <cell r="U20">
            <v>7476.1715841147698</v>
          </cell>
          <cell r="V20">
            <v>15621.31301198326</v>
          </cell>
          <cell r="W20">
            <v>15781.396955791763</v>
          </cell>
        </row>
        <row r="21">
          <cell r="B21" t="str">
            <v>J.M. Stuart 4</v>
          </cell>
          <cell r="C21" t="str">
            <v>CGE</v>
          </cell>
          <cell r="D21">
            <v>9372.645440562248</v>
          </cell>
          <cell r="E21">
            <v>9371.4418558509806</v>
          </cell>
          <cell r="F21">
            <v>9372.645440562248</v>
          </cell>
          <cell r="G21">
            <v>9282.9922688665047</v>
          </cell>
          <cell r="H21">
            <v>9169.6325969670725</v>
          </cell>
          <cell r="I21">
            <v>8950.6765392399866</v>
          </cell>
          <cell r="J21">
            <v>8749.6927480235136</v>
          </cell>
          <cell r="K21">
            <v>8652.4768602586664</v>
          </cell>
          <cell r="L21">
            <v>8436.0655685148813</v>
          </cell>
          <cell r="M21">
            <v>8282.1350974062825</v>
          </cell>
          <cell r="N21">
            <v>8193.7703595930452</v>
          </cell>
          <cell r="O21">
            <v>8259.4178282301527</v>
          </cell>
          <cell r="P21">
            <v>8199.0847582257011</v>
          </cell>
          <cell r="Q21">
            <v>7936.8634523227838</v>
          </cell>
          <cell r="R21">
            <v>7943.4372872882604</v>
          </cell>
          <cell r="S21">
            <v>8028.4949895050868</v>
          </cell>
          <cell r="T21">
            <v>7749.813691240317</v>
          </cell>
          <cell r="U21">
            <v>7484.8116196200499</v>
          </cell>
          <cell r="V21">
            <v>15646.572553681224</v>
          </cell>
          <cell r="W21">
            <v>15798.184034213265</v>
          </cell>
        </row>
        <row r="22">
          <cell r="B22" t="str">
            <v>Killen 2</v>
          </cell>
          <cell r="C22" t="str">
            <v>CGE</v>
          </cell>
          <cell r="D22">
            <v>8300.8903619959819</v>
          </cell>
          <cell r="E22">
            <v>8292.6783313677734</v>
          </cell>
          <cell r="F22">
            <v>8270.9501457528368</v>
          </cell>
          <cell r="G22">
            <v>8175.9964082406768</v>
          </cell>
          <cell r="H22">
            <v>7999.3289172086634</v>
          </cell>
          <cell r="I22">
            <v>7784.0701041115335</v>
          </cell>
          <cell r="J22">
            <v>7561.4809921667329</v>
          </cell>
          <cell r="K22">
            <v>7457.0236677269722</v>
          </cell>
          <cell r="L22">
            <v>7236.8497853484714</v>
          </cell>
          <cell r="M22">
            <v>7088.5088991887533</v>
          </cell>
          <cell r="N22">
            <v>7085.6523843788464</v>
          </cell>
          <cell r="O22">
            <v>7132.9040580598803</v>
          </cell>
          <cell r="P22">
            <v>7089.3053478475331</v>
          </cell>
          <cell r="Q22">
            <v>6856.6494667383458</v>
          </cell>
          <cell r="R22">
            <v>6853.0788379714249</v>
          </cell>
          <cell r="S22">
            <v>6950.5806491264666</v>
          </cell>
          <cell r="T22">
            <v>6710.9346077786713</v>
          </cell>
          <cell r="U22">
            <v>6467.4530384521013</v>
          </cell>
          <cell r="V22">
            <v>13351.909473099771</v>
          </cell>
          <cell r="W22">
            <v>13618.809876026846</v>
          </cell>
        </row>
        <row r="23">
          <cell r="B23" t="str">
            <v>Miami Fort 5</v>
          </cell>
          <cell r="C23" t="str">
            <v>CGE</v>
          </cell>
          <cell r="D23">
            <v>2186.9839862470249</v>
          </cell>
          <cell r="E23">
            <v>1930.7234252066401</v>
          </cell>
          <cell r="F23">
            <v>1733.1406691411089</v>
          </cell>
          <cell r="G23">
            <v>1792.312416783506</v>
          </cell>
          <cell r="H23">
            <v>1634.6604189060818</v>
          </cell>
          <cell r="I23">
            <v>1687.0089634430656</v>
          </cell>
          <cell r="J23">
            <v>3363.0692382296088</v>
          </cell>
          <cell r="K23">
            <v>1635.4419103919709</v>
          </cell>
          <cell r="L23">
            <v>1690.6052212430386</v>
          </cell>
          <cell r="M23">
            <v>1696.2546713827594</v>
          </cell>
          <cell r="N23">
            <v>1714.1943289872986</v>
          </cell>
          <cell r="O23">
            <v>1822.6314802697771</v>
          </cell>
          <cell r="P23">
            <v>1902.3334440132958</v>
          </cell>
          <cell r="Q23">
            <v>1937.5005045402932</v>
          </cell>
          <cell r="R23">
            <v>2000.6743976916416</v>
          </cell>
          <cell r="S23">
            <v>4317.3081879974088</v>
          </cell>
          <cell r="T23">
            <v>4399.3089431038388</v>
          </cell>
          <cell r="U23">
            <v>4168.3491928829844</v>
          </cell>
          <cell r="V23">
            <v>4385.5186157770313</v>
          </cell>
          <cell r="W23">
            <v>4384.8917656620497</v>
          </cell>
        </row>
        <row r="24">
          <cell r="B24" t="str">
            <v>Miami Fort 6</v>
          </cell>
          <cell r="C24" t="str">
            <v>CGE</v>
          </cell>
          <cell r="D24">
            <v>6770.3097118033083</v>
          </cell>
          <cell r="E24">
            <v>6472.916107392226</v>
          </cell>
          <cell r="F24">
            <v>6355.9392998957137</v>
          </cell>
          <cell r="G24">
            <v>6316.3424044600824</v>
          </cell>
          <cell r="H24">
            <v>6071.0785643362124</v>
          </cell>
          <cell r="I24">
            <v>5815.2494459362442</v>
          </cell>
          <cell r="J24">
            <v>11487.103369670911</v>
          </cell>
          <cell r="K24">
            <v>5476.6386755590802</v>
          </cell>
          <cell r="L24">
            <v>5258.5229470669947</v>
          </cell>
          <cell r="M24">
            <v>5159.5860574793378</v>
          </cell>
          <cell r="N24">
            <v>5187.0587910251597</v>
          </cell>
          <cell r="O24">
            <v>5238.6390135080255</v>
          </cell>
          <cell r="P24">
            <v>5250.4344536394938</v>
          </cell>
          <cell r="Q24">
            <v>5115.1832040018635</v>
          </cell>
          <cell r="R24">
            <v>5076.9702123168399</v>
          </cell>
          <cell r="S24">
            <v>10856.154971616883</v>
          </cell>
          <cell r="T24">
            <v>10731.538372394689</v>
          </cell>
          <cell r="U24">
            <v>10334.539832739565</v>
          </cell>
          <cell r="V24">
            <v>10520.654678875122</v>
          </cell>
          <cell r="W24">
            <v>10741.97595101295</v>
          </cell>
        </row>
        <row r="25">
          <cell r="B25" t="str">
            <v>Miami Fort 7</v>
          </cell>
          <cell r="C25" t="str">
            <v>CGE</v>
          </cell>
          <cell r="D25">
            <v>12481.301815468358</v>
          </cell>
          <cell r="E25">
            <v>11844.852744742529</v>
          </cell>
          <cell r="F25">
            <v>11655.419613718148</v>
          </cell>
          <cell r="G25">
            <v>11501.24445930742</v>
          </cell>
          <cell r="H25">
            <v>11008.699820841122</v>
          </cell>
          <cell r="I25">
            <v>10326.050637196335</v>
          </cell>
          <cell r="J25">
            <v>21062.906354929564</v>
          </cell>
          <cell r="K25">
            <v>9924.8007366532511</v>
          </cell>
          <cell r="L25">
            <v>9680.805524126934</v>
          </cell>
          <cell r="M25">
            <v>9564.5759901062647</v>
          </cell>
          <cell r="N25">
            <v>9616.1231662567316</v>
          </cell>
          <cell r="O25">
            <v>9779.7831141858023</v>
          </cell>
          <cell r="P25">
            <v>9791.4311563557767</v>
          </cell>
          <cell r="Q25">
            <v>9519.5873726191076</v>
          </cell>
          <cell r="R25">
            <v>9508.5798432567608</v>
          </cell>
          <cell r="S25">
            <v>20340.668469600918</v>
          </cell>
          <cell r="T25">
            <v>20136.70881961441</v>
          </cell>
          <cell r="U25">
            <v>19591.08911112924</v>
          </cell>
          <cell r="V25">
            <v>19921.671519951331</v>
          </cell>
          <cell r="W25">
            <v>20243.718084939312</v>
          </cell>
        </row>
        <row r="26">
          <cell r="B26" t="str">
            <v>Miami Fort 8</v>
          </cell>
          <cell r="C26" t="str">
            <v>CGE</v>
          </cell>
          <cell r="D26">
            <v>12952.684151570842</v>
          </cell>
          <cell r="E26">
            <v>12422.943357102458</v>
          </cell>
          <cell r="F26">
            <v>12386.470734813582</v>
          </cell>
          <cell r="G26">
            <v>12242.286454888485</v>
          </cell>
          <cell r="H26">
            <v>11829.533356631588</v>
          </cell>
          <cell r="I26">
            <v>11434.576626587042</v>
          </cell>
          <cell r="J26">
            <v>23226.850693729426</v>
          </cell>
          <cell r="K26">
            <v>10803.869981479238</v>
          </cell>
          <cell r="L26">
            <v>10402.038430502864</v>
          </cell>
          <cell r="M26">
            <v>10129.265134470665</v>
          </cell>
          <cell r="N26">
            <v>10206.101080394103</v>
          </cell>
          <cell r="O26">
            <v>10326.609581842964</v>
          </cell>
          <cell r="P26">
            <v>10308.770023832823</v>
          </cell>
          <cell r="Q26">
            <v>9967.2437306026859</v>
          </cell>
          <cell r="R26">
            <v>9947.8822216090994</v>
          </cell>
          <cell r="S26">
            <v>21249.800377740081</v>
          </cell>
          <cell r="T26">
            <v>20979.184842449569</v>
          </cell>
          <cell r="U26">
            <v>20256.521383770843</v>
          </cell>
          <cell r="V26">
            <v>20737.241087630151</v>
          </cell>
          <cell r="W26">
            <v>21198.145885574137</v>
          </cell>
        </row>
        <row r="27">
          <cell r="B27" t="str">
            <v>Noblesville 1</v>
          </cell>
          <cell r="C27" t="str">
            <v>PSI</v>
          </cell>
          <cell r="D27">
            <v>1234.2219496057121</v>
          </cell>
          <cell r="E27">
            <v>2327.3104250356787</v>
          </cell>
          <cell r="F27">
            <v>2103.183766245023</v>
          </cell>
          <cell r="G27">
            <v>2150.8402376451877</v>
          </cell>
          <cell r="H27">
            <v>1990.4864503242873</v>
          </cell>
          <cell r="I27">
            <v>2044.6081806887785</v>
          </cell>
          <cell r="J27">
            <v>1946.6022218666212</v>
          </cell>
          <cell r="K27">
            <v>961.91918993543402</v>
          </cell>
          <cell r="L27">
            <v>993.30376866049744</v>
          </cell>
          <cell r="M27">
            <v>1004.3388913585543</v>
          </cell>
          <cell r="N27">
            <v>1029.3590714395336</v>
          </cell>
          <cell r="O27">
            <v>1079.0164565267771</v>
          </cell>
          <cell r="P27">
            <v>1123.8519636495198</v>
          </cell>
          <cell r="Q27">
            <v>1136.0642885915327</v>
          </cell>
          <cell r="R27">
            <v>1171.0953296853795</v>
          </cell>
          <cell r="S27">
            <v>1208.4835618714162</v>
          </cell>
          <cell r="T27">
            <v>1217.0080310316562</v>
          </cell>
          <cell r="U27">
            <v>1170.4146192899614</v>
          </cell>
          <cell r="V27">
            <v>1211.3513405100605</v>
          </cell>
          <cell r="W27">
            <v>2367.8507796124741</v>
          </cell>
        </row>
        <row r="28">
          <cell r="B28" t="str">
            <v>Noblesville 2</v>
          </cell>
          <cell r="C28" t="str">
            <v>PSI</v>
          </cell>
          <cell r="D28">
            <v>1234.2219496057121</v>
          </cell>
          <cell r="E28">
            <v>2327.3104250356787</v>
          </cell>
          <cell r="F28">
            <v>2103.183766245023</v>
          </cell>
          <cell r="G28">
            <v>2150.8402376451877</v>
          </cell>
          <cell r="H28">
            <v>1990.4864503242873</v>
          </cell>
          <cell r="I28">
            <v>2044.6081806887785</v>
          </cell>
          <cell r="J28">
            <v>1946.6022218666212</v>
          </cell>
          <cell r="K28">
            <v>961.91918993543402</v>
          </cell>
          <cell r="L28">
            <v>993.30376866049744</v>
          </cell>
          <cell r="M28">
            <v>1004.3388913585543</v>
          </cell>
          <cell r="N28">
            <v>1029.3590714395336</v>
          </cell>
          <cell r="O28">
            <v>1079.0164565267771</v>
          </cell>
          <cell r="P28">
            <v>1123.8519636495198</v>
          </cell>
          <cell r="Q28">
            <v>1136.0642885915327</v>
          </cell>
          <cell r="R28">
            <v>1171.0953296853795</v>
          </cell>
          <cell r="S28">
            <v>1208.4835618714162</v>
          </cell>
          <cell r="T28">
            <v>1217.0080310316562</v>
          </cell>
          <cell r="U28">
            <v>1170.4146192899614</v>
          </cell>
          <cell r="V28">
            <v>1211.3513405100605</v>
          </cell>
          <cell r="W28">
            <v>2367.8507796124741</v>
          </cell>
        </row>
        <row r="29">
          <cell r="B29" t="str">
            <v>Wabash River 1</v>
          </cell>
          <cell r="C29" t="str">
            <v>PSI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 t="str">
            <v>Wabash River 2</v>
          </cell>
          <cell r="C30" t="str">
            <v>PSI</v>
          </cell>
          <cell r="D30">
            <v>2329.8047752857833</v>
          </cell>
          <cell r="E30">
            <v>4528.2691956060453</v>
          </cell>
          <cell r="F30">
            <v>4159.3074811034467</v>
          </cell>
          <cell r="G30">
            <v>4187.2547802533318</v>
          </cell>
          <cell r="H30">
            <v>3959.2832254119562</v>
          </cell>
          <cell r="I30">
            <v>3984.3060682217783</v>
          </cell>
          <cell r="J30">
            <v>3814.6758267256782</v>
          </cell>
          <cell r="K30">
            <v>1864.2825019945903</v>
          </cell>
          <cell r="L30">
            <v>1864.9246297647967</v>
          </cell>
          <cell r="M30">
            <v>1909.0506484250811</v>
          </cell>
          <cell r="N30">
            <v>1987.8048147412985</v>
          </cell>
          <cell r="O30">
            <v>2061.8406344441232</v>
          </cell>
          <cell r="P30">
            <v>2124.7897491635276</v>
          </cell>
          <cell r="Q30">
            <v>2135.2406324365729</v>
          </cell>
          <cell r="R30">
            <v>2166.454563121742</v>
          </cell>
          <cell r="S30">
            <v>2239.385570129537</v>
          </cell>
          <cell r="T30">
            <v>2231.9442749778427</v>
          </cell>
          <cell r="U30">
            <v>2201.3706819482527</v>
          </cell>
          <cell r="V30">
            <v>2237.3058988453749</v>
          </cell>
          <cell r="W30">
            <v>4400.4167359081948</v>
          </cell>
        </row>
        <row r="31">
          <cell r="B31" t="str">
            <v>Wabash River 3</v>
          </cell>
          <cell r="C31" t="str">
            <v>PSI</v>
          </cell>
          <cell r="D31">
            <v>2339.9495585496547</v>
          </cell>
          <cell r="E31">
            <v>4563.1940846040143</v>
          </cell>
          <cell r="F31">
            <v>4198.5886600829954</v>
          </cell>
          <cell r="G31">
            <v>4224.8260712006731</v>
          </cell>
          <cell r="H31">
            <v>3987.5452879397112</v>
          </cell>
          <cell r="I31">
            <v>4012.7231044271284</v>
          </cell>
          <cell r="J31">
            <v>3871.4368131962569</v>
          </cell>
          <cell r="K31">
            <v>1883.0181384542441</v>
          </cell>
          <cell r="L31">
            <v>1881.0220099233923</v>
          </cell>
          <cell r="M31">
            <v>1930.3949171232982</v>
          </cell>
          <cell r="N31">
            <v>2007.0009615542576</v>
          </cell>
          <cell r="O31">
            <v>2081.5933281394027</v>
          </cell>
          <cell r="P31">
            <v>2136.1997623699299</v>
          </cell>
          <cell r="Q31">
            <v>2152.4851762676644</v>
          </cell>
          <cell r="R31">
            <v>2172.84069138616</v>
          </cell>
          <cell r="S31">
            <v>2247.898678321204</v>
          </cell>
          <cell r="T31">
            <v>2245.8573671220261</v>
          </cell>
          <cell r="U31">
            <v>2206.4590581681823</v>
          </cell>
          <cell r="V31">
            <v>2240.8104810395248</v>
          </cell>
          <cell r="W31">
            <v>4427.7765323315898</v>
          </cell>
        </row>
        <row r="32">
          <cell r="B32" t="str">
            <v>Wabash River 4</v>
          </cell>
          <cell r="C32" t="str">
            <v>PSI</v>
          </cell>
          <cell r="D32">
            <v>2393.0638017241999</v>
          </cell>
          <cell r="E32">
            <v>4737.7766544912629</v>
          </cell>
          <cell r="F32">
            <v>4402.3582710184428</v>
          </cell>
          <cell r="G32">
            <v>4352.6144691190075</v>
          </cell>
          <cell r="H32">
            <v>4093.8833862657257</v>
          </cell>
          <cell r="I32">
            <v>4109.7082445023243</v>
          </cell>
          <cell r="J32">
            <v>3975.8456666512411</v>
          </cell>
          <cell r="K32">
            <v>1935.7906668880014</v>
          </cell>
          <cell r="L32">
            <v>1935.1317181364805</v>
          </cell>
          <cell r="M32">
            <v>1984.7196346490018</v>
          </cell>
          <cell r="N32">
            <v>2050.8992719263911</v>
          </cell>
          <cell r="O32">
            <v>2124.3484481751912</v>
          </cell>
          <cell r="P32">
            <v>2174.376581746923</v>
          </cell>
          <cell r="Q32">
            <v>2194.1591027510476</v>
          </cell>
          <cell r="R32">
            <v>2206.2328210206538</v>
          </cell>
          <cell r="S32">
            <v>2281.6825528691065</v>
          </cell>
          <cell r="T32">
            <v>2272.8615860477148</v>
          </cell>
          <cell r="U32">
            <v>2230.5116951087198</v>
          </cell>
          <cell r="V32">
            <v>2252.2228649546096</v>
          </cell>
          <cell r="W32">
            <v>4487.1449778069364</v>
          </cell>
        </row>
        <row r="33">
          <cell r="B33" t="str">
            <v>Wabash River 5</v>
          </cell>
          <cell r="C33" t="str">
            <v>PSI</v>
          </cell>
          <cell r="D33">
            <v>2651.2049372990018</v>
          </cell>
          <cell r="E33">
            <v>5217.3261036538861</v>
          </cell>
          <cell r="F33">
            <v>4839.0596323369928</v>
          </cell>
          <cell r="G33">
            <v>4808.9760693430771</v>
          </cell>
          <cell r="H33">
            <v>4535.2690128241029</v>
          </cell>
          <cell r="I33">
            <v>4565.5814452485483</v>
          </cell>
          <cell r="J33">
            <v>4413.7184669907238</v>
          </cell>
          <cell r="K33">
            <v>2146.621969612384</v>
          </cell>
          <cell r="L33">
            <v>2143.6973103938849</v>
          </cell>
          <cell r="M33">
            <v>2199.2503803617797</v>
          </cell>
          <cell r="N33">
            <v>2274.0991677020993</v>
          </cell>
          <cell r="O33">
            <v>2356.3349538568132</v>
          </cell>
          <cell r="P33">
            <v>2417.1418611424683</v>
          </cell>
          <cell r="Q33">
            <v>2435.9243254787812</v>
          </cell>
          <cell r="R33">
            <v>2453.6721296885707</v>
          </cell>
          <cell r="S33">
            <v>2534.6436183124879</v>
          </cell>
          <cell r="T33">
            <v>2525.3088793541024</v>
          </cell>
          <cell r="U33">
            <v>2481.847964964833</v>
          </cell>
          <cell r="V33">
            <v>2510.2239156832893</v>
          </cell>
          <cell r="W33">
            <v>4990.2438309499967</v>
          </cell>
        </row>
        <row r="34">
          <cell r="B34" t="str">
            <v>Wabash River 6</v>
          </cell>
          <cell r="C34" t="str">
            <v>PSI</v>
          </cell>
          <cell r="D34">
            <v>8416.0357483663029</v>
          </cell>
          <cell r="E34">
            <v>16568.535114792448</v>
          </cell>
          <cell r="F34">
            <v>15513.782310860846</v>
          </cell>
          <cell r="G34">
            <v>15431.859902302211</v>
          </cell>
          <cell r="H34">
            <v>14469.188439988642</v>
          </cell>
          <cell r="I34">
            <v>14576.15283686763</v>
          </cell>
          <cell r="J34">
            <v>14322.811155568403</v>
          </cell>
          <cell r="K34">
            <v>6905.6926658602033</v>
          </cell>
          <cell r="L34">
            <v>6901.810103922794</v>
          </cell>
          <cell r="M34">
            <v>7039.5553933688007</v>
          </cell>
          <cell r="N34">
            <v>7289.385269949501</v>
          </cell>
          <cell r="O34">
            <v>7582.839481982659</v>
          </cell>
          <cell r="P34">
            <v>7761.5454522282262</v>
          </cell>
          <cell r="Q34">
            <v>7801.9382177981233</v>
          </cell>
          <cell r="R34">
            <v>7879.3002797041399</v>
          </cell>
          <cell r="S34">
            <v>8147.9787621517453</v>
          </cell>
          <cell r="T34">
            <v>8121.1741030106341</v>
          </cell>
          <cell r="U34">
            <v>7966.356734289513</v>
          </cell>
          <cell r="V34">
            <v>8032.2188960443018</v>
          </cell>
          <cell r="W34">
            <v>15925.209126340722</v>
          </cell>
        </row>
        <row r="35">
          <cell r="B35" t="str">
            <v>W.C. Beckjord 1</v>
          </cell>
          <cell r="C35" t="str">
            <v>CGE</v>
          </cell>
          <cell r="D35">
            <v>3086.6395561884619</v>
          </cell>
          <cell r="E35">
            <v>2790.7432431848824</v>
          </cell>
          <cell r="F35">
            <v>2642.9628461373854</v>
          </cell>
          <cell r="G35">
            <v>2634.0605060712032</v>
          </cell>
          <cell r="H35">
            <v>2490.9517820512851</v>
          </cell>
          <cell r="I35">
            <v>2422.3832542054884</v>
          </cell>
          <cell r="J35">
            <v>2308.0667129952099</v>
          </cell>
          <cell r="K35">
            <v>2329.6273041592144</v>
          </cell>
          <cell r="L35">
            <v>2365.5713136082641</v>
          </cell>
          <cell r="M35">
            <v>2424.3556368738818</v>
          </cell>
          <cell r="N35">
            <v>2453.3624136004105</v>
          </cell>
          <cell r="O35">
            <v>2530.0826791071786</v>
          </cell>
          <cell r="P35">
            <v>2576.1069650773552</v>
          </cell>
          <cell r="Q35">
            <v>2579.9794085208382</v>
          </cell>
          <cell r="R35">
            <v>2586.9898202322015</v>
          </cell>
          <cell r="S35">
            <v>2665.7104595463629</v>
          </cell>
          <cell r="T35">
            <v>5548.1974806152793</v>
          </cell>
          <cell r="U35">
            <v>2592.1172602027182</v>
          </cell>
          <cell r="V35">
            <v>5564.3450595728646</v>
          </cell>
          <cell r="W35">
            <v>5607.9664929617929</v>
          </cell>
        </row>
        <row r="36">
          <cell r="B36" t="str">
            <v>W.C. Beckjord 2</v>
          </cell>
          <cell r="C36" t="str">
            <v>CGE</v>
          </cell>
          <cell r="D36">
            <v>3606.1930930996577</v>
          </cell>
          <cell r="E36">
            <v>3295.1800175729568</v>
          </cell>
          <cell r="F36">
            <v>3164.4481971305531</v>
          </cell>
          <cell r="G36">
            <v>3111.7282277875383</v>
          </cell>
          <cell r="H36">
            <v>2943.6565801997876</v>
          </cell>
          <cell r="I36">
            <v>2826.7289539531926</v>
          </cell>
          <cell r="J36">
            <v>2700.233564526503</v>
          </cell>
          <cell r="K36">
            <v>2732.7698584470077</v>
          </cell>
          <cell r="L36">
            <v>2673.0819644495041</v>
          </cell>
          <cell r="M36">
            <v>2693.1704681342521</v>
          </cell>
          <cell r="N36">
            <v>2707.2578172891122</v>
          </cell>
          <cell r="O36">
            <v>2777.1260425416999</v>
          </cell>
          <cell r="P36">
            <v>2795.7744422329083</v>
          </cell>
          <cell r="Q36">
            <v>2754.2205274629709</v>
          </cell>
          <cell r="R36">
            <v>2737.5766773663131</v>
          </cell>
          <cell r="S36">
            <v>2806.5194128926273</v>
          </cell>
          <cell r="T36">
            <v>5783.7299118799774</v>
          </cell>
          <cell r="U36">
            <v>2683.6378601353977</v>
          </cell>
          <cell r="V36">
            <v>5748.0280706449503</v>
          </cell>
          <cell r="W36">
            <v>5804.3218195221989</v>
          </cell>
        </row>
        <row r="37">
          <cell r="B37" t="str">
            <v>W.C. Beckjord 3</v>
          </cell>
          <cell r="C37" t="str">
            <v>CGE</v>
          </cell>
          <cell r="D37">
            <v>5371.9661192530266</v>
          </cell>
          <cell r="E37">
            <v>5127.1668747443437</v>
          </cell>
          <cell r="F37">
            <v>5032.9643422219724</v>
          </cell>
          <cell r="G37">
            <v>4953.9984658952781</v>
          </cell>
          <cell r="H37">
            <v>4745.4763991990294</v>
          </cell>
          <cell r="I37">
            <v>4503.5723869519907</v>
          </cell>
          <cell r="J37">
            <v>4192.3053266026118</v>
          </cell>
          <cell r="K37">
            <v>4234.511574806008</v>
          </cell>
          <cell r="L37">
            <v>4057.9759391205212</v>
          </cell>
          <cell r="M37">
            <v>4045.1077498757113</v>
          </cell>
          <cell r="N37">
            <v>4039.1437877970952</v>
          </cell>
          <cell r="O37">
            <v>4080.2989375961029</v>
          </cell>
          <cell r="P37">
            <v>4099.2113969910088</v>
          </cell>
          <cell r="Q37">
            <v>4017.3831918308988</v>
          </cell>
          <cell r="R37">
            <v>3983.2764525326061</v>
          </cell>
          <cell r="S37">
            <v>4047.1411183361688</v>
          </cell>
          <cell r="T37">
            <v>8239.6045877165252</v>
          </cell>
          <cell r="U37">
            <v>3825.341733232372</v>
          </cell>
          <cell r="V37">
            <v>8110.1215705028571</v>
          </cell>
          <cell r="W37">
            <v>8243.6367171228103</v>
          </cell>
        </row>
        <row r="38">
          <cell r="B38" t="str">
            <v>W.C. Beckjord 4</v>
          </cell>
          <cell r="C38" t="str">
            <v>CGE</v>
          </cell>
          <cell r="D38">
            <v>6383.8859756044958</v>
          </cell>
          <cell r="E38">
            <v>6295.237553807624</v>
          </cell>
          <cell r="F38">
            <v>6183.2212854781756</v>
          </cell>
          <cell r="G38">
            <v>6060.6398233210157</v>
          </cell>
          <cell r="H38">
            <v>5888.8436745259378</v>
          </cell>
          <cell r="I38">
            <v>5700.1058113785939</v>
          </cell>
          <cell r="J38">
            <v>5406.2073365920933</v>
          </cell>
          <cell r="K38">
            <v>5358.4008424046624</v>
          </cell>
          <cell r="L38">
            <v>5147.985672543542</v>
          </cell>
          <cell r="M38">
            <v>5099.3175548554427</v>
          </cell>
          <cell r="N38">
            <v>5071.3007445423927</v>
          </cell>
          <cell r="O38">
            <v>5094.1484108051445</v>
          </cell>
          <cell r="P38">
            <v>5077.4914254106707</v>
          </cell>
          <cell r="Q38">
            <v>4963.1036074323974</v>
          </cell>
          <cell r="R38">
            <v>4911.5187710342925</v>
          </cell>
          <cell r="S38">
            <v>4992.6042748369955</v>
          </cell>
          <cell r="T38">
            <v>10096.632568833124</v>
          </cell>
          <cell r="U38">
            <v>4645.0316985542913</v>
          </cell>
          <cell r="V38">
            <v>9921.9569232662197</v>
          </cell>
          <cell r="W38">
            <v>10106.547709931576</v>
          </cell>
        </row>
        <row r="39">
          <cell r="B39" t="str">
            <v>W.C. Beckjord 5</v>
          </cell>
          <cell r="C39" t="str">
            <v>CGE</v>
          </cell>
          <cell r="D39">
            <v>10065.504806673403</v>
          </cell>
          <cell r="E39">
            <v>9648.6335839818912</v>
          </cell>
          <cell r="F39">
            <v>9523.7050031075632</v>
          </cell>
          <cell r="G39">
            <v>9338.5392030718012</v>
          </cell>
          <cell r="H39">
            <v>9049.051692765659</v>
          </cell>
          <cell r="I39">
            <v>8701.6909940515125</v>
          </cell>
          <cell r="J39">
            <v>8166.1184447902724</v>
          </cell>
          <cell r="K39">
            <v>8103.0545022663728</v>
          </cell>
          <cell r="L39">
            <v>7753.5956052304509</v>
          </cell>
          <cell r="M39">
            <v>7586.8657165412978</v>
          </cell>
          <cell r="N39">
            <v>7629.460075770703</v>
          </cell>
          <cell r="O39">
            <v>7686.9304850389835</v>
          </cell>
          <cell r="P39">
            <v>7705.2865048543727</v>
          </cell>
          <cell r="Q39">
            <v>7513.2065830227975</v>
          </cell>
          <cell r="R39">
            <v>7459.9269071731997</v>
          </cell>
          <cell r="S39">
            <v>7560.9598538800819</v>
          </cell>
          <cell r="T39">
            <v>15367.978017807689</v>
          </cell>
          <cell r="U39">
            <v>7075.4424053770445</v>
          </cell>
          <cell r="V39">
            <v>15133.086687659188</v>
          </cell>
          <cell r="W39">
            <v>15470.447817544478</v>
          </cell>
        </row>
        <row r="40">
          <cell r="B40" t="str">
            <v>W.C. Beckjord 6</v>
          </cell>
          <cell r="C40" t="str">
            <v>CGE</v>
          </cell>
          <cell r="D40">
            <v>6393.2600400454339</v>
          </cell>
          <cell r="E40">
            <v>6132.2448563487105</v>
          </cell>
          <cell r="F40">
            <v>6095.331787146245</v>
          </cell>
          <cell r="G40">
            <v>6019.3393479928991</v>
          </cell>
          <cell r="H40">
            <v>5819.4720158414239</v>
          </cell>
          <cell r="I40">
            <v>5611.4643225781692</v>
          </cell>
          <cell r="J40">
            <v>5338.0434317924237</v>
          </cell>
          <cell r="K40">
            <v>5286.6051243091606</v>
          </cell>
          <cell r="L40">
            <v>5075.8948899710913</v>
          </cell>
          <cell r="M40">
            <v>4952.8715424927668</v>
          </cell>
          <cell r="N40">
            <v>4994.2984357020187</v>
          </cell>
          <cell r="O40">
            <v>5064.7727318865809</v>
          </cell>
          <cell r="P40">
            <v>5059.595586445419</v>
          </cell>
          <cell r="Q40">
            <v>4888.4467971841177</v>
          </cell>
          <cell r="R40">
            <v>4883.1487753871543</v>
          </cell>
          <cell r="S40">
            <v>4985.8933646532114</v>
          </cell>
          <cell r="T40">
            <v>10108.043930492142</v>
          </cell>
          <cell r="U40">
            <v>4698.5175058021832</v>
          </cell>
          <cell r="V40">
            <v>9977.9039447807572</v>
          </cell>
          <cell r="W40">
            <v>10221.984268859464</v>
          </cell>
        </row>
        <row r="41">
          <cell r="B41" t="str">
            <v>W.H. Zimmer 1</v>
          </cell>
          <cell r="C41" t="str">
            <v>CGE</v>
          </cell>
          <cell r="D41">
            <v>6754.4343327188062</v>
          </cell>
          <cell r="E41">
            <v>6754.4343327188062</v>
          </cell>
          <cell r="F41">
            <v>6754.4343327188062</v>
          </cell>
          <cell r="G41">
            <v>6752.6472277074672</v>
          </cell>
          <cell r="H41">
            <v>6742.8626977585991</v>
          </cell>
          <cell r="I41">
            <v>6748.7422519324991</v>
          </cell>
          <cell r="J41">
            <v>6729.7448013521425</v>
          </cell>
          <cell r="K41">
            <v>6688.9971522535288</v>
          </cell>
          <cell r="L41">
            <v>6681.0728325679238</v>
          </cell>
          <cell r="M41">
            <v>6652.8892103850503</v>
          </cell>
          <cell r="N41">
            <v>6632.399661394692</v>
          </cell>
          <cell r="O41">
            <v>6651.6241783756959</v>
          </cell>
          <cell r="P41">
            <v>3808.0399204606151</v>
          </cell>
          <cell r="Q41">
            <v>3787.5917484679903</v>
          </cell>
          <cell r="R41">
            <v>3799.7026464898854</v>
          </cell>
          <cell r="S41">
            <v>3818.3724777998455</v>
          </cell>
          <cell r="T41">
            <v>3775.4193106101961</v>
          </cell>
          <cell r="U41">
            <v>3776.2423411239329</v>
          </cell>
          <cell r="V41">
            <v>3771.4253009290305</v>
          </cell>
          <cell r="W41">
            <v>3754.8246373635902</v>
          </cell>
        </row>
        <row r="42">
          <cell r="B42" t="str">
            <v>Cayuga Diesel 3A-D</v>
          </cell>
          <cell r="C42" t="str">
            <v>PSI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B43" t="str">
            <v>Cayuga CT 4</v>
          </cell>
          <cell r="C43" t="str">
            <v>PSI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B44" t="str">
            <v>Connersville CT 1</v>
          </cell>
          <cell r="C44" t="str">
            <v>PSI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B45" t="str">
            <v>Connersville CT 2</v>
          </cell>
          <cell r="C45" t="str">
            <v>PSI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B46" t="str">
            <v>Dicks Creek CT 1</v>
          </cell>
          <cell r="C46" t="str">
            <v>CGE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B47" t="str">
            <v>Dicks Creek CT 3</v>
          </cell>
          <cell r="C47" t="str">
            <v>CGE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B48" t="str">
            <v>Dicks Creek CT 4-5</v>
          </cell>
          <cell r="C48" t="str">
            <v>CGE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B49" t="str">
            <v>Miami Fort CT 3-6</v>
          </cell>
          <cell r="C49" t="str">
            <v>CGE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B50" t="str">
            <v>Miami-Wabash CT 1-6</v>
          </cell>
          <cell r="C50" t="str">
            <v>PSI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B51" t="str">
            <v>Wabash Diesel 7A-B</v>
          </cell>
          <cell r="C51" t="str">
            <v>PSI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B52" t="str">
            <v>W.C. Beckjord CT 1</v>
          </cell>
          <cell r="C52" t="str">
            <v>CGE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B53" t="str">
            <v>W.C. Beckjord CT 2</v>
          </cell>
          <cell r="C53" t="str">
            <v>CGE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B54" t="str">
            <v>W.C. Beckjord CT 3</v>
          </cell>
          <cell r="C54" t="str">
            <v>CGE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 t="str">
            <v>W.C. Beckjord CT 4</v>
          </cell>
          <cell r="C55" t="str">
            <v>CGE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 t="str">
            <v>Woodsdale CT 1</v>
          </cell>
          <cell r="C56" t="str">
            <v>CGE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 t="str">
            <v>Woodsdale CT 2</v>
          </cell>
          <cell r="C57" t="str">
            <v>CGE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 t="str">
            <v>Woodsdale CT 3</v>
          </cell>
          <cell r="C58" t="str">
            <v>CGE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 t="str">
            <v>Woodsdale CT 4</v>
          </cell>
          <cell r="C59" t="str">
            <v>CGE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 t="str">
            <v>Woodsdale CT 5</v>
          </cell>
          <cell r="C60" t="str">
            <v>CGE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 t="str">
            <v>Woodsdale CT 6</v>
          </cell>
          <cell r="C61" t="str">
            <v>CGE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 t="str">
            <v>Markland 1 -3</v>
          </cell>
          <cell r="C62" t="str">
            <v>PSI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</sheetData>
      <sheetData sheetId="27">
        <row r="2">
          <cell r="B2" t="str">
            <v>Cayuga 1</v>
          </cell>
          <cell r="C2" t="str">
            <v>PSI</v>
          </cell>
          <cell r="D2">
            <v>1690.8012487384249</v>
          </cell>
          <cell r="E2">
            <v>1639.8177890808174</v>
          </cell>
          <cell r="F2">
            <v>1538.6925367080109</v>
          </cell>
          <cell r="G2">
            <v>1489.9859101496925</v>
          </cell>
          <cell r="H2">
            <v>2422.791273078014</v>
          </cell>
          <cell r="I2">
            <v>2524.2227039073837</v>
          </cell>
          <cell r="J2">
            <v>2587.3459446368556</v>
          </cell>
          <cell r="K2">
            <v>2576.6040356346853</v>
          </cell>
          <cell r="L2">
            <v>2557.7984599425822</v>
          </cell>
          <cell r="M2">
            <v>2537.2187153799709</v>
          </cell>
          <cell r="N2">
            <v>2527.2717813161535</v>
          </cell>
          <cell r="O2">
            <v>2555.7423730044661</v>
          </cell>
          <cell r="P2">
            <v>2567.2870437916808</v>
          </cell>
          <cell r="Q2">
            <v>2532.3988083628428</v>
          </cell>
          <cell r="R2">
            <v>2557.3909420564773</v>
          </cell>
          <cell r="S2">
            <v>2556.3727083014105</v>
          </cell>
          <cell r="T2">
            <v>2502.8725191349067</v>
          </cell>
          <cell r="U2">
            <v>2476.7921307712572</v>
          </cell>
          <cell r="V2">
            <v>2485.0863906960976</v>
          </cell>
          <cell r="W2">
            <v>2420.844067089949</v>
          </cell>
        </row>
        <row r="3">
          <cell r="B3" t="str">
            <v>Cayuga 2</v>
          </cell>
          <cell r="C3" t="str">
            <v>PSI</v>
          </cell>
          <cell r="D3">
            <v>1820.3992826347032</v>
          </cell>
          <cell r="E3">
            <v>1827.3928928965083</v>
          </cell>
          <cell r="F3">
            <v>1678.896766955982</v>
          </cell>
          <cell r="G3">
            <v>1616.216639571483</v>
          </cell>
          <cell r="H3">
            <v>2402.4194908919117</v>
          </cell>
          <cell r="I3">
            <v>2559.1628961463834</v>
          </cell>
          <cell r="J3">
            <v>2621.042746789522</v>
          </cell>
          <cell r="K3">
            <v>2601.7203595970645</v>
          </cell>
          <cell r="L3">
            <v>2595.1900591600402</v>
          </cell>
          <cell r="M3">
            <v>2575.1684413789703</v>
          </cell>
          <cell r="N3">
            <v>2565.6228448806378</v>
          </cell>
          <cell r="O3">
            <v>2591.1555416117371</v>
          </cell>
          <cell r="P3">
            <v>2601.6650633463696</v>
          </cell>
          <cell r="Q3">
            <v>2566.1646422310241</v>
          </cell>
          <cell r="R3">
            <v>2585.4695423747803</v>
          </cell>
          <cell r="S3">
            <v>2591.7304620708042</v>
          </cell>
          <cell r="T3">
            <v>2530.130852455593</v>
          </cell>
          <cell r="U3">
            <v>2519.7781720079215</v>
          </cell>
          <cell r="V3">
            <v>2531.272941657071</v>
          </cell>
          <cell r="W3">
            <v>2473.4712792580917</v>
          </cell>
        </row>
        <row r="4">
          <cell r="B4" t="str">
            <v>Conesville 4</v>
          </cell>
          <cell r="C4" t="str">
            <v>CGE</v>
          </cell>
          <cell r="D4">
            <v>1938.0302877618276</v>
          </cell>
          <cell r="E4">
            <v>2106.5101154258073</v>
          </cell>
          <cell r="F4">
            <v>2085.3036158846103</v>
          </cell>
          <cell r="G4">
            <v>2196.8968857058185</v>
          </cell>
          <cell r="H4">
            <v>2203.3264864032039</v>
          </cell>
          <cell r="I4">
            <v>2223.4954274492957</v>
          </cell>
          <cell r="J4">
            <v>2211.8966076300612</v>
          </cell>
          <cell r="K4">
            <v>2224.5016922876198</v>
          </cell>
          <cell r="L4">
            <v>2209.7035798537345</v>
          </cell>
          <cell r="M4">
            <v>2197.5399901900137</v>
          </cell>
          <cell r="N4">
            <v>2190.7134781987752</v>
          </cell>
          <cell r="O4">
            <v>2200.6448986642081</v>
          </cell>
          <cell r="P4">
            <v>2202.4202645013247</v>
          </cell>
          <cell r="Q4">
            <v>2187.0918756168217</v>
          </cell>
          <cell r="R4">
            <v>2198.3847459518934</v>
          </cell>
          <cell r="S4">
            <v>2212.734061635364</v>
          </cell>
          <cell r="T4">
            <v>2183.6350926937339</v>
          </cell>
          <cell r="U4">
            <v>2176.8111259063116</v>
          </cell>
          <cell r="V4">
            <v>2180.8919368289817</v>
          </cell>
          <cell r="W4">
            <v>2169.6316276521843</v>
          </cell>
        </row>
        <row r="5">
          <cell r="B5" t="str">
            <v>East Bend 2</v>
          </cell>
          <cell r="C5" t="str">
            <v>CGE</v>
          </cell>
          <cell r="D5">
            <v>2765.813322795786</v>
          </cell>
          <cell r="E5">
            <v>2765.813322795786</v>
          </cell>
          <cell r="F5">
            <v>2765.813322795786</v>
          </cell>
          <cell r="G5">
            <v>2756.619972771387</v>
          </cell>
          <cell r="H5">
            <v>2741.3964414349034</v>
          </cell>
          <cell r="I5">
            <v>2751.5334043512407</v>
          </cell>
          <cell r="J5">
            <v>2741.6404690191894</v>
          </cell>
          <cell r="K5">
            <v>2738.8433815924909</v>
          </cell>
          <cell r="L5">
            <v>2736.6186666127173</v>
          </cell>
          <cell r="M5">
            <v>2716.3637679760409</v>
          </cell>
          <cell r="N5">
            <v>2687.5712414692202</v>
          </cell>
          <cell r="O5">
            <v>2708.7021302752373</v>
          </cell>
          <cell r="P5">
            <v>2721.0594225164837</v>
          </cell>
          <cell r="Q5">
            <v>2692.2123252799506</v>
          </cell>
          <cell r="R5">
            <v>2711.0199528114103</v>
          </cell>
          <cell r="S5">
            <v>2723.1466347339897</v>
          </cell>
          <cell r="T5">
            <v>2652.6122772544909</v>
          </cell>
          <cell r="U5">
            <v>2663.5038951897382</v>
          </cell>
          <cell r="V5">
            <v>2655.9520517468809</v>
          </cell>
          <cell r="W5">
            <v>2607.9608520563361</v>
          </cell>
        </row>
        <row r="6">
          <cell r="B6" t="str">
            <v>Edwardsport 6</v>
          </cell>
          <cell r="C6" t="str">
            <v>PSI</v>
          </cell>
          <cell r="D6">
            <v>110.93291166547429</v>
          </cell>
          <cell r="E6">
            <v>86.409605760290091</v>
          </cell>
          <cell r="F6">
            <v>79.765112734153433</v>
          </cell>
          <cell r="G6">
            <v>85.525453699191814</v>
          </cell>
          <cell r="H6">
            <v>75.838114839461184</v>
          </cell>
          <cell r="I6">
            <v>80.503454442235508</v>
          </cell>
          <cell r="J6">
            <v>78.588686836586845</v>
          </cell>
          <cell r="K6">
            <v>85.304802318850037</v>
          </cell>
          <cell r="L6">
            <v>94.457594875197685</v>
          </cell>
          <cell r="M6">
            <v>103.7735357134172</v>
          </cell>
          <cell r="N6">
            <v>103.18581227602137</v>
          </cell>
          <cell r="O6">
            <v>96.61596433807955</v>
          </cell>
          <cell r="P6">
            <v>102.38896915557687</v>
          </cell>
          <cell r="Q6">
            <v>106.79881744632678</v>
          </cell>
          <cell r="R6">
            <v>106.11010711269786</v>
          </cell>
          <cell r="S6">
            <v>109.73797355002546</v>
          </cell>
          <cell r="T6">
            <v>114.34875225700539</v>
          </cell>
          <cell r="U6">
            <v>114.81305535483527</v>
          </cell>
          <cell r="V6">
            <v>109.54159075887347</v>
          </cell>
          <cell r="W6">
            <v>122.27847542949549</v>
          </cell>
        </row>
        <row r="7">
          <cell r="B7" t="str">
            <v>Edwardsport 7</v>
          </cell>
          <cell r="C7" t="str">
            <v>PSI</v>
          </cell>
          <cell r="D7">
            <v>379.2005605933536</v>
          </cell>
          <cell r="E7">
            <v>364.89740313775962</v>
          </cell>
          <cell r="F7">
            <v>332.6450791415424</v>
          </cell>
          <cell r="G7">
            <v>331.67864608583875</v>
          </cell>
          <cell r="H7">
            <v>305.51964820968726</v>
          </cell>
          <cell r="I7">
            <v>309.12189008723897</v>
          </cell>
          <cell r="J7">
            <v>300.30016600117636</v>
          </cell>
          <cell r="K7">
            <v>297.9805303278365</v>
          </cell>
          <cell r="L7">
            <v>297.74179323830958</v>
          </cell>
          <cell r="M7">
            <v>293.56684319772694</v>
          </cell>
          <cell r="N7">
            <v>306.90292985565168</v>
          </cell>
          <cell r="O7">
            <v>325.26449463113346</v>
          </cell>
          <cell r="P7">
            <v>333.8146797329664</v>
          </cell>
          <cell r="Q7">
            <v>335.61223043275112</v>
          </cell>
          <cell r="R7">
            <v>352.39803253836703</v>
          </cell>
          <cell r="S7">
            <v>368.76602790488027</v>
          </cell>
          <cell r="T7">
            <v>365.53381672156161</v>
          </cell>
          <cell r="U7">
            <v>346.8203766181216</v>
          </cell>
          <cell r="V7">
            <v>366.34243214253314</v>
          </cell>
          <cell r="W7">
            <v>361.1365105906084</v>
          </cell>
        </row>
        <row r="8">
          <cell r="B8" t="str">
            <v>Edwardsport 8</v>
          </cell>
          <cell r="C8" t="str">
            <v>PSI</v>
          </cell>
          <cell r="D8">
            <v>639.21665984261199</v>
          </cell>
          <cell r="E8">
            <v>615.12736205352417</v>
          </cell>
          <cell r="F8">
            <v>560.77342852349977</v>
          </cell>
          <cell r="G8">
            <v>559.1291994636573</v>
          </cell>
          <cell r="H8">
            <v>515.0621952915269</v>
          </cell>
          <cell r="I8">
            <v>521.13916623501393</v>
          </cell>
          <cell r="J8">
            <v>506.27369720839147</v>
          </cell>
          <cell r="K8">
            <v>502.3468741309087</v>
          </cell>
          <cell r="L8">
            <v>501.95860803223979</v>
          </cell>
          <cell r="M8">
            <v>494.92775624718183</v>
          </cell>
          <cell r="N8">
            <v>517.42600174696452</v>
          </cell>
          <cell r="O8">
            <v>548.36207680311202</v>
          </cell>
          <cell r="P8">
            <v>562.77593486884291</v>
          </cell>
          <cell r="Q8">
            <v>565.8108063039291</v>
          </cell>
          <cell r="R8">
            <v>594.088948186994</v>
          </cell>
          <cell r="S8">
            <v>621.70989491054888</v>
          </cell>
          <cell r="T8">
            <v>616.25560471030974</v>
          </cell>
          <cell r="U8">
            <v>584.71992314786735</v>
          </cell>
          <cell r="V8">
            <v>617.61795238335912</v>
          </cell>
          <cell r="W8">
            <v>608.86120127754521</v>
          </cell>
        </row>
        <row r="9">
          <cell r="B9" t="str">
            <v>Gallagher 1</v>
          </cell>
          <cell r="C9" t="str">
            <v>PSI</v>
          </cell>
          <cell r="D9">
            <v>612.46145027334546</v>
          </cell>
          <cell r="E9">
            <v>552.91619714959563</v>
          </cell>
          <cell r="F9">
            <v>525.32187704469482</v>
          </cell>
          <cell r="G9">
            <v>527.05672889853417</v>
          </cell>
          <cell r="H9">
            <v>490.04002497610628</v>
          </cell>
          <cell r="I9">
            <v>509.54447219723346</v>
          </cell>
          <cell r="J9">
            <v>501.73139169992186</v>
          </cell>
          <cell r="K9">
            <v>480.2005635932565</v>
          </cell>
          <cell r="L9">
            <v>481.28885425226343</v>
          </cell>
          <cell r="M9">
            <v>478.96344058169279</v>
          </cell>
          <cell r="N9">
            <v>490.75839199419056</v>
          </cell>
          <cell r="O9">
            <v>512.08586475876973</v>
          </cell>
          <cell r="P9">
            <v>516.66415232276017</v>
          </cell>
          <cell r="Q9">
            <v>515.38300144110713</v>
          </cell>
          <cell r="R9">
            <v>532.92353402619779</v>
          </cell>
          <cell r="S9">
            <v>555.20319560609948</v>
          </cell>
          <cell r="T9">
            <v>551.39480090860741</v>
          </cell>
          <cell r="U9">
            <v>541.22517312848856</v>
          </cell>
          <cell r="V9">
            <v>563.15704032265899</v>
          </cell>
          <cell r="W9">
            <v>562.82500531972744</v>
          </cell>
        </row>
        <row r="10">
          <cell r="B10" t="str">
            <v>Gallagher 2</v>
          </cell>
          <cell r="C10" t="str">
            <v>PSI</v>
          </cell>
          <cell r="D10">
            <v>635.58875377242634</v>
          </cell>
          <cell r="E10">
            <v>568.65823313569069</v>
          </cell>
          <cell r="F10">
            <v>539.08981252639308</v>
          </cell>
          <cell r="G10">
            <v>543.62367962928363</v>
          </cell>
          <cell r="H10">
            <v>506.92781258700342</v>
          </cell>
          <cell r="I10">
            <v>533.88753494223795</v>
          </cell>
          <cell r="J10">
            <v>523.12754696827415</v>
          </cell>
          <cell r="K10">
            <v>495.61630911260613</v>
          </cell>
          <cell r="L10">
            <v>493.3232862097309</v>
          </cell>
          <cell r="M10">
            <v>496.184229594778</v>
          </cell>
          <cell r="N10">
            <v>500.36873686690944</v>
          </cell>
          <cell r="O10">
            <v>522.44606685761414</v>
          </cell>
          <cell r="P10">
            <v>525.3102776018942</v>
          </cell>
          <cell r="Q10">
            <v>523.20217619661014</v>
          </cell>
          <cell r="R10">
            <v>540.16562542804434</v>
          </cell>
          <cell r="S10">
            <v>563.83007389893146</v>
          </cell>
          <cell r="T10">
            <v>557.99968927417262</v>
          </cell>
          <cell r="U10">
            <v>547.49608390939136</v>
          </cell>
          <cell r="V10">
            <v>570.00202664963808</v>
          </cell>
          <cell r="W10">
            <v>570.81095434243412</v>
          </cell>
        </row>
        <row r="11">
          <cell r="B11" t="str">
            <v>Gallagher 3</v>
          </cell>
          <cell r="C11" t="str">
            <v>PSI</v>
          </cell>
          <cell r="D11">
            <v>581.57169634922752</v>
          </cell>
          <cell r="E11">
            <v>524.27579309026339</v>
          </cell>
          <cell r="F11">
            <v>497.94663259429797</v>
          </cell>
          <cell r="G11">
            <v>499.17886126883127</v>
          </cell>
          <cell r="H11">
            <v>466.63207176331315</v>
          </cell>
          <cell r="I11">
            <v>485.50187958792208</v>
          </cell>
          <cell r="J11">
            <v>478.84919122074712</v>
          </cell>
          <cell r="K11">
            <v>456.31996568486511</v>
          </cell>
          <cell r="L11">
            <v>454.93784778882485</v>
          </cell>
          <cell r="M11">
            <v>454.77869385896935</v>
          </cell>
          <cell r="N11">
            <v>462.630190167747</v>
          </cell>
          <cell r="O11">
            <v>483.28386439577247</v>
          </cell>
          <cell r="P11">
            <v>487.21959453687043</v>
          </cell>
          <cell r="Q11">
            <v>484.24559241129521</v>
          </cell>
          <cell r="R11">
            <v>501.59394900969642</v>
          </cell>
          <cell r="S11">
            <v>522.13086221872118</v>
          </cell>
          <cell r="T11">
            <v>517.90242220096957</v>
          </cell>
          <cell r="U11">
            <v>508.35549348684776</v>
          </cell>
          <cell r="V11">
            <v>529.18180423396723</v>
          </cell>
          <cell r="W11">
            <v>529.37528165805418</v>
          </cell>
        </row>
        <row r="12">
          <cell r="B12" t="str">
            <v>Gallagher 4</v>
          </cell>
          <cell r="C12" t="str">
            <v>PSI</v>
          </cell>
          <cell r="D12">
            <v>566.70595398589796</v>
          </cell>
          <cell r="E12">
            <v>509.29143536412664</v>
          </cell>
          <cell r="F12">
            <v>483.59624645772527</v>
          </cell>
          <cell r="G12">
            <v>486.46110599660125</v>
          </cell>
          <cell r="H12">
            <v>450.78689879399428</v>
          </cell>
          <cell r="I12">
            <v>466.9372240291413</v>
          </cell>
          <cell r="J12">
            <v>461.20590457825625</v>
          </cell>
          <cell r="K12">
            <v>444.64343165423662</v>
          </cell>
          <cell r="L12">
            <v>446.68249593293962</v>
          </cell>
          <cell r="M12">
            <v>443.44831454427134</v>
          </cell>
          <cell r="N12">
            <v>454.49821835544276</v>
          </cell>
          <cell r="O12">
            <v>474.34514179947473</v>
          </cell>
          <cell r="P12">
            <v>480.86724267082298</v>
          </cell>
          <cell r="Q12">
            <v>478.41577965622082</v>
          </cell>
          <cell r="R12">
            <v>494.82481945359621</v>
          </cell>
          <cell r="S12">
            <v>516.36028267194433</v>
          </cell>
          <cell r="T12">
            <v>512.29818786799285</v>
          </cell>
          <cell r="U12">
            <v>503.89397239559776</v>
          </cell>
          <cell r="V12">
            <v>524.33741876454997</v>
          </cell>
          <cell r="W12">
            <v>522.83804524130028</v>
          </cell>
        </row>
        <row r="13">
          <cell r="B13" t="str">
            <v>Gibson 1</v>
          </cell>
          <cell r="C13" t="str">
            <v>PSI</v>
          </cell>
          <cell r="D13">
            <v>4093.211632829371</v>
          </cell>
          <cell r="E13">
            <v>4146.6320512096036</v>
          </cell>
          <cell r="F13">
            <v>4044.6400529790567</v>
          </cell>
          <cell r="G13">
            <v>3883.0973729891002</v>
          </cell>
          <cell r="H13">
            <v>4669.8957261111618</v>
          </cell>
          <cell r="I13">
            <v>4817.1858558542099</v>
          </cell>
          <cell r="J13">
            <v>4886.8862037328736</v>
          </cell>
          <cell r="K13">
            <v>4850.8842665278262</v>
          </cell>
          <cell r="L13">
            <v>4841.0460090738989</v>
          </cell>
          <cell r="M13">
            <v>4804.0008409371021</v>
          </cell>
          <cell r="N13">
            <v>4787.1246353745073</v>
          </cell>
          <cell r="O13">
            <v>4833.8926956106516</v>
          </cell>
          <cell r="P13">
            <v>4851.3385560527859</v>
          </cell>
          <cell r="Q13">
            <v>4785.9770503230075</v>
          </cell>
          <cell r="R13">
            <v>4823.1126006697486</v>
          </cell>
          <cell r="S13">
            <v>4835.4934432499304</v>
          </cell>
          <cell r="T13">
            <v>4724.0369513932001</v>
          </cell>
          <cell r="U13">
            <v>4703.6288987723556</v>
          </cell>
          <cell r="V13">
            <v>4725.5982898052252</v>
          </cell>
          <cell r="W13">
            <v>4625.4898241462015</v>
          </cell>
        </row>
        <row r="14">
          <cell r="B14" t="str">
            <v>Gibson 2</v>
          </cell>
          <cell r="C14" t="str">
            <v>PSI</v>
          </cell>
          <cell r="D14">
            <v>4145.2242282450034</v>
          </cell>
          <cell r="E14">
            <v>4226.3194792359209</v>
          </cell>
          <cell r="F14">
            <v>4070.7472003369062</v>
          </cell>
          <cell r="G14">
            <v>3944.2084343921283</v>
          </cell>
          <cell r="H14">
            <v>4637.3188962483555</v>
          </cell>
          <cell r="I14">
            <v>4798.7159758685621</v>
          </cell>
          <cell r="J14">
            <v>4867.1558021364981</v>
          </cell>
          <cell r="K14">
            <v>4833.546833041014</v>
          </cell>
          <cell r="L14">
            <v>4821.953301993487</v>
          </cell>
          <cell r="M14">
            <v>4788.2199701368691</v>
          </cell>
          <cell r="N14">
            <v>4770.1659572088174</v>
          </cell>
          <cell r="O14">
            <v>4814.9319475269649</v>
          </cell>
          <cell r="P14">
            <v>4831.7536429435459</v>
          </cell>
          <cell r="Q14">
            <v>4769.5991506952814</v>
          </cell>
          <cell r="R14">
            <v>4804.7490471951705</v>
          </cell>
          <cell r="S14">
            <v>4818.7409856801132</v>
          </cell>
          <cell r="T14">
            <v>4715.6696853621115</v>
          </cell>
          <cell r="U14">
            <v>4690.4677753721217</v>
          </cell>
          <cell r="V14">
            <v>4713.3703843197836</v>
          </cell>
          <cell r="W14">
            <v>4621.7127047819622</v>
          </cell>
        </row>
        <row r="15">
          <cell r="B15" t="str">
            <v>Gibson 3</v>
          </cell>
          <cell r="C15" t="str">
            <v>PSI</v>
          </cell>
          <cell r="D15">
            <v>3455.8903658447553</v>
          </cell>
          <cell r="E15">
            <v>3484.9612385160481</v>
          </cell>
          <cell r="F15">
            <v>3375.4896511888569</v>
          </cell>
          <cell r="G15">
            <v>3222.1147548671097</v>
          </cell>
          <cell r="H15">
            <v>4105.4920725137163</v>
          </cell>
          <cell r="I15">
            <v>4235.9416000018491</v>
          </cell>
          <cell r="J15">
            <v>4273.6296232524437</v>
          </cell>
          <cell r="K15">
            <v>4242.3579201946213</v>
          </cell>
          <cell r="L15">
            <v>4229.4764667342406</v>
          </cell>
          <cell r="M15">
            <v>4197.2922253982324</v>
          </cell>
          <cell r="N15">
            <v>4181.3530226770663</v>
          </cell>
          <cell r="O15">
            <v>4224.9861367939247</v>
          </cell>
          <cell r="P15">
            <v>4241.5567716609494</v>
          </cell>
          <cell r="Q15">
            <v>4184.184258755603</v>
          </cell>
          <cell r="R15">
            <v>4215.1368599675079</v>
          </cell>
          <cell r="S15">
            <v>4222.8813517748058</v>
          </cell>
          <cell r="T15">
            <v>4122.1603349952748</v>
          </cell>
          <cell r="U15">
            <v>4100.8340725932376</v>
          </cell>
          <cell r="V15">
            <v>4116.4466048081786</v>
          </cell>
          <cell r="W15">
            <v>4026.0508160618674</v>
          </cell>
        </row>
        <row r="16">
          <cell r="B16" t="str">
            <v>Gibson 4</v>
          </cell>
          <cell r="C16" t="str">
            <v>PSI</v>
          </cell>
          <cell r="D16">
            <v>4551.7083641670597</v>
          </cell>
          <cell r="E16">
            <v>4551.7083641670597</v>
          </cell>
          <cell r="F16">
            <v>4551.7083641670597</v>
          </cell>
          <cell r="G16">
            <v>4551.7083641670597</v>
          </cell>
          <cell r="H16">
            <v>4542.7823992501553</v>
          </cell>
          <cell r="I16">
            <v>4549.3895067075155</v>
          </cell>
          <cell r="J16">
            <v>4528.6897183565798</v>
          </cell>
          <cell r="K16">
            <v>4548.8226748840716</v>
          </cell>
          <cell r="L16">
            <v>4521.4983074789143</v>
          </cell>
          <cell r="M16">
            <v>4500.4875182822479</v>
          </cell>
          <cell r="N16">
            <v>4483.0367888273495</v>
          </cell>
          <cell r="O16">
            <v>4499.3078466668139</v>
          </cell>
          <cell r="P16">
            <v>4502.6560791377024</v>
          </cell>
          <cell r="Q16">
            <v>4468.257447342472</v>
          </cell>
          <cell r="R16">
            <v>4493.1409952110207</v>
          </cell>
          <cell r="S16">
            <v>4520.0704114226191</v>
          </cell>
          <cell r="T16">
            <v>4446.3246164779257</v>
          </cell>
          <cell r="U16">
            <v>4441.2918358055495</v>
          </cell>
          <cell r="V16">
            <v>4440.9548454273881</v>
          </cell>
          <cell r="W16">
            <v>4405.2601111354497</v>
          </cell>
        </row>
        <row r="17">
          <cell r="B17" t="str">
            <v>Gibson 5</v>
          </cell>
          <cell r="C17" t="str">
            <v>PSI</v>
          </cell>
          <cell r="D17">
            <v>2471.5267363616749</v>
          </cell>
          <cell r="E17">
            <v>2471.5267363616749</v>
          </cell>
          <cell r="F17">
            <v>2471.5267363616749</v>
          </cell>
          <cell r="G17">
            <v>2470.129539140954</v>
          </cell>
          <cell r="H17">
            <v>2463.4284913583751</v>
          </cell>
          <cell r="I17">
            <v>2468.8441176978899</v>
          </cell>
          <cell r="J17">
            <v>2455.9683777426444</v>
          </cell>
          <cell r="K17">
            <v>2469.6824360303226</v>
          </cell>
          <cell r="L17">
            <v>2453.5839309876628</v>
          </cell>
          <cell r="M17">
            <v>2439.7575688038073</v>
          </cell>
          <cell r="N17">
            <v>2427.5953205330443</v>
          </cell>
          <cell r="O17">
            <v>2438.6733950492057</v>
          </cell>
          <cell r="P17">
            <v>2443.5398532261593</v>
          </cell>
          <cell r="Q17">
            <v>2422.4316474224265</v>
          </cell>
          <cell r="R17">
            <v>2435.2908989161933</v>
          </cell>
          <cell r="S17">
            <v>2453.0847690037908</v>
          </cell>
          <cell r="T17">
            <v>2407.8439991066425</v>
          </cell>
          <cell r="U17">
            <v>2408.0684640779978</v>
          </cell>
          <cell r="V17">
            <v>2407.0798921257719</v>
          </cell>
          <cell r="W17">
            <v>2381.8996624487559</v>
          </cell>
        </row>
        <row r="18">
          <cell r="B18" t="str">
            <v>J.M. Stuart 1</v>
          </cell>
          <cell r="C18" t="str">
            <v>CGE</v>
          </cell>
          <cell r="D18">
            <v>2476.3697027672019</v>
          </cell>
          <cell r="E18">
            <v>2474.7944483422775</v>
          </cell>
          <cell r="F18">
            <v>2475.6664641846464</v>
          </cell>
          <cell r="G18">
            <v>2428.7349354883818</v>
          </cell>
          <cell r="H18">
            <v>2366.8287908336197</v>
          </cell>
          <cell r="I18">
            <v>2274.4445550946957</v>
          </cell>
          <cell r="J18">
            <v>2198.4442184164855</v>
          </cell>
          <cell r="K18">
            <v>2176.2072618765264</v>
          </cell>
          <cell r="L18">
            <v>2081.0815436132211</v>
          </cell>
          <cell r="M18">
            <v>2050.281268783941</v>
          </cell>
          <cell r="N18">
            <v>2031.1429950959168</v>
          </cell>
          <cell r="O18">
            <v>2065.881133628553</v>
          </cell>
          <cell r="P18">
            <v>2052.8674814610176</v>
          </cell>
          <cell r="Q18">
            <v>1969.2757115443101</v>
          </cell>
          <cell r="R18">
            <v>1966.2255514912208</v>
          </cell>
          <cell r="S18">
            <v>2008.7548070842738</v>
          </cell>
          <cell r="T18">
            <v>1887.3500485168042</v>
          </cell>
          <cell r="U18">
            <v>1827.0894618554721</v>
          </cell>
          <cell r="V18">
            <v>1843.7260264907752</v>
          </cell>
          <cell r="W18">
            <v>1862.4341247206476</v>
          </cell>
        </row>
        <row r="19">
          <cell r="B19" t="str">
            <v>J.M. Stuart 2</v>
          </cell>
          <cell r="C19" t="str">
            <v>CGE</v>
          </cell>
          <cell r="D19">
            <v>2435.2188962067944</v>
          </cell>
          <cell r="E19">
            <v>2435.2188962067944</v>
          </cell>
          <cell r="F19">
            <v>2435.2188962067944</v>
          </cell>
          <cell r="G19">
            <v>2400.1494116738245</v>
          </cell>
          <cell r="H19">
            <v>2374.2970077752689</v>
          </cell>
          <cell r="I19">
            <v>2320.0090968231043</v>
          </cell>
          <cell r="J19">
            <v>2268.3332309973762</v>
          </cell>
          <cell r="K19">
            <v>2230.8255597009083</v>
          </cell>
          <cell r="L19">
            <v>2165.3305250116023</v>
          </cell>
          <cell r="M19">
            <v>2145.1890429884752</v>
          </cell>
          <cell r="N19">
            <v>2103.4967466729913</v>
          </cell>
          <cell r="O19">
            <v>2141.3171494424132</v>
          </cell>
          <cell r="P19">
            <v>2112.0348289259391</v>
          </cell>
          <cell r="Q19">
            <v>2026.1150453501441</v>
          </cell>
          <cell r="R19">
            <v>2013.6647935877706</v>
          </cell>
          <cell r="S19">
            <v>2051.74320028993</v>
          </cell>
          <cell r="T19">
            <v>1923.9347630452771</v>
          </cell>
          <cell r="U19">
            <v>1850.6497713700003</v>
          </cell>
          <cell r="V19">
            <v>1865.2144434443708</v>
          </cell>
          <cell r="W19">
            <v>1893.5639863454278</v>
          </cell>
        </row>
        <row r="20">
          <cell r="B20" t="str">
            <v>J.M. Stuart 3</v>
          </cell>
          <cell r="C20" t="str">
            <v>CGE</v>
          </cell>
          <cell r="D20">
            <v>2474.6024902155314</v>
          </cell>
          <cell r="E20">
            <v>2473.0283599399568</v>
          </cell>
          <cell r="F20">
            <v>2473.8997534853643</v>
          </cell>
          <cell r="G20">
            <v>2429.2497861542456</v>
          </cell>
          <cell r="H20">
            <v>2371.4004071435197</v>
          </cell>
          <cell r="I20">
            <v>2278.8966913217673</v>
          </cell>
          <cell r="J20">
            <v>2202.0745781822206</v>
          </cell>
          <cell r="K20">
            <v>2179.151338669601</v>
          </cell>
          <cell r="L20">
            <v>2087.2326975245228</v>
          </cell>
          <cell r="M20">
            <v>2055.897648098829</v>
          </cell>
          <cell r="N20">
            <v>2034.2676315370668</v>
          </cell>
          <cell r="O20">
            <v>2067.3021662173974</v>
          </cell>
          <cell r="P20">
            <v>2055.4334043766789</v>
          </cell>
          <cell r="Q20">
            <v>1971.2990766740947</v>
          </cell>
          <cell r="R20">
            <v>1968.6446258766532</v>
          </cell>
          <cell r="S20">
            <v>2010.9650358431691</v>
          </cell>
          <cell r="T20">
            <v>1888.4199373938684</v>
          </cell>
          <cell r="U20">
            <v>1827.3640934528789</v>
          </cell>
          <cell r="V20">
            <v>1845.6415334663343</v>
          </cell>
          <cell r="W20">
            <v>1863.804224978885</v>
          </cell>
        </row>
        <row r="21">
          <cell r="B21" t="str">
            <v>J.M. Stuart 4</v>
          </cell>
          <cell r="C21" t="str">
            <v>CGE</v>
          </cell>
          <cell r="D21">
            <v>2088.8656555514535</v>
          </cell>
          <cell r="E21">
            <v>2088.2724602296412</v>
          </cell>
          <cell r="F21">
            <v>2088.8656555514535</v>
          </cell>
          <cell r="G21">
            <v>2053.5656126859558</v>
          </cell>
          <cell r="H21">
            <v>2008.5859158873473</v>
          </cell>
          <cell r="I21">
            <v>1931.1329723456358</v>
          </cell>
          <cell r="J21">
            <v>1869.5873213390014</v>
          </cell>
          <cell r="K21">
            <v>1849.9288224702138</v>
          </cell>
          <cell r="L21">
            <v>1770.6666693577695</v>
          </cell>
          <cell r="M21">
            <v>1746.1137851826693</v>
          </cell>
          <cell r="N21">
            <v>1725.2152629587549</v>
          </cell>
          <cell r="O21">
            <v>1756.3974350498922</v>
          </cell>
          <cell r="P21">
            <v>1741.0073756978609</v>
          </cell>
          <cell r="Q21">
            <v>1671.1089363877261</v>
          </cell>
          <cell r="R21">
            <v>1669.6079096866324</v>
          </cell>
          <cell r="S21">
            <v>1704.2370355714102</v>
          </cell>
          <cell r="T21">
            <v>1600.8355914219917</v>
          </cell>
          <cell r="U21">
            <v>1547.6229238514541</v>
          </cell>
          <cell r="V21">
            <v>1563.8042506976747</v>
          </cell>
          <cell r="W21">
            <v>1578.9879394100574</v>
          </cell>
        </row>
        <row r="22">
          <cell r="B22" t="str">
            <v>Killen 2</v>
          </cell>
          <cell r="C22" t="str">
            <v>CGE</v>
          </cell>
          <cell r="D22">
            <v>1815.3406163400134</v>
          </cell>
          <cell r="E22">
            <v>1811.3636472226319</v>
          </cell>
          <cell r="F22">
            <v>1800.8409973349774</v>
          </cell>
          <cell r="G22">
            <v>1764.2338770916178</v>
          </cell>
          <cell r="H22">
            <v>1692.0156763951059</v>
          </cell>
          <cell r="I22">
            <v>1620.3356516652066</v>
          </cell>
          <cell r="J22">
            <v>1553.8630400584859</v>
          </cell>
          <cell r="K22">
            <v>1529.7999698237836</v>
          </cell>
          <cell r="L22">
            <v>1468.7824218390879</v>
          </cell>
          <cell r="M22">
            <v>1443.2451416557378</v>
          </cell>
          <cell r="N22">
            <v>1443.8958684671347</v>
          </cell>
          <cell r="O22">
            <v>1469.8918850005989</v>
          </cell>
          <cell r="P22">
            <v>1458.6581088069577</v>
          </cell>
          <cell r="Q22">
            <v>1404.5378638080106</v>
          </cell>
          <cell r="R22">
            <v>1401.7359220103788</v>
          </cell>
          <cell r="S22">
            <v>1433.2115112615363</v>
          </cell>
          <cell r="T22">
            <v>1350.6447699513994</v>
          </cell>
          <cell r="U22">
            <v>1303.2045521885668</v>
          </cell>
          <cell r="V22">
            <v>1298.9502050998153</v>
          </cell>
          <cell r="W22">
            <v>1329.1222789805213</v>
          </cell>
        </row>
        <row r="23">
          <cell r="B23" t="str">
            <v>Miami Fort 5</v>
          </cell>
          <cell r="C23" t="str">
            <v>CGE</v>
          </cell>
          <cell r="D23">
            <v>650.13010237489448</v>
          </cell>
          <cell r="E23">
            <v>582.76822833415076</v>
          </cell>
          <cell r="F23">
            <v>531.4559423540943</v>
          </cell>
          <cell r="G23">
            <v>545.87971131531856</v>
          </cell>
          <cell r="H23">
            <v>491.82305553330553</v>
          </cell>
          <cell r="I23">
            <v>504.04491332193027</v>
          </cell>
          <cell r="J23">
            <v>482.54225474976511</v>
          </cell>
          <cell r="K23">
            <v>501.55572714544019</v>
          </cell>
          <cell r="L23">
            <v>516.8346063157893</v>
          </cell>
          <cell r="M23">
            <v>512.11454339141278</v>
          </cell>
          <cell r="N23">
            <v>510.05934726382532</v>
          </cell>
          <cell r="O23">
            <v>543.79130684747554</v>
          </cell>
          <cell r="P23">
            <v>567.47311835023606</v>
          </cell>
          <cell r="Q23">
            <v>574.08263362391006</v>
          </cell>
          <cell r="R23">
            <v>601.61855682640521</v>
          </cell>
          <cell r="S23">
            <v>615.68379407577811</v>
          </cell>
          <cell r="T23">
            <v>638.08140609404518</v>
          </cell>
          <cell r="U23">
            <v>598.66336480304994</v>
          </cell>
          <cell r="V23">
            <v>628.98198729520414</v>
          </cell>
          <cell r="W23">
            <v>631.21025143246777</v>
          </cell>
        </row>
        <row r="24">
          <cell r="B24" t="str">
            <v>Miami Fort 6</v>
          </cell>
          <cell r="C24" t="str">
            <v>CGE</v>
          </cell>
          <cell r="D24">
            <v>1490.5869414023491</v>
          </cell>
          <cell r="E24">
            <v>1371.1129016235643</v>
          </cell>
          <cell r="F24">
            <v>1358.1362990399691</v>
          </cell>
          <cell r="G24">
            <v>1343.1915939508901</v>
          </cell>
          <cell r="H24">
            <v>1283.6828132615187</v>
          </cell>
          <cell r="I24">
            <v>1242.9357383378813</v>
          </cell>
          <cell r="J24">
            <v>1173.0004515611945</v>
          </cell>
          <cell r="K24">
            <v>1170.661486832686</v>
          </cell>
          <cell r="L24">
            <v>1112.4004714873979</v>
          </cell>
          <cell r="M24">
            <v>1087.7748315435688</v>
          </cell>
          <cell r="N24">
            <v>1091.7358008756496</v>
          </cell>
          <cell r="O24">
            <v>1115.1384451120191</v>
          </cell>
          <cell r="P24">
            <v>1112.3067409886453</v>
          </cell>
          <cell r="Q24">
            <v>1078.4966610822487</v>
          </cell>
          <cell r="R24">
            <v>1071.4646449047575</v>
          </cell>
          <cell r="S24">
            <v>1106.707620596344</v>
          </cell>
          <cell r="T24">
            <v>1077.5658614984832</v>
          </cell>
          <cell r="U24">
            <v>1039.2165806815224</v>
          </cell>
          <cell r="V24">
            <v>1078.6891758517493</v>
          </cell>
          <cell r="W24">
            <v>1096.4184067318301</v>
          </cell>
        </row>
        <row r="25">
          <cell r="B25" t="str">
            <v>Miami Fort 7</v>
          </cell>
          <cell r="C25" t="str">
            <v>CGE</v>
          </cell>
          <cell r="D25">
            <v>2221.7172296247022</v>
          </cell>
          <cell r="E25">
            <v>2104.7678938083545</v>
          </cell>
          <cell r="F25">
            <v>2086.4980652157506</v>
          </cell>
          <cell r="G25">
            <v>2048.0357604903606</v>
          </cell>
          <cell r="H25">
            <v>1965.4127189153319</v>
          </cell>
          <cell r="I25">
            <v>1822.3470915116093</v>
          </cell>
          <cell r="J25">
            <v>1785.5741264809446</v>
          </cell>
          <cell r="K25">
            <v>1746.0989095032751</v>
          </cell>
          <cell r="L25">
            <v>1698.4735934120317</v>
          </cell>
          <cell r="M25">
            <v>1678.4339188254837</v>
          </cell>
          <cell r="N25">
            <v>1679.275057379796</v>
          </cell>
          <cell r="O25">
            <v>1722.7386088650526</v>
          </cell>
          <cell r="P25">
            <v>1719.707819277781</v>
          </cell>
          <cell r="Q25">
            <v>1660.8805805393329</v>
          </cell>
          <cell r="R25">
            <v>1663.0545956340973</v>
          </cell>
          <cell r="S25">
            <v>1723.779088071607</v>
          </cell>
          <cell r="T25">
            <v>1670.031716782421</v>
          </cell>
          <cell r="U25">
            <v>1637.7324789588788</v>
          </cell>
          <cell r="V25">
            <v>1691.5277828145727</v>
          </cell>
          <cell r="W25">
            <v>1712.1369211748229</v>
          </cell>
        </row>
        <row r="26">
          <cell r="B26" t="str">
            <v>Miami Fort 8</v>
          </cell>
          <cell r="C26" t="str">
            <v>CGE</v>
          </cell>
          <cell r="D26">
            <v>2440.2103148879892</v>
          </cell>
          <cell r="E26">
            <v>2226.5228367935474</v>
          </cell>
          <cell r="F26">
            <v>2225.0718941371442</v>
          </cell>
          <cell r="G26">
            <v>2178.2479481695364</v>
          </cell>
          <cell r="H26">
            <v>2063.3219643478892</v>
          </cell>
          <cell r="I26">
            <v>1985.2236928292702</v>
          </cell>
          <cell r="J26">
            <v>1943.526578198994</v>
          </cell>
          <cell r="K26">
            <v>1873.7630713156448</v>
          </cell>
          <cell r="L26">
            <v>1800.5360892270683</v>
          </cell>
          <cell r="M26">
            <v>1755.3026673629001</v>
          </cell>
          <cell r="N26">
            <v>1765.2996905189682</v>
          </cell>
          <cell r="O26">
            <v>1803.6261009077398</v>
          </cell>
          <cell r="P26">
            <v>1800.3720326237087</v>
          </cell>
          <cell r="Q26">
            <v>1728.9460826044037</v>
          </cell>
          <cell r="R26">
            <v>1729.4361176963189</v>
          </cell>
          <cell r="S26">
            <v>1789.8661432824063</v>
          </cell>
          <cell r="T26">
            <v>1727.4835521732989</v>
          </cell>
          <cell r="U26">
            <v>1678.1217610523036</v>
          </cell>
          <cell r="V26">
            <v>1748.7034755470468</v>
          </cell>
          <cell r="W26">
            <v>1793.499947847045</v>
          </cell>
        </row>
        <row r="27">
          <cell r="B27" t="str">
            <v>Noblesville 1</v>
          </cell>
          <cell r="C27" t="str">
            <v>PSI</v>
          </cell>
          <cell r="D27">
            <v>364.45534127165223</v>
          </cell>
          <cell r="E27">
            <v>336.96675565914609</v>
          </cell>
          <cell r="F27">
            <v>308.74649925756609</v>
          </cell>
          <cell r="G27">
            <v>313.09326927057532</v>
          </cell>
          <cell r="H27">
            <v>285.52582433483002</v>
          </cell>
          <cell r="I27">
            <v>293.00877497280652</v>
          </cell>
          <cell r="J27">
            <v>276.41039148528779</v>
          </cell>
          <cell r="K27">
            <v>287.61951085880253</v>
          </cell>
          <cell r="L27">
            <v>299.1119288571856</v>
          </cell>
          <cell r="M27">
            <v>296.47634833210469</v>
          </cell>
          <cell r="N27">
            <v>299.68978325047738</v>
          </cell>
          <cell r="O27">
            <v>319.44935883895158</v>
          </cell>
          <cell r="P27">
            <v>328.13692554423068</v>
          </cell>
          <cell r="Q27">
            <v>330.42256647431657</v>
          </cell>
          <cell r="R27">
            <v>345.58525316236143</v>
          </cell>
          <cell r="S27">
            <v>357.38661332253463</v>
          </cell>
          <cell r="T27">
            <v>364.24635755846407</v>
          </cell>
          <cell r="U27">
            <v>346.04296936667345</v>
          </cell>
          <cell r="V27">
            <v>361.14838536415846</v>
          </cell>
          <cell r="W27">
            <v>341.28567490490792</v>
          </cell>
        </row>
        <row r="28">
          <cell r="B28" t="str">
            <v>Noblesville 2</v>
          </cell>
          <cell r="C28" t="str">
            <v>PSI</v>
          </cell>
          <cell r="D28">
            <v>364.45534127165223</v>
          </cell>
          <cell r="E28">
            <v>336.96675565914609</v>
          </cell>
          <cell r="F28">
            <v>308.74649925756609</v>
          </cell>
          <cell r="G28">
            <v>313.09326927057532</v>
          </cell>
          <cell r="H28">
            <v>285.52582433483002</v>
          </cell>
          <cell r="I28">
            <v>293.00877497280652</v>
          </cell>
          <cell r="J28">
            <v>276.41039148528779</v>
          </cell>
          <cell r="K28">
            <v>287.61951085880253</v>
          </cell>
          <cell r="L28">
            <v>299.1119288571856</v>
          </cell>
          <cell r="M28">
            <v>296.47634833210469</v>
          </cell>
          <cell r="N28">
            <v>299.68978325047738</v>
          </cell>
          <cell r="O28">
            <v>319.44935883895158</v>
          </cell>
          <cell r="P28">
            <v>328.13692554423068</v>
          </cell>
          <cell r="Q28">
            <v>330.42256647431657</v>
          </cell>
          <cell r="R28">
            <v>345.58525316236143</v>
          </cell>
          <cell r="S28">
            <v>357.38661332253463</v>
          </cell>
          <cell r="T28">
            <v>364.24635755846407</v>
          </cell>
          <cell r="U28">
            <v>346.04296936667345</v>
          </cell>
          <cell r="V28">
            <v>361.14838536415846</v>
          </cell>
          <cell r="W28">
            <v>341.28567490490792</v>
          </cell>
        </row>
        <row r="29">
          <cell r="B29" t="str">
            <v>Wabash River 1</v>
          </cell>
          <cell r="C29" t="str">
            <v>PSI</v>
          </cell>
          <cell r="D29">
            <v>178.06140925766499</v>
          </cell>
          <cell r="E29">
            <v>181.55009056361362</v>
          </cell>
          <cell r="F29">
            <v>192.21105270416874</v>
          </cell>
          <cell r="G29">
            <v>200.21238370532959</v>
          </cell>
          <cell r="H29">
            <v>192.9551648169371</v>
          </cell>
          <cell r="I29">
            <v>195.29506840685525</v>
          </cell>
          <cell r="J29">
            <v>197.19794389930618</v>
          </cell>
          <cell r="K29">
            <v>198.03916321765675</v>
          </cell>
          <cell r="L29">
            <v>207.0858931212984</v>
          </cell>
          <cell r="M29">
            <v>214.70912218024333</v>
          </cell>
          <cell r="N29">
            <v>203.84202898792864</v>
          </cell>
          <cell r="O29">
            <v>214.77623748379642</v>
          </cell>
          <cell r="P29">
            <v>213.02625213413427</v>
          </cell>
          <cell r="Q29">
            <v>211.6462705390542</v>
          </cell>
          <cell r="R29">
            <v>207.28231559032892</v>
          </cell>
          <cell r="S29">
            <v>212.23851510284169</v>
          </cell>
          <cell r="T29">
            <v>215.56082335502882</v>
          </cell>
          <cell r="U29">
            <v>212.64319395069867</v>
          </cell>
          <cell r="V29">
            <v>206.134746444435</v>
          </cell>
          <cell r="W29">
            <v>212.84106008159523</v>
          </cell>
        </row>
        <row r="30">
          <cell r="B30" t="str">
            <v>Wabash River 2</v>
          </cell>
          <cell r="C30" t="str">
            <v>PSI</v>
          </cell>
          <cell r="D30">
            <v>339.036888495021</v>
          </cell>
          <cell r="E30">
            <v>320.22744092829686</v>
          </cell>
          <cell r="F30">
            <v>295.56324043404783</v>
          </cell>
          <cell r="G30">
            <v>296.15776369995473</v>
          </cell>
          <cell r="H30">
            <v>276.60439560446861</v>
          </cell>
          <cell r="I30">
            <v>279.43406414352307</v>
          </cell>
          <cell r="J30">
            <v>272.47164914880165</v>
          </cell>
          <cell r="K30">
            <v>272.24718431287573</v>
          </cell>
          <cell r="L30">
            <v>273.06859262845063</v>
          </cell>
          <cell r="M30">
            <v>276.1684442778735</v>
          </cell>
          <cell r="N30">
            <v>287.72460993227583</v>
          </cell>
          <cell r="O30">
            <v>302.99875728233258</v>
          </cell>
          <cell r="P30">
            <v>308.72681952868089</v>
          </cell>
          <cell r="Q30">
            <v>307.6965645584857</v>
          </cell>
          <cell r="R30">
            <v>318.15807250295552</v>
          </cell>
          <cell r="S30">
            <v>328.18921959871545</v>
          </cell>
          <cell r="T30">
            <v>327.06495799112798</v>
          </cell>
          <cell r="U30">
            <v>321.60615108203103</v>
          </cell>
          <cell r="V30">
            <v>331.65030305848086</v>
          </cell>
          <cell r="W30">
            <v>312.87686305241493</v>
          </cell>
        </row>
        <row r="31">
          <cell r="B31" t="str">
            <v>Wabash River 3</v>
          </cell>
          <cell r="C31" t="str">
            <v>PSI</v>
          </cell>
          <cell r="D31">
            <v>376.30502691522588</v>
          </cell>
          <cell r="E31">
            <v>355.82096089797216</v>
          </cell>
          <cell r="F31">
            <v>328.92646678089858</v>
          </cell>
          <cell r="G31">
            <v>329.16571846106825</v>
          </cell>
          <cell r="H31">
            <v>305.76859425892815</v>
          </cell>
          <cell r="I31">
            <v>309.47703098920209</v>
          </cell>
          <cell r="J31">
            <v>304.53472260890311</v>
          </cell>
          <cell r="K31">
            <v>302.4962514588247</v>
          </cell>
          <cell r="L31">
            <v>302.30514777489299</v>
          </cell>
          <cell r="M31">
            <v>308.12265914581536</v>
          </cell>
          <cell r="N31">
            <v>319.45653547154251</v>
          </cell>
          <cell r="O31">
            <v>336.03643627071216</v>
          </cell>
          <cell r="P31">
            <v>341.75216690082715</v>
          </cell>
          <cell r="Q31">
            <v>339.93444197542385</v>
          </cell>
          <cell r="R31">
            <v>351.26794579483771</v>
          </cell>
          <cell r="S31">
            <v>361.39013683317967</v>
          </cell>
          <cell r="T31">
            <v>361.75655767617178</v>
          </cell>
          <cell r="U31">
            <v>355.37806232528311</v>
          </cell>
          <cell r="V31">
            <v>365.78467739513457</v>
          </cell>
          <cell r="W31">
            <v>345.6262145990367</v>
          </cell>
        </row>
        <row r="32">
          <cell r="B32" t="str">
            <v>Wabash River 4</v>
          </cell>
          <cell r="C32" t="str">
            <v>PSI</v>
          </cell>
          <cell r="D32">
            <v>452.95686355202923</v>
          </cell>
          <cell r="E32">
            <v>437.4384960303845</v>
          </cell>
          <cell r="F32">
            <v>408.45554598272946</v>
          </cell>
          <cell r="G32">
            <v>401.90571825276311</v>
          </cell>
          <cell r="H32">
            <v>372.98435312009389</v>
          </cell>
          <cell r="I32">
            <v>375.78727614802983</v>
          </cell>
          <cell r="J32">
            <v>369.32759116284046</v>
          </cell>
          <cell r="K32">
            <v>366.56194735399816</v>
          </cell>
          <cell r="L32">
            <v>367.77846885490828</v>
          </cell>
          <cell r="M32">
            <v>376.68810840425994</v>
          </cell>
          <cell r="N32">
            <v>387.94990480398229</v>
          </cell>
          <cell r="O32">
            <v>405.42797676007291</v>
          </cell>
          <cell r="P32">
            <v>413.651983824887</v>
          </cell>
          <cell r="Q32">
            <v>412.27988566376916</v>
          </cell>
          <cell r="R32">
            <v>421.57113906237146</v>
          </cell>
          <cell r="S32">
            <v>434.64800757661197</v>
          </cell>
          <cell r="T32">
            <v>431.33318759479653</v>
          </cell>
          <cell r="U32">
            <v>425.22327648021746</v>
          </cell>
          <cell r="V32">
            <v>433.19040797873663</v>
          </cell>
          <cell r="W32">
            <v>416.38623726514658</v>
          </cell>
        </row>
        <row r="33">
          <cell r="B33" t="str">
            <v>Wabash River 5</v>
          </cell>
          <cell r="C33" t="str">
            <v>PSI</v>
          </cell>
          <cell r="D33">
            <v>386.17673140902457</v>
          </cell>
          <cell r="E33">
            <v>371.70032342836259</v>
          </cell>
          <cell r="F33">
            <v>347.42191023761143</v>
          </cell>
          <cell r="G33">
            <v>342.43099573949456</v>
          </cell>
          <cell r="H33">
            <v>318.55063454616061</v>
          </cell>
          <cell r="I33">
            <v>322.05360487821827</v>
          </cell>
          <cell r="J33">
            <v>316.09333175667325</v>
          </cell>
          <cell r="K33">
            <v>313.94321667114201</v>
          </cell>
          <cell r="L33">
            <v>314.19866894519816</v>
          </cell>
          <cell r="M33">
            <v>322.21300426873955</v>
          </cell>
          <cell r="N33">
            <v>332.80246218078832</v>
          </cell>
          <cell r="O33">
            <v>347.63670752738653</v>
          </cell>
          <cell r="P33">
            <v>354.30614004840646</v>
          </cell>
          <cell r="Q33">
            <v>352.01695313308352</v>
          </cell>
          <cell r="R33">
            <v>362.16516834103527</v>
          </cell>
          <cell r="S33">
            <v>372.96142454424319</v>
          </cell>
          <cell r="T33">
            <v>370.04580304248361</v>
          </cell>
          <cell r="U33">
            <v>365.55515153249502</v>
          </cell>
          <cell r="V33">
            <v>373.00389784177025</v>
          </cell>
          <cell r="W33">
            <v>357.1301056464323</v>
          </cell>
        </row>
        <row r="34">
          <cell r="B34" t="str">
            <v>Wabash River 6</v>
          </cell>
          <cell r="C34" t="str">
            <v>PSI</v>
          </cell>
          <cell r="D34">
            <v>1084.5378169431704</v>
          </cell>
          <cell r="E34">
            <v>1044.9135006413885</v>
          </cell>
          <cell r="F34">
            <v>984.19280538079784</v>
          </cell>
          <cell r="G34">
            <v>969.59487173710284</v>
          </cell>
          <cell r="H34">
            <v>894.62657492252606</v>
          </cell>
          <cell r="I34">
            <v>907.17249865734107</v>
          </cell>
          <cell r="J34">
            <v>916.87416151944262</v>
          </cell>
          <cell r="K34">
            <v>913.87925077541365</v>
          </cell>
          <cell r="L34">
            <v>907.65020836469728</v>
          </cell>
          <cell r="M34">
            <v>920.68069462351241</v>
          </cell>
          <cell r="N34">
            <v>944.60221073046898</v>
          </cell>
          <cell r="O34">
            <v>1002.228170988661</v>
          </cell>
          <cell r="P34">
            <v>1014.3864433359174</v>
          </cell>
          <cell r="Q34">
            <v>1014.9089673456771</v>
          </cell>
          <cell r="R34">
            <v>1042.7933470253004</v>
          </cell>
          <cell r="S34">
            <v>1067.5365532855915</v>
          </cell>
          <cell r="T34">
            <v>1065.0878078240137</v>
          </cell>
          <cell r="U34">
            <v>1043.4423964757561</v>
          </cell>
          <cell r="V34">
            <v>1062.3016649255135</v>
          </cell>
          <cell r="W34">
            <v>1016.3606319936085</v>
          </cell>
        </row>
        <row r="35">
          <cell r="B35" t="str">
            <v>W.C. Beckjord 1</v>
          </cell>
          <cell r="C35" t="str">
            <v>CGE</v>
          </cell>
          <cell r="D35">
            <v>696.63990726921782</v>
          </cell>
          <cell r="E35">
            <v>627.25187034477653</v>
          </cell>
          <cell r="F35">
            <v>595.89458498574481</v>
          </cell>
          <cell r="G35">
            <v>591.38836651102213</v>
          </cell>
          <cell r="H35">
            <v>552.29447614508251</v>
          </cell>
          <cell r="I35">
            <v>535.75351477694107</v>
          </cell>
          <cell r="J35">
            <v>518.19229449633997</v>
          </cell>
          <cell r="K35">
            <v>523.47333899360115</v>
          </cell>
          <cell r="L35">
            <v>532.29053177931428</v>
          </cell>
          <cell r="M35">
            <v>539.05772627067654</v>
          </cell>
          <cell r="N35">
            <v>544.07671449654094</v>
          </cell>
          <cell r="O35">
            <v>563.89830939588796</v>
          </cell>
          <cell r="P35">
            <v>570.32078071925423</v>
          </cell>
          <cell r="Q35">
            <v>569.77020456148171</v>
          </cell>
          <cell r="R35">
            <v>577.93254510374538</v>
          </cell>
          <cell r="S35">
            <v>593.79774874984639</v>
          </cell>
          <cell r="T35">
            <v>585.09186788604416</v>
          </cell>
          <cell r="U35">
            <v>580.36531792368078</v>
          </cell>
          <cell r="V35">
            <v>599.71632722489892</v>
          </cell>
          <cell r="W35">
            <v>601.91478059444478</v>
          </cell>
        </row>
        <row r="36">
          <cell r="B36" t="str">
            <v>W.C. Beckjord 2</v>
          </cell>
          <cell r="C36" t="str">
            <v>CGE</v>
          </cell>
          <cell r="D36">
            <v>863.65640820592171</v>
          </cell>
          <cell r="E36">
            <v>766.01112696773964</v>
          </cell>
          <cell r="F36">
            <v>738.12647498198362</v>
          </cell>
          <cell r="G36">
            <v>722.94252715743426</v>
          </cell>
          <cell r="H36">
            <v>673.83049801371283</v>
          </cell>
          <cell r="I36">
            <v>644.71741393421053</v>
          </cell>
          <cell r="J36">
            <v>620.51772637010345</v>
          </cell>
          <cell r="K36">
            <v>631.93192224685083</v>
          </cell>
          <cell r="L36">
            <v>616.08328970351158</v>
          </cell>
          <cell r="M36">
            <v>619.23237614388836</v>
          </cell>
          <cell r="N36">
            <v>618.20900480118075</v>
          </cell>
          <cell r="O36">
            <v>637.48049113747936</v>
          </cell>
          <cell r="P36">
            <v>636.39765370442944</v>
          </cell>
          <cell r="Q36">
            <v>626.64249028088557</v>
          </cell>
          <cell r="R36">
            <v>623.16922708670018</v>
          </cell>
          <cell r="S36">
            <v>644.96905250361294</v>
          </cell>
          <cell r="T36">
            <v>623.60151914310916</v>
          </cell>
          <cell r="U36">
            <v>614.61282198187223</v>
          </cell>
          <cell r="V36">
            <v>636.57532712189504</v>
          </cell>
          <cell r="W36">
            <v>636.99497840014703</v>
          </cell>
        </row>
        <row r="37">
          <cell r="B37" t="str">
            <v>W.C. Beckjord 3</v>
          </cell>
          <cell r="C37" t="str">
            <v>CGE</v>
          </cell>
          <cell r="D37">
            <v>1176.7792004480584</v>
          </cell>
          <cell r="E37">
            <v>1093.1348085084228</v>
          </cell>
          <cell r="F37">
            <v>1084.5998848410607</v>
          </cell>
          <cell r="G37">
            <v>1063.4104821717485</v>
          </cell>
          <cell r="H37">
            <v>1015.903009263999</v>
          </cell>
          <cell r="I37">
            <v>969.51216377470791</v>
          </cell>
          <cell r="J37">
            <v>899.99034980511703</v>
          </cell>
          <cell r="K37">
            <v>913.55458278436549</v>
          </cell>
          <cell r="L37">
            <v>864.10363762573218</v>
          </cell>
          <cell r="M37">
            <v>859.41895958906332</v>
          </cell>
          <cell r="N37">
            <v>851.42738815166672</v>
          </cell>
          <cell r="O37">
            <v>864.74235464479489</v>
          </cell>
          <cell r="P37">
            <v>866.38054012440773</v>
          </cell>
          <cell r="Q37">
            <v>847.55920915304205</v>
          </cell>
          <cell r="R37">
            <v>842.06555986417663</v>
          </cell>
          <cell r="S37">
            <v>861.71488099471594</v>
          </cell>
          <cell r="T37">
            <v>822.78936861977661</v>
          </cell>
          <cell r="U37">
            <v>805.50815616874274</v>
          </cell>
          <cell r="V37">
            <v>830.2781340622505</v>
          </cell>
          <cell r="W37">
            <v>835.53850568192468</v>
          </cell>
        </row>
        <row r="38">
          <cell r="B38" t="str">
            <v>W.C. Beckjord 4</v>
          </cell>
          <cell r="C38" t="str">
            <v>CGE</v>
          </cell>
          <cell r="D38">
            <v>906.41505508005957</v>
          </cell>
          <cell r="E38">
            <v>878.62126035774406</v>
          </cell>
          <cell r="F38">
            <v>855.74381850522229</v>
          </cell>
          <cell r="G38">
            <v>833.7511030982281</v>
          </cell>
          <cell r="H38">
            <v>788.6754568499382</v>
          </cell>
          <cell r="I38">
            <v>753.75406998130154</v>
          </cell>
          <cell r="J38">
            <v>712.96642978893021</v>
          </cell>
          <cell r="K38">
            <v>710.18056723940481</v>
          </cell>
          <cell r="L38">
            <v>677.05117865360182</v>
          </cell>
          <cell r="M38">
            <v>669.86307864786886</v>
          </cell>
          <cell r="N38">
            <v>664.6638007182097</v>
          </cell>
          <cell r="O38">
            <v>671.16942855955915</v>
          </cell>
          <cell r="P38">
            <v>670.63450741333395</v>
          </cell>
          <cell r="Q38">
            <v>652.30064483181388</v>
          </cell>
          <cell r="R38">
            <v>646.98557951358475</v>
          </cell>
          <cell r="S38">
            <v>662.80774006819991</v>
          </cell>
          <cell r="T38">
            <v>626.64780543552081</v>
          </cell>
          <cell r="U38">
            <v>605.4896604354891</v>
          </cell>
          <cell r="V38">
            <v>628.92221098371226</v>
          </cell>
          <cell r="W38">
            <v>639.25253426286235</v>
          </cell>
        </row>
        <row r="39">
          <cell r="B39" t="str">
            <v>W.C. Beckjord 5</v>
          </cell>
          <cell r="C39" t="str">
            <v>CGE</v>
          </cell>
          <cell r="D39">
            <v>1528.4894855266018</v>
          </cell>
          <cell r="E39">
            <v>1391.8416742127185</v>
          </cell>
          <cell r="F39">
            <v>1377.5312065958017</v>
          </cell>
          <cell r="G39">
            <v>1341.1517209777014</v>
          </cell>
          <cell r="H39">
            <v>1278.7566425615582</v>
          </cell>
          <cell r="I39">
            <v>1220.0742293794133</v>
          </cell>
          <cell r="J39">
            <v>1160.3542366061586</v>
          </cell>
          <cell r="K39">
            <v>1145.6308241265192</v>
          </cell>
          <cell r="L39">
            <v>1093.5813767353832</v>
          </cell>
          <cell r="M39">
            <v>1069.9095362203152</v>
          </cell>
          <cell r="N39">
            <v>1077.8370229846091</v>
          </cell>
          <cell r="O39">
            <v>1091.0906843334897</v>
          </cell>
          <cell r="P39">
            <v>1094.7444379465037</v>
          </cell>
          <cell r="Q39">
            <v>1065.4542381871463</v>
          </cell>
          <cell r="R39">
            <v>1060.1667423040492</v>
          </cell>
          <cell r="S39">
            <v>1082.8759326050197</v>
          </cell>
          <cell r="T39">
            <v>1032.6383519511039</v>
          </cell>
          <cell r="U39">
            <v>993.94304215008242</v>
          </cell>
          <cell r="V39">
            <v>1038.1592585646447</v>
          </cell>
          <cell r="W39">
            <v>1057.1986159391402</v>
          </cell>
        </row>
        <row r="40">
          <cell r="B40" t="str">
            <v>W.C. Beckjord 6</v>
          </cell>
          <cell r="C40" t="str">
            <v>CGE</v>
          </cell>
          <cell r="D40">
            <v>914.60393029412444</v>
          </cell>
          <cell r="E40">
            <v>835.13507913018179</v>
          </cell>
          <cell r="F40">
            <v>833.04709878884444</v>
          </cell>
          <cell r="G40">
            <v>815.3602647883522</v>
          </cell>
          <cell r="H40">
            <v>777.66224792392381</v>
          </cell>
          <cell r="I40">
            <v>750.06688199377243</v>
          </cell>
          <cell r="J40">
            <v>719.05297159964675</v>
          </cell>
          <cell r="K40">
            <v>705.68910288847371</v>
          </cell>
          <cell r="L40">
            <v>676.91095543925712</v>
          </cell>
          <cell r="M40">
            <v>658.28974422695092</v>
          </cell>
          <cell r="N40">
            <v>662.39778433340018</v>
          </cell>
          <cell r="O40">
            <v>679.08121701079824</v>
          </cell>
          <cell r="P40">
            <v>677.48655990756379</v>
          </cell>
          <cell r="Q40">
            <v>651.29478934684528</v>
          </cell>
          <cell r="R40">
            <v>649.8770740947889</v>
          </cell>
          <cell r="S40">
            <v>672.6686167562624</v>
          </cell>
          <cell r="T40">
            <v>637.41992106342468</v>
          </cell>
          <cell r="U40">
            <v>623.74717955201129</v>
          </cell>
          <cell r="V40">
            <v>644.67073691734151</v>
          </cell>
          <cell r="W40">
            <v>660.71473979220002</v>
          </cell>
        </row>
        <row r="41">
          <cell r="B41" t="str">
            <v>W.H. Zimmer 1</v>
          </cell>
          <cell r="C41" t="str">
            <v>CGE</v>
          </cell>
          <cell r="D41">
            <v>4036.9929260999011</v>
          </cell>
          <cell r="E41">
            <v>4036.9929260999011</v>
          </cell>
          <cell r="F41">
            <v>4036.9929260999011</v>
          </cell>
          <cell r="G41">
            <v>4034.6768380053213</v>
          </cell>
          <cell r="H41">
            <v>4021.9960871922231</v>
          </cell>
          <cell r="I41">
            <v>4032.0828193393913</v>
          </cell>
          <cell r="J41">
            <v>4010.7628113339279</v>
          </cell>
          <cell r="K41">
            <v>4009.6176810005668</v>
          </cell>
          <cell r="L41">
            <v>4008.865704367985</v>
          </cell>
          <cell r="M41">
            <v>3984.8761632139358</v>
          </cell>
          <cell r="N41">
            <v>3958.7038926437581</v>
          </cell>
          <cell r="O41">
            <v>3982.6177535820962</v>
          </cell>
          <cell r="P41">
            <v>3990.3539076750658</v>
          </cell>
          <cell r="Q41">
            <v>3955.7161113795742</v>
          </cell>
          <cell r="R41">
            <v>3977.8812125555846</v>
          </cell>
          <cell r="S41">
            <v>4007.3078935047974</v>
          </cell>
          <cell r="T41">
            <v>3936.2951740740928</v>
          </cell>
          <cell r="U41">
            <v>3937.4303721332403</v>
          </cell>
          <cell r="V41">
            <v>3935.5193480934122</v>
          </cell>
          <cell r="W41">
            <v>3902.9341787676822</v>
          </cell>
        </row>
        <row r="42">
          <cell r="B42" t="str">
            <v>Cayuga Diesel 3A-D</v>
          </cell>
          <cell r="C42" t="str">
            <v>PSI</v>
          </cell>
          <cell r="D42">
            <v>25.051983209114415</v>
          </cell>
          <cell r="E42">
            <v>20.575340161437609</v>
          </cell>
          <cell r="F42">
            <v>18.171198926807854</v>
          </cell>
          <cell r="G42">
            <v>19.714284219757058</v>
          </cell>
          <cell r="H42">
            <v>17.092767529446839</v>
          </cell>
          <cell r="I42">
            <v>17.533681651297353</v>
          </cell>
          <cell r="J42">
            <v>17.048777206957649</v>
          </cell>
          <cell r="K42">
            <v>17.825341728645991</v>
          </cell>
          <cell r="L42">
            <v>20.602210454789038</v>
          </cell>
          <cell r="M42">
            <v>21.124713744073173</v>
          </cell>
          <cell r="N42">
            <v>21.23509717003752</v>
          </cell>
          <cell r="O42">
            <v>20.723550699401549</v>
          </cell>
          <cell r="P42">
            <v>20.55606790006539</v>
          </cell>
          <cell r="Q42">
            <v>22.378486849384057</v>
          </cell>
          <cell r="R42">
            <v>21.60430282698535</v>
          </cell>
          <cell r="S42">
            <v>22.264842465488702</v>
          </cell>
          <cell r="T42">
            <v>22.924664693247255</v>
          </cell>
          <cell r="U42">
            <v>23.001786348315399</v>
          </cell>
          <cell r="V42">
            <v>21.312968845429804</v>
          </cell>
          <cell r="W42">
            <v>23.676674201715159</v>
          </cell>
        </row>
        <row r="43">
          <cell r="B43" t="str">
            <v>Cayuga CT 4</v>
          </cell>
          <cell r="C43" t="str">
            <v>PSI</v>
          </cell>
          <cell r="D43">
            <v>50.154364365395395</v>
          </cell>
          <cell r="E43">
            <v>40.076230755491103</v>
          </cell>
          <cell r="F43">
            <v>36.591667909849328</v>
          </cell>
          <cell r="G43">
            <v>38.697789929980502</v>
          </cell>
          <cell r="H43">
            <v>34.421927514220805</v>
          </cell>
          <cell r="I43">
            <v>36.101090831859914</v>
          </cell>
          <cell r="J43">
            <v>35.079682925204544</v>
          </cell>
          <cell r="K43">
            <v>37.433998253891069</v>
          </cell>
          <cell r="L43">
            <v>41.41931167466084</v>
          </cell>
          <cell r="M43">
            <v>45.704108518041323</v>
          </cell>
          <cell r="N43">
            <v>45.686771149983016</v>
          </cell>
          <cell r="O43">
            <v>42.800742916010094</v>
          </cell>
          <cell r="P43">
            <v>44.602055435642214</v>
          </cell>
          <cell r="Q43">
            <v>47.035719239414391</v>
          </cell>
          <cell r="R43">
            <v>46.40682742456093</v>
          </cell>
          <cell r="S43">
            <v>47.765289454746735</v>
          </cell>
          <cell r="T43">
            <v>49.650775456604663</v>
          </cell>
          <cell r="U43">
            <v>49.552386293090088</v>
          </cell>
          <cell r="V43">
            <v>47.666147884677457</v>
          </cell>
          <cell r="W43">
            <v>52.159407768795155</v>
          </cell>
        </row>
        <row r="44">
          <cell r="B44" t="str">
            <v>Connersville CT 1</v>
          </cell>
          <cell r="C44" t="str">
            <v>PSI</v>
          </cell>
          <cell r="D44">
            <v>58.274012679219211</v>
          </cell>
          <cell r="E44">
            <v>47.02645025431341</v>
          </cell>
          <cell r="F44">
            <v>42.863251580811877</v>
          </cell>
          <cell r="G44">
            <v>49.169771530719515</v>
          </cell>
          <cell r="H44">
            <v>41.567374236202497</v>
          </cell>
          <cell r="I44">
            <v>45.022442593768503</v>
          </cell>
          <cell r="J44">
            <v>44.726925428145975</v>
          </cell>
          <cell r="K44">
            <v>49.635434943215635</v>
          </cell>
          <cell r="L44">
            <v>59.098286795652193</v>
          </cell>
          <cell r="M44">
            <v>62.842637779481592</v>
          </cell>
          <cell r="N44">
            <v>64.578492234427529</v>
          </cell>
          <cell r="O44">
            <v>59.517179827428748</v>
          </cell>
          <cell r="P44">
            <v>65.276873997910556</v>
          </cell>
          <cell r="Q44">
            <v>67.441846129182025</v>
          </cell>
          <cell r="R44">
            <v>69.100913730275707</v>
          </cell>
          <cell r="S44">
            <v>71.593029145009581</v>
          </cell>
          <cell r="T44">
            <v>77.81249225441158</v>
          </cell>
          <cell r="U44">
            <v>78.835296775091308</v>
          </cell>
          <cell r="V44">
            <v>74.39664481717756</v>
          </cell>
          <cell r="W44">
            <v>97.470221564254857</v>
          </cell>
        </row>
        <row r="45">
          <cell r="B45" t="str">
            <v>Connersville CT 2</v>
          </cell>
          <cell r="C45" t="str">
            <v>PSI</v>
          </cell>
          <cell r="D45">
            <v>58.274012679219211</v>
          </cell>
          <cell r="E45">
            <v>47.02645025431341</v>
          </cell>
          <cell r="F45">
            <v>42.863251580811877</v>
          </cell>
          <cell r="G45">
            <v>49.169771530719515</v>
          </cell>
          <cell r="H45">
            <v>41.567374236202497</v>
          </cell>
          <cell r="I45">
            <v>45.022442593768503</v>
          </cell>
          <cell r="J45">
            <v>44.726925428145975</v>
          </cell>
          <cell r="K45">
            <v>49.635434943215635</v>
          </cell>
          <cell r="L45">
            <v>59.098286795652193</v>
          </cell>
          <cell r="M45">
            <v>62.842637779481592</v>
          </cell>
          <cell r="N45">
            <v>64.578492234427529</v>
          </cell>
          <cell r="O45">
            <v>59.517179827428748</v>
          </cell>
          <cell r="P45">
            <v>65.276873997910556</v>
          </cell>
          <cell r="Q45">
            <v>67.441846129182025</v>
          </cell>
          <cell r="R45">
            <v>69.100913730275707</v>
          </cell>
          <cell r="S45">
            <v>71.593029145009581</v>
          </cell>
          <cell r="T45">
            <v>77.81249225441158</v>
          </cell>
          <cell r="U45">
            <v>78.835296775091308</v>
          </cell>
          <cell r="V45">
            <v>74.39664481717756</v>
          </cell>
          <cell r="W45">
            <v>97.470221564254857</v>
          </cell>
        </row>
        <row r="46">
          <cell r="B46" t="str">
            <v>Dicks Creek CT 1</v>
          </cell>
          <cell r="C46" t="str">
            <v>CGE</v>
          </cell>
          <cell r="D46">
            <v>61.719797724126302</v>
          </cell>
          <cell r="E46">
            <v>52.381475210648112</v>
          </cell>
          <cell r="F46">
            <v>49.272716674414205</v>
          </cell>
          <cell r="G46">
            <v>57.785935728018288</v>
          </cell>
          <cell r="H46">
            <v>48.512885534965498</v>
          </cell>
          <cell r="I46">
            <v>53.200226666185479</v>
          </cell>
          <cell r="J46">
            <v>53.27250809484449</v>
          </cell>
          <cell r="K46">
            <v>56.005184167419308</v>
          </cell>
          <cell r="L46">
            <v>65.842029504012274</v>
          </cell>
          <cell r="M46">
            <v>72.976644581920198</v>
          </cell>
          <cell r="N46">
            <v>77.181890487447902</v>
          </cell>
          <cell r="O46">
            <v>73.299939699194979</v>
          </cell>
          <cell r="P46">
            <v>78.04247755775458</v>
          </cell>
          <cell r="Q46">
            <v>76.597506088471491</v>
          </cell>
          <cell r="R46">
            <v>86.10514237271758</v>
          </cell>
          <cell r="S46">
            <v>85.855442891895621</v>
          </cell>
          <cell r="T46">
            <v>93.55429118260831</v>
          </cell>
          <cell r="U46">
            <v>95.011090522035587</v>
          </cell>
          <cell r="V46">
            <v>93.363073948610378</v>
          </cell>
          <cell r="W46">
            <v>134.58561078210269</v>
          </cell>
        </row>
        <row r="47">
          <cell r="B47" t="str">
            <v>Dicks Creek CT 3</v>
          </cell>
          <cell r="C47" t="str">
            <v>CGE</v>
          </cell>
          <cell r="D47">
            <v>9.524480047469968</v>
          </cell>
          <cell r="E47">
            <v>8.0827502907449134</v>
          </cell>
          <cell r="F47">
            <v>7.6037434533680432</v>
          </cell>
          <cell r="G47">
            <v>8.9167903636168528</v>
          </cell>
          <cell r="H47">
            <v>7.4862751800655509</v>
          </cell>
          <cell r="I47">
            <v>8.2100094121112122</v>
          </cell>
          <cell r="J47">
            <v>8.2207859160203682</v>
          </cell>
          <cell r="K47">
            <v>8.6428218455360124</v>
          </cell>
          <cell r="L47">
            <v>10.159724288066434</v>
          </cell>
          <cell r="M47">
            <v>11.259606694160881</v>
          </cell>
          <cell r="N47">
            <v>11.908233950790871</v>
          </cell>
          <cell r="O47">
            <v>11.310773184266161</v>
          </cell>
          <cell r="P47">
            <v>12.04125368298666</v>
          </cell>
          <cell r="Q47">
            <v>11.818035489209722</v>
          </cell>
          <cell r="R47">
            <v>13.283048627348277</v>
          </cell>
          <cell r="S47">
            <v>13.244761373622239</v>
          </cell>
          <cell r="T47">
            <v>14.431731949519165</v>
          </cell>
          <cell r="U47">
            <v>14.656395771869283</v>
          </cell>
          <cell r="V47">
            <v>14.40253463303358</v>
          </cell>
          <cell r="W47">
            <v>20.752414333800271</v>
          </cell>
        </row>
        <row r="48">
          <cell r="B48" t="str">
            <v>Dicks Creek CT 4-5</v>
          </cell>
          <cell r="C48" t="str">
            <v>CGE</v>
          </cell>
          <cell r="D48">
            <v>33.792708869394389</v>
          </cell>
          <cell r="E48">
            <v>29.393756699956302</v>
          </cell>
          <cell r="F48">
            <v>28.288806628959989</v>
          </cell>
          <cell r="G48">
            <v>34.722534778195062</v>
          </cell>
          <cell r="H48">
            <v>27.56537705417562</v>
          </cell>
          <cell r="I48">
            <v>32.775320879495901</v>
          </cell>
          <cell r="J48">
            <v>31.741254397959761</v>
          </cell>
          <cell r="K48">
            <v>33.867762081763978</v>
          </cell>
          <cell r="L48">
            <v>40.401561180825105</v>
          </cell>
          <cell r="M48">
            <v>42.029798926953625</v>
          </cell>
          <cell r="N48">
            <v>44.69627277752771</v>
          </cell>
          <cell r="O48">
            <v>46.50588912021599</v>
          </cell>
          <cell r="P48">
            <v>47.938154589601744</v>
          </cell>
          <cell r="Q48">
            <v>47.683807592127124</v>
          </cell>
          <cell r="R48">
            <v>50.844381757467502</v>
          </cell>
          <cell r="S48">
            <v>54.300999149376665</v>
          </cell>
          <cell r="T48">
            <v>54.678350022679176</v>
          </cell>
          <cell r="U48">
            <v>59.448398631055646</v>
          </cell>
          <cell r="V48">
            <v>60.442853694952326</v>
          </cell>
          <cell r="W48">
            <v>83.015107315097481</v>
          </cell>
        </row>
        <row r="49">
          <cell r="B49" t="str">
            <v>Miami Fort CT 3-6</v>
          </cell>
          <cell r="C49" t="str">
            <v>CGE</v>
          </cell>
          <cell r="D49">
            <v>57.819277528794935</v>
          </cell>
          <cell r="E49">
            <v>49.010079585109096</v>
          </cell>
          <cell r="F49">
            <v>46.487106653442844</v>
          </cell>
          <cell r="G49">
            <v>53.947592041460041</v>
          </cell>
          <cell r="H49">
            <v>44.865945302392376</v>
          </cell>
          <cell r="I49">
            <v>49.773482323349441</v>
          </cell>
          <cell r="J49">
            <v>51.139973831589707</v>
          </cell>
          <cell r="K49">
            <v>54.139762494683708</v>
          </cell>
          <cell r="L49">
            <v>63.355449186757724</v>
          </cell>
          <cell r="M49">
            <v>74.803577667449417</v>
          </cell>
          <cell r="N49">
            <v>73.498432647434285</v>
          </cell>
          <cell r="O49">
            <v>71.87739265442184</v>
          </cell>
          <cell r="P49">
            <v>76.655926080950891</v>
          </cell>
          <cell r="Q49">
            <v>76.683352997546066</v>
          </cell>
          <cell r="R49">
            <v>84.96967983437105</v>
          </cell>
          <cell r="S49">
            <v>85.759235229807203</v>
          </cell>
          <cell r="T49">
            <v>97.2348513061132</v>
          </cell>
          <cell r="U49">
            <v>96.388621706915998</v>
          </cell>
          <cell r="V49">
            <v>92.703402845017294</v>
          </cell>
          <cell r="W49">
            <v>129.24540031879479</v>
          </cell>
        </row>
        <row r="50">
          <cell r="B50" t="str">
            <v>Miami-Wabash CT 1-6</v>
          </cell>
          <cell r="C50" t="str">
            <v>PSI</v>
          </cell>
          <cell r="D50">
            <v>103.57193340750005</v>
          </cell>
          <cell r="E50">
            <v>87.612273822375045</v>
          </cell>
          <cell r="F50">
            <v>81.563923651124995</v>
          </cell>
          <cell r="G50">
            <v>96.447118693125063</v>
          </cell>
          <cell r="H50">
            <v>78.79048831350002</v>
          </cell>
          <cell r="I50">
            <v>87.834282974250016</v>
          </cell>
          <cell r="J50">
            <v>86.357828833125055</v>
          </cell>
          <cell r="K50">
            <v>92.937881595000022</v>
          </cell>
          <cell r="L50">
            <v>106.73677647675004</v>
          </cell>
          <cell r="M50">
            <v>116.48428418025009</v>
          </cell>
          <cell r="N50">
            <v>127.22169151387509</v>
          </cell>
          <cell r="O50">
            <v>119.23943641125007</v>
          </cell>
          <cell r="P50">
            <v>125.30868156150009</v>
          </cell>
          <cell r="Q50">
            <v>121.99048427137502</v>
          </cell>
          <cell r="R50">
            <v>137.85163895550002</v>
          </cell>
          <cell r="S50">
            <v>138.4128183915</v>
          </cell>
          <cell r="T50">
            <v>144.28430749050005</v>
          </cell>
          <cell r="U50">
            <v>150.65018671762505</v>
          </cell>
          <cell r="V50">
            <v>149.97520427100005</v>
          </cell>
          <cell r="W50">
            <v>217.84246918762494</v>
          </cell>
        </row>
        <row r="51">
          <cell r="B51" t="str">
            <v>Wabash Diesel 7A-B</v>
          </cell>
          <cell r="C51" t="str">
            <v>PSI</v>
          </cell>
          <cell r="D51">
            <v>19.2768443642676</v>
          </cell>
          <cell r="E51">
            <v>15.857437168861198</v>
          </cell>
          <cell r="F51">
            <v>14.022881892637196</v>
          </cell>
          <cell r="G51">
            <v>15.201328858267205</v>
          </cell>
          <cell r="H51">
            <v>13.181789258357272</v>
          </cell>
          <cell r="I51">
            <v>13.540037135908799</v>
          </cell>
          <cell r="J51">
            <v>13.169304090505195</v>
          </cell>
          <cell r="K51">
            <v>13.776236127722639</v>
          </cell>
          <cell r="L51">
            <v>15.897695465200556</v>
          </cell>
          <cell r="M51">
            <v>16.30104282662591</v>
          </cell>
          <cell r="N51">
            <v>16.394299386500631</v>
          </cell>
          <cell r="O51">
            <v>16.02101834765784</v>
          </cell>
          <cell r="P51">
            <v>15.885974695380236</v>
          </cell>
          <cell r="Q51">
            <v>17.284313494813187</v>
          </cell>
          <cell r="R51">
            <v>16.691140622167445</v>
          </cell>
          <cell r="S51">
            <v>17.209912086388552</v>
          </cell>
          <cell r="T51">
            <v>17.716453182101525</v>
          </cell>
          <cell r="U51">
            <v>17.770215843668637</v>
          </cell>
          <cell r="V51">
            <v>16.487810745719276</v>
          </cell>
          <cell r="W51">
            <v>18.314976840969592</v>
          </cell>
        </row>
        <row r="52">
          <cell r="B52" t="str">
            <v>W.C. Beckjord CT 1</v>
          </cell>
          <cell r="C52" t="str">
            <v>CGE</v>
          </cell>
          <cell r="D52">
            <v>55.219230279110342</v>
          </cell>
          <cell r="E52">
            <v>45.721786723269361</v>
          </cell>
          <cell r="F52">
            <v>43.001360036969288</v>
          </cell>
          <cell r="G52">
            <v>49.551013159556703</v>
          </cell>
          <cell r="H52">
            <v>41.42373190604679</v>
          </cell>
          <cell r="I52">
            <v>47.1203335889332</v>
          </cell>
          <cell r="J52">
            <v>47.201100336300513</v>
          </cell>
          <cell r="K52">
            <v>49.486775785316944</v>
          </cell>
          <cell r="L52">
            <v>61.673101820920763</v>
          </cell>
          <cell r="M52">
            <v>70.309754116847458</v>
          </cell>
          <cell r="N52">
            <v>69.020760698291525</v>
          </cell>
          <cell r="O52">
            <v>66.465366615729351</v>
          </cell>
          <cell r="P52">
            <v>71.436294871736592</v>
          </cell>
          <cell r="Q52">
            <v>72.883855376200458</v>
          </cell>
          <cell r="R52">
            <v>77.160863313895632</v>
          </cell>
          <cell r="S52">
            <v>78.456082012947022</v>
          </cell>
          <cell r="T52">
            <v>89.525722246929277</v>
          </cell>
          <cell r="U52">
            <v>90.666614571282679</v>
          </cell>
          <cell r="V52">
            <v>85.301174831529863</v>
          </cell>
          <cell r="W52">
            <v>114.97837170073134</v>
          </cell>
        </row>
        <row r="53">
          <cell r="B53" t="str">
            <v>W.C. Beckjord CT 2</v>
          </cell>
          <cell r="C53" t="str">
            <v>CGE</v>
          </cell>
          <cell r="D53">
            <v>55.219230279110342</v>
          </cell>
          <cell r="E53">
            <v>45.721786723269361</v>
          </cell>
          <cell r="F53">
            <v>43.001360036969288</v>
          </cell>
          <cell r="G53">
            <v>49.551013159556703</v>
          </cell>
          <cell r="H53">
            <v>41.42373190604679</v>
          </cell>
          <cell r="I53">
            <v>47.1203335889332</v>
          </cell>
          <cell r="J53">
            <v>47.201100336300513</v>
          </cell>
          <cell r="K53">
            <v>49.486775785316944</v>
          </cell>
          <cell r="L53">
            <v>61.673101820920763</v>
          </cell>
          <cell r="M53">
            <v>70.309754116847458</v>
          </cell>
          <cell r="N53">
            <v>69.020760698291525</v>
          </cell>
          <cell r="O53">
            <v>66.465366615729351</v>
          </cell>
          <cell r="P53">
            <v>71.436294871736592</v>
          </cell>
          <cell r="Q53">
            <v>72.883855376200458</v>
          </cell>
          <cell r="R53">
            <v>77.160863313895632</v>
          </cell>
          <cell r="S53">
            <v>78.456082012947022</v>
          </cell>
          <cell r="T53">
            <v>89.525722246929277</v>
          </cell>
          <cell r="U53">
            <v>90.666614571282679</v>
          </cell>
          <cell r="V53">
            <v>85.301174831529863</v>
          </cell>
          <cell r="W53">
            <v>114.97837170073134</v>
          </cell>
        </row>
        <row r="54">
          <cell r="B54" t="str">
            <v>W.C. Beckjord CT 3</v>
          </cell>
          <cell r="C54" t="str">
            <v>CGE</v>
          </cell>
          <cell r="D54">
            <v>55.219230279110342</v>
          </cell>
          <cell r="E54">
            <v>45.721786723269361</v>
          </cell>
          <cell r="F54">
            <v>43.001360036969288</v>
          </cell>
          <cell r="G54">
            <v>49.551013159556703</v>
          </cell>
          <cell r="H54">
            <v>41.42373190604679</v>
          </cell>
          <cell r="I54">
            <v>47.1203335889332</v>
          </cell>
          <cell r="J54">
            <v>47.201100336300513</v>
          </cell>
          <cell r="K54">
            <v>49.486775785316944</v>
          </cell>
          <cell r="L54">
            <v>61.673101820920763</v>
          </cell>
          <cell r="M54">
            <v>70.309754116847458</v>
          </cell>
          <cell r="N54">
            <v>69.020760698291525</v>
          </cell>
          <cell r="O54">
            <v>66.465366615729351</v>
          </cell>
          <cell r="P54">
            <v>71.436294871736592</v>
          </cell>
          <cell r="Q54">
            <v>72.883855376200458</v>
          </cell>
          <cell r="R54">
            <v>77.160863313895632</v>
          </cell>
          <cell r="S54">
            <v>78.456082012947022</v>
          </cell>
          <cell r="T54">
            <v>89.525722246929277</v>
          </cell>
          <cell r="U54">
            <v>90.666614571282679</v>
          </cell>
          <cell r="V54">
            <v>85.301174831529863</v>
          </cell>
          <cell r="W54">
            <v>114.97837170073134</v>
          </cell>
        </row>
        <row r="55">
          <cell r="B55" t="str">
            <v>W.C. Beckjord CT 4</v>
          </cell>
          <cell r="C55" t="str">
            <v>CGE</v>
          </cell>
          <cell r="D55">
            <v>55.219230279110342</v>
          </cell>
          <cell r="E55">
            <v>45.721786723269361</v>
          </cell>
          <cell r="F55">
            <v>43.001360036969288</v>
          </cell>
          <cell r="G55">
            <v>49.551013159556703</v>
          </cell>
          <cell r="H55">
            <v>41.42373190604679</v>
          </cell>
          <cell r="I55">
            <v>47.1203335889332</v>
          </cell>
          <cell r="J55">
            <v>47.201100336300513</v>
          </cell>
          <cell r="K55">
            <v>49.486775785316944</v>
          </cell>
          <cell r="L55">
            <v>61.673101820920763</v>
          </cell>
          <cell r="M55">
            <v>70.309754116847458</v>
          </cell>
          <cell r="N55">
            <v>69.020760698291525</v>
          </cell>
          <cell r="O55">
            <v>66.465366615729351</v>
          </cell>
          <cell r="P55">
            <v>71.436294871736592</v>
          </cell>
          <cell r="Q55">
            <v>72.883855376200458</v>
          </cell>
          <cell r="R55">
            <v>77.160863313895632</v>
          </cell>
          <cell r="S55">
            <v>78.456082012947022</v>
          </cell>
          <cell r="T55">
            <v>89.525722246929277</v>
          </cell>
          <cell r="U55">
            <v>90.666614571282679</v>
          </cell>
          <cell r="V55">
            <v>85.301174831529863</v>
          </cell>
          <cell r="W55">
            <v>114.97837170073134</v>
          </cell>
        </row>
        <row r="56">
          <cell r="B56" t="str">
            <v>Woodsdale CT 1</v>
          </cell>
          <cell r="C56" t="str">
            <v>CGE</v>
          </cell>
          <cell r="D56">
            <v>25.718168258150413</v>
          </cell>
          <cell r="E56">
            <v>23.301021815193621</v>
          </cell>
          <cell r="F56">
            <v>22.025820915302408</v>
          </cell>
          <cell r="G56">
            <v>25.431510015590419</v>
          </cell>
          <cell r="H56">
            <v>20.399189096448008</v>
          </cell>
          <cell r="I56">
            <v>22.558863362457604</v>
          </cell>
          <cell r="J56">
            <v>21.474585785548808</v>
          </cell>
          <cell r="K56">
            <v>22.474100806041601</v>
          </cell>
          <cell r="L56">
            <v>26.080718679244807</v>
          </cell>
          <cell r="M56">
            <v>25.746135172300811</v>
          </cell>
          <cell r="N56">
            <v>27.232932420403216</v>
          </cell>
          <cell r="O56">
            <v>28.108220110848009</v>
          </cell>
          <cell r="P56">
            <v>29.320571650867201</v>
          </cell>
          <cell r="Q56">
            <v>29.47327037153282</v>
          </cell>
          <cell r="R56">
            <v>31.144695496704003</v>
          </cell>
          <cell r="S56">
            <v>33.153037332480011</v>
          </cell>
          <cell r="T56">
            <v>33.184934959104019</v>
          </cell>
          <cell r="U56">
            <v>34.215801090048004</v>
          </cell>
          <cell r="V56">
            <v>34.698858327244807</v>
          </cell>
          <cell r="W56">
            <v>47.541231673344001</v>
          </cell>
        </row>
        <row r="57">
          <cell r="B57" t="str">
            <v>Woodsdale CT 2</v>
          </cell>
          <cell r="C57" t="str">
            <v>CGE</v>
          </cell>
          <cell r="D57">
            <v>25.718168258150413</v>
          </cell>
          <cell r="E57">
            <v>23.301021815193621</v>
          </cell>
          <cell r="F57">
            <v>22.025820915302408</v>
          </cell>
          <cell r="G57">
            <v>25.431510015590419</v>
          </cell>
          <cell r="H57">
            <v>20.399189096448008</v>
          </cell>
          <cell r="I57">
            <v>22.558863362457604</v>
          </cell>
          <cell r="J57">
            <v>21.474585785548808</v>
          </cell>
          <cell r="K57">
            <v>22.474100806041601</v>
          </cell>
          <cell r="L57">
            <v>26.080718679244807</v>
          </cell>
          <cell r="M57">
            <v>25.746135172300811</v>
          </cell>
          <cell r="N57">
            <v>27.232932420403216</v>
          </cell>
          <cell r="O57">
            <v>28.108220110848009</v>
          </cell>
          <cell r="P57">
            <v>29.320571650867201</v>
          </cell>
          <cell r="Q57">
            <v>29.47327037153282</v>
          </cell>
          <cell r="R57">
            <v>31.144695496704003</v>
          </cell>
          <cell r="S57">
            <v>33.153037332480011</v>
          </cell>
          <cell r="T57">
            <v>33.184934959104019</v>
          </cell>
          <cell r="U57">
            <v>34.215801090048004</v>
          </cell>
          <cell r="V57">
            <v>34.698858327244807</v>
          </cell>
          <cell r="W57">
            <v>47.541231673344001</v>
          </cell>
        </row>
        <row r="58">
          <cell r="B58" t="str">
            <v>Woodsdale CT 3</v>
          </cell>
          <cell r="C58" t="str">
            <v>CGE</v>
          </cell>
          <cell r="D58">
            <v>25.718168258150413</v>
          </cell>
          <cell r="E58">
            <v>23.301021815193621</v>
          </cell>
          <cell r="F58">
            <v>22.025820915302408</v>
          </cell>
          <cell r="G58">
            <v>25.431510015590419</v>
          </cell>
          <cell r="H58">
            <v>20.399189096448008</v>
          </cell>
          <cell r="I58">
            <v>22.558863362457604</v>
          </cell>
          <cell r="J58">
            <v>21.474585785548808</v>
          </cell>
          <cell r="K58">
            <v>22.474100806041601</v>
          </cell>
          <cell r="L58">
            <v>26.080718679244807</v>
          </cell>
          <cell r="M58">
            <v>25.746135172300811</v>
          </cell>
          <cell r="N58">
            <v>27.232932420403216</v>
          </cell>
          <cell r="O58">
            <v>28.108220110848009</v>
          </cell>
          <cell r="P58">
            <v>29.320571650867201</v>
          </cell>
          <cell r="Q58">
            <v>29.47327037153282</v>
          </cell>
          <cell r="R58">
            <v>31.144695496704003</v>
          </cell>
          <cell r="S58">
            <v>33.153037332480011</v>
          </cell>
          <cell r="T58">
            <v>33.184934959104019</v>
          </cell>
          <cell r="U58">
            <v>34.215801090048004</v>
          </cell>
          <cell r="V58">
            <v>34.698858327244807</v>
          </cell>
          <cell r="W58">
            <v>47.541231673344001</v>
          </cell>
        </row>
        <row r="59">
          <cell r="B59" t="str">
            <v>Woodsdale CT 4</v>
          </cell>
          <cell r="C59" t="str">
            <v>CGE</v>
          </cell>
          <cell r="D59">
            <v>25.718168258150413</v>
          </cell>
          <cell r="E59">
            <v>23.301021815193621</v>
          </cell>
          <cell r="F59">
            <v>22.025820915302408</v>
          </cell>
          <cell r="G59">
            <v>25.431510015590419</v>
          </cell>
          <cell r="H59">
            <v>20.399189096448008</v>
          </cell>
          <cell r="I59">
            <v>22.558863362457604</v>
          </cell>
          <cell r="J59">
            <v>21.474585785548808</v>
          </cell>
          <cell r="K59">
            <v>22.474100806041601</v>
          </cell>
          <cell r="L59">
            <v>26.080718679244807</v>
          </cell>
          <cell r="M59">
            <v>25.746135172300811</v>
          </cell>
          <cell r="N59">
            <v>27.232932420403216</v>
          </cell>
          <cell r="O59">
            <v>28.108220110848009</v>
          </cell>
          <cell r="P59">
            <v>29.320571650867201</v>
          </cell>
          <cell r="Q59">
            <v>29.47327037153282</v>
          </cell>
          <cell r="R59">
            <v>31.144695496704003</v>
          </cell>
          <cell r="S59">
            <v>33.153037332480011</v>
          </cell>
          <cell r="T59">
            <v>33.184934959104019</v>
          </cell>
          <cell r="U59">
            <v>34.215801090048004</v>
          </cell>
          <cell r="V59">
            <v>34.698858327244807</v>
          </cell>
          <cell r="W59">
            <v>47.541231673344001</v>
          </cell>
        </row>
        <row r="60">
          <cell r="B60" t="str">
            <v>Woodsdale CT 5</v>
          </cell>
          <cell r="C60" t="str">
            <v>CGE</v>
          </cell>
          <cell r="D60">
            <v>25.718168258150413</v>
          </cell>
          <cell r="E60">
            <v>23.301021815193621</v>
          </cell>
          <cell r="F60">
            <v>22.025820915302408</v>
          </cell>
          <cell r="G60">
            <v>25.431510015590419</v>
          </cell>
          <cell r="H60">
            <v>20.399189096448008</v>
          </cell>
          <cell r="I60">
            <v>22.558863362457604</v>
          </cell>
          <cell r="J60">
            <v>21.474585785548808</v>
          </cell>
          <cell r="K60">
            <v>22.474100806041601</v>
          </cell>
          <cell r="L60">
            <v>26.080718679244807</v>
          </cell>
          <cell r="M60">
            <v>25.746135172300811</v>
          </cell>
          <cell r="N60">
            <v>27.232932420403216</v>
          </cell>
          <cell r="O60">
            <v>28.108220110848009</v>
          </cell>
          <cell r="P60">
            <v>29.320571650867201</v>
          </cell>
          <cell r="Q60">
            <v>29.47327037153282</v>
          </cell>
          <cell r="R60">
            <v>31.144695496704003</v>
          </cell>
          <cell r="S60">
            <v>33.153037332480011</v>
          </cell>
          <cell r="T60">
            <v>33.184934959104019</v>
          </cell>
          <cell r="U60">
            <v>34.215801090048004</v>
          </cell>
          <cell r="V60">
            <v>34.698858327244807</v>
          </cell>
          <cell r="W60">
            <v>47.541231673344001</v>
          </cell>
        </row>
        <row r="61">
          <cell r="B61" t="str">
            <v>Woodsdale CT 6</v>
          </cell>
          <cell r="C61" t="str">
            <v>CGE</v>
          </cell>
          <cell r="D61">
            <v>25.718168258150413</v>
          </cell>
          <cell r="E61">
            <v>23.301021815193621</v>
          </cell>
          <cell r="F61">
            <v>22.025820915302408</v>
          </cell>
          <cell r="G61">
            <v>25.431510015590419</v>
          </cell>
          <cell r="H61">
            <v>20.399189096448008</v>
          </cell>
          <cell r="I61">
            <v>22.558863362457604</v>
          </cell>
          <cell r="J61">
            <v>21.474585785548808</v>
          </cell>
          <cell r="K61">
            <v>22.474100806041601</v>
          </cell>
          <cell r="L61">
            <v>26.080718679244807</v>
          </cell>
          <cell r="M61">
            <v>25.746135172300811</v>
          </cell>
          <cell r="N61">
            <v>27.232932420403216</v>
          </cell>
          <cell r="O61">
            <v>28.108220110848009</v>
          </cell>
          <cell r="P61">
            <v>29.320571650867201</v>
          </cell>
          <cell r="Q61">
            <v>29.47327037153282</v>
          </cell>
          <cell r="R61">
            <v>31.144695496704003</v>
          </cell>
          <cell r="S61">
            <v>33.153037332480011</v>
          </cell>
          <cell r="T61">
            <v>33.184934959104019</v>
          </cell>
          <cell r="U61">
            <v>34.215801090048004</v>
          </cell>
          <cell r="V61">
            <v>34.698858327244807</v>
          </cell>
          <cell r="W61">
            <v>47.541231673344001</v>
          </cell>
        </row>
        <row r="62">
          <cell r="B62" t="str">
            <v>Markland 1 -3</v>
          </cell>
          <cell r="C62" t="str">
            <v>PSI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</sheetData>
      <sheetData sheetId="28">
        <row r="2">
          <cell r="B2" t="str">
            <v>Cayuga 1</v>
          </cell>
          <cell r="C2" t="str">
            <v>PSI</v>
          </cell>
          <cell r="D2">
            <v>2679090.4524206994</v>
          </cell>
          <cell r="E2">
            <v>2615307.2640266032</v>
          </cell>
          <cell r="F2">
            <v>2442619.5184805887</v>
          </cell>
          <cell r="G2">
            <v>2379352.8056104253</v>
          </cell>
          <cell r="H2">
            <v>3424566.8489664905</v>
          </cell>
          <cell r="I2">
            <v>3642210.9248673413</v>
          </cell>
          <cell r="J2">
            <v>3715212.5425778842</v>
          </cell>
          <cell r="K2">
            <v>3697267.894219086</v>
          </cell>
          <cell r="L2">
            <v>3679731.4818300004</v>
          </cell>
          <cell r="M2">
            <v>3657377.1295069214</v>
          </cell>
          <cell r="N2">
            <v>3656454.8276643497</v>
          </cell>
          <cell r="O2">
            <v>3675525.6095649763</v>
          </cell>
          <cell r="P2">
            <v>3686933.9582857233</v>
          </cell>
          <cell r="Q2">
            <v>3654922.5589096979</v>
          </cell>
          <cell r="R2">
            <v>3679930.1933196015</v>
          </cell>
          <cell r="S2">
            <v>3679009.5157899363</v>
          </cell>
          <cell r="T2">
            <v>3631908.8751336797</v>
          </cell>
          <cell r="U2">
            <v>3608911.7650883403</v>
          </cell>
          <cell r="V2">
            <v>3614882.8661347302</v>
          </cell>
          <cell r="W2">
            <v>3555139.386817561</v>
          </cell>
        </row>
        <row r="3">
          <cell r="B3" t="str">
            <v>Cayuga 2</v>
          </cell>
          <cell r="C3" t="str">
            <v>PSI</v>
          </cell>
          <cell r="D3">
            <v>2775576.5375352325</v>
          </cell>
          <cell r="E3">
            <v>2777093.9883563947</v>
          </cell>
          <cell r="F3">
            <v>2570349.28641803</v>
          </cell>
          <cell r="G3">
            <v>2497514.6568326619</v>
          </cell>
          <cell r="H3">
            <v>3329219.2712512854</v>
          </cell>
          <cell r="I3">
            <v>3586322.2239014637</v>
          </cell>
          <cell r="J3">
            <v>3658406.2016018224</v>
          </cell>
          <cell r="K3">
            <v>3634023.9321829733</v>
          </cell>
          <cell r="L3">
            <v>3627862.4842622303</v>
          </cell>
          <cell r="M3">
            <v>3608432.0389284412</v>
          </cell>
          <cell r="N3">
            <v>3606684.0878980928</v>
          </cell>
          <cell r="O3">
            <v>3623548.3379190541</v>
          </cell>
          <cell r="P3">
            <v>3632373.9961424987</v>
          </cell>
          <cell r="Q3">
            <v>3600630.2587050074</v>
          </cell>
          <cell r="R3">
            <v>3620007.4116589557</v>
          </cell>
          <cell r="S3">
            <v>3624965.4898179471</v>
          </cell>
          <cell r="T3">
            <v>3571663.2410122175</v>
          </cell>
          <cell r="U3">
            <v>3564072.7003619089</v>
          </cell>
          <cell r="V3">
            <v>3571501.4365881658</v>
          </cell>
          <cell r="W3">
            <v>3520565.7475517313</v>
          </cell>
        </row>
        <row r="4">
          <cell r="B4" t="str">
            <v>Conesville 4</v>
          </cell>
          <cell r="C4" t="str">
            <v>CGE</v>
          </cell>
          <cell r="D4">
            <v>2257084.3917592638</v>
          </cell>
          <cell r="E4">
            <v>2341227.6679090294</v>
          </cell>
          <cell r="F4">
            <v>2329521.7302818126</v>
          </cell>
          <cell r="G4">
            <v>2403088.6351630311</v>
          </cell>
          <cell r="H4">
            <v>2411758.2430891092</v>
          </cell>
          <cell r="I4">
            <v>2424126.3002752634</v>
          </cell>
          <cell r="J4">
            <v>2417546.0047116922</v>
          </cell>
          <cell r="K4">
            <v>2425272.2930845558</v>
          </cell>
          <cell r="L4">
            <v>2412485.113809526</v>
          </cell>
          <cell r="M4">
            <v>2403136.8166969637</v>
          </cell>
          <cell r="N4">
            <v>2399492.0786282201</v>
          </cell>
          <cell r="O4">
            <v>2405573.8275267584</v>
          </cell>
          <cell r="P4">
            <v>2406693.7778420788</v>
          </cell>
          <cell r="Q4">
            <v>2396682.2585887117</v>
          </cell>
          <cell r="R4">
            <v>2403523.5285156835</v>
          </cell>
          <cell r="S4">
            <v>2413866.6558922748</v>
          </cell>
          <cell r="T4">
            <v>2393899.2122568251</v>
          </cell>
          <cell r="U4">
            <v>2390310.0222378266</v>
          </cell>
          <cell r="V4">
            <v>2391089.7951147691</v>
          </cell>
          <cell r="W4">
            <v>2383671.68822204</v>
          </cell>
        </row>
        <row r="5">
          <cell r="B5" t="str">
            <v>East Bend 2</v>
          </cell>
          <cell r="C5" t="str">
            <v>CGE</v>
          </cell>
          <cell r="D5">
            <v>3138953.9552899604</v>
          </cell>
          <cell r="E5">
            <v>3138953.9552899604</v>
          </cell>
          <cell r="F5">
            <v>3138953.9552899604</v>
          </cell>
          <cell r="G5">
            <v>3133585.1264677988</v>
          </cell>
          <cell r="H5">
            <v>3125795.9536565696</v>
          </cell>
          <cell r="I5">
            <v>3130205.040229348</v>
          </cell>
          <cell r="J5">
            <v>3123137.4260702636</v>
          </cell>
          <cell r="K5">
            <v>3115411.2572398786</v>
          </cell>
          <cell r="L5">
            <v>3114220.5875224001</v>
          </cell>
          <cell r="M5">
            <v>3097267.1883435808</v>
          </cell>
          <cell r="N5">
            <v>3079573.1880537467</v>
          </cell>
          <cell r="O5">
            <v>3092988.3349359767</v>
          </cell>
          <cell r="P5">
            <v>3100578.7540536951</v>
          </cell>
          <cell r="Q5">
            <v>3079221.9692729609</v>
          </cell>
          <cell r="R5">
            <v>3094839.1681468002</v>
          </cell>
          <cell r="S5">
            <v>3104757.7581664543</v>
          </cell>
          <cell r="T5">
            <v>3053189.9667115384</v>
          </cell>
          <cell r="U5">
            <v>3063256.5919027776</v>
          </cell>
          <cell r="V5">
            <v>3052694.8105966626</v>
          </cell>
          <cell r="W5">
            <v>3017230.5369977509</v>
          </cell>
        </row>
        <row r="6">
          <cell r="B6" t="str">
            <v>Edwardsport 6</v>
          </cell>
          <cell r="C6" t="str">
            <v>PSI</v>
          </cell>
          <cell r="D6">
            <v>48322.652941118082</v>
          </cell>
          <cell r="E6">
            <v>34359.148272804625</v>
          </cell>
          <cell r="F6">
            <v>29815.587272187167</v>
          </cell>
          <cell r="G6">
            <v>32272.404930632067</v>
          </cell>
          <cell r="H6">
            <v>28587.726065833158</v>
          </cell>
          <cell r="I6">
            <v>29745.495672266967</v>
          </cell>
          <cell r="J6">
            <v>28272.555716872568</v>
          </cell>
          <cell r="K6">
            <v>29939.546199635231</v>
          </cell>
          <cell r="L6">
            <v>34631.322738046656</v>
          </cell>
          <cell r="M6">
            <v>38020.988304185506</v>
          </cell>
          <cell r="N6">
            <v>37346.421737271841</v>
          </cell>
          <cell r="O6">
            <v>33947.036047947309</v>
          </cell>
          <cell r="P6">
            <v>36256.92883612174</v>
          </cell>
          <cell r="Q6">
            <v>38661.363121237795</v>
          </cell>
          <cell r="R6">
            <v>38793.709675002698</v>
          </cell>
          <cell r="S6">
            <v>39956.580574122017</v>
          </cell>
          <cell r="T6">
            <v>41943.804420996799</v>
          </cell>
          <cell r="U6">
            <v>41747.25449124202</v>
          </cell>
          <cell r="V6">
            <v>38464.980478602098</v>
          </cell>
          <cell r="W6">
            <v>42667.524487837582</v>
          </cell>
        </row>
        <row r="7">
          <cell r="B7" t="str">
            <v>Edwardsport 7</v>
          </cell>
          <cell r="C7" t="str">
            <v>PSI</v>
          </cell>
          <cell r="D7">
            <v>235849.93820791971</v>
          </cell>
          <cell r="E7">
            <v>225537.4755844413</v>
          </cell>
          <cell r="F7">
            <v>207771.00199053023</v>
          </cell>
          <cell r="G7">
            <v>212058.89419251631</v>
          </cell>
          <cell r="H7">
            <v>195557.10615205552</v>
          </cell>
          <cell r="I7">
            <v>195190.28703076419</v>
          </cell>
          <cell r="J7">
            <v>190932.69489897939</v>
          </cell>
          <cell r="K7">
            <v>191406.83472134266</v>
          </cell>
          <cell r="L7">
            <v>188318.54754222347</v>
          </cell>
          <cell r="M7">
            <v>189478.42751430575</v>
          </cell>
          <cell r="N7">
            <v>199617.46166585124</v>
          </cell>
          <cell r="O7">
            <v>206424.2491088518</v>
          </cell>
          <cell r="P7">
            <v>217137.16721670754</v>
          </cell>
          <cell r="Q7">
            <v>218809.43477128953</v>
          </cell>
          <cell r="R7">
            <v>228483.19974890654</v>
          </cell>
          <cell r="S7">
            <v>236055.59648317122</v>
          </cell>
          <cell r="T7">
            <v>234061.71250057989</v>
          </cell>
          <cell r="U7">
            <v>223847.7213296413</v>
          </cell>
          <cell r="V7">
            <v>232156.24934049958</v>
          </cell>
          <cell r="W7">
            <v>228137.51672594892</v>
          </cell>
        </row>
        <row r="8">
          <cell r="B8" t="str">
            <v>Edwardsport 8</v>
          </cell>
          <cell r="C8" t="str">
            <v>PSI</v>
          </cell>
          <cell r="D8">
            <v>391924.55037932016</v>
          </cell>
          <cell r="E8">
            <v>374796.82393557666</v>
          </cell>
          <cell r="F8">
            <v>345283.2224968074</v>
          </cell>
          <cell r="G8">
            <v>352405.14753404289</v>
          </cell>
          <cell r="H8">
            <v>324988.27359509264</v>
          </cell>
          <cell r="I8">
            <v>324378.95810890337</v>
          </cell>
          <cell r="J8">
            <v>317311.82310191949</v>
          </cell>
          <cell r="K8">
            <v>318097.0154281063</v>
          </cell>
          <cell r="L8">
            <v>312968.0055427624</v>
          </cell>
          <cell r="M8">
            <v>314893.55878723488</v>
          </cell>
          <cell r="N8">
            <v>331747.99516380299</v>
          </cell>
          <cell r="O8">
            <v>343068.73859737784</v>
          </cell>
          <cell r="P8">
            <v>360854.68421583041</v>
          </cell>
          <cell r="Q8">
            <v>363640.00558304368</v>
          </cell>
          <cell r="R8">
            <v>379713.66403817176</v>
          </cell>
          <cell r="S8">
            <v>392306.66342473106</v>
          </cell>
          <cell r="T8">
            <v>389003.48812462523</v>
          </cell>
          <cell r="U8">
            <v>372017.96337640024</v>
          </cell>
          <cell r="V8">
            <v>385837.30045853893</v>
          </cell>
          <cell r="W8">
            <v>379157.74773277633</v>
          </cell>
        </row>
        <row r="9">
          <cell r="B9" t="str">
            <v>Gallagher 1</v>
          </cell>
          <cell r="C9" t="str">
            <v>PSI</v>
          </cell>
          <cell r="D9">
            <v>769737.59020877699</v>
          </cell>
          <cell r="E9">
            <v>697351.78766942245</v>
          </cell>
          <cell r="F9">
            <v>670589.28807489481</v>
          </cell>
          <cell r="G9">
            <v>675857.86751170317</v>
          </cell>
          <cell r="H9">
            <v>637758.77695805428</v>
          </cell>
          <cell r="I9">
            <v>660791.03522687987</v>
          </cell>
          <cell r="J9">
            <v>653019.52530770702</v>
          </cell>
          <cell r="K9">
            <v>631739.06052429753</v>
          </cell>
          <cell r="L9">
            <v>630097.49917118519</v>
          </cell>
          <cell r="M9">
            <v>634808.58318086469</v>
          </cell>
          <cell r="N9">
            <v>648909.28566230065</v>
          </cell>
          <cell r="O9">
            <v>669740.71310800465</v>
          </cell>
          <cell r="P9">
            <v>686310.28420726443</v>
          </cell>
          <cell r="Q9">
            <v>687538.63318661484</v>
          </cell>
          <cell r="R9">
            <v>703991.70807322895</v>
          </cell>
          <cell r="S9">
            <v>728701.6119014154</v>
          </cell>
          <cell r="T9">
            <v>733601.06940685154</v>
          </cell>
          <cell r="U9">
            <v>712145.60924855352</v>
          </cell>
          <cell r="V9">
            <v>732271.83193590329</v>
          </cell>
          <cell r="W9">
            <v>730393.85728855326</v>
          </cell>
        </row>
        <row r="10">
          <cell r="B10" t="str">
            <v>Gallagher 2</v>
          </cell>
          <cell r="C10" t="str">
            <v>PSI</v>
          </cell>
          <cell r="D10">
            <v>793701.48621773708</v>
          </cell>
          <cell r="E10">
            <v>716736.66564478632</v>
          </cell>
          <cell r="F10">
            <v>687440.28241113212</v>
          </cell>
          <cell r="G10">
            <v>694213.86094063753</v>
          </cell>
          <cell r="H10">
            <v>658653.7903676111</v>
          </cell>
          <cell r="I10">
            <v>689141.13517739018</v>
          </cell>
          <cell r="J10">
            <v>679641.8463060708</v>
          </cell>
          <cell r="K10">
            <v>649213.22366389132</v>
          </cell>
          <cell r="L10">
            <v>644672.31727989262</v>
          </cell>
          <cell r="M10">
            <v>652991.37059566367</v>
          </cell>
          <cell r="N10">
            <v>660990.46318829944</v>
          </cell>
          <cell r="O10">
            <v>681984.65024655219</v>
          </cell>
          <cell r="P10">
            <v>695248.52637698909</v>
          </cell>
          <cell r="Q10">
            <v>695599.68407720001</v>
          </cell>
          <cell r="R10">
            <v>711612.19050176768</v>
          </cell>
          <cell r="S10">
            <v>736889.59077869449</v>
          </cell>
          <cell r="T10">
            <v>741451.83382934798</v>
          </cell>
          <cell r="U10">
            <v>718535.40377699351</v>
          </cell>
          <cell r="V10">
            <v>738647.8591085762</v>
          </cell>
          <cell r="W10">
            <v>739259.61494230735</v>
          </cell>
        </row>
        <row r="11">
          <cell r="B11" t="str">
            <v>Gallagher 3</v>
          </cell>
          <cell r="C11" t="str">
            <v>PSI</v>
          </cell>
          <cell r="D11">
            <v>781980.11942006077</v>
          </cell>
          <cell r="E11">
            <v>707554.73812427477</v>
          </cell>
          <cell r="F11">
            <v>679856.16708264232</v>
          </cell>
          <cell r="G11">
            <v>685383.87868627906</v>
          </cell>
          <cell r="H11">
            <v>648630.35094538017</v>
          </cell>
          <cell r="I11">
            <v>673888.29719115223</v>
          </cell>
          <cell r="J11">
            <v>667401.28224954871</v>
          </cell>
          <cell r="K11">
            <v>640848.86847650958</v>
          </cell>
          <cell r="L11">
            <v>637414.31805266137</v>
          </cell>
          <cell r="M11">
            <v>643966.583522317</v>
          </cell>
          <cell r="N11">
            <v>654961.33269215131</v>
          </cell>
          <cell r="O11">
            <v>676608.01973914239</v>
          </cell>
          <cell r="P11">
            <v>691486.78188533592</v>
          </cell>
          <cell r="Q11">
            <v>691540.47261161089</v>
          </cell>
          <cell r="R11">
            <v>707771.9923568964</v>
          </cell>
          <cell r="S11">
            <v>732020.23413562716</v>
          </cell>
          <cell r="T11">
            <v>738043.35717908631</v>
          </cell>
          <cell r="U11">
            <v>715454.21989955066</v>
          </cell>
          <cell r="V11">
            <v>734972.43284625665</v>
          </cell>
          <cell r="W11">
            <v>735687.73615497351</v>
          </cell>
        </row>
        <row r="12">
          <cell r="B12" t="str">
            <v>Gallagher 4</v>
          </cell>
          <cell r="C12" t="str">
            <v>PSI</v>
          </cell>
          <cell r="D12">
            <v>764209.29227199464</v>
          </cell>
          <cell r="E12">
            <v>689793.00551348785</v>
          </cell>
          <cell r="F12">
            <v>661591.97996044008</v>
          </cell>
          <cell r="G12">
            <v>668963.80064140132</v>
          </cell>
          <cell r="H12">
            <v>627610.52176066546</v>
          </cell>
          <cell r="I12">
            <v>648431.88308834692</v>
          </cell>
          <cell r="J12">
            <v>643439.75383127923</v>
          </cell>
          <cell r="K12">
            <v>626231.88888467336</v>
          </cell>
          <cell r="L12">
            <v>625689.37416982185</v>
          </cell>
          <cell r="M12">
            <v>630964.18849820248</v>
          </cell>
          <cell r="N12">
            <v>645215.79841097409</v>
          </cell>
          <cell r="O12">
            <v>665217.26304934837</v>
          </cell>
          <cell r="P12">
            <v>682845.87430029421</v>
          </cell>
          <cell r="Q12">
            <v>684488.46720014466</v>
          </cell>
          <cell r="R12">
            <v>700060.63938672852</v>
          </cell>
          <cell r="S12">
            <v>724658.83013144985</v>
          </cell>
          <cell r="T12">
            <v>730213.64529643196</v>
          </cell>
          <cell r="U12">
            <v>710571.69324200193</v>
          </cell>
          <cell r="V12">
            <v>730898.00838148291</v>
          </cell>
          <cell r="W12">
            <v>727991.53504535439</v>
          </cell>
        </row>
        <row r="13">
          <cell r="B13" t="str">
            <v>Gibson 1</v>
          </cell>
          <cell r="C13" t="str">
            <v>PSI</v>
          </cell>
          <cell r="D13">
            <v>4364877.9923371468</v>
          </cell>
          <cell r="E13">
            <v>4387124.6157724503</v>
          </cell>
          <cell r="F13">
            <v>4262267.629615996</v>
          </cell>
          <cell r="G13">
            <v>4129984.2853024183</v>
          </cell>
          <cell r="H13">
            <v>4578011.1124304291</v>
          </cell>
          <cell r="I13">
            <v>4732395.7026087157</v>
          </cell>
          <cell r="J13">
            <v>4776709.6880049566</v>
          </cell>
          <cell r="K13">
            <v>4744957.9108891729</v>
          </cell>
          <cell r="L13">
            <v>4738020.1822812101</v>
          </cell>
          <cell r="M13">
            <v>4713388.1816462697</v>
          </cell>
          <cell r="N13">
            <v>4712012.1906111808</v>
          </cell>
          <cell r="O13">
            <v>4733971.1347885635</v>
          </cell>
          <cell r="P13">
            <v>4743026.7154543893</v>
          </cell>
          <cell r="Q13">
            <v>4702734.4366598967</v>
          </cell>
          <cell r="R13">
            <v>4728341.6779618291</v>
          </cell>
          <cell r="S13">
            <v>4734689.6499282066</v>
          </cell>
          <cell r="T13">
            <v>4667538.7120473385</v>
          </cell>
          <cell r="U13">
            <v>4657209.8674159423</v>
          </cell>
          <cell r="V13">
            <v>4667125.3296278622</v>
          </cell>
          <cell r="W13">
            <v>4605795.47807677</v>
          </cell>
        </row>
        <row r="14">
          <cell r="B14" t="str">
            <v>Gibson 2</v>
          </cell>
          <cell r="C14" t="str">
            <v>PSI</v>
          </cell>
          <cell r="D14">
            <v>4388309.2461881349</v>
          </cell>
          <cell r="E14">
            <v>4424296.9051953424</v>
          </cell>
          <cell r="F14">
            <v>4299524.7545692027</v>
          </cell>
          <cell r="G14">
            <v>4189120.4797072751</v>
          </cell>
          <cell r="H14">
            <v>4560688.8533116328</v>
          </cell>
          <cell r="I14">
            <v>4713578.1703601992</v>
          </cell>
          <cell r="J14">
            <v>4757575.5333889704</v>
          </cell>
          <cell r="K14">
            <v>4728134.1423173668</v>
          </cell>
          <cell r="L14">
            <v>4719649.0651461277</v>
          </cell>
          <cell r="M14">
            <v>4697088.7401284613</v>
          </cell>
          <cell r="N14">
            <v>4695325.6151180658</v>
          </cell>
          <cell r="O14">
            <v>4715102.7180157974</v>
          </cell>
          <cell r="P14">
            <v>4724557.6317734281</v>
          </cell>
          <cell r="Q14">
            <v>4685434.2657586588</v>
          </cell>
          <cell r="R14">
            <v>4710053.5600787187</v>
          </cell>
          <cell r="S14">
            <v>4717823.1388852159</v>
          </cell>
          <cell r="T14">
            <v>4654309.2335659936</v>
          </cell>
          <cell r="U14">
            <v>4641393.5387662882</v>
          </cell>
          <cell r="V14">
            <v>4652043.4778364496</v>
          </cell>
          <cell r="W14">
            <v>4595718.7951545306</v>
          </cell>
        </row>
        <row r="15">
          <cell r="B15" t="str">
            <v>Gibson 3</v>
          </cell>
          <cell r="C15" t="str">
            <v>PSI</v>
          </cell>
          <cell r="D15">
            <v>4274630.0655349437</v>
          </cell>
          <cell r="E15">
            <v>4296707.0644488158</v>
          </cell>
          <cell r="F15">
            <v>4118915.2130192239</v>
          </cell>
          <cell r="G15">
            <v>3953532.249747362</v>
          </cell>
          <cell r="H15">
            <v>4620822.9560895404</v>
          </cell>
          <cell r="I15">
            <v>4801014.7915316932</v>
          </cell>
          <cell r="J15">
            <v>4827548.7599540735</v>
          </cell>
          <cell r="K15">
            <v>4794852.8947568797</v>
          </cell>
          <cell r="L15">
            <v>4785260.069118727</v>
          </cell>
          <cell r="M15">
            <v>4758950.9990764819</v>
          </cell>
          <cell r="N15">
            <v>4757452.5608759914</v>
          </cell>
          <cell r="O15">
            <v>4779414.5095468825</v>
          </cell>
          <cell r="P15">
            <v>4792331.4016244318</v>
          </cell>
          <cell r="Q15">
            <v>4749447.5887022326</v>
          </cell>
          <cell r="R15">
            <v>4775585.8865039712</v>
          </cell>
          <cell r="S15">
            <v>4780838.5525804954</v>
          </cell>
          <cell r="T15">
            <v>4710113.0253972942</v>
          </cell>
          <cell r="U15">
            <v>4696935.9086980792</v>
          </cell>
          <cell r="V15">
            <v>4704382.7636570539</v>
          </cell>
          <cell r="W15">
            <v>4638187.3934760224</v>
          </cell>
        </row>
        <row r="16">
          <cell r="B16" t="str">
            <v>Gibson 4</v>
          </cell>
          <cell r="C16" t="str">
            <v>PSI</v>
          </cell>
          <cell r="D16">
            <v>4619919.8415596522</v>
          </cell>
          <cell r="E16">
            <v>4619919.8415596522</v>
          </cell>
          <cell r="F16">
            <v>4619919.8415596522</v>
          </cell>
          <cell r="G16">
            <v>4619919.8415596522</v>
          </cell>
          <cell r="H16">
            <v>4615853.5686530629</v>
          </cell>
          <cell r="I16">
            <v>4617889.5465300661</v>
          </cell>
          <cell r="J16">
            <v>4607409.3299141647</v>
          </cell>
          <cell r="K16">
            <v>4618605.2497751806</v>
          </cell>
          <cell r="L16">
            <v>4596140.8904514946</v>
          </cell>
          <cell r="M16">
            <v>4581595.5883499784</v>
          </cell>
          <cell r="N16">
            <v>4573340.2659884673</v>
          </cell>
          <cell r="O16">
            <v>4581860.2396176532</v>
          </cell>
          <cell r="P16">
            <v>4582583.4882952403</v>
          </cell>
          <cell r="Q16">
            <v>4561924.1174821733</v>
          </cell>
          <cell r="R16">
            <v>4575334.2722397186</v>
          </cell>
          <cell r="S16">
            <v>4594164.1348313326</v>
          </cell>
          <cell r="T16">
            <v>4546001.7045052294</v>
          </cell>
          <cell r="U16">
            <v>4544252.6386923864</v>
          </cell>
          <cell r="V16">
            <v>4540646.794465092</v>
          </cell>
          <cell r="W16">
            <v>4518183.078844347</v>
          </cell>
        </row>
        <row r="17">
          <cell r="B17" t="str">
            <v>Gibson 5</v>
          </cell>
          <cell r="C17" t="str">
            <v>PSI</v>
          </cell>
          <cell r="D17">
            <v>2360101.3106167908</v>
          </cell>
          <cell r="E17">
            <v>2360101.3106167908</v>
          </cell>
          <cell r="F17">
            <v>2360101.3106167908</v>
          </cell>
          <cell r="G17">
            <v>2359504.5909704412</v>
          </cell>
          <cell r="H17">
            <v>2356642.6851466317</v>
          </cell>
          <cell r="I17">
            <v>2358358.8901216793</v>
          </cell>
          <cell r="J17">
            <v>2351930.5600588303</v>
          </cell>
          <cell r="K17">
            <v>2359313.6406836091</v>
          </cell>
          <cell r="L17">
            <v>2347036.9178101807</v>
          </cell>
          <cell r="M17">
            <v>2337885.7905712379</v>
          </cell>
          <cell r="N17">
            <v>2332046.0750048975</v>
          </cell>
          <cell r="O17">
            <v>2337612.2935921219</v>
          </cell>
          <cell r="P17">
            <v>2340120.1322011361</v>
          </cell>
          <cell r="Q17">
            <v>2328084.3571370253</v>
          </cell>
          <cell r="R17">
            <v>2334704.4846667228</v>
          </cell>
          <cell r="S17">
            <v>2345918.2870452944</v>
          </cell>
          <cell r="T17">
            <v>2318396.0428773556</v>
          </cell>
          <cell r="U17">
            <v>2319411.0148171629</v>
          </cell>
          <cell r="V17">
            <v>2315982.2332530548</v>
          </cell>
          <cell r="W17">
            <v>2301697.1933259321</v>
          </cell>
        </row>
        <row r="18">
          <cell r="B18" t="str">
            <v>J.M. Stuart 1</v>
          </cell>
          <cell r="C18" t="str">
            <v>CGE</v>
          </cell>
          <cell r="D18">
            <v>1650947.1245091655</v>
          </cell>
          <cell r="E18">
            <v>1650472.2316310632</v>
          </cell>
          <cell r="F18">
            <v>1650735.1187600128</v>
          </cell>
          <cell r="G18">
            <v>1633182.2713020914</v>
          </cell>
          <cell r="H18">
            <v>1610624.5958523182</v>
          </cell>
          <cell r="I18">
            <v>1574318.434372806</v>
          </cell>
          <cell r="J18">
            <v>1542581.6990785375</v>
          </cell>
          <cell r="K18">
            <v>1524016.3964763144</v>
          </cell>
          <cell r="L18">
            <v>1485964.6824661682</v>
          </cell>
          <cell r="M18">
            <v>1464557.981251738</v>
          </cell>
          <cell r="N18">
            <v>1454016.7857002325</v>
          </cell>
          <cell r="O18">
            <v>1464831.5528224746</v>
          </cell>
          <cell r="P18">
            <v>1456866.3638656607</v>
          </cell>
          <cell r="Q18">
            <v>1409965.4790787122</v>
          </cell>
          <cell r="R18">
            <v>1410212.3272998803</v>
          </cell>
          <cell r="S18">
            <v>1425667.0341793862</v>
          </cell>
          <cell r="T18">
            <v>1377308.0098723574</v>
          </cell>
          <cell r="U18">
            <v>1330687.0952551852</v>
          </cell>
          <cell r="V18">
            <v>1329547.0666550405</v>
          </cell>
          <cell r="W18">
            <v>1343182.6733616742</v>
          </cell>
        </row>
        <row r="19">
          <cell r="B19" t="str">
            <v>J.M. Stuart 2</v>
          </cell>
          <cell r="C19" t="str">
            <v>CGE</v>
          </cell>
          <cell r="D19">
            <v>1623512.688654843</v>
          </cell>
          <cell r="E19">
            <v>1623512.688654843</v>
          </cell>
          <cell r="F19">
            <v>1623512.688654843</v>
          </cell>
          <cell r="G19">
            <v>1610698.8702448758</v>
          </cell>
          <cell r="H19">
            <v>1600401.2509460207</v>
          </cell>
          <cell r="I19">
            <v>1576819.050481267</v>
          </cell>
          <cell r="J19">
            <v>1556539.8257595734</v>
          </cell>
          <cell r="K19">
            <v>1535672.3903157031</v>
          </cell>
          <cell r="L19">
            <v>1511583.2071767864</v>
          </cell>
          <cell r="M19">
            <v>1499014.8952178594</v>
          </cell>
          <cell r="N19">
            <v>1476402.0540329551</v>
          </cell>
          <cell r="O19">
            <v>1488736.5235157697</v>
          </cell>
          <cell r="P19">
            <v>1475223.9414695064</v>
          </cell>
          <cell r="Q19">
            <v>1430676.565995167</v>
          </cell>
          <cell r="R19">
            <v>1430002.5451404699</v>
          </cell>
          <cell r="S19">
            <v>1440986.4711649471</v>
          </cell>
          <cell r="T19">
            <v>1388909.3951726397</v>
          </cell>
          <cell r="U19">
            <v>1342148.3464202229</v>
          </cell>
          <cell r="V19">
            <v>1340953.1701775936</v>
          </cell>
          <cell r="W19">
            <v>1354836.0941496133</v>
          </cell>
        </row>
        <row r="20">
          <cell r="B20" t="str">
            <v>J.M. Stuart 3</v>
          </cell>
          <cell r="C20" t="str">
            <v>CGE</v>
          </cell>
          <cell r="D20">
            <v>1649768.9585522315</v>
          </cell>
          <cell r="E20">
            <v>1649294.4045720953</v>
          </cell>
          <cell r="F20">
            <v>1649557.1040968136</v>
          </cell>
          <cell r="G20">
            <v>1632922.8377062564</v>
          </cell>
          <cell r="H20">
            <v>1611458.3597007268</v>
          </cell>
          <cell r="I20">
            <v>1575026.5087651394</v>
          </cell>
          <cell r="J20">
            <v>1543817.4164237382</v>
          </cell>
          <cell r="K20">
            <v>1524905.4648196623</v>
          </cell>
          <cell r="L20">
            <v>1487913.3889639797</v>
          </cell>
          <cell r="M20">
            <v>1466989.215660667</v>
          </cell>
          <cell r="N20">
            <v>1455483.2393061004</v>
          </cell>
          <cell r="O20">
            <v>1465593.8735393293</v>
          </cell>
          <cell r="P20">
            <v>1457730.8814348078</v>
          </cell>
          <cell r="Q20">
            <v>1411367.073736544</v>
          </cell>
          <cell r="R20">
            <v>1411413.0909564248</v>
          </cell>
          <cell r="S20">
            <v>1426387.0128885647</v>
          </cell>
          <cell r="T20">
            <v>1378070.8108256676</v>
          </cell>
          <cell r="U20">
            <v>1330863.546018637</v>
          </cell>
          <cell r="V20">
            <v>1330717.3329278457</v>
          </cell>
          <cell r="W20">
            <v>1343400.350391279</v>
          </cell>
        </row>
        <row r="21">
          <cell r="B21" t="str">
            <v>J.M. Stuart 4</v>
          </cell>
          <cell r="C21" t="str">
            <v>CGE</v>
          </cell>
          <cell r="D21">
            <v>1646907.6983711005</v>
          </cell>
          <cell r="E21">
            <v>1646696.2113433238</v>
          </cell>
          <cell r="F21">
            <v>1646907.6983711005</v>
          </cell>
          <cell r="G21">
            <v>1631154.3553490646</v>
          </cell>
          <cell r="H21">
            <v>1611235.4415781405</v>
          </cell>
          <cell r="I21">
            <v>1575871.3958792982</v>
          </cell>
          <cell r="J21">
            <v>1545510.904187243</v>
          </cell>
          <cell r="K21">
            <v>1527243.3667641508</v>
          </cell>
          <cell r="L21">
            <v>1490509.9833341935</v>
          </cell>
          <cell r="M21">
            <v>1471673.9433994878</v>
          </cell>
          <cell r="N21">
            <v>1457797.755084276</v>
          </cell>
          <cell r="O21">
            <v>1469567.0294246248</v>
          </cell>
          <cell r="P21">
            <v>1458912.2613079136</v>
          </cell>
          <cell r="Q21">
            <v>1413016.9223194455</v>
          </cell>
          <cell r="R21">
            <v>1414044.7343892709</v>
          </cell>
          <cell r="S21">
            <v>1428363.937923196</v>
          </cell>
          <cell r="T21">
            <v>1379747.4052844567</v>
          </cell>
          <cell r="U21">
            <v>1332428.4390608857</v>
          </cell>
          <cell r="V21">
            <v>1332809.1837002039</v>
          </cell>
          <cell r="W21">
            <v>1344908.9445873881</v>
          </cell>
        </row>
        <row r="22">
          <cell r="B22" t="str">
            <v>Killen 2</v>
          </cell>
          <cell r="C22" t="str">
            <v>CGE</v>
          </cell>
          <cell r="D22">
            <v>1458585.0203339788</v>
          </cell>
          <cell r="E22">
            <v>1457142.0492382916</v>
          </cell>
          <cell r="F22">
            <v>1453324.0966241874</v>
          </cell>
          <cell r="G22">
            <v>1436639.3684661034</v>
          </cell>
          <cell r="H22">
            <v>1405596.3664793498</v>
          </cell>
          <cell r="I22">
            <v>1370524.2130282416</v>
          </cell>
          <cell r="J22">
            <v>1335579.6302719312</v>
          </cell>
          <cell r="K22">
            <v>1315642.8504706873</v>
          </cell>
          <cell r="L22">
            <v>1278558.2449383195</v>
          </cell>
          <cell r="M22">
            <v>1258621.8844932949</v>
          </cell>
          <cell r="N22">
            <v>1260315.6530702612</v>
          </cell>
          <cell r="O22">
            <v>1269046.4674943581</v>
          </cell>
          <cell r="P22">
            <v>1261443.6569313207</v>
          </cell>
          <cell r="Q22">
            <v>1220529.3655573155</v>
          </cell>
          <cell r="R22">
            <v>1220052.7652809029</v>
          </cell>
          <cell r="S22">
            <v>1236494.2706902325</v>
          </cell>
          <cell r="T22">
            <v>1194777.2016014596</v>
          </cell>
          <cell r="U22">
            <v>1150579.1154557229</v>
          </cell>
          <cell r="V22">
            <v>1137849.9118836417</v>
          </cell>
          <cell r="W22">
            <v>1159325.9927206596</v>
          </cell>
        </row>
        <row r="23">
          <cell r="B23" t="str">
            <v>Miami Fort 5</v>
          </cell>
          <cell r="C23" t="str">
            <v>CGE</v>
          </cell>
          <cell r="D23">
            <v>384284.32890218159</v>
          </cell>
          <cell r="E23">
            <v>339255.68747509376</v>
          </cell>
          <cell r="F23">
            <v>310518.2944758918</v>
          </cell>
          <cell r="G23">
            <v>327120.47203074268</v>
          </cell>
          <cell r="H23">
            <v>297432.13431551127</v>
          </cell>
          <cell r="I23">
            <v>303064.84523276211</v>
          </cell>
          <cell r="J23">
            <v>301467.87469689443</v>
          </cell>
          <cell r="K23">
            <v>309665.63791540841</v>
          </cell>
          <cell r="L23">
            <v>318476.95623647666</v>
          </cell>
          <cell r="M23">
            <v>321092.95896908734</v>
          </cell>
          <cell r="N23">
            <v>323834.53433054121</v>
          </cell>
          <cell r="O23">
            <v>341656.37468054245</v>
          </cell>
          <cell r="P23">
            <v>357690.67117537028</v>
          </cell>
          <cell r="Q23">
            <v>363454.81505399593</v>
          </cell>
          <cell r="R23">
            <v>375636.03341389378</v>
          </cell>
          <cell r="S23">
            <v>385386.77215384657</v>
          </cell>
          <cell r="T23">
            <v>393103.74214779568</v>
          </cell>
          <cell r="U23">
            <v>373194.82644137001</v>
          </cell>
          <cell r="V23">
            <v>390411.62236560887</v>
          </cell>
          <cell r="W23">
            <v>387370.87935432739</v>
          </cell>
        </row>
        <row r="24">
          <cell r="B24" t="str">
            <v>Miami Fort 6</v>
          </cell>
          <cell r="C24" t="str">
            <v>CGE</v>
          </cell>
          <cell r="D24">
            <v>1189640.1347341153</v>
          </cell>
          <cell r="E24">
            <v>1137383.8299739589</v>
          </cell>
          <cell r="F24">
            <v>1128820.8691784514</v>
          </cell>
          <cell r="G24">
            <v>1122131.1646834258</v>
          </cell>
          <cell r="H24">
            <v>1078184.504154346</v>
          </cell>
          <cell r="I24">
            <v>1033770.659567586</v>
          </cell>
          <cell r="J24">
            <v>989878.19973298535</v>
          </cell>
          <cell r="K24">
            <v>991943.13503113238</v>
          </cell>
          <cell r="L24">
            <v>951504.83676984417</v>
          </cell>
          <cell r="M24">
            <v>940052.79496965243</v>
          </cell>
          <cell r="N24">
            <v>946125.85887257906</v>
          </cell>
          <cell r="O24">
            <v>954170.5398851363</v>
          </cell>
          <cell r="P24">
            <v>960245.35879302258</v>
          </cell>
          <cell r="Q24">
            <v>937021.66053879319</v>
          </cell>
          <cell r="R24">
            <v>930052.69675486919</v>
          </cell>
          <cell r="S24">
            <v>949558.5435542037</v>
          </cell>
          <cell r="T24">
            <v>940254.1756275245</v>
          </cell>
          <cell r="U24">
            <v>904257.29336329934</v>
          </cell>
          <cell r="V24">
            <v>922190.93572655483</v>
          </cell>
          <cell r="W24">
            <v>935385.9659056284</v>
          </cell>
        </row>
        <row r="25">
          <cell r="B25" t="str">
            <v>Miami Fort 7</v>
          </cell>
          <cell r="C25" t="str">
            <v>CGE</v>
          </cell>
          <cell r="D25">
            <v>2193143.0326628317</v>
          </cell>
          <cell r="E25">
            <v>2081309.8388386734</v>
          </cell>
          <cell r="F25">
            <v>2048023.7315396136</v>
          </cell>
          <cell r="G25">
            <v>2020932.9544151837</v>
          </cell>
          <cell r="H25">
            <v>1934385.8251094043</v>
          </cell>
          <cell r="I25">
            <v>1818681.3537117236</v>
          </cell>
          <cell r="J25">
            <v>1780461.8839465093</v>
          </cell>
          <cell r="K25">
            <v>1751281.1345030321</v>
          </cell>
          <cell r="L25">
            <v>1711550.1083636761</v>
          </cell>
          <cell r="M25">
            <v>1699055.306459836</v>
          </cell>
          <cell r="N25">
            <v>1712130.3149876148</v>
          </cell>
          <cell r="O25">
            <v>1741708.2413741203</v>
          </cell>
          <cell r="P25">
            <v>1745275.3824798495</v>
          </cell>
          <cell r="Q25">
            <v>1696837.4791893119</v>
          </cell>
          <cell r="R25">
            <v>1695321.4126167577</v>
          </cell>
          <cell r="S25">
            <v>1731596.2504486449</v>
          </cell>
          <cell r="T25">
            <v>1715604.038126902</v>
          </cell>
          <cell r="U25">
            <v>1666838.9410418046</v>
          </cell>
          <cell r="V25">
            <v>1698639.1126665983</v>
          </cell>
          <cell r="W25">
            <v>1724143.0707693479</v>
          </cell>
        </row>
        <row r="26">
          <cell r="B26" t="str">
            <v>Miami Fort 8</v>
          </cell>
          <cell r="C26" t="str">
            <v>CGE</v>
          </cell>
          <cell r="D26">
            <v>2275971.6431257413</v>
          </cell>
          <cell r="E26">
            <v>2182888.6178386034</v>
          </cell>
          <cell r="F26">
            <v>2176479.857066819</v>
          </cell>
          <cell r="G26">
            <v>2151144.6193157919</v>
          </cell>
          <cell r="H26">
            <v>2078618.0034999435</v>
          </cell>
          <cell r="I26">
            <v>2013544.8892000609</v>
          </cell>
          <cell r="J26">
            <v>1962460.7083391284</v>
          </cell>
          <cell r="K26">
            <v>1907234.7770722648</v>
          </cell>
          <cell r="L26">
            <v>1838800.5437032613</v>
          </cell>
          <cell r="M26">
            <v>1801521.446661093</v>
          </cell>
          <cell r="N26">
            <v>1818027.3186888788</v>
          </cell>
          <cell r="O26">
            <v>1839430.187110323</v>
          </cell>
          <cell r="P26">
            <v>1836608.7512807571</v>
          </cell>
          <cell r="Q26">
            <v>1776079.1297458315</v>
          </cell>
          <cell r="R26">
            <v>1772966.7983106172</v>
          </cell>
          <cell r="S26">
            <v>1809431.0684424874</v>
          </cell>
          <cell r="T26">
            <v>1787201.3716585629</v>
          </cell>
          <cell r="U26">
            <v>1724494.4527422055</v>
          </cell>
          <cell r="V26">
            <v>1767568.4148210797</v>
          </cell>
          <cell r="W26">
            <v>1804922.7255769738</v>
          </cell>
        </row>
        <row r="27">
          <cell r="B27" t="str">
            <v>Noblesville 1</v>
          </cell>
          <cell r="C27" t="str">
            <v>PSI</v>
          </cell>
          <cell r="D27">
            <v>207834.16050191398</v>
          </cell>
          <cell r="E27">
            <v>190839.45485292553</v>
          </cell>
          <cell r="F27">
            <v>175927.092887254</v>
          </cell>
          <cell r="G27">
            <v>183118.29714040953</v>
          </cell>
          <cell r="H27">
            <v>167549.44094493429</v>
          </cell>
          <cell r="I27">
            <v>169465.20942098516</v>
          </cell>
          <cell r="J27">
            <v>167204.52239110318</v>
          </cell>
          <cell r="K27">
            <v>174601.60764807061</v>
          </cell>
          <cell r="L27">
            <v>179610.609505172</v>
          </cell>
          <cell r="M27">
            <v>181986.9699987935</v>
          </cell>
          <cell r="N27">
            <v>184465.92313976909</v>
          </cell>
          <cell r="O27">
            <v>194723.78886027777</v>
          </cell>
          <cell r="P27">
            <v>203945.09703613666</v>
          </cell>
          <cell r="Q27">
            <v>205425.4001248625</v>
          </cell>
          <cell r="R27">
            <v>212627.9473966714</v>
          </cell>
          <cell r="S27">
            <v>217661.85914211586</v>
          </cell>
          <cell r="T27">
            <v>220540.38448856535</v>
          </cell>
          <cell r="U27">
            <v>210938.54652514853</v>
          </cell>
          <cell r="V27">
            <v>217803.23086150081</v>
          </cell>
          <cell r="W27">
            <v>206329.50087676806</v>
          </cell>
        </row>
        <row r="28">
          <cell r="B28" t="str">
            <v>Noblesville 2</v>
          </cell>
          <cell r="C28" t="str">
            <v>PSI</v>
          </cell>
          <cell r="D28">
            <v>207834.16050191398</v>
          </cell>
          <cell r="E28">
            <v>190839.45485292553</v>
          </cell>
          <cell r="F28">
            <v>175927.092887254</v>
          </cell>
          <cell r="G28">
            <v>183118.29714040953</v>
          </cell>
          <cell r="H28">
            <v>167549.44094493429</v>
          </cell>
          <cell r="I28">
            <v>169465.20942098516</v>
          </cell>
          <cell r="J28">
            <v>167204.52239110318</v>
          </cell>
          <cell r="K28">
            <v>174601.60764807061</v>
          </cell>
          <cell r="L28">
            <v>179610.609505172</v>
          </cell>
          <cell r="M28">
            <v>181986.9699987935</v>
          </cell>
          <cell r="N28">
            <v>184465.92313976909</v>
          </cell>
          <cell r="O28">
            <v>194723.78886027777</v>
          </cell>
          <cell r="P28">
            <v>203945.09703613666</v>
          </cell>
          <cell r="Q28">
            <v>205425.4001248625</v>
          </cell>
          <cell r="R28">
            <v>212627.9473966714</v>
          </cell>
          <cell r="S28">
            <v>217661.85914211586</v>
          </cell>
          <cell r="T28">
            <v>220540.38448856535</v>
          </cell>
          <cell r="U28">
            <v>210938.54652514853</v>
          </cell>
          <cell r="V28">
            <v>217803.23086150081</v>
          </cell>
          <cell r="W28">
            <v>206329.50087676806</v>
          </cell>
        </row>
        <row r="29">
          <cell r="B29" t="str">
            <v>Wabash River 1</v>
          </cell>
          <cell r="C29" t="str">
            <v>PSI</v>
          </cell>
          <cell r="D29">
            <v>304651.24911965156</v>
          </cell>
          <cell r="E29">
            <v>300817.49162628636</v>
          </cell>
          <cell r="F29">
            <v>303689.30000775255</v>
          </cell>
          <cell r="G29">
            <v>317316.13380526693</v>
          </cell>
          <cell r="H29">
            <v>304606.10505304928</v>
          </cell>
          <cell r="I29">
            <v>311730.86413302628</v>
          </cell>
          <cell r="J29">
            <v>309820.86557321111</v>
          </cell>
          <cell r="K29">
            <v>305809.3584378087</v>
          </cell>
          <cell r="L29">
            <v>325903.52101151372</v>
          </cell>
          <cell r="M29">
            <v>330970.22442165093</v>
          </cell>
          <cell r="N29">
            <v>317790.37622783805</v>
          </cell>
          <cell r="O29">
            <v>329002.43240118749</v>
          </cell>
          <cell r="P29">
            <v>332185.42653463141</v>
          </cell>
          <cell r="Q29">
            <v>328564.09358862677</v>
          </cell>
          <cell r="R29">
            <v>324186.83600372344</v>
          </cell>
          <cell r="S29">
            <v>335352.84679409256</v>
          </cell>
          <cell r="T29">
            <v>336733.1195028139</v>
          </cell>
          <cell r="U29">
            <v>330998.02393673296</v>
          </cell>
          <cell r="V29">
            <v>326035.08024076023</v>
          </cell>
          <cell r="W29">
            <v>330328.75302567228</v>
          </cell>
        </row>
        <row r="30">
          <cell r="B30" t="str">
            <v>Wabash River 2</v>
          </cell>
          <cell r="C30" t="str">
            <v>PSI</v>
          </cell>
          <cell r="D30">
            <v>392322.48280753783</v>
          </cell>
          <cell r="E30">
            <v>371318.07403969526</v>
          </cell>
          <cell r="F30">
            <v>347410.51065185195</v>
          </cell>
          <cell r="G30">
            <v>356287.47396683006</v>
          </cell>
          <cell r="H30">
            <v>335485.95681143517</v>
          </cell>
          <cell r="I30">
            <v>334877.69649710518</v>
          </cell>
          <cell r="J30">
            <v>333553.69215739111</v>
          </cell>
          <cell r="K30">
            <v>338306.97045842814</v>
          </cell>
          <cell r="L30">
            <v>338814.10893025366</v>
          </cell>
          <cell r="M30">
            <v>347948.45203540829</v>
          </cell>
          <cell r="N30">
            <v>361975.67946480977</v>
          </cell>
          <cell r="O30">
            <v>373560.70302806905</v>
          </cell>
          <cell r="P30">
            <v>386847.44991377852</v>
          </cell>
          <cell r="Q30">
            <v>387939.56682108366</v>
          </cell>
          <cell r="R30">
            <v>394023.20718499064</v>
          </cell>
          <cell r="S30">
            <v>404407.35709522484</v>
          </cell>
          <cell r="T30">
            <v>404316.75409490912</v>
          </cell>
          <cell r="U30">
            <v>397470.61581945984</v>
          </cell>
          <cell r="V30">
            <v>403963.81930489099</v>
          </cell>
          <cell r="W30">
            <v>384217.29956269875</v>
          </cell>
        </row>
        <row r="31">
          <cell r="B31" t="str">
            <v>Wabash River 3</v>
          </cell>
          <cell r="C31" t="str">
            <v>PSI</v>
          </cell>
          <cell r="D31">
            <v>394030.79184692411</v>
          </cell>
          <cell r="E31">
            <v>374181.91493753047</v>
          </cell>
          <cell r="F31">
            <v>350631.5673281764</v>
          </cell>
          <cell r="G31">
            <v>359368.31982451334</v>
          </cell>
          <cell r="H31">
            <v>337803.44593871204</v>
          </cell>
          <cell r="I31">
            <v>337214.905362983</v>
          </cell>
          <cell r="J31">
            <v>338191.14458086609</v>
          </cell>
          <cell r="K31">
            <v>341532.80525115371</v>
          </cell>
          <cell r="L31">
            <v>341710.32806537062</v>
          </cell>
          <cell r="M31">
            <v>351693.56364268641</v>
          </cell>
          <cell r="N31">
            <v>365398.71386574389</v>
          </cell>
          <cell r="O31">
            <v>377146.71770366363</v>
          </cell>
          <cell r="P31">
            <v>388937.3383539205</v>
          </cell>
          <cell r="Q31">
            <v>390969.91097558109</v>
          </cell>
          <cell r="R31">
            <v>395244.66420671152</v>
          </cell>
          <cell r="S31">
            <v>406119.81169045693</v>
          </cell>
          <cell r="T31">
            <v>406978.31804307207</v>
          </cell>
          <cell r="U31">
            <v>398521.55641485716</v>
          </cell>
          <cell r="V31">
            <v>404816.35119892663</v>
          </cell>
          <cell r="W31">
            <v>386664.23325985344</v>
          </cell>
        </row>
        <row r="32">
          <cell r="B32" t="str">
            <v>Wabash River 4</v>
          </cell>
          <cell r="C32" t="str">
            <v>PSI</v>
          </cell>
          <cell r="D32">
            <v>402974.85101262265</v>
          </cell>
          <cell r="E32">
            <v>388497.68566828413</v>
          </cell>
          <cell r="F32">
            <v>367340.67542488262</v>
          </cell>
          <cell r="G32">
            <v>369846.96845381631</v>
          </cell>
          <cell r="H32">
            <v>346523.17000144516</v>
          </cell>
          <cell r="I32">
            <v>345206.62553408975</v>
          </cell>
          <cell r="J32">
            <v>346832.31217071443</v>
          </cell>
          <cell r="K32">
            <v>350522.19535417133</v>
          </cell>
          <cell r="L32">
            <v>351174.87030500174</v>
          </cell>
          <cell r="M32">
            <v>361485.79001380532</v>
          </cell>
          <cell r="N32">
            <v>373378.92266154906</v>
          </cell>
          <cell r="O32">
            <v>384849.14491416136</v>
          </cell>
          <cell r="P32">
            <v>395881.001981268</v>
          </cell>
          <cell r="Q32">
            <v>398553.33513998869</v>
          </cell>
          <cell r="R32">
            <v>401187.54593901971</v>
          </cell>
          <cell r="S32">
            <v>412320.82733234949</v>
          </cell>
          <cell r="T32">
            <v>411951.11098687054</v>
          </cell>
          <cell r="U32">
            <v>402898.17892320524</v>
          </cell>
          <cell r="V32">
            <v>407001.5025374589</v>
          </cell>
          <cell r="W32">
            <v>391901.59164560208</v>
          </cell>
        </row>
        <row r="33">
          <cell r="B33" t="str">
            <v>Wabash River 5</v>
          </cell>
          <cell r="C33" t="str">
            <v>PSI</v>
          </cell>
          <cell r="D33">
            <v>446443.97439058329</v>
          </cell>
          <cell r="E33">
            <v>427820.74049961835</v>
          </cell>
          <cell r="F33">
            <v>403880.79437171755</v>
          </cell>
          <cell r="G33">
            <v>408757.48127694742</v>
          </cell>
          <cell r="H33">
            <v>383964.25185005204</v>
          </cell>
          <cell r="I33">
            <v>383544.22599134466</v>
          </cell>
          <cell r="J33">
            <v>385097.41757206677</v>
          </cell>
          <cell r="K33">
            <v>388837.39071156783</v>
          </cell>
          <cell r="L33">
            <v>389077.01080849784</v>
          </cell>
          <cell r="M33">
            <v>400675.46446045843</v>
          </cell>
          <cell r="N33">
            <v>414084.52421687136</v>
          </cell>
          <cell r="O33">
            <v>426972.50383994699</v>
          </cell>
          <cell r="P33">
            <v>440011.67519188748</v>
          </cell>
          <cell r="Q33">
            <v>442459.89114279061</v>
          </cell>
          <cell r="R33">
            <v>446175.47866962175</v>
          </cell>
          <cell r="S33">
            <v>458009.45899930707</v>
          </cell>
          <cell r="T33">
            <v>457687.43646342948</v>
          </cell>
          <cell r="U33">
            <v>448241.59500886733</v>
          </cell>
          <cell r="V33">
            <v>453625.9633411523</v>
          </cell>
          <cell r="W33">
            <v>435868.92927803914</v>
          </cell>
        </row>
        <row r="34">
          <cell r="B34" t="str">
            <v>Wabash River 6</v>
          </cell>
          <cell r="C34" t="str">
            <v>PSI</v>
          </cell>
          <cell r="D34">
            <v>1417200.3058887387</v>
          </cell>
          <cell r="E34">
            <v>1358619.8794129801</v>
          </cell>
          <cell r="F34">
            <v>1272130.1494905893</v>
          </cell>
          <cell r="G34">
            <v>1265902.4018249088</v>
          </cell>
          <cell r="H34">
            <v>1187319.3714045684</v>
          </cell>
          <cell r="I34">
            <v>1200154.1984787963</v>
          </cell>
          <cell r="J34">
            <v>1197434.1594825005</v>
          </cell>
          <cell r="K34">
            <v>1192937.1953132523</v>
          </cell>
          <cell r="L34">
            <v>1194171.6007943235</v>
          </cell>
          <cell r="M34">
            <v>1218895.8768900055</v>
          </cell>
          <cell r="N34">
            <v>1262354.1836202194</v>
          </cell>
          <cell r="O34">
            <v>1317937.3992278774</v>
          </cell>
          <cell r="P34">
            <v>1348953.3121240423</v>
          </cell>
          <cell r="Q34">
            <v>1363095.2205401871</v>
          </cell>
          <cell r="R34">
            <v>1373029.6342658531</v>
          </cell>
          <cell r="S34">
            <v>1407412.2373291317</v>
          </cell>
          <cell r="T34">
            <v>1410442.317165114</v>
          </cell>
          <cell r="U34">
            <v>1377950.8471274464</v>
          </cell>
          <cell r="V34">
            <v>1392305.6154974175</v>
          </cell>
          <cell r="W34">
            <v>1341711.7054269307</v>
          </cell>
        </row>
        <row r="35">
          <cell r="B35" t="str">
            <v>W.C. Beckjord 1</v>
          </cell>
          <cell r="C35" t="str">
            <v>CGE</v>
          </cell>
          <cell r="D35">
            <v>542366.66471815377</v>
          </cell>
          <cell r="E35">
            <v>490373.45544809499</v>
          </cell>
          <cell r="F35">
            <v>471411.32517735043</v>
          </cell>
          <cell r="G35">
            <v>477114.92666858778</v>
          </cell>
          <cell r="H35">
            <v>449643.50642853999</v>
          </cell>
          <cell r="I35">
            <v>433420.94112842163</v>
          </cell>
          <cell r="J35">
            <v>428359.8967125378</v>
          </cell>
          <cell r="K35">
            <v>436229.9547644704</v>
          </cell>
          <cell r="L35">
            <v>441834.6389299751</v>
          </cell>
          <cell r="M35">
            <v>454287.53665471665</v>
          </cell>
          <cell r="N35">
            <v>459123.73542197724</v>
          </cell>
          <cell r="O35">
            <v>471051.92377162277</v>
          </cell>
          <cell r="P35">
            <v>482007.28419269359</v>
          </cell>
          <cell r="Q35">
            <v>482294.86125985748</v>
          </cell>
          <cell r="R35">
            <v>484428.64914634405</v>
          </cell>
          <cell r="S35">
            <v>496894.69839265232</v>
          </cell>
          <cell r="T35">
            <v>495617.70924575254</v>
          </cell>
          <cell r="U35">
            <v>483944.9205227042</v>
          </cell>
          <cell r="V35">
            <v>494907.37157313223</v>
          </cell>
          <cell r="W35">
            <v>494227.79563806765</v>
          </cell>
        </row>
        <row r="36">
          <cell r="B36" t="str">
            <v>W.C. Beckjord 2</v>
          </cell>
          <cell r="C36" t="str">
            <v>CGE</v>
          </cell>
          <cell r="D36">
            <v>633659.64332075149</v>
          </cell>
          <cell r="E36">
            <v>579010.20292238798</v>
          </cell>
          <cell r="F36">
            <v>563043.75111139775</v>
          </cell>
          <cell r="G36">
            <v>561047.96917476319</v>
          </cell>
          <cell r="H36">
            <v>529190.20665190706</v>
          </cell>
          <cell r="I36">
            <v>505750.91421797703</v>
          </cell>
          <cell r="J36">
            <v>497415.12871738779</v>
          </cell>
          <cell r="K36">
            <v>507396.41320261202</v>
          </cell>
          <cell r="L36">
            <v>496127.4631009603</v>
          </cell>
          <cell r="M36">
            <v>502100.20202024502</v>
          </cell>
          <cell r="N36">
            <v>504193.54960600339</v>
          </cell>
          <cell r="O36">
            <v>514952.5641786324</v>
          </cell>
          <cell r="P36">
            <v>520886.63339102728</v>
          </cell>
          <cell r="Q36">
            <v>513322.67446174187</v>
          </cell>
          <cell r="R36">
            <v>510900.72880957136</v>
          </cell>
          <cell r="S36">
            <v>522095.73989440023</v>
          </cell>
          <cell r="T36">
            <v>515911.01410207927</v>
          </cell>
          <cell r="U36">
            <v>500057.33476164163</v>
          </cell>
          <cell r="V36">
            <v>510608.30608024349</v>
          </cell>
          <cell r="W36">
            <v>511156.10171599576</v>
          </cell>
        </row>
        <row r="37">
          <cell r="B37" t="str">
            <v>W.C. Beckjord 3</v>
          </cell>
          <cell r="C37" t="str">
            <v>CGE</v>
          </cell>
          <cell r="D37">
            <v>943931.18925619288</v>
          </cell>
          <cell r="E37">
            <v>900916.46487624245</v>
          </cell>
          <cell r="F37">
            <v>893828.54444112687</v>
          </cell>
          <cell r="G37">
            <v>889774.26657113654</v>
          </cell>
          <cell r="H37">
            <v>849997.91624532756</v>
          </cell>
          <cell r="I37">
            <v>803645.97670717596</v>
          </cell>
          <cell r="J37">
            <v>767764.08608275221</v>
          </cell>
          <cell r="K37">
            <v>781422.95923308539</v>
          </cell>
          <cell r="L37">
            <v>749052.3202621137</v>
          </cell>
          <cell r="M37">
            <v>751004.5198416895</v>
          </cell>
          <cell r="N37">
            <v>749003.36166323139</v>
          </cell>
          <cell r="O37">
            <v>754004.77644425561</v>
          </cell>
          <cell r="P37">
            <v>760310.34499625175</v>
          </cell>
          <cell r="Q37">
            <v>745506.54423299164</v>
          </cell>
          <cell r="R37">
            <v>740045.6631092371</v>
          </cell>
          <cell r="S37">
            <v>750862.15906217007</v>
          </cell>
          <cell r="T37">
            <v>732795.44067978545</v>
          </cell>
          <cell r="U37">
            <v>710539.19254720595</v>
          </cell>
          <cell r="V37">
            <v>718770.88372338703</v>
          </cell>
          <cell r="W37">
            <v>724799.89005634096</v>
          </cell>
        </row>
        <row r="38">
          <cell r="B38" t="str">
            <v>W.C. Beckjord 4</v>
          </cell>
          <cell r="C38" t="str">
            <v>CGE</v>
          </cell>
          <cell r="D38">
            <v>1121739.9639642953</v>
          </cell>
          <cell r="E38">
            <v>1106163.1698530088</v>
          </cell>
          <cell r="F38">
            <v>1097532.212880478</v>
          </cell>
          <cell r="G38">
            <v>1087461.4234865799</v>
          </cell>
          <cell r="H38">
            <v>1053615.0174687707</v>
          </cell>
          <cell r="I38">
            <v>1015993.9237580604</v>
          </cell>
          <cell r="J38">
            <v>986385.69868060201</v>
          </cell>
          <cell r="K38">
            <v>986007.57176491956</v>
          </cell>
          <cell r="L38">
            <v>946881.59521809337</v>
          </cell>
          <cell r="M38">
            <v>943623.49212596181</v>
          </cell>
          <cell r="N38">
            <v>937395.97161091387</v>
          </cell>
          <cell r="O38">
            <v>938729.08409352123</v>
          </cell>
          <cell r="P38">
            <v>938822.58946204663</v>
          </cell>
          <cell r="Q38">
            <v>918136.57775610965</v>
          </cell>
          <cell r="R38">
            <v>909693.76408688945</v>
          </cell>
          <cell r="S38">
            <v>923468.56378525973</v>
          </cell>
          <cell r="T38">
            <v>895427.12631703261</v>
          </cell>
          <cell r="U38">
            <v>860823.31952004449</v>
          </cell>
          <cell r="V38">
            <v>877081.61848236527</v>
          </cell>
          <cell r="W38">
            <v>886893.04372662737</v>
          </cell>
        </row>
        <row r="39">
          <cell r="B39" t="str">
            <v>W.C. Beckjord 5</v>
          </cell>
          <cell r="C39" t="str">
            <v>CGE</v>
          </cell>
          <cell r="D39">
            <v>1768652.9869529926</v>
          </cell>
          <cell r="E39">
            <v>1695402.7578438383</v>
          </cell>
          <cell r="F39">
            <v>1690770.6209365875</v>
          </cell>
          <cell r="G39">
            <v>1676208.5558376107</v>
          </cell>
          <cell r="H39">
            <v>1619615.098746615</v>
          </cell>
          <cell r="I39">
            <v>1551607.2585841101</v>
          </cell>
          <cell r="J39">
            <v>1491900.198734439</v>
          </cell>
          <cell r="K39">
            <v>1492839.9352873508</v>
          </cell>
          <cell r="L39">
            <v>1428442.6398633248</v>
          </cell>
          <cell r="M39">
            <v>1413244.9925809361</v>
          </cell>
          <cell r="N39">
            <v>1421649.1037016883</v>
          </cell>
          <cell r="O39">
            <v>1428089.4118835886</v>
          </cell>
          <cell r="P39">
            <v>1436331.4036112183</v>
          </cell>
          <cell r="Q39">
            <v>1401506.5825184244</v>
          </cell>
          <cell r="R39">
            <v>1393087.4580476461</v>
          </cell>
          <cell r="S39">
            <v>1409072.8416601645</v>
          </cell>
          <cell r="T39">
            <v>1374012.3049330846</v>
          </cell>
          <cell r="U39">
            <v>1320169.7419841839</v>
          </cell>
          <cell r="V39">
            <v>1349111.9084135909</v>
          </cell>
          <cell r="W39">
            <v>1368443.3062689952</v>
          </cell>
        </row>
        <row r="40">
          <cell r="B40" t="str">
            <v>W.C. Beckjord 6</v>
          </cell>
          <cell r="C40" t="str">
            <v>CGE</v>
          </cell>
          <cell r="D40">
            <v>1123387.1210013041</v>
          </cell>
          <cell r="E40">
            <v>1077523.0244505545</v>
          </cell>
          <cell r="F40">
            <v>1071036.8708639753</v>
          </cell>
          <cell r="G40">
            <v>1057683.9137022726</v>
          </cell>
          <cell r="H40">
            <v>1022564.3682056909</v>
          </cell>
          <cell r="I40">
            <v>988078.25219722558</v>
          </cell>
          <cell r="J40">
            <v>943302.07152592926</v>
          </cell>
          <cell r="K40">
            <v>932761.30378712039</v>
          </cell>
          <cell r="L40">
            <v>897099.79196934495</v>
          </cell>
          <cell r="M40">
            <v>879725.23381547595</v>
          </cell>
          <cell r="N40">
            <v>888847.8275287525</v>
          </cell>
          <cell r="O40">
            <v>901770.77138724655</v>
          </cell>
          <cell r="P40">
            <v>901297.01184741256</v>
          </cell>
          <cell r="Q40">
            <v>870984.31188263604</v>
          </cell>
          <cell r="R40">
            <v>870113.1714327326</v>
          </cell>
          <cell r="S40">
            <v>887450.35059220297</v>
          </cell>
          <cell r="T40">
            <v>861146.73803912173</v>
          </cell>
          <cell r="U40">
            <v>836137.56158640177</v>
          </cell>
          <cell r="V40">
            <v>850694.303431476</v>
          </cell>
          <cell r="W40">
            <v>870495.95882830722</v>
          </cell>
        </row>
        <row r="41">
          <cell r="B41" t="str">
            <v>W.H. Zimmer 1</v>
          </cell>
          <cell r="C41" t="str">
            <v>CGE</v>
          </cell>
          <cell r="D41">
            <v>4153977.1144143762</v>
          </cell>
          <cell r="E41">
            <v>4153977.1144143762</v>
          </cell>
          <cell r="F41">
            <v>4153977.1144143762</v>
          </cell>
          <cell r="G41">
            <v>4152878.0448324573</v>
          </cell>
          <cell r="H41">
            <v>4146860.5589142051</v>
          </cell>
          <cell r="I41">
            <v>4150476.484730972</v>
          </cell>
          <cell r="J41">
            <v>4138793.0526246373</v>
          </cell>
          <cell r="K41">
            <v>4132353.6637870139</v>
          </cell>
          <cell r="L41">
            <v>4130439.3174190982</v>
          </cell>
          <cell r="M41">
            <v>4114285.2101969356</v>
          </cell>
          <cell r="N41">
            <v>4101684.1375684952</v>
          </cell>
          <cell r="O41">
            <v>4113507.2155112205</v>
          </cell>
          <cell r="P41">
            <v>4118038.717638399</v>
          </cell>
          <cell r="Q41">
            <v>4096048.1400325601</v>
          </cell>
          <cell r="R41">
            <v>4109072.5630921293</v>
          </cell>
          <cell r="S41">
            <v>4129150.6597776264</v>
          </cell>
          <cell r="T41">
            <v>4082957.5351872719</v>
          </cell>
          <cell r="U41">
            <v>4083842.6468926524</v>
          </cell>
          <cell r="V41">
            <v>4078662.2573558958</v>
          </cell>
          <cell r="W41">
            <v>4059851.9175216015</v>
          </cell>
        </row>
        <row r="42">
          <cell r="B42" t="str">
            <v>Cayuga Diesel 3A-D</v>
          </cell>
          <cell r="C42" t="str">
            <v>PSI</v>
          </cell>
          <cell r="D42">
            <v>16212.095290660507</v>
          </cell>
          <cell r="E42">
            <v>12688.277520822752</v>
          </cell>
          <cell r="F42">
            <v>10391.722202688752</v>
          </cell>
          <cell r="G42">
            <v>11334.099333942009</v>
          </cell>
          <cell r="H42">
            <v>9852.4732870872049</v>
          </cell>
          <cell r="I42">
            <v>9645.4370302290008</v>
          </cell>
          <cell r="J42">
            <v>9256.3346711682025</v>
          </cell>
          <cell r="K42">
            <v>9524.3587834972477</v>
          </cell>
          <cell r="L42">
            <v>10861.842547640701</v>
          </cell>
          <cell r="M42">
            <v>11459.641075240042</v>
          </cell>
          <cell r="N42">
            <v>11277.376419008702</v>
          </cell>
          <cell r="O42">
            <v>10699.631848313105</v>
          </cell>
          <cell r="P42">
            <v>10822.99743745605</v>
          </cell>
          <cell r="Q42">
            <v>11683.840342343401</v>
          </cell>
          <cell r="R42">
            <v>11366.074474731899</v>
          </cell>
          <cell r="S42">
            <v>11678.090217670802</v>
          </cell>
          <cell r="T42">
            <v>11909.11974336315</v>
          </cell>
          <cell r="U42">
            <v>11742.342301374299</v>
          </cell>
          <cell r="V42">
            <v>10782.468589107601</v>
          </cell>
          <cell r="W42">
            <v>11568.353377061248</v>
          </cell>
        </row>
        <row r="43">
          <cell r="B43" t="str">
            <v>Cayuga CT 4</v>
          </cell>
          <cell r="C43" t="str">
            <v>PSI</v>
          </cell>
          <cell r="D43">
            <v>146350.32467315849</v>
          </cell>
          <cell r="E43">
            <v>104347.27571573798</v>
          </cell>
          <cell r="F43">
            <v>88749.757099497845</v>
          </cell>
          <cell r="G43">
            <v>94892.324702439815</v>
          </cell>
          <cell r="H43">
            <v>84925.446941757167</v>
          </cell>
          <cell r="I43">
            <v>86591.730766769178</v>
          </cell>
          <cell r="J43">
            <v>81773.303715441973</v>
          </cell>
          <cell r="K43">
            <v>84806.839813685263</v>
          </cell>
          <cell r="L43">
            <v>98625.877447065941</v>
          </cell>
          <cell r="M43">
            <v>107379.4891793101</v>
          </cell>
          <cell r="N43">
            <v>104759.65651455168</v>
          </cell>
          <cell r="O43">
            <v>95962.697199912698</v>
          </cell>
          <cell r="P43">
            <v>100442.07801129103</v>
          </cell>
          <cell r="Q43">
            <v>108860.97971327674</v>
          </cell>
          <cell r="R43">
            <v>108385.91074826084</v>
          </cell>
          <cell r="S43">
            <v>110628.72903073093</v>
          </cell>
          <cell r="T43">
            <v>115277.07687494134</v>
          </cell>
          <cell r="U43">
            <v>113304.80904813466</v>
          </cell>
          <cell r="V43">
            <v>105276.90282964004</v>
          </cell>
          <cell r="W43">
            <v>114204.26956851257</v>
          </cell>
        </row>
        <row r="44">
          <cell r="B44" t="str">
            <v>Connersville CT 1</v>
          </cell>
          <cell r="C44" t="str">
            <v>PSI</v>
          </cell>
          <cell r="D44">
            <v>23293.185838201127</v>
          </cell>
          <cell r="E44">
            <v>17985.821058631129</v>
          </cell>
          <cell r="F44">
            <v>15096.117749679743</v>
          </cell>
          <cell r="G44">
            <v>17922.101760299629</v>
          </cell>
          <cell r="H44">
            <v>15300.361843724999</v>
          </cell>
          <cell r="I44">
            <v>16261.396841523745</v>
          </cell>
          <cell r="J44">
            <v>15472.056088232624</v>
          </cell>
          <cell r="K44">
            <v>17537.511069884924</v>
          </cell>
          <cell r="L44">
            <v>21806.361718710974</v>
          </cell>
          <cell r="M44">
            <v>24434.490129927693</v>
          </cell>
          <cell r="N44">
            <v>24701.951056433696</v>
          </cell>
          <cell r="O44">
            <v>21257.508861392998</v>
          </cell>
          <cell r="P44">
            <v>23942.029403793378</v>
          </cell>
          <cell r="Q44">
            <v>25584.347384662495</v>
          </cell>
          <cell r="R44">
            <v>26697.612976482</v>
          </cell>
          <cell r="S44">
            <v>28359.035703644633</v>
          </cell>
          <cell r="T44">
            <v>31511.512098176267</v>
          </cell>
          <cell r="U44">
            <v>32016.876810463131</v>
          </cell>
          <cell r="V44">
            <v>29028.612888408006</v>
          </cell>
          <cell r="W44">
            <v>41910.485021068125</v>
          </cell>
        </row>
        <row r="45">
          <cell r="B45" t="str">
            <v>Connersville CT 2</v>
          </cell>
          <cell r="C45" t="str">
            <v>PSI</v>
          </cell>
          <cell r="D45">
            <v>23293.185838201127</v>
          </cell>
          <cell r="E45">
            <v>17985.821058631129</v>
          </cell>
          <cell r="F45">
            <v>15096.117749679743</v>
          </cell>
          <cell r="G45">
            <v>17922.101760299629</v>
          </cell>
          <cell r="H45">
            <v>15300.361843724999</v>
          </cell>
          <cell r="I45">
            <v>16261.396841523745</v>
          </cell>
          <cell r="J45">
            <v>15472.056088232624</v>
          </cell>
          <cell r="K45">
            <v>17537.511069884924</v>
          </cell>
          <cell r="L45">
            <v>21806.361718710974</v>
          </cell>
          <cell r="M45">
            <v>24434.490129927693</v>
          </cell>
          <cell r="N45">
            <v>24701.951056433696</v>
          </cell>
          <cell r="O45">
            <v>21257.508861392998</v>
          </cell>
          <cell r="P45">
            <v>23942.029403793378</v>
          </cell>
          <cell r="Q45">
            <v>25584.347384662495</v>
          </cell>
          <cell r="R45">
            <v>26697.612976482</v>
          </cell>
          <cell r="S45">
            <v>28359.035703644633</v>
          </cell>
          <cell r="T45">
            <v>31511.512098176267</v>
          </cell>
          <cell r="U45">
            <v>32016.876810463131</v>
          </cell>
          <cell r="V45">
            <v>29028.612888408006</v>
          </cell>
          <cell r="W45">
            <v>41910.485021068125</v>
          </cell>
        </row>
        <row r="46">
          <cell r="B46" t="str">
            <v>Dicks Creek CT 1</v>
          </cell>
          <cell r="C46" t="str">
            <v>CGE</v>
          </cell>
          <cell r="D46">
            <v>25638.008688774826</v>
          </cell>
          <cell r="E46">
            <v>21748.55098630584</v>
          </cell>
          <cell r="F46">
            <v>19669.011296950503</v>
          </cell>
          <cell r="G46">
            <v>23918.895464928988</v>
          </cell>
          <cell r="H46">
            <v>19915.529797544328</v>
          </cell>
          <cell r="I46">
            <v>21558.81721413579</v>
          </cell>
          <cell r="J46">
            <v>21874.729868690101</v>
          </cell>
          <cell r="K46">
            <v>22929.774889940778</v>
          </cell>
          <cell r="L46">
            <v>27726.180333866709</v>
          </cell>
          <cell r="M46">
            <v>31231.939141144376</v>
          </cell>
          <cell r="N46">
            <v>34316.424657671552</v>
          </cell>
          <cell r="O46">
            <v>31616.399679488921</v>
          </cell>
          <cell r="P46">
            <v>34843.05858461812</v>
          </cell>
          <cell r="Q46">
            <v>35355.052037619374</v>
          </cell>
          <cell r="R46">
            <v>40392.982988134674</v>
          </cell>
          <cell r="S46">
            <v>41370.001899688301</v>
          </cell>
          <cell r="T46">
            <v>45138.442967811541</v>
          </cell>
          <cell r="U46">
            <v>46343.023928145405</v>
          </cell>
          <cell r="V46">
            <v>45002.70123250343</v>
          </cell>
          <cell r="W46">
            <v>75959.856449367639</v>
          </cell>
        </row>
        <row r="47">
          <cell r="B47" t="str">
            <v>Dicks Creek CT 3</v>
          </cell>
          <cell r="C47" t="str">
            <v>CGE</v>
          </cell>
          <cell r="D47">
            <v>3977.2582326324377</v>
          </cell>
          <cell r="E47">
            <v>3380.4685085721371</v>
          </cell>
          <cell r="F47">
            <v>3044.0845785994652</v>
          </cell>
          <cell r="G47">
            <v>3716.852438544809</v>
          </cell>
          <cell r="H47">
            <v>3091.7972907981602</v>
          </cell>
          <cell r="I47">
            <v>3344.3327723024636</v>
          </cell>
          <cell r="J47">
            <v>3396.6830450341281</v>
          </cell>
          <cell r="K47">
            <v>3559.3869479663922</v>
          </cell>
          <cell r="L47">
            <v>4313.8368047442691</v>
          </cell>
          <cell r="M47">
            <v>4862.1267853475401</v>
          </cell>
          <cell r="N47">
            <v>5362.9071585929787</v>
          </cell>
          <cell r="O47">
            <v>4932.9765240008683</v>
          </cell>
          <cell r="P47">
            <v>5445.6300677349154</v>
          </cell>
          <cell r="Q47">
            <v>5540.9624024135783</v>
          </cell>
          <cell r="R47">
            <v>6336.98104995413</v>
          </cell>
          <cell r="S47">
            <v>6502.5707341669522</v>
          </cell>
          <cell r="T47">
            <v>7097.2786336084382</v>
          </cell>
          <cell r="U47">
            <v>7294.9758080805395</v>
          </cell>
          <cell r="V47">
            <v>7084.0683562508293</v>
          </cell>
          <cell r="W47">
            <v>12066.111624722795</v>
          </cell>
        </row>
        <row r="48">
          <cell r="B48" t="str">
            <v>Dicks Creek CT 4-5</v>
          </cell>
          <cell r="C48" t="str">
            <v>CGE</v>
          </cell>
          <cell r="D48">
            <v>5876.2173084179394</v>
          </cell>
          <cell r="E48">
            <v>5117.043272866139</v>
          </cell>
          <cell r="F48">
            <v>4911.3478496732105</v>
          </cell>
          <cell r="G48">
            <v>6442.5532536928204</v>
          </cell>
          <cell r="H48">
            <v>4934.1712583588696</v>
          </cell>
          <cell r="I48">
            <v>5809.1927109341414</v>
          </cell>
          <cell r="J48">
            <v>5651.1811271929218</v>
          </cell>
          <cell r="K48">
            <v>5950.6671799367123</v>
          </cell>
          <cell r="L48">
            <v>7408.7369202313503</v>
          </cell>
          <cell r="M48">
            <v>7735.2299431377296</v>
          </cell>
          <cell r="N48">
            <v>8633.6442944426399</v>
          </cell>
          <cell r="O48">
            <v>8932.4075328998388</v>
          </cell>
          <cell r="P48">
            <v>9399.608403595741</v>
          </cell>
          <cell r="Q48">
            <v>9376.0183736970284</v>
          </cell>
          <cell r="R48">
            <v>10090.59695811255</v>
          </cell>
          <cell r="S48">
            <v>10659.627029364721</v>
          </cell>
          <cell r="T48">
            <v>11246.24558159058</v>
          </cell>
          <cell r="U48">
            <v>12435.954090391262</v>
          </cell>
          <cell r="V48">
            <v>12827.062329826138</v>
          </cell>
          <cell r="W48">
            <v>20484.797820056127</v>
          </cell>
        </row>
        <row r="49">
          <cell r="B49" t="str">
            <v>Miami Fort CT 3-6</v>
          </cell>
          <cell r="C49" t="str">
            <v>CGE</v>
          </cell>
          <cell r="D49">
            <v>15580.383063315847</v>
          </cell>
          <cell r="E49">
            <v>13311.549337307759</v>
          </cell>
          <cell r="F49">
            <v>11984.227961428807</v>
          </cell>
          <cell r="G49">
            <v>14673.703773544197</v>
          </cell>
          <cell r="H49">
            <v>12076.490496775319</v>
          </cell>
          <cell r="I49">
            <v>13173.532387507797</v>
          </cell>
          <cell r="J49">
            <v>13674.968848233004</v>
          </cell>
          <cell r="K49">
            <v>14461.661028525479</v>
          </cell>
          <cell r="L49">
            <v>17418.495726906123</v>
          </cell>
          <cell r="M49">
            <v>21381.617193552003</v>
          </cell>
          <cell r="N49">
            <v>21772.894285628645</v>
          </cell>
          <cell r="O49">
            <v>20451.691232612651</v>
          </cell>
          <cell r="P49">
            <v>22610.336032856874</v>
          </cell>
          <cell r="Q49">
            <v>23437.743139447572</v>
          </cell>
          <cell r="R49">
            <v>26783.534696355349</v>
          </cell>
          <cell r="S49">
            <v>27587.370003510245</v>
          </cell>
          <cell r="T49">
            <v>32018.794404652454</v>
          </cell>
          <cell r="U49">
            <v>31569.215902685999</v>
          </cell>
          <cell r="V49">
            <v>29948.259365057878</v>
          </cell>
          <cell r="W49">
            <v>49236.316526212206</v>
          </cell>
        </row>
        <row r="50">
          <cell r="B50" t="str">
            <v>Miami-Wabash CT 1-6</v>
          </cell>
          <cell r="C50" t="str">
            <v>PSI</v>
          </cell>
          <cell r="D50">
            <v>26674.540455000009</v>
          </cell>
          <cell r="E50">
            <v>22583.592444375019</v>
          </cell>
          <cell r="F50">
            <v>20443.471475625007</v>
          </cell>
          <cell r="G50">
            <v>24949.084963125006</v>
          </cell>
          <cell r="H50">
            <v>20171.844232500003</v>
          </cell>
          <cell r="I50">
            <v>22178.559783749999</v>
          </cell>
          <cell r="J50">
            <v>22098.861860624998</v>
          </cell>
          <cell r="K50">
            <v>23748.708832500008</v>
          </cell>
          <cell r="L50">
            <v>28023.679983750015</v>
          </cell>
          <cell r="M50">
            <v>31055.290833749998</v>
          </cell>
          <cell r="N50">
            <v>34950.674499375018</v>
          </cell>
          <cell r="O50">
            <v>31848.089786249999</v>
          </cell>
          <cell r="P50">
            <v>34522.922932500012</v>
          </cell>
          <cell r="Q50">
            <v>34867.795929374995</v>
          </cell>
          <cell r="R50">
            <v>40044.889409999989</v>
          </cell>
          <cell r="S50">
            <v>41341.139325000018</v>
          </cell>
          <cell r="T50">
            <v>43012.887322500006</v>
          </cell>
          <cell r="U50">
            <v>45384.832010625018</v>
          </cell>
          <cell r="V50">
            <v>44044.14391500003</v>
          </cell>
          <cell r="W50">
            <v>74592.984890624997</v>
          </cell>
        </row>
        <row r="51">
          <cell r="B51" t="str">
            <v>Wabash Diesel 7A-B</v>
          </cell>
          <cell r="C51" t="str">
            <v>PSI</v>
          </cell>
          <cell r="D51">
            <v>11876.807040317988</v>
          </cell>
          <cell r="E51">
            <v>9315.3983061479994</v>
          </cell>
          <cell r="F51">
            <v>7653.19762910999</v>
          </cell>
          <cell r="G51">
            <v>8342.6525300579942</v>
          </cell>
          <cell r="H51">
            <v>7251.8740607543978</v>
          </cell>
          <cell r="I51">
            <v>7115.7827378219945</v>
          </cell>
          <cell r="J51">
            <v>6832.9883198543948</v>
          </cell>
          <cell r="K51">
            <v>7036.8460470923947</v>
          </cell>
          <cell r="L51">
            <v>8023.1823383315932</v>
          </cell>
          <cell r="M51">
            <v>8455.658594380795</v>
          </cell>
          <cell r="N51">
            <v>8329.806700670395</v>
          </cell>
          <cell r="O51">
            <v>7917.0025601567922</v>
          </cell>
          <cell r="P51">
            <v>8000.7176511899961</v>
          </cell>
          <cell r="Q51">
            <v>8637.4860345047964</v>
          </cell>
          <cell r="R51">
            <v>8401.2344766371971</v>
          </cell>
          <cell r="S51">
            <v>8634.9416914859976</v>
          </cell>
          <cell r="T51">
            <v>8808.2673024983978</v>
          </cell>
          <cell r="U51">
            <v>8689.5519806699958</v>
          </cell>
          <cell r="V51">
            <v>7987.561536068396</v>
          </cell>
          <cell r="W51">
            <v>8581.8828309719975</v>
          </cell>
        </row>
        <row r="52">
          <cell r="B52" t="str">
            <v>W.C. Beckjord CT 1</v>
          </cell>
          <cell r="C52" t="str">
            <v>CGE</v>
          </cell>
          <cell r="D52">
            <v>16683.335120839678</v>
          </cell>
          <cell r="E52">
            <v>14015.64946317875</v>
          </cell>
          <cell r="F52">
            <v>12226.912737105064</v>
          </cell>
          <cell r="G52">
            <v>14853.685545718563</v>
          </cell>
          <cell r="H52">
            <v>12338.973113323862</v>
          </cell>
          <cell r="I52">
            <v>13799.287715223962</v>
          </cell>
          <cell r="J52">
            <v>13772.010362579102</v>
          </cell>
          <cell r="K52">
            <v>14776.985878454154</v>
          </cell>
          <cell r="L52">
            <v>18544.376864917427</v>
          </cell>
          <cell r="M52">
            <v>22767.237950104391</v>
          </cell>
          <cell r="N52">
            <v>22033.842854742728</v>
          </cell>
          <cell r="O52">
            <v>20212.950778943577</v>
          </cell>
          <cell r="P52">
            <v>22594.691682054356</v>
          </cell>
          <cell r="Q52">
            <v>23998.817099851545</v>
          </cell>
          <cell r="R52">
            <v>26121.229177724104</v>
          </cell>
          <cell r="S52">
            <v>27363.318598625556</v>
          </cell>
          <cell r="T52">
            <v>32320.476604449344</v>
          </cell>
          <cell r="U52">
            <v>32094.098108904054</v>
          </cell>
          <cell r="V52">
            <v>29368.658746564193</v>
          </cell>
          <cell r="W52">
            <v>44896.633581036767</v>
          </cell>
        </row>
        <row r="53">
          <cell r="B53" t="str">
            <v>W.C. Beckjord CT 2</v>
          </cell>
          <cell r="C53" t="str">
            <v>CGE</v>
          </cell>
          <cell r="D53">
            <v>16683.335120839678</v>
          </cell>
          <cell r="E53">
            <v>14015.64946317875</v>
          </cell>
          <cell r="F53">
            <v>12226.912737105064</v>
          </cell>
          <cell r="G53">
            <v>14853.685545718563</v>
          </cell>
          <cell r="H53">
            <v>12338.973113323862</v>
          </cell>
          <cell r="I53">
            <v>13799.287715223962</v>
          </cell>
          <cell r="J53">
            <v>13772.010362579102</v>
          </cell>
          <cell r="K53">
            <v>14776.985878454154</v>
          </cell>
          <cell r="L53">
            <v>18544.376864917427</v>
          </cell>
          <cell r="M53">
            <v>22767.237950104391</v>
          </cell>
          <cell r="N53">
            <v>22033.842854742728</v>
          </cell>
          <cell r="O53">
            <v>20212.950778943577</v>
          </cell>
          <cell r="P53">
            <v>22594.691682054356</v>
          </cell>
          <cell r="Q53">
            <v>23998.817099851545</v>
          </cell>
          <cell r="R53">
            <v>26121.229177724104</v>
          </cell>
          <cell r="S53">
            <v>27363.318598625556</v>
          </cell>
          <cell r="T53">
            <v>32320.476604449344</v>
          </cell>
          <cell r="U53">
            <v>32094.098108904054</v>
          </cell>
          <cell r="V53">
            <v>29368.658746564193</v>
          </cell>
          <cell r="W53">
            <v>44896.633581036767</v>
          </cell>
        </row>
        <row r="54">
          <cell r="B54" t="str">
            <v>W.C. Beckjord CT 3</v>
          </cell>
          <cell r="C54" t="str">
            <v>CGE</v>
          </cell>
          <cell r="D54">
            <v>16683.335120839678</v>
          </cell>
          <cell r="E54">
            <v>14015.64946317875</v>
          </cell>
          <cell r="F54">
            <v>12226.912737105064</v>
          </cell>
          <cell r="G54">
            <v>14853.685545718563</v>
          </cell>
          <cell r="H54">
            <v>12338.973113323862</v>
          </cell>
          <cell r="I54">
            <v>13799.287715223962</v>
          </cell>
          <cell r="J54">
            <v>13772.010362579102</v>
          </cell>
          <cell r="K54">
            <v>14776.985878454154</v>
          </cell>
          <cell r="L54">
            <v>18544.376864917427</v>
          </cell>
          <cell r="M54">
            <v>22767.237950104391</v>
          </cell>
          <cell r="N54">
            <v>22033.842854742728</v>
          </cell>
          <cell r="O54">
            <v>20212.950778943577</v>
          </cell>
          <cell r="P54">
            <v>22594.691682054356</v>
          </cell>
          <cell r="Q54">
            <v>23998.817099851545</v>
          </cell>
          <cell r="R54">
            <v>26121.229177724104</v>
          </cell>
          <cell r="S54">
            <v>27363.318598625556</v>
          </cell>
          <cell r="T54">
            <v>32320.476604449344</v>
          </cell>
          <cell r="U54">
            <v>32094.098108904054</v>
          </cell>
          <cell r="V54">
            <v>29368.658746564193</v>
          </cell>
          <cell r="W54">
            <v>44896.633581036767</v>
          </cell>
        </row>
        <row r="55">
          <cell r="B55" t="str">
            <v>W.C. Beckjord CT 4</v>
          </cell>
          <cell r="C55" t="str">
            <v>CGE</v>
          </cell>
          <cell r="D55">
            <v>16683.335120839678</v>
          </cell>
          <cell r="E55">
            <v>14015.64946317875</v>
          </cell>
          <cell r="F55">
            <v>12226.912737105064</v>
          </cell>
          <cell r="G55">
            <v>14853.685545718563</v>
          </cell>
          <cell r="H55">
            <v>12338.973113323862</v>
          </cell>
          <cell r="I55">
            <v>13799.287715223962</v>
          </cell>
          <cell r="J55">
            <v>13772.010362579102</v>
          </cell>
          <cell r="K55">
            <v>14776.985878454154</v>
          </cell>
          <cell r="L55">
            <v>18544.376864917427</v>
          </cell>
          <cell r="M55">
            <v>22767.237950104391</v>
          </cell>
          <cell r="N55">
            <v>22033.842854742728</v>
          </cell>
          <cell r="O55">
            <v>20212.950778943577</v>
          </cell>
          <cell r="P55">
            <v>22594.691682054356</v>
          </cell>
          <cell r="Q55">
            <v>23998.817099851545</v>
          </cell>
          <cell r="R55">
            <v>26121.229177724104</v>
          </cell>
          <cell r="S55">
            <v>27363.318598625556</v>
          </cell>
          <cell r="T55">
            <v>32320.476604449344</v>
          </cell>
          <cell r="U55">
            <v>32094.098108904054</v>
          </cell>
          <cell r="V55">
            <v>29368.658746564193</v>
          </cell>
          <cell r="W55">
            <v>44896.633581036767</v>
          </cell>
        </row>
        <row r="56">
          <cell r="B56" t="str">
            <v>Woodsdale CT 1</v>
          </cell>
          <cell r="C56" t="str">
            <v>CGE</v>
          </cell>
          <cell r="D56">
            <v>30740.375825448955</v>
          </cell>
          <cell r="E56">
            <v>26776.699318026229</v>
          </cell>
          <cell r="F56">
            <v>23748.177844469756</v>
          </cell>
          <cell r="G56">
            <v>28752.244578140155</v>
          </cell>
          <cell r="H56">
            <v>22295.116759449589</v>
          </cell>
          <cell r="I56">
            <v>24736.235643863034</v>
          </cell>
          <cell r="J56">
            <v>22719.26375718911</v>
          </cell>
          <cell r="K56">
            <v>23099.479262576628</v>
          </cell>
          <cell r="L56">
            <v>28034.550431416319</v>
          </cell>
          <cell r="M56">
            <v>27646.989888798715</v>
          </cell>
          <cell r="N56">
            <v>30090.089544007671</v>
          </cell>
          <cell r="O56">
            <v>30349.76320020479</v>
          </cell>
          <cell r="P56">
            <v>32130.938582138871</v>
          </cell>
          <cell r="Q56">
            <v>32106.036362526705</v>
          </cell>
          <cell r="R56">
            <v>34177.082521190387</v>
          </cell>
          <cell r="S56">
            <v>35589.980973465594</v>
          </cell>
          <cell r="T56">
            <v>36541.4831468544</v>
          </cell>
          <cell r="U56">
            <v>38537.398746316787</v>
          </cell>
          <cell r="V56">
            <v>39559.707695185898</v>
          </cell>
          <cell r="W56">
            <v>61008.280011571202</v>
          </cell>
        </row>
        <row r="57">
          <cell r="B57" t="str">
            <v>Woodsdale CT 2</v>
          </cell>
          <cell r="C57" t="str">
            <v>CGE</v>
          </cell>
          <cell r="D57">
            <v>30740.375825448955</v>
          </cell>
          <cell r="E57">
            <v>26776.699318026229</v>
          </cell>
          <cell r="F57">
            <v>23748.177844469756</v>
          </cell>
          <cell r="G57">
            <v>28752.244578140155</v>
          </cell>
          <cell r="H57">
            <v>22295.116759449589</v>
          </cell>
          <cell r="I57">
            <v>24736.235643863034</v>
          </cell>
          <cell r="J57">
            <v>22719.26375718911</v>
          </cell>
          <cell r="K57">
            <v>23099.479262576628</v>
          </cell>
          <cell r="L57">
            <v>28034.550431416319</v>
          </cell>
          <cell r="M57">
            <v>27646.989888798715</v>
          </cell>
          <cell r="N57">
            <v>30090.089544007671</v>
          </cell>
          <cell r="O57">
            <v>30349.76320020479</v>
          </cell>
          <cell r="P57">
            <v>32130.938582138871</v>
          </cell>
          <cell r="Q57">
            <v>32106.036362526705</v>
          </cell>
          <cell r="R57">
            <v>34177.082521190387</v>
          </cell>
          <cell r="S57">
            <v>35589.980973465594</v>
          </cell>
          <cell r="T57">
            <v>36541.4831468544</v>
          </cell>
          <cell r="U57">
            <v>38537.398746316787</v>
          </cell>
          <cell r="V57">
            <v>39559.707695185898</v>
          </cell>
          <cell r="W57">
            <v>61008.280011571202</v>
          </cell>
        </row>
        <row r="58">
          <cell r="B58" t="str">
            <v>Woodsdale CT 3</v>
          </cell>
          <cell r="C58" t="str">
            <v>CGE</v>
          </cell>
          <cell r="D58">
            <v>30740.375825448955</v>
          </cell>
          <cell r="E58">
            <v>26776.699318026229</v>
          </cell>
          <cell r="F58">
            <v>23748.177844469756</v>
          </cell>
          <cell r="G58">
            <v>28752.244578140155</v>
          </cell>
          <cell r="H58">
            <v>22295.116759449589</v>
          </cell>
          <cell r="I58">
            <v>24736.235643863034</v>
          </cell>
          <cell r="J58">
            <v>22719.26375718911</v>
          </cell>
          <cell r="K58">
            <v>23099.479262576628</v>
          </cell>
          <cell r="L58">
            <v>28034.550431416319</v>
          </cell>
          <cell r="M58">
            <v>27646.989888798715</v>
          </cell>
          <cell r="N58">
            <v>30090.089544007671</v>
          </cell>
          <cell r="O58">
            <v>30349.76320020479</v>
          </cell>
          <cell r="P58">
            <v>32130.938582138871</v>
          </cell>
          <cell r="Q58">
            <v>32106.036362526705</v>
          </cell>
          <cell r="R58">
            <v>34177.082521190387</v>
          </cell>
          <cell r="S58">
            <v>35589.980973465594</v>
          </cell>
          <cell r="T58">
            <v>36541.4831468544</v>
          </cell>
          <cell r="U58">
            <v>38537.398746316787</v>
          </cell>
          <cell r="V58">
            <v>39559.707695185898</v>
          </cell>
          <cell r="W58">
            <v>61008.280011571202</v>
          </cell>
        </row>
        <row r="59">
          <cell r="B59" t="str">
            <v>Woodsdale CT 4</v>
          </cell>
          <cell r="C59" t="str">
            <v>CGE</v>
          </cell>
          <cell r="D59">
            <v>30740.375825448955</v>
          </cell>
          <cell r="E59">
            <v>26776.699318026229</v>
          </cell>
          <cell r="F59">
            <v>23748.177844469756</v>
          </cell>
          <cell r="G59">
            <v>28752.244578140155</v>
          </cell>
          <cell r="H59">
            <v>22295.116759449589</v>
          </cell>
          <cell r="I59">
            <v>24736.235643863034</v>
          </cell>
          <cell r="J59">
            <v>22719.26375718911</v>
          </cell>
          <cell r="K59">
            <v>23099.479262576628</v>
          </cell>
          <cell r="L59">
            <v>28034.550431416319</v>
          </cell>
          <cell r="M59">
            <v>27646.989888798715</v>
          </cell>
          <cell r="N59">
            <v>30090.089544007671</v>
          </cell>
          <cell r="O59">
            <v>30349.76320020479</v>
          </cell>
          <cell r="P59">
            <v>32130.938582138871</v>
          </cell>
          <cell r="Q59">
            <v>32106.036362526705</v>
          </cell>
          <cell r="R59">
            <v>34177.082521190387</v>
          </cell>
          <cell r="S59">
            <v>35589.980973465594</v>
          </cell>
          <cell r="T59">
            <v>36541.4831468544</v>
          </cell>
          <cell r="U59">
            <v>38537.398746316787</v>
          </cell>
          <cell r="V59">
            <v>39559.707695185898</v>
          </cell>
          <cell r="W59">
            <v>61008.280011571202</v>
          </cell>
        </row>
        <row r="60">
          <cell r="B60" t="str">
            <v>Woodsdale CT 5</v>
          </cell>
          <cell r="C60" t="str">
            <v>CGE</v>
          </cell>
          <cell r="D60">
            <v>30740.375825448955</v>
          </cell>
          <cell r="E60">
            <v>26776.699318026229</v>
          </cell>
          <cell r="F60">
            <v>23748.177844469756</v>
          </cell>
          <cell r="G60">
            <v>28752.244578140155</v>
          </cell>
          <cell r="H60">
            <v>22295.116759449589</v>
          </cell>
          <cell r="I60">
            <v>24736.235643863034</v>
          </cell>
          <cell r="J60">
            <v>22719.26375718911</v>
          </cell>
          <cell r="K60">
            <v>23099.479262576628</v>
          </cell>
          <cell r="L60">
            <v>28034.550431416319</v>
          </cell>
          <cell r="M60">
            <v>27646.989888798715</v>
          </cell>
          <cell r="N60">
            <v>30090.089544007671</v>
          </cell>
          <cell r="O60">
            <v>30349.76320020479</v>
          </cell>
          <cell r="P60">
            <v>32130.938582138871</v>
          </cell>
          <cell r="Q60">
            <v>32106.036362526705</v>
          </cell>
          <cell r="R60">
            <v>34177.082521190387</v>
          </cell>
          <cell r="S60">
            <v>35589.980973465594</v>
          </cell>
          <cell r="T60">
            <v>36541.4831468544</v>
          </cell>
          <cell r="U60">
            <v>38537.398746316787</v>
          </cell>
          <cell r="V60">
            <v>39559.707695185898</v>
          </cell>
          <cell r="W60">
            <v>61008.280011571202</v>
          </cell>
        </row>
        <row r="61">
          <cell r="B61" t="str">
            <v>Woodsdale CT 6</v>
          </cell>
          <cell r="C61" t="str">
            <v>CGE</v>
          </cell>
          <cell r="D61">
            <v>30740.375825448955</v>
          </cell>
          <cell r="E61">
            <v>26776.699318026229</v>
          </cell>
          <cell r="F61">
            <v>23748.177844469756</v>
          </cell>
          <cell r="G61">
            <v>28752.244578140155</v>
          </cell>
          <cell r="H61">
            <v>22295.116759449589</v>
          </cell>
          <cell r="I61">
            <v>24736.235643863034</v>
          </cell>
          <cell r="J61">
            <v>22719.26375718911</v>
          </cell>
          <cell r="K61">
            <v>23099.479262576628</v>
          </cell>
          <cell r="L61">
            <v>28034.550431416319</v>
          </cell>
          <cell r="M61">
            <v>27646.989888798715</v>
          </cell>
          <cell r="N61">
            <v>30090.089544007671</v>
          </cell>
          <cell r="O61">
            <v>30349.76320020479</v>
          </cell>
          <cell r="P61">
            <v>32130.938582138871</v>
          </cell>
          <cell r="Q61">
            <v>32106.036362526705</v>
          </cell>
          <cell r="R61">
            <v>34177.082521190387</v>
          </cell>
          <cell r="S61">
            <v>35589.980973465594</v>
          </cell>
          <cell r="T61">
            <v>36541.4831468544</v>
          </cell>
          <cell r="U61">
            <v>38537.398746316787</v>
          </cell>
          <cell r="V61">
            <v>39559.707695185898</v>
          </cell>
          <cell r="W61">
            <v>61008.280011571202</v>
          </cell>
        </row>
        <row r="62">
          <cell r="B62" t="str">
            <v>Markland 1 -3</v>
          </cell>
          <cell r="C62" t="str">
            <v>PSI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</sheetData>
      <sheetData sheetId="29">
        <row r="2">
          <cell r="B2" t="str">
            <v>Cayuga 1</v>
          </cell>
          <cell r="C2" t="str">
            <v>PSI</v>
          </cell>
          <cell r="D2">
            <v>127967064.61965682</v>
          </cell>
          <cell r="E2">
            <v>100344554.8536434</v>
          </cell>
          <cell r="F2">
            <v>93320044.166619718</v>
          </cell>
          <cell r="G2">
            <v>100021304.28607585</v>
          </cell>
          <cell r="H2">
            <v>104455367.69159086</v>
          </cell>
          <cell r="I2">
            <v>110080642.04073969</v>
          </cell>
          <cell r="J2">
            <v>110705194.57187505</v>
          </cell>
          <cell r="K2">
            <v>113093561.53446704</v>
          </cell>
          <cell r="L2">
            <v>118559583.11828886</v>
          </cell>
          <cell r="M2">
            <v>119500663.0699067</v>
          </cell>
          <cell r="N2">
            <v>121234630.35492697</v>
          </cell>
          <cell r="O2">
            <v>123492272.00970399</v>
          </cell>
          <cell r="P2">
            <v>127876193.82690401</v>
          </cell>
          <cell r="Q2">
            <v>130789408.12036771</v>
          </cell>
          <cell r="R2">
            <v>135180868.88998696</v>
          </cell>
          <cell r="S2">
            <v>139055346.67240575</v>
          </cell>
          <cell r="T2">
            <v>143435475.96674657</v>
          </cell>
          <cell r="U2">
            <v>144587145.12578857</v>
          </cell>
          <cell r="V2">
            <v>146137146.38598064</v>
          </cell>
          <cell r="W2">
            <v>156373757.08607605</v>
          </cell>
        </row>
        <row r="3">
          <cell r="B3" t="str">
            <v>Cayuga 2</v>
          </cell>
          <cell r="C3" t="str">
            <v>PSI</v>
          </cell>
          <cell r="D3">
            <v>129130970.32738842</v>
          </cell>
          <cell r="E3">
            <v>102831573.61073065</v>
          </cell>
          <cell r="F3">
            <v>95367942.082492158</v>
          </cell>
          <cell r="G3">
            <v>101890305.33464175</v>
          </cell>
          <cell r="H3">
            <v>103198576.31216343</v>
          </cell>
          <cell r="I3">
            <v>109542175.95848244</v>
          </cell>
          <cell r="J3">
            <v>110299312.68086191</v>
          </cell>
          <cell r="K3">
            <v>112295322.30988818</v>
          </cell>
          <cell r="L3">
            <v>118215193.51865812</v>
          </cell>
          <cell r="M3">
            <v>119187519.69216485</v>
          </cell>
          <cell r="N3">
            <v>120885880.15504611</v>
          </cell>
          <cell r="O3">
            <v>123171407.27147646</v>
          </cell>
          <cell r="P3">
            <v>127277946.39874958</v>
          </cell>
          <cell r="Q3">
            <v>130084855.50106257</v>
          </cell>
          <cell r="R3">
            <v>134320066.74640658</v>
          </cell>
          <cell r="S3">
            <v>138315751.89088506</v>
          </cell>
          <cell r="T3">
            <v>142340657.4044801</v>
          </cell>
          <cell r="U3">
            <v>143989638.35873681</v>
          </cell>
          <cell r="V3">
            <v>145559779.08321208</v>
          </cell>
          <cell r="W3">
            <v>156024679.55733663</v>
          </cell>
        </row>
        <row r="4">
          <cell r="B4" t="str">
            <v>Conesville 4</v>
          </cell>
          <cell r="C4" t="str">
            <v>CGE</v>
          </cell>
          <cell r="D4">
            <v>90505712.245756343</v>
          </cell>
          <cell r="E4">
            <v>74892528.439257324</v>
          </cell>
          <cell r="F4">
            <v>72198792.303128824</v>
          </cell>
          <cell r="G4">
            <v>77931364.940172076</v>
          </cell>
          <cell r="H4">
            <v>70894851.811821654</v>
          </cell>
          <cell r="I4">
            <v>72635764.916435465</v>
          </cell>
          <cell r="J4">
            <v>72228838.18718347</v>
          </cell>
          <cell r="K4">
            <v>73804287.913784355</v>
          </cell>
          <cell r="L4">
            <v>77704225.772340357</v>
          </cell>
          <cell r="M4">
            <v>78405844.271429017</v>
          </cell>
          <cell r="N4">
            <v>79399337.289098382</v>
          </cell>
          <cell r="O4">
            <v>80839795.153483242</v>
          </cell>
          <cell r="P4">
            <v>83476923.072980419</v>
          </cell>
          <cell r="Q4">
            <v>85474723.748060465</v>
          </cell>
          <cell r="R4">
            <v>88171140.736500531</v>
          </cell>
          <cell r="S4">
            <v>90922045.781935349</v>
          </cell>
          <cell r="T4">
            <v>93793862.176745221</v>
          </cell>
          <cell r="U4">
            <v>94957524.04830192</v>
          </cell>
          <cell r="V4">
            <v>95861554.88706772</v>
          </cell>
          <cell r="W4">
            <v>103116064.01952724</v>
          </cell>
        </row>
        <row r="5">
          <cell r="B5" t="str">
            <v>East Bend 2</v>
          </cell>
          <cell r="C5" t="str">
            <v>CGE</v>
          </cell>
          <cell r="D5">
            <v>119970926.2830703</v>
          </cell>
          <cell r="E5">
            <v>97934079.770260036</v>
          </cell>
          <cell r="F5">
            <v>94643545.760338187</v>
          </cell>
          <cell r="G5">
            <v>101409255.93044458</v>
          </cell>
          <cell r="H5">
            <v>92019336.691313684</v>
          </cell>
          <cell r="I5">
            <v>94101307.0394371</v>
          </cell>
          <cell r="J5">
            <v>93564251.655793443</v>
          </cell>
          <cell r="K5">
            <v>95406651.056264147</v>
          </cell>
          <cell r="L5">
            <v>100625340.66510393</v>
          </cell>
          <cell r="M5">
            <v>101460478.42934917</v>
          </cell>
          <cell r="N5">
            <v>102546705.1791909</v>
          </cell>
          <cell r="O5">
            <v>104477644.01062371</v>
          </cell>
          <cell r="P5">
            <v>107977898.60122286</v>
          </cell>
          <cell r="Q5">
            <v>110429678.55282751</v>
          </cell>
          <cell r="R5">
            <v>114025762.41503204</v>
          </cell>
          <cell r="S5">
            <v>117529941.79481168</v>
          </cell>
          <cell r="T5">
            <v>120830576.29014917</v>
          </cell>
          <cell r="U5">
            <v>122566406.03325766</v>
          </cell>
          <cell r="V5">
            <v>123541929.98458599</v>
          </cell>
          <cell r="W5">
            <v>132531037.38710654</v>
          </cell>
        </row>
        <row r="6">
          <cell r="B6" t="str">
            <v>Edwardsport 6</v>
          </cell>
          <cell r="C6" t="str">
            <v>PSI</v>
          </cell>
          <cell r="D6">
            <v>6398080.711849642</v>
          </cell>
          <cell r="E6">
            <v>3806380.2027979488</v>
          </cell>
          <cell r="F6">
            <v>3339807.9086741982</v>
          </cell>
          <cell r="G6">
            <v>3773196.9011535114</v>
          </cell>
          <cell r="H6">
            <v>2750351.4248336335</v>
          </cell>
          <cell r="I6">
            <v>2720316.5064425902</v>
          </cell>
          <cell r="J6">
            <v>2446621.0612925468</v>
          </cell>
          <cell r="K6">
            <v>2413273.5802365164</v>
          </cell>
          <cell r="L6">
            <v>2724443.634949761</v>
          </cell>
          <cell r="M6">
            <v>2826195.0046986775</v>
          </cell>
          <cell r="N6">
            <v>2852205.7434411133</v>
          </cell>
          <cell r="O6">
            <v>2745049.1830724315</v>
          </cell>
          <cell r="P6">
            <v>2884803.7313221996</v>
          </cell>
          <cell r="Q6">
            <v>3016632.9367473843</v>
          </cell>
          <cell r="R6">
            <v>3100283.1884705718</v>
          </cell>
          <cell r="S6">
            <v>3193233.2279048348</v>
          </cell>
          <cell r="T6">
            <v>3382768.2727782591</v>
          </cell>
          <cell r="U6">
            <v>3480256.4989203089</v>
          </cell>
          <cell r="V6">
            <v>3430107.1520733302</v>
          </cell>
          <cell r="W6">
            <v>4548570.1306685517</v>
          </cell>
        </row>
        <row r="7">
          <cell r="B7" t="str">
            <v>Edwardsport 7</v>
          </cell>
          <cell r="C7" t="str">
            <v>PSI</v>
          </cell>
          <cell r="D7">
            <v>10752084.847447598</v>
          </cell>
          <cell r="E7">
            <v>8172171.2872118279</v>
          </cell>
          <cell r="F7">
            <v>7986036.2786095561</v>
          </cell>
          <cell r="G7">
            <v>8748296.9143432919</v>
          </cell>
          <cell r="H7">
            <v>7058243.2985445252</v>
          </cell>
          <cell r="I7">
            <v>7156237.6333820196</v>
          </cell>
          <cell r="J7">
            <v>7021240.9149472928</v>
          </cell>
          <cell r="K7">
            <v>7217801.7700918494</v>
          </cell>
          <cell r="L7">
            <v>7558297.1730470993</v>
          </cell>
          <cell r="M7">
            <v>7623563.4495123699</v>
          </cell>
          <cell r="N7">
            <v>7935371.2689294685</v>
          </cell>
          <cell r="O7">
            <v>8223976.1199891306</v>
          </cell>
          <cell r="P7">
            <v>8730931.0251224432</v>
          </cell>
          <cell r="Q7">
            <v>8934101.1573339943</v>
          </cell>
          <cell r="R7">
            <v>9480585.8184832223</v>
          </cell>
          <cell r="S7">
            <v>9862506.8152333722</v>
          </cell>
          <cell r="T7">
            <v>10402705.004992887</v>
          </cell>
          <cell r="U7">
            <v>10158232.079042889</v>
          </cell>
          <cell r="V7">
            <v>10432421.252659198</v>
          </cell>
          <cell r="W7">
            <v>11436486.459455624</v>
          </cell>
        </row>
        <row r="8">
          <cell r="B8" t="str">
            <v>Edwardsport 8</v>
          </cell>
          <cell r="C8" t="str">
            <v>PSI</v>
          </cell>
          <cell r="D8">
            <v>17898882.170205589</v>
          </cell>
          <cell r="E8">
            <v>13597039.371797366</v>
          </cell>
          <cell r="F8">
            <v>13287647.178614089</v>
          </cell>
          <cell r="G8">
            <v>14555885.751722448</v>
          </cell>
          <cell r="H8">
            <v>11740093.184465125</v>
          </cell>
          <cell r="I8">
            <v>11902449.565816086</v>
          </cell>
          <cell r="J8">
            <v>11676941.633312559</v>
          </cell>
          <cell r="K8">
            <v>12003701.989009244</v>
          </cell>
          <cell r="L8">
            <v>12570231.711381793</v>
          </cell>
          <cell r="M8">
            <v>12678276.777042048</v>
          </cell>
          <cell r="N8">
            <v>13196662.604688089</v>
          </cell>
          <cell r="O8">
            <v>13676064.082615009</v>
          </cell>
          <cell r="P8">
            <v>14518243.335343832</v>
          </cell>
          <cell r="Q8">
            <v>14855940.971012602</v>
          </cell>
          <cell r="R8">
            <v>15763801.208659658</v>
          </cell>
          <cell r="S8">
            <v>16399300.857646132</v>
          </cell>
          <cell r="T8">
            <v>17297886.07790577</v>
          </cell>
          <cell r="U8">
            <v>16891220.483489595</v>
          </cell>
          <cell r="V8">
            <v>17347695.819027439</v>
          </cell>
          <cell r="W8">
            <v>19019067.994951807</v>
          </cell>
        </row>
        <row r="9">
          <cell r="B9" t="str">
            <v>Gallagher 1</v>
          </cell>
          <cell r="C9" t="str">
            <v>PSI</v>
          </cell>
          <cell r="D9">
            <v>36159906.127049662</v>
          </cell>
          <cell r="E9">
            <v>27436812.284654632</v>
          </cell>
          <cell r="F9">
            <v>27249726.73681787</v>
          </cell>
          <cell r="G9">
            <v>28365051.732748561</v>
          </cell>
          <cell r="H9">
            <v>24386652.77522175</v>
          </cell>
          <cell r="I9">
            <v>25380916.864188012</v>
          </cell>
          <cell r="J9">
            <v>25709752.081790954</v>
          </cell>
          <cell r="K9">
            <v>25441793.926122166</v>
          </cell>
          <cell r="L9">
            <v>26911850.166311678</v>
          </cell>
          <cell r="M9">
            <v>27121325.856507339</v>
          </cell>
          <cell r="N9">
            <v>28048737.401518978</v>
          </cell>
          <cell r="O9">
            <v>28908820.365461364</v>
          </cell>
          <cell r="P9">
            <v>30426689.11826076</v>
          </cell>
          <cell r="Q9">
            <v>31258102.543813743</v>
          </cell>
          <cell r="R9">
            <v>32718837.865430746</v>
          </cell>
          <cell r="S9">
            <v>34280918.755885944</v>
          </cell>
          <cell r="T9">
            <v>35877401.841793478</v>
          </cell>
          <cell r="U9">
            <v>36097738.146546662</v>
          </cell>
          <cell r="V9">
            <v>36790035.265958145</v>
          </cell>
          <cell r="W9">
            <v>40306473.339137152</v>
          </cell>
        </row>
        <row r="10">
          <cell r="B10" t="str">
            <v>Gallagher 2</v>
          </cell>
          <cell r="C10" t="str">
            <v>PSI</v>
          </cell>
          <cell r="D10">
            <v>36658615.75555978</v>
          </cell>
          <cell r="E10">
            <v>27868516.207801439</v>
          </cell>
          <cell r="F10">
            <v>27644788.76326593</v>
          </cell>
          <cell r="G10">
            <v>28795772.615874037</v>
          </cell>
          <cell r="H10">
            <v>24867204.870890126</v>
          </cell>
          <cell r="I10">
            <v>26006431.470397558</v>
          </cell>
          <cell r="J10">
            <v>26327689.197072592</v>
          </cell>
          <cell r="K10">
            <v>25913622.83111015</v>
          </cell>
          <cell r="L10">
            <v>27345227.402083378</v>
          </cell>
          <cell r="M10">
            <v>27645334.051970795</v>
          </cell>
          <cell r="N10">
            <v>28451430.063765418</v>
          </cell>
          <cell r="O10">
            <v>29324800.771595661</v>
          </cell>
          <cell r="P10">
            <v>30786772.27963208</v>
          </cell>
          <cell r="Q10">
            <v>31604872.228989787</v>
          </cell>
          <cell r="R10">
            <v>33062271.036077067</v>
          </cell>
          <cell r="S10">
            <v>34647897.990257993</v>
          </cell>
          <cell r="T10">
            <v>36243384.556901067</v>
          </cell>
          <cell r="U10">
            <v>36438512.158620588</v>
          </cell>
          <cell r="V10">
            <v>37135293.638048626</v>
          </cell>
          <cell r="W10">
            <v>40700248.359286658</v>
          </cell>
        </row>
        <row r="11">
          <cell r="B11" t="str">
            <v>Gallagher 3</v>
          </cell>
          <cell r="C11" t="str">
            <v>PSI</v>
          </cell>
          <cell r="D11">
            <v>36420302.892813131</v>
          </cell>
          <cell r="E11">
            <v>27667277.448360551</v>
          </cell>
          <cell r="F11">
            <v>27467047.197377872</v>
          </cell>
          <cell r="G11">
            <v>28592850.36920049</v>
          </cell>
          <cell r="H11">
            <v>24640586.391846396</v>
          </cell>
          <cell r="I11">
            <v>25682220.631699633</v>
          </cell>
          <cell r="J11">
            <v>26045141.238683116</v>
          </cell>
          <cell r="K11">
            <v>25692308.261506714</v>
          </cell>
          <cell r="L11">
            <v>27136305.057508573</v>
          </cell>
          <cell r="M11">
            <v>27389968.051021758</v>
          </cell>
          <cell r="N11">
            <v>28259029.717109375</v>
          </cell>
          <cell r="O11">
            <v>29140868.489870358</v>
          </cell>
          <cell r="P11">
            <v>30630506.453650068</v>
          </cell>
          <cell r="Q11">
            <v>31441196.51362405</v>
          </cell>
          <cell r="R11">
            <v>32899165.776778113</v>
          </cell>
          <cell r="S11">
            <v>34457960.330993056</v>
          </cell>
          <cell r="T11">
            <v>36081975.785868861</v>
          </cell>
          <cell r="U11">
            <v>36281986.70807565</v>
          </cell>
          <cell r="V11">
            <v>36962054.354687527</v>
          </cell>
          <cell r="W11">
            <v>40532780.309287757</v>
          </cell>
        </row>
        <row r="12">
          <cell r="B12" t="str">
            <v>Gallagher 4</v>
          </cell>
          <cell r="C12" t="str">
            <v>PSI</v>
          </cell>
          <cell r="D12">
            <v>36019770.211676635</v>
          </cell>
          <cell r="E12">
            <v>27266785.171458993</v>
          </cell>
          <cell r="F12">
            <v>27056221.397711143</v>
          </cell>
          <cell r="G12">
            <v>28199630.788754996</v>
          </cell>
          <cell r="H12">
            <v>24164735.18996286</v>
          </cell>
          <cell r="I12">
            <v>25113641.652511697</v>
          </cell>
          <cell r="J12">
            <v>25480943.05372408</v>
          </cell>
          <cell r="K12">
            <v>25281138.917651936</v>
          </cell>
          <cell r="L12">
            <v>26765822.027213477</v>
          </cell>
          <cell r="M12">
            <v>26979119.67474594</v>
          </cell>
          <cell r="N12">
            <v>27909532.447083861</v>
          </cell>
          <cell r="O12">
            <v>28747723.767424725</v>
          </cell>
          <cell r="P12">
            <v>30284059.76409173</v>
          </cell>
          <cell r="Q12">
            <v>31122330.194520682</v>
          </cell>
          <cell r="R12">
            <v>32562008.004443932</v>
          </cell>
          <cell r="S12">
            <v>34115242.942608349</v>
          </cell>
          <cell r="T12">
            <v>35724421.713276237</v>
          </cell>
          <cell r="U12">
            <v>35981270.316016749</v>
          </cell>
          <cell r="V12">
            <v>36677021.696305819</v>
          </cell>
          <cell r="W12">
            <v>40172466.027652904</v>
          </cell>
        </row>
        <row r="13">
          <cell r="B13" t="str">
            <v>Gibson 1</v>
          </cell>
          <cell r="C13" t="str">
            <v>PSI</v>
          </cell>
          <cell r="D13">
            <v>179370472.28081608</v>
          </cell>
          <cell r="E13">
            <v>145958315.30623886</v>
          </cell>
          <cell r="F13">
            <v>138909281.20623109</v>
          </cell>
          <cell r="G13">
            <v>147209579.10711077</v>
          </cell>
          <cell r="H13">
            <v>138757250.41285995</v>
          </cell>
          <cell r="I13">
            <v>144136019.83249778</v>
          </cell>
          <cell r="J13">
            <v>144376622.62249652</v>
          </cell>
          <cell r="K13">
            <v>146999282.15287587</v>
          </cell>
          <cell r="L13">
            <v>154780658.64337346</v>
          </cell>
          <cell r="M13">
            <v>156073963.5177927</v>
          </cell>
          <cell r="N13">
            <v>158299879.25488961</v>
          </cell>
          <cell r="O13">
            <v>161311097.72770116</v>
          </cell>
          <cell r="P13">
            <v>166644559.61461753</v>
          </cell>
          <cell r="Q13">
            <v>170352752.83546239</v>
          </cell>
          <cell r="R13">
            <v>175915988.30170411</v>
          </cell>
          <cell r="S13">
            <v>181142860.8180328</v>
          </cell>
          <cell r="T13">
            <v>186440479.36991963</v>
          </cell>
          <cell r="U13">
            <v>188608030.46886685</v>
          </cell>
          <cell r="V13">
            <v>190637544.59818649</v>
          </cell>
          <cell r="W13">
            <v>204348731.41159526</v>
          </cell>
        </row>
        <row r="14">
          <cell r="B14" t="str">
            <v>Gibson 2</v>
          </cell>
          <cell r="C14" t="str">
            <v>PSI</v>
          </cell>
          <cell r="D14">
            <v>179984206.27305168</v>
          </cell>
          <cell r="E14">
            <v>146790412.95535657</v>
          </cell>
          <cell r="F14">
            <v>139760236.60644174</v>
          </cell>
          <cell r="G14">
            <v>148428956.37451801</v>
          </cell>
          <cell r="H14">
            <v>138796947.22866884</v>
          </cell>
          <cell r="I14">
            <v>144143213.95182323</v>
          </cell>
          <cell r="J14">
            <v>144382732.0551962</v>
          </cell>
          <cell r="K14">
            <v>147077170.47193775</v>
          </cell>
          <cell r="L14">
            <v>154808103.99493638</v>
          </cell>
          <cell r="M14">
            <v>156150159.65478382</v>
          </cell>
          <cell r="N14">
            <v>158362284.52649045</v>
          </cell>
          <cell r="O14">
            <v>161314882.75597897</v>
          </cell>
          <cell r="P14">
            <v>166667927.9874281</v>
          </cell>
          <cell r="Q14">
            <v>170379923.78006959</v>
          </cell>
          <cell r="R14">
            <v>175932366.64132729</v>
          </cell>
          <cell r="S14">
            <v>181190678.53930259</v>
          </cell>
          <cell r="T14">
            <v>186539394.69088608</v>
          </cell>
          <cell r="U14">
            <v>188668115.09202635</v>
          </cell>
          <cell r="V14">
            <v>190710431.30215573</v>
          </cell>
          <cell r="W14">
            <v>204507437.92357406</v>
          </cell>
        </row>
        <row r="15">
          <cell r="B15" t="str">
            <v>Gibson 3</v>
          </cell>
          <cell r="C15" t="str">
            <v>PSI</v>
          </cell>
          <cell r="D15">
            <v>177334714.47116593</v>
          </cell>
          <cell r="E15">
            <v>143882886.69437546</v>
          </cell>
          <cell r="F15">
            <v>135975561.25964409</v>
          </cell>
          <cell r="G15">
            <v>143681795.06943098</v>
          </cell>
          <cell r="H15">
            <v>138598975.31635302</v>
          </cell>
          <cell r="I15">
            <v>144379602.70400658</v>
          </cell>
          <cell r="J15">
            <v>144353081.7326104</v>
          </cell>
          <cell r="K15">
            <v>146944376.07551128</v>
          </cell>
          <cell r="L15">
            <v>154621132.97556493</v>
          </cell>
          <cell r="M15">
            <v>155907524.18819398</v>
          </cell>
          <cell r="N15">
            <v>158160452.39998963</v>
          </cell>
          <cell r="O15">
            <v>161176580.11489943</v>
          </cell>
          <cell r="P15">
            <v>166598757.8261373</v>
          </cell>
          <cell r="Q15">
            <v>170261809.94529626</v>
          </cell>
          <cell r="R15">
            <v>175821326.70400536</v>
          </cell>
          <cell r="S15">
            <v>181013407.81375518</v>
          </cell>
          <cell r="T15">
            <v>186279296.86094949</v>
          </cell>
          <cell r="U15">
            <v>188372318.61296323</v>
          </cell>
          <cell r="V15">
            <v>190391561.39115611</v>
          </cell>
          <cell r="W15">
            <v>204022120.16077137</v>
          </cell>
        </row>
        <row r="16">
          <cell r="B16" t="str">
            <v>Gibson 4</v>
          </cell>
          <cell r="C16" t="str">
            <v>PSI</v>
          </cell>
          <cell r="D16">
            <v>181710493.81909859</v>
          </cell>
          <cell r="E16">
            <v>148508791.2591733</v>
          </cell>
          <cell r="F16">
            <v>143552805.16847315</v>
          </cell>
          <cell r="G16">
            <v>153899292.48277402</v>
          </cell>
          <cell r="H16">
            <v>139834002.36788186</v>
          </cell>
          <cell r="I16">
            <v>142961278.76990283</v>
          </cell>
          <cell r="J16">
            <v>142176710.32334468</v>
          </cell>
          <cell r="K16">
            <v>145229774.94595051</v>
          </cell>
          <cell r="L16">
            <v>152975573.08222944</v>
          </cell>
          <cell r="M16">
            <v>154399897.29844233</v>
          </cell>
          <cell r="N16">
            <v>156344857.52056038</v>
          </cell>
          <cell r="O16">
            <v>159109802.3128719</v>
          </cell>
          <cell r="P16">
            <v>164248202.70522866</v>
          </cell>
          <cell r="Q16">
            <v>168154041.05691883</v>
          </cell>
          <cell r="R16">
            <v>173466204.63229752</v>
          </cell>
          <cell r="S16">
            <v>178865170.23378021</v>
          </cell>
          <cell r="T16">
            <v>184355971.46148548</v>
          </cell>
          <cell r="U16">
            <v>186722921.44607612</v>
          </cell>
          <cell r="V16">
            <v>188419876.66503936</v>
          </cell>
          <cell r="W16">
            <v>202585418.64623529</v>
          </cell>
        </row>
        <row r="17">
          <cell r="B17" t="str">
            <v>Gibson 5</v>
          </cell>
          <cell r="C17" t="str">
            <v>PSI</v>
          </cell>
          <cell r="D17">
            <v>90186391.138578892</v>
          </cell>
          <cell r="E17">
            <v>73756358.83680883</v>
          </cell>
          <cell r="F17">
            <v>71303892.391819268</v>
          </cell>
          <cell r="G17">
            <v>76432589.360357195</v>
          </cell>
          <cell r="H17">
            <v>69459505.595561936</v>
          </cell>
          <cell r="I17">
            <v>71026908.625182629</v>
          </cell>
          <cell r="J17">
            <v>70631423.446696773</v>
          </cell>
          <cell r="K17">
            <v>72170245.707459986</v>
          </cell>
          <cell r="L17">
            <v>75991164.656664163</v>
          </cell>
          <cell r="M17">
            <v>76679558.90560104</v>
          </cell>
          <cell r="N17">
            <v>77622008.522855163</v>
          </cell>
          <cell r="O17">
            <v>79021941.733634651</v>
          </cell>
          <cell r="P17">
            <v>81616134.305907264</v>
          </cell>
          <cell r="Q17">
            <v>83537052.468941391</v>
          </cell>
          <cell r="R17">
            <v>86174205.491384149</v>
          </cell>
          <cell r="S17">
            <v>88881028.014033794</v>
          </cell>
          <cell r="T17">
            <v>91563134.578942597</v>
          </cell>
          <cell r="U17">
            <v>92769705.577670649</v>
          </cell>
          <cell r="V17">
            <v>93585133.842588559</v>
          </cell>
          <cell r="W17">
            <v>100557964.7620192</v>
          </cell>
        </row>
        <row r="18">
          <cell r="B18" t="str">
            <v>J.M. Stuart 1</v>
          </cell>
          <cell r="C18" t="str">
            <v>CGE</v>
          </cell>
          <cell r="D18">
            <v>65935341.411415063</v>
          </cell>
          <cell r="E18">
            <v>53802057.911016017</v>
          </cell>
          <cell r="F18">
            <v>51994796.506009348</v>
          </cell>
          <cell r="G18">
            <v>55497946.757965416</v>
          </cell>
          <cell r="H18">
            <v>50037220.25267341</v>
          </cell>
          <cell r="I18">
            <v>50549433.649263918</v>
          </cell>
          <cell r="J18">
            <v>49798122.354713716</v>
          </cell>
          <cell r="K18">
            <v>50454226.131884441</v>
          </cell>
          <cell r="L18">
            <v>52553516.755838901</v>
          </cell>
          <cell r="M18">
            <v>52809193.708786115</v>
          </cell>
          <cell r="N18">
            <v>53418184.284378186</v>
          </cell>
          <cell r="O18">
            <v>54488967.852628686</v>
          </cell>
          <cell r="P18">
            <v>56118784.875518806</v>
          </cell>
          <cell r="Q18">
            <v>56770133.174753077</v>
          </cell>
          <cell r="R18">
            <v>58515728.768399544</v>
          </cell>
          <cell r="S18">
            <v>60589943.233022802</v>
          </cell>
          <cell r="T18">
            <v>61936352.846529692</v>
          </cell>
          <cell r="U18">
            <v>61740453.181419678</v>
          </cell>
          <cell r="V18">
            <v>62268782.828651115</v>
          </cell>
          <cell r="W18">
            <v>67948883.720194325</v>
          </cell>
        </row>
        <row r="19">
          <cell r="B19" t="str">
            <v>J.M. Stuart 2</v>
          </cell>
          <cell r="C19" t="str">
            <v>CGE</v>
          </cell>
          <cell r="D19">
            <v>65935341.411415063</v>
          </cell>
          <cell r="E19">
            <v>53808984.215637997</v>
          </cell>
          <cell r="F19">
            <v>51997972.729760878</v>
          </cell>
          <cell r="G19">
            <v>55570471.616525479</v>
          </cell>
          <cell r="H19">
            <v>50303877.865017764</v>
          </cell>
          <cell r="I19">
            <v>51036904.326108761</v>
          </cell>
          <cell r="J19">
            <v>50495220.434236176</v>
          </cell>
          <cell r="K19">
            <v>51139272.682845652</v>
          </cell>
          <cell r="L19">
            <v>53503669.966241568</v>
          </cell>
          <cell r="M19">
            <v>53968583.672522739</v>
          </cell>
          <cell r="N19">
            <v>54324694.565351725</v>
          </cell>
          <cell r="O19">
            <v>55439609.66769027</v>
          </cell>
          <cell r="P19">
            <v>56971422.038503401</v>
          </cell>
          <cell r="Q19">
            <v>57663145.4698532</v>
          </cell>
          <cell r="R19">
            <v>59411581.365871832</v>
          </cell>
          <cell r="S19">
            <v>61420487.312041067</v>
          </cell>
          <cell r="T19">
            <v>62678721.650612921</v>
          </cell>
          <cell r="U19">
            <v>62494242.880516142</v>
          </cell>
          <cell r="V19">
            <v>63021818.264772952</v>
          </cell>
          <cell r="W19">
            <v>68696996.719859868</v>
          </cell>
        </row>
        <row r="20">
          <cell r="B20" t="str">
            <v>J.M. Stuart 3</v>
          </cell>
          <cell r="C20" t="str">
            <v>CGE</v>
          </cell>
          <cell r="D20">
            <v>65935341.411415063</v>
          </cell>
          <cell r="E20">
            <v>53802057.911016017</v>
          </cell>
          <cell r="F20">
            <v>51994796.506009348</v>
          </cell>
          <cell r="G20">
            <v>55511893.030350059</v>
          </cell>
          <cell r="H20">
            <v>50068851.657560088</v>
          </cell>
          <cell r="I20">
            <v>50579881.292930566</v>
          </cell>
          <cell r="J20">
            <v>49838718.169313014</v>
          </cell>
          <cell r="K20">
            <v>50491384.32302244</v>
          </cell>
          <cell r="L20">
            <v>52609377.873326682</v>
          </cell>
          <cell r="M20">
            <v>52879331.543211527</v>
          </cell>
          <cell r="N20">
            <v>53470496.809424326</v>
          </cell>
          <cell r="O20">
            <v>54523923.771255828</v>
          </cell>
          <cell r="P20">
            <v>56156319.060636237</v>
          </cell>
          <cell r="Q20">
            <v>56818396.992828041</v>
          </cell>
          <cell r="R20">
            <v>58560766.950326622</v>
          </cell>
          <cell r="S20">
            <v>60625943.717251152</v>
          </cell>
          <cell r="T20">
            <v>61974342.436077029</v>
          </cell>
          <cell r="U20">
            <v>61766898.517129429</v>
          </cell>
          <cell r="V20">
            <v>62315732.849106744</v>
          </cell>
          <cell r="W20">
            <v>67974381.955373302</v>
          </cell>
        </row>
        <row r="21">
          <cell r="B21" t="str">
            <v>J.M. Stuart 4</v>
          </cell>
          <cell r="C21" t="str">
            <v>CGE</v>
          </cell>
          <cell r="D21">
            <v>65935341.411415063</v>
          </cell>
          <cell r="E21">
            <v>53805898.643124588</v>
          </cell>
          <cell r="F21">
            <v>51997972.729760878</v>
          </cell>
          <cell r="G21">
            <v>55528279.132778242</v>
          </cell>
          <cell r="H21">
            <v>50109904.768303394</v>
          </cell>
          <cell r="I21">
            <v>50639390.138208158</v>
          </cell>
          <cell r="J21">
            <v>49914703.80578804</v>
          </cell>
          <cell r="K21">
            <v>50581824.427125186</v>
          </cell>
          <cell r="L21">
            <v>52706857.455554821</v>
          </cell>
          <cell r="M21">
            <v>53018460.763688199</v>
          </cell>
          <cell r="N21">
            <v>53562576.41546233</v>
          </cell>
          <cell r="O21">
            <v>54655437.201594457</v>
          </cell>
          <cell r="P21">
            <v>56229470.932138316</v>
          </cell>
          <cell r="Q21">
            <v>56900598.954663746</v>
          </cell>
          <cell r="R21">
            <v>58667166.093543127</v>
          </cell>
          <cell r="S21">
            <v>60718212.95956789</v>
          </cell>
          <cell r="T21">
            <v>62060388.939573467</v>
          </cell>
          <cell r="U21">
            <v>61853034.403257132</v>
          </cell>
          <cell r="V21">
            <v>62413309.921845578</v>
          </cell>
          <cell r="W21">
            <v>68060203.0778853</v>
          </cell>
        </row>
        <row r="22">
          <cell r="B22" t="str">
            <v>Killen 2</v>
          </cell>
          <cell r="C22" t="str">
            <v>CGE</v>
          </cell>
          <cell r="D22">
            <v>57377399.526685804</v>
          </cell>
          <cell r="E22">
            <v>46817149.721057504</v>
          </cell>
          <cell r="F22">
            <v>45186183.63519574</v>
          </cell>
          <cell r="G22">
            <v>48214329.67519173</v>
          </cell>
          <cell r="H22">
            <v>43287935.117740758</v>
          </cell>
          <cell r="I22">
            <v>43674266.132904097</v>
          </cell>
          <cell r="J22">
            <v>42883825.313759133</v>
          </cell>
          <cell r="K22">
            <v>43370539.785353944</v>
          </cell>
          <cell r="L22">
            <v>45120135.063248023</v>
          </cell>
          <cell r="M22">
            <v>45290047.377284966</v>
          </cell>
          <cell r="N22">
            <v>46042338.680005714</v>
          </cell>
          <cell r="O22">
            <v>46955869.440217525</v>
          </cell>
          <cell r="P22">
            <v>48352199.073349513</v>
          </cell>
          <cell r="Q22">
            <v>48920743.58155781</v>
          </cell>
          <cell r="R22">
            <v>50424248.997898161</v>
          </cell>
          <cell r="S22">
            <v>52273150.315940782</v>
          </cell>
          <cell r="T22">
            <v>53459950.364804208</v>
          </cell>
          <cell r="U22">
            <v>53200210.478570454</v>
          </cell>
          <cell r="V22">
            <v>53406271.769034751</v>
          </cell>
          <cell r="W22">
            <v>58566364.246908389</v>
          </cell>
        </row>
        <row r="23">
          <cell r="B23" t="str">
            <v>Miami Fort 5</v>
          </cell>
          <cell r="C23" t="str">
            <v>CGE</v>
          </cell>
          <cell r="D23">
            <v>18160101.699218139</v>
          </cell>
          <cell r="E23">
            <v>13224705.919082325</v>
          </cell>
          <cell r="F23">
            <v>12984752.262634799</v>
          </cell>
          <cell r="G23">
            <v>14481994.996717097</v>
          </cell>
          <cell r="H23">
            <v>11497267.974899478</v>
          </cell>
          <cell r="I23">
            <v>11716067.547158821</v>
          </cell>
          <cell r="J23">
            <v>12329404.721834334</v>
          </cell>
          <cell r="K23">
            <v>12474024.424981132</v>
          </cell>
          <cell r="L23">
            <v>13360172.710023236</v>
          </cell>
          <cell r="M23">
            <v>13508044.98785717</v>
          </cell>
          <cell r="N23">
            <v>13850907.312547646</v>
          </cell>
          <cell r="O23">
            <v>14370466.956241407</v>
          </cell>
          <cell r="P23">
            <v>15250606.037470631</v>
          </cell>
          <cell r="Q23">
            <v>15647669.220619263</v>
          </cell>
          <cell r="R23">
            <v>16568587.698828904</v>
          </cell>
          <cell r="S23">
            <v>17298697.890936345</v>
          </cell>
          <cell r="T23">
            <v>18317820.503062226</v>
          </cell>
          <cell r="U23">
            <v>18246019.607649326</v>
          </cell>
          <cell r="V23">
            <v>18428953.684055783</v>
          </cell>
          <cell r="W23">
            <v>20530083.563631866</v>
          </cell>
        </row>
        <row r="24">
          <cell r="B24" t="str">
            <v>Miami Fort 6</v>
          </cell>
          <cell r="C24" t="str">
            <v>CGE</v>
          </cell>
          <cell r="D24">
            <v>47397048.848715931</v>
          </cell>
          <cell r="E24">
            <v>37822280.576513842</v>
          </cell>
          <cell r="F24">
            <v>38053338.045456156</v>
          </cell>
          <cell r="G24">
            <v>39311402.45328436</v>
          </cell>
          <cell r="H24">
            <v>34857856.361871988</v>
          </cell>
          <cell r="I24">
            <v>35030737.218044803</v>
          </cell>
          <cell r="J24">
            <v>35004723.821192592</v>
          </cell>
          <cell r="K24">
            <v>35373747.298896633</v>
          </cell>
          <cell r="L24">
            <v>36531526.625671275</v>
          </cell>
          <cell r="M24">
            <v>36631932.084780127</v>
          </cell>
          <cell r="N24">
            <v>37493085.563341357</v>
          </cell>
          <cell r="O24">
            <v>38270868.136680745</v>
          </cell>
          <cell r="P24">
            <v>39853476.680916496</v>
          </cell>
          <cell r="Q24">
            <v>40368983.786888927</v>
          </cell>
          <cell r="R24">
            <v>41578433.473689511</v>
          </cell>
          <cell r="S24">
            <v>43297552.662322827</v>
          </cell>
          <cell r="T24">
            <v>44870477.717611663</v>
          </cell>
          <cell r="U24">
            <v>44950893.505664408</v>
          </cell>
          <cell r="V24">
            <v>45657122.013149127</v>
          </cell>
          <cell r="W24">
            <v>50039265.537545711</v>
          </cell>
        </row>
        <row r="25">
          <cell r="B25" t="str">
            <v>Miami Fort 7</v>
          </cell>
          <cell r="C25" t="str">
            <v>CGE</v>
          </cell>
          <cell r="D25">
            <v>88820632.542225435</v>
          </cell>
          <cell r="E25">
            <v>70251072.945056617</v>
          </cell>
          <cell r="F25">
            <v>67136111.267947659</v>
          </cell>
          <cell r="G25">
            <v>71825461.543730482</v>
          </cell>
          <cell r="H25">
            <v>63222645.472354278</v>
          </cell>
          <cell r="I25">
            <v>62601762.098202832</v>
          </cell>
          <cell r="J25">
            <v>61371522.412981011</v>
          </cell>
          <cell r="K25">
            <v>61969511.561407745</v>
          </cell>
          <cell r="L25">
            <v>64903809.493963763</v>
          </cell>
          <cell r="M25">
            <v>65352199.343251564</v>
          </cell>
          <cell r="N25">
            <v>66747040.298105516</v>
          </cell>
          <cell r="O25">
            <v>68380210.779422298</v>
          </cell>
          <cell r="P25">
            <v>70799779.130815446</v>
          </cell>
          <cell r="Q25">
            <v>71945948.862513229</v>
          </cell>
          <cell r="R25">
            <v>74212981.669373631</v>
          </cell>
          <cell r="S25">
            <v>77241187.980277658</v>
          </cell>
          <cell r="T25">
            <v>80116031.053623348</v>
          </cell>
          <cell r="U25">
            <v>80033897.435251042</v>
          </cell>
          <cell r="V25">
            <v>81487068.723694801</v>
          </cell>
          <cell r="W25">
            <v>89540819.812748149</v>
          </cell>
        </row>
        <row r="26">
          <cell r="B26" t="str">
            <v>Miami Fort 8</v>
          </cell>
          <cell r="C26" t="str">
            <v>CGE</v>
          </cell>
          <cell r="D26">
            <v>90862871.727385268</v>
          </cell>
          <cell r="E26">
            <v>72605423.087559342</v>
          </cell>
          <cell r="F26">
            <v>69952097.13497439</v>
          </cell>
          <cell r="G26">
            <v>74733704.771890149</v>
          </cell>
          <cell r="H26">
            <v>66428932.297406256</v>
          </cell>
          <cell r="I26">
            <v>66770706.378292739</v>
          </cell>
          <cell r="J26">
            <v>65466220.151440792</v>
          </cell>
          <cell r="K26">
            <v>65728632.163497485</v>
          </cell>
          <cell r="L26">
            <v>68205732.229226232</v>
          </cell>
          <cell r="M26">
            <v>68294511.881238073</v>
          </cell>
          <cell r="N26">
            <v>69739569.003985032</v>
          </cell>
          <cell r="O26">
            <v>71267539.432672173</v>
          </cell>
          <cell r="P26">
            <v>73599935.415291339</v>
          </cell>
          <cell r="Q26">
            <v>74512125.77402702</v>
          </cell>
          <cell r="R26">
            <v>76791029.964664921</v>
          </cell>
          <cell r="S26">
            <v>79895920.145867601</v>
          </cell>
          <cell r="T26">
            <v>82649830.012341827</v>
          </cell>
          <cell r="U26">
            <v>82329069.73084648</v>
          </cell>
          <cell r="V26">
            <v>84038645.942687169</v>
          </cell>
          <cell r="W26">
            <v>92319417.735935196</v>
          </cell>
        </row>
        <row r="27">
          <cell r="B27" t="str">
            <v>Noblesville 1</v>
          </cell>
          <cell r="C27" t="str">
            <v>PSI</v>
          </cell>
          <cell r="D27">
            <v>10473162.479972253</v>
          </cell>
          <cell r="E27">
            <v>7789883.7620996581</v>
          </cell>
          <cell r="F27">
            <v>7622458.8315881714</v>
          </cell>
          <cell r="G27">
            <v>8417627.1389599685</v>
          </cell>
          <cell r="H27">
            <v>6721468.2872076789</v>
          </cell>
          <cell r="I27">
            <v>6843770.2636792967</v>
          </cell>
          <cell r="J27">
            <v>7092420.7378667416</v>
          </cell>
          <cell r="K27">
            <v>7269017.3078804398</v>
          </cell>
          <cell r="L27">
            <v>7783679.9227234134</v>
          </cell>
          <cell r="M27">
            <v>7891760.8914825497</v>
          </cell>
          <cell r="N27">
            <v>8070480.0211387333</v>
          </cell>
          <cell r="O27">
            <v>8452205.9592747651</v>
          </cell>
          <cell r="P27">
            <v>8990683.4648704305</v>
          </cell>
          <cell r="Q27">
            <v>9103159.1099750455</v>
          </cell>
          <cell r="R27">
            <v>9704723.4150482416</v>
          </cell>
          <cell r="S27">
            <v>10102351.717017382</v>
          </cell>
          <cell r="T27">
            <v>10699830.739156963</v>
          </cell>
          <cell r="U27">
            <v>10519420.410912916</v>
          </cell>
          <cell r="V27">
            <v>10737790.811613102</v>
          </cell>
          <cell r="W27">
            <v>11767804.215026235</v>
          </cell>
        </row>
        <row r="28">
          <cell r="B28" t="str">
            <v>Noblesville 2</v>
          </cell>
          <cell r="C28" t="str">
            <v>PSI</v>
          </cell>
          <cell r="D28">
            <v>10473162.479972253</v>
          </cell>
          <cell r="E28">
            <v>7789883.7620996581</v>
          </cell>
          <cell r="F28">
            <v>7622458.8315881714</v>
          </cell>
          <cell r="G28">
            <v>8417627.1389599685</v>
          </cell>
          <cell r="H28">
            <v>6721468.2872076789</v>
          </cell>
          <cell r="I28">
            <v>6843770.2636792967</v>
          </cell>
          <cell r="J28">
            <v>7092420.7378667416</v>
          </cell>
          <cell r="K28">
            <v>7269017.3078804398</v>
          </cell>
          <cell r="L28">
            <v>7783679.9227234134</v>
          </cell>
          <cell r="M28">
            <v>7891760.8914825497</v>
          </cell>
          <cell r="N28">
            <v>8070480.0211387333</v>
          </cell>
          <cell r="O28">
            <v>8452205.9592747651</v>
          </cell>
          <cell r="P28">
            <v>8990683.4648704305</v>
          </cell>
          <cell r="Q28">
            <v>9103159.1099750455</v>
          </cell>
          <cell r="R28">
            <v>9704723.4150482416</v>
          </cell>
          <cell r="S28">
            <v>10102351.717017382</v>
          </cell>
          <cell r="T28">
            <v>10699830.739156963</v>
          </cell>
          <cell r="U28">
            <v>10519420.410912916</v>
          </cell>
          <cell r="V28">
            <v>10737790.811613102</v>
          </cell>
          <cell r="W28">
            <v>11767804.215026235</v>
          </cell>
        </row>
        <row r="29">
          <cell r="B29" t="str">
            <v>Wabash River 1</v>
          </cell>
          <cell r="C29" t="str">
            <v>PSI</v>
          </cell>
          <cell r="D29">
            <v>52100066.941482298</v>
          </cell>
          <cell r="E29">
            <v>38332504.879557461</v>
          </cell>
          <cell r="F29">
            <v>35746305.434966758</v>
          </cell>
          <cell r="G29">
            <v>39815606.838558532</v>
          </cell>
          <cell r="H29">
            <v>32941786.190704778</v>
          </cell>
          <cell r="I29">
            <v>33954285.576322004</v>
          </cell>
          <cell r="J29">
            <v>32259534.167543441</v>
          </cell>
          <cell r="K29">
            <v>32291379.225367635</v>
          </cell>
          <cell r="L29">
            <v>35283931.382772833</v>
          </cell>
          <cell r="M29">
            <v>35065230.217011593</v>
          </cell>
          <cell r="N29">
            <v>34825076.221970581</v>
          </cell>
          <cell r="O29">
            <v>35828757.336397804</v>
          </cell>
          <cell r="P29">
            <v>37153692.696606643</v>
          </cell>
          <cell r="Q29">
            <v>37553023.456711061</v>
          </cell>
          <cell r="R29">
            <v>38353824.812325761</v>
          </cell>
          <cell r="S29">
            <v>40787353.020395935</v>
          </cell>
          <cell r="T29">
            <v>41529034.788574606</v>
          </cell>
          <cell r="U29">
            <v>40654193.501981251</v>
          </cell>
          <cell r="V29">
            <v>40674790.225581706</v>
          </cell>
          <cell r="W29">
            <v>48822815.769613847</v>
          </cell>
        </row>
        <row r="30">
          <cell r="B30" t="str">
            <v>Wabash River 2</v>
          </cell>
          <cell r="C30" t="str">
            <v>PSI</v>
          </cell>
          <cell r="D30">
            <v>20634092.589662012</v>
          </cell>
          <cell r="E30">
            <v>15683156.832531208</v>
          </cell>
          <cell r="F30">
            <v>15436360.117295889</v>
          </cell>
          <cell r="G30">
            <v>16964173.099870704</v>
          </cell>
          <cell r="H30">
            <v>13923128.585719792</v>
          </cell>
          <cell r="I30">
            <v>14160429.72393466</v>
          </cell>
          <cell r="J30">
            <v>14835765.121595722</v>
          </cell>
          <cell r="K30">
            <v>14992344.133113736</v>
          </cell>
          <cell r="L30">
            <v>15863394.63588809</v>
          </cell>
          <cell r="M30">
            <v>16202364.317345204</v>
          </cell>
          <cell r="N30">
            <v>16840287.793810844</v>
          </cell>
          <cell r="O30">
            <v>17363694.142878603</v>
          </cell>
          <cell r="P30">
            <v>18325992.075114004</v>
          </cell>
          <cell r="Q30">
            <v>18713393.219836883</v>
          </cell>
          <cell r="R30">
            <v>19626777.944147259</v>
          </cell>
          <cell r="S30">
            <v>20505239.731629007</v>
          </cell>
          <cell r="T30">
            <v>21458769.16503761</v>
          </cell>
          <cell r="U30">
            <v>21679104.940417234</v>
          </cell>
          <cell r="V30">
            <v>21728769.888538696</v>
          </cell>
          <cell r="W30">
            <v>23526111.243842479</v>
          </cell>
        </row>
        <row r="31">
          <cell r="B31" t="str">
            <v>Wabash River 3</v>
          </cell>
          <cell r="C31" t="str">
            <v>PSI</v>
          </cell>
          <cell r="D31">
            <v>20733185.537996963</v>
          </cell>
          <cell r="E31">
            <v>15797827.011694748</v>
          </cell>
          <cell r="F31">
            <v>15554401.975677731</v>
          </cell>
          <cell r="G31">
            <v>17083994.284851335</v>
          </cell>
          <cell r="H31">
            <v>14030353.509177448</v>
          </cell>
          <cell r="I31">
            <v>14273540.391131625</v>
          </cell>
          <cell r="J31">
            <v>14994881.78216649</v>
          </cell>
          <cell r="K31">
            <v>15130377.921396364</v>
          </cell>
          <cell r="L31">
            <v>16002415.920819629</v>
          </cell>
          <cell r="M31">
            <v>16362468.961497875</v>
          </cell>
          <cell r="N31">
            <v>16996751.239207979</v>
          </cell>
          <cell r="O31">
            <v>17528574.582960695</v>
          </cell>
          <cell r="P31">
            <v>18463904.819543928</v>
          </cell>
          <cell r="Q31">
            <v>18874130.09386494</v>
          </cell>
          <cell r="R31">
            <v>19752683.924515489</v>
          </cell>
          <cell r="S31">
            <v>20648048.013220489</v>
          </cell>
          <cell r="T31">
            <v>21624014.644721027</v>
          </cell>
          <cell r="U31">
            <v>21811241.408795565</v>
          </cell>
          <cell r="V31">
            <v>21859067.857757632</v>
          </cell>
          <cell r="W31">
            <v>23691993.652147628</v>
          </cell>
        </row>
        <row r="32">
          <cell r="B32" t="str">
            <v>Wabash River 4</v>
          </cell>
          <cell r="C32" t="str">
            <v>PSI</v>
          </cell>
          <cell r="D32">
            <v>21047079.428546935</v>
          </cell>
          <cell r="E32">
            <v>16191969.161528222</v>
          </cell>
          <cell r="F32">
            <v>15985934.58983808</v>
          </cell>
          <cell r="G32">
            <v>17424818.112156145</v>
          </cell>
          <cell r="H32">
            <v>14343787.584215619</v>
          </cell>
          <cell r="I32">
            <v>14590292.501736941</v>
          </cell>
          <cell r="J32">
            <v>15334127.743110361</v>
          </cell>
          <cell r="K32">
            <v>15487355.021578889</v>
          </cell>
          <cell r="L32">
            <v>16390568.986115165</v>
          </cell>
          <cell r="M32">
            <v>16771957.289952805</v>
          </cell>
          <cell r="N32">
            <v>17370594.119219493</v>
          </cell>
          <cell r="O32">
            <v>17908357.552888114</v>
          </cell>
          <cell r="P32">
            <v>18839003.400186323</v>
          </cell>
          <cell r="Q32">
            <v>19271480.050402205</v>
          </cell>
          <cell r="R32">
            <v>20121548.630349565</v>
          </cell>
          <cell r="S32">
            <v>21037661.208323613</v>
          </cell>
          <cell r="T32">
            <v>21991456.72893871</v>
          </cell>
          <cell r="U32">
            <v>22173181.99895874</v>
          </cell>
          <cell r="V32">
            <v>22175449.276849493</v>
          </cell>
          <cell r="W32">
            <v>24074691.546735592</v>
          </cell>
        </row>
        <row r="33">
          <cell r="B33" t="str">
            <v>Wabash River 5</v>
          </cell>
          <cell r="C33" t="str">
            <v>PSI</v>
          </cell>
          <cell r="D33">
            <v>23412940.573791958</v>
          </cell>
          <cell r="E33">
            <v>17945960.480570424</v>
          </cell>
          <cell r="F33">
            <v>17709659.149884086</v>
          </cell>
          <cell r="G33">
            <v>19346454.699563105</v>
          </cell>
          <cell r="H33">
            <v>15923233.352701196</v>
          </cell>
          <cell r="I33">
            <v>16212750.338606574</v>
          </cell>
          <cell r="J33">
            <v>17033766.026718918</v>
          </cell>
          <cell r="K33">
            <v>17194944.74344077</v>
          </cell>
          <cell r="L33">
            <v>18185860.167324279</v>
          </cell>
          <cell r="M33">
            <v>18612136.999205224</v>
          </cell>
          <cell r="N33">
            <v>19281826.57127196</v>
          </cell>
          <cell r="O33">
            <v>19880028.273923777</v>
          </cell>
          <cell r="P33">
            <v>20929929.629867937</v>
          </cell>
          <cell r="Q33">
            <v>21399227.238481</v>
          </cell>
          <cell r="R33">
            <v>22362753.408421017</v>
          </cell>
          <cell r="S33">
            <v>23368300.960397597</v>
          </cell>
          <cell r="T33">
            <v>24431934.849434819</v>
          </cell>
          <cell r="U33">
            <v>24646888.371531442</v>
          </cell>
          <cell r="V33">
            <v>24669123.257107887</v>
          </cell>
          <cell r="W33">
            <v>26769336.488109913</v>
          </cell>
        </row>
        <row r="34">
          <cell r="B34" t="str">
            <v>Wabash River 6</v>
          </cell>
          <cell r="C34" t="str">
            <v>PSI</v>
          </cell>
          <cell r="D34">
            <v>75401677.113111019</v>
          </cell>
          <cell r="E34">
            <v>57553562.226446465</v>
          </cell>
          <cell r="F34">
            <v>53381849.953548692</v>
          </cell>
          <cell r="G34">
            <v>58029335.649628669</v>
          </cell>
          <cell r="H34">
            <v>49225941.007519796</v>
          </cell>
          <cell r="I34">
            <v>50253189.589436591</v>
          </cell>
          <cell r="J34">
            <v>49150245.569251783</v>
          </cell>
          <cell r="K34">
            <v>50047975.721156865</v>
          </cell>
          <cell r="L34">
            <v>53197721.269889444</v>
          </cell>
          <cell r="M34">
            <v>54061053.420441464</v>
          </cell>
          <cell r="N34">
            <v>56023186.427441724</v>
          </cell>
          <cell r="O34">
            <v>58005678.311147116</v>
          </cell>
          <cell r="P34">
            <v>60795349.396150328</v>
          </cell>
          <cell r="Q34">
            <v>63131768.166729905</v>
          </cell>
          <cell r="R34">
            <v>65509239.077138312</v>
          </cell>
          <cell r="S34">
            <v>68159150.366292343</v>
          </cell>
          <cell r="T34">
            <v>71529776.756283596</v>
          </cell>
          <cell r="U34">
            <v>71452313.939406738</v>
          </cell>
          <cell r="V34">
            <v>72332709.003099293</v>
          </cell>
          <cell r="W34">
            <v>78515066.429309547</v>
          </cell>
        </row>
        <row r="35">
          <cell r="B35" t="str">
            <v>W.C. Beckjord 1</v>
          </cell>
          <cell r="C35" t="str">
            <v>CGE</v>
          </cell>
          <cell r="D35">
            <v>24385685.346897658</v>
          </cell>
          <cell r="E35">
            <v>18519120.653059889</v>
          </cell>
          <cell r="F35">
            <v>18395477.351347595</v>
          </cell>
          <cell r="G35">
            <v>20055055.82403658</v>
          </cell>
          <cell r="H35">
            <v>16664920.986353356</v>
          </cell>
          <cell r="I35">
            <v>16704239.370760459</v>
          </cell>
          <cell r="J35">
            <v>17453241.936231144</v>
          </cell>
          <cell r="K35">
            <v>17708143.033615325</v>
          </cell>
          <cell r="L35">
            <v>18818480.551214322</v>
          </cell>
          <cell r="M35">
            <v>19263080.988426726</v>
          </cell>
          <cell r="N35">
            <v>19735161.471208043</v>
          </cell>
          <cell r="O35">
            <v>20309380.211253997</v>
          </cell>
          <cell r="P35">
            <v>21317118.867732767</v>
          </cell>
          <cell r="Q35">
            <v>21735280.36981852</v>
          </cell>
          <cell r="R35">
            <v>22670201.234137513</v>
          </cell>
          <cell r="S35">
            <v>23680861.214821879</v>
          </cell>
          <cell r="T35">
            <v>24729181.956163231</v>
          </cell>
          <cell r="U35">
            <v>24915686.151458092</v>
          </cell>
          <cell r="V35">
            <v>25061326.047204308</v>
          </cell>
          <cell r="W35">
            <v>27506814.88953156</v>
          </cell>
        </row>
        <row r="36">
          <cell r="B36" t="str">
            <v>W.C. Beckjord 2</v>
          </cell>
          <cell r="C36" t="str">
            <v>CGE</v>
          </cell>
          <cell r="D36">
            <v>26108056.535542499</v>
          </cell>
          <cell r="E36">
            <v>20217532.094793271</v>
          </cell>
          <cell r="F36">
            <v>20159659.189064324</v>
          </cell>
          <cell r="G36">
            <v>21745077.808593817</v>
          </cell>
          <cell r="H36">
            <v>18324156.313779946</v>
          </cell>
          <cell r="I36">
            <v>18316214.639683191</v>
          </cell>
          <cell r="J36">
            <v>19049144.783194274</v>
          </cell>
          <cell r="K36">
            <v>19398094.463135082</v>
          </cell>
          <cell r="L36">
            <v>20255391.242151581</v>
          </cell>
          <cell r="M36">
            <v>20620458.355028916</v>
          </cell>
          <cell r="N36">
            <v>21041814.778008122</v>
          </cell>
          <cell r="O36">
            <v>21627814.360226229</v>
          </cell>
          <cell r="P36">
            <v>22564496.320278034</v>
          </cell>
          <cell r="Q36">
            <v>22843752.846699122</v>
          </cell>
          <cell r="R36">
            <v>23704456.428972255</v>
          </cell>
          <cell r="S36">
            <v>24719503.680473138</v>
          </cell>
          <cell r="T36">
            <v>25677825.848520946</v>
          </cell>
          <cell r="U36">
            <v>25789922.119195871</v>
          </cell>
          <cell r="V36">
            <v>25944473.964688621</v>
          </cell>
          <cell r="W36">
            <v>28405830.794244975</v>
          </cell>
        </row>
        <row r="37">
          <cell r="B37" t="str">
            <v>W.C. Beckjord 3</v>
          </cell>
          <cell r="C37" t="str">
            <v>CGE</v>
          </cell>
          <cell r="D37">
            <v>37206426.008676536</v>
          </cell>
          <cell r="E37">
            <v>29661723.065123342</v>
          </cell>
          <cell r="F37">
            <v>29839546.42779161</v>
          </cell>
          <cell r="G37">
            <v>32024145.22527685</v>
          </cell>
          <cell r="H37">
            <v>27484345.035430208</v>
          </cell>
          <cell r="I37">
            <v>27313809.953555331</v>
          </cell>
          <cell r="J37">
            <v>27960863.315691065</v>
          </cell>
          <cell r="K37">
            <v>28511645.205561258</v>
          </cell>
          <cell r="L37">
            <v>29416505.703455091</v>
          </cell>
          <cell r="M37">
            <v>29847322.800725613</v>
          </cell>
          <cell r="N37">
            <v>30321759.721502531</v>
          </cell>
          <cell r="O37">
            <v>30962911.397935372</v>
          </cell>
          <cell r="P37">
            <v>32224704.078118123</v>
          </cell>
          <cell r="Q37">
            <v>32527858.981799785</v>
          </cell>
          <cell r="R37">
            <v>33669551.079621576</v>
          </cell>
          <cell r="S37">
            <v>34993241.654059723</v>
          </cell>
          <cell r="T37">
            <v>36100184.12905401</v>
          </cell>
          <cell r="U37">
            <v>36258587.36169105</v>
          </cell>
          <cell r="V37">
            <v>36355467.037504032</v>
          </cell>
          <cell r="W37">
            <v>39791678.506778084</v>
          </cell>
        </row>
        <row r="38">
          <cell r="B38" t="str">
            <v>W.C. Beckjord 4</v>
          </cell>
          <cell r="C38" t="str">
            <v>CGE</v>
          </cell>
          <cell r="D38">
            <v>44270466.052803926</v>
          </cell>
          <cell r="E38">
            <v>35952175.653375506</v>
          </cell>
          <cell r="F38">
            <v>36177168.106352806</v>
          </cell>
          <cell r="G38">
            <v>38673328.270769216</v>
          </cell>
          <cell r="H38">
            <v>33588198.228720993</v>
          </cell>
          <cell r="I38">
            <v>33710632.498823196</v>
          </cell>
          <cell r="J38">
            <v>34734055.509826928</v>
          </cell>
          <cell r="K38">
            <v>35154892.377281062</v>
          </cell>
          <cell r="L38">
            <v>36223482.853569888</v>
          </cell>
          <cell r="M38">
            <v>36662073.575321481</v>
          </cell>
          <cell r="N38">
            <v>37140763.350540817</v>
          </cell>
          <cell r="O38">
            <v>37829793.206975207</v>
          </cell>
          <cell r="P38">
            <v>39185777.163070284</v>
          </cell>
          <cell r="Q38">
            <v>39484799.794283926</v>
          </cell>
          <cell r="R38">
            <v>40796932.831670381</v>
          </cell>
          <cell r="S38">
            <v>42399093.416286968</v>
          </cell>
          <cell r="T38">
            <v>43557250.342087813</v>
          </cell>
          <cell r="U38">
            <v>43579094.028223127</v>
          </cell>
          <cell r="V38">
            <v>43856830.938513339</v>
          </cell>
          <cell r="W38">
            <v>47920632.292091191</v>
          </cell>
        </row>
        <row r="39">
          <cell r="B39" t="str">
            <v>W.C. Beckjord 5</v>
          </cell>
          <cell r="C39" t="str">
            <v>CGE</v>
          </cell>
          <cell r="D39">
            <v>69403824.834465653</v>
          </cell>
          <cell r="E39">
            <v>55548372.79859402</v>
          </cell>
          <cell r="F39">
            <v>56018189.766761169</v>
          </cell>
          <cell r="G39">
            <v>59943870.362628967</v>
          </cell>
          <cell r="H39">
            <v>51852192.947170883</v>
          </cell>
          <cell r="I39">
            <v>51863682.345829114</v>
          </cell>
          <cell r="J39">
            <v>53198995.270488672</v>
          </cell>
          <cell r="K39">
            <v>53835711.783094123</v>
          </cell>
          <cell r="L39">
            <v>55433145.561282255</v>
          </cell>
          <cell r="M39">
            <v>55962193.945755422</v>
          </cell>
          <cell r="N39">
            <v>57089429.724284105</v>
          </cell>
          <cell r="O39">
            <v>58227665.64600727</v>
          </cell>
          <cell r="P39">
            <v>60488554.933839552</v>
          </cell>
          <cell r="Q39">
            <v>60928262.479798794</v>
          </cell>
          <cell r="R39">
            <v>63048114.086591475</v>
          </cell>
          <cell r="S39">
            <v>65427619.421942547</v>
          </cell>
          <cell r="T39">
            <v>67420034.348663449</v>
          </cell>
          <cell r="U39">
            <v>67453799.446257949</v>
          </cell>
          <cell r="V39">
            <v>67946853.3101428</v>
          </cell>
          <cell r="W39">
            <v>74454424.858463943</v>
          </cell>
        </row>
        <row r="40">
          <cell r="B40" t="str">
            <v>W.C. Beckjord 6</v>
          </cell>
          <cell r="C40" t="str">
            <v>CGE</v>
          </cell>
          <cell r="D40">
            <v>44196569.813505538</v>
          </cell>
          <cell r="E40">
            <v>35347129.740950301</v>
          </cell>
          <cell r="F40">
            <v>34007493.70850803</v>
          </cell>
          <cell r="G40">
            <v>36324959.986657836</v>
          </cell>
          <cell r="H40">
            <v>32298452.321117174</v>
          </cell>
          <cell r="I40">
            <v>32427226.018416163</v>
          </cell>
          <cell r="J40">
            <v>31447757.226816755</v>
          </cell>
          <cell r="K40">
            <v>31856192.828612577</v>
          </cell>
          <cell r="L40">
            <v>33031792.414577346</v>
          </cell>
          <cell r="M40">
            <v>33072971.789398812</v>
          </cell>
          <cell r="N40">
            <v>33808376.514885128</v>
          </cell>
          <cell r="O40">
            <v>34604446.86746072</v>
          </cell>
          <cell r="P40">
            <v>35765588.54971619</v>
          </cell>
          <cell r="Q40">
            <v>36210955.979086265</v>
          </cell>
          <cell r="R40">
            <v>37335960.25024461</v>
          </cell>
          <cell r="S40">
            <v>38831063.597580306</v>
          </cell>
          <cell r="T40">
            <v>39856484.306669801</v>
          </cell>
          <cell r="U40">
            <v>39809031.27580215</v>
          </cell>
          <cell r="V40">
            <v>40498942.94539015</v>
          </cell>
          <cell r="W40">
            <v>44582530.741609663</v>
          </cell>
        </row>
        <row r="41">
          <cell r="B41" t="str">
            <v>W.H. Zimmer 1</v>
          </cell>
          <cell r="C41" t="str">
            <v>CGE</v>
          </cell>
          <cell r="D41">
            <v>173004707.30133504</v>
          </cell>
          <cell r="E41">
            <v>140622254.44887942</v>
          </cell>
          <cell r="F41">
            <v>135774532.375577</v>
          </cell>
          <cell r="G41">
            <v>145618139.00163099</v>
          </cell>
          <cell r="H41">
            <v>131923401.71330187</v>
          </cell>
          <cell r="I41">
            <v>134808774.13948894</v>
          </cell>
          <cell r="J41">
            <v>133913574.33465667</v>
          </cell>
          <cell r="K41">
            <v>136730433.14867902</v>
          </cell>
          <cell r="L41">
            <v>144157673.8751629</v>
          </cell>
          <cell r="M41">
            <v>145383772.6277937</v>
          </cell>
          <cell r="N41">
            <v>147133398.38991773</v>
          </cell>
          <cell r="O41">
            <v>149753407.90233153</v>
          </cell>
          <cell r="P41">
            <v>154620721.95088717</v>
          </cell>
          <cell r="Q41">
            <v>158216062.55152911</v>
          </cell>
          <cell r="R41">
            <v>163225052.6962482</v>
          </cell>
          <cell r="S41">
            <v>168365935.64669281</v>
          </cell>
          <cell r="T41">
            <v>173495711.71281788</v>
          </cell>
          <cell r="U41">
            <v>175757250.28473994</v>
          </cell>
          <cell r="V41">
            <v>177350226.66360211</v>
          </cell>
          <cell r="W41">
            <v>190915538.1609948</v>
          </cell>
        </row>
        <row r="42">
          <cell r="B42" t="str">
            <v>Cayuga Diesel 3A-D</v>
          </cell>
          <cell r="C42" t="str">
            <v>PSI</v>
          </cell>
          <cell r="D42">
            <v>1830391.9049896458</v>
          </cell>
          <cell r="E42">
            <v>1200960.9901121154</v>
          </cell>
          <cell r="F42">
            <v>1036746.2821082828</v>
          </cell>
          <cell r="G42">
            <v>1175052.9291898124</v>
          </cell>
          <cell r="H42">
            <v>892759.7534403333</v>
          </cell>
          <cell r="I42">
            <v>870915.71130920248</v>
          </cell>
          <cell r="J42">
            <v>790425.99604962324</v>
          </cell>
          <cell r="K42">
            <v>787847.76006561553</v>
          </cell>
          <cell r="L42">
            <v>881477.90043535922</v>
          </cell>
          <cell r="M42">
            <v>899409.60858517792</v>
          </cell>
          <cell r="N42">
            <v>904072.95857620309</v>
          </cell>
          <cell r="O42">
            <v>882613.85945130989</v>
          </cell>
          <cell r="P42">
            <v>916582.99163975671</v>
          </cell>
          <cell r="Q42">
            <v>963496.5098541684</v>
          </cell>
          <cell r="R42">
            <v>977684.25594157085</v>
          </cell>
          <cell r="S42">
            <v>1010744.8203305075</v>
          </cell>
          <cell r="T42">
            <v>1067889.4755419118</v>
          </cell>
          <cell r="U42">
            <v>1074873.0933177983</v>
          </cell>
          <cell r="V42">
            <v>1055239.3097804436</v>
          </cell>
          <cell r="W42">
            <v>1358505.9960905984</v>
          </cell>
        </row>
        <row r="43">
          <cell r="B43" t="str">
            <v>Cayuga CT 4</v>
          </cell>
          <cell r="C43" t="str">
            <v>PSI</v>
          </cell>
          <cell r="D43">
            <v>17105255.468611393</v>
          </cell>
          <cell r="E43">
            <v>10469748.352171075</v>
          </cell>
          <cell r="F43">
            <v>9181302.5916676186</v>
          </cell>
          <cell r="G43">
            <v>10298064.141167983</v>
          </cell>
          <cell r="H43">
            <v>7707502.6375685772</v>
          </cell>
          <cell r="I43">
            <v>7636846.0999596445</v>
          </cell>
          <cell r="J43">
            <v>6871596.0347985281</v>
          </cell>
          <cell r="K43">
            <v>6754214.8752519451</v>
          </cell>
          <cell r="L43">
            <v>7658556.4414983615</v>
          </cell>
          <cell r="M43">
            <v>7899374.1665533492</v>
          </cell>
          <cell r="N43">
            <v>7970395.1944960961</v>
          </cell>
          <cell r="O43">
            <v>7712239.8141393634</v>
          </cell>
          <cell r="P43">
            <v>8056730.6423704745</v>
          </cell>
          <cell r="Q43">
            <v>8550367.1132857371</v>
          </cell>
          <cell r="R43">
            <v>8737531.2585455943</v>
          </cell>
          <cell r="S43">
            <v>8967567.7747415155</v>
          </cell>
          <cell r="T43">
            <v>9521127.3855489679</v>
          </cell>
          <cell r="U43">
            <v>9683611.2908131443</v>
          </cell>
          <cell r="V43">
            <v>9572700.3877694625</v>
          </cell>
          <cell r="W43">
            <v>12530720.95470969</v>
          </cell>
        </row>
        <row r="44">
          <cell r="B44" t="str">
            <v>Connersville CT 1</v>
          </cell>
          <cell r="C44" t="str">
            <v>PSI</v>
          </cell>
          <cell r="D44">
            <v>5200684.5180296274</v>
          </cell>
          <cell r="E44">
            <v>2972173.8930032151</v>
          </cell>
          <cell r="F44">
            <v>2526892.5955757033</v>
          </cell>
          <cell r="G44">
            <v>2957595.4226811295</v>
          </cell>
          <cell r="H44">
            <v>2027368.5353189558</v>
          </cell>
          <cell r="I44">
            <v>1963944.4910964356</v>
          </cell>
          <cell r="J44">
            <v>1736377.1115256529</v>
          </cell>
          <cell r="K44">
            <v>1722132.1063430309</v>
          </cell>
          <cell r="L44">
            <v>1990757.5689578704</v>
          </cell>
          <cell r="M44">
            <v>2058404.5835345697</v>
          </cell>
          <cell r="N44">
            <v>2159945.7239969405</v>
          </cell>
          <cell r="O44">
            <v>2021060.6028625914</v>
          </cell>
          <cell r="P44">
            <v>2177378.4452875378</v>
          </cell>
          <cell r="Q44">
            <v>2218183.6233424814</v>
          </cell>
          <cell r="R44">
            <v>2341098.8078246783</v>
          </cell>
          <cell r="S44">
            <v>2437514.1164721018</v>
          </cell>
          <cell r="T44">
            <v>2614773.9183015875</v>
          </cell>
          <cell r="U44">
            <v>2757981.885821857</v>
          </cell>
          <cell r="V44">
            <v>2693745.2339980234</v>
          </cell>
          <cell r="W44">
            <v>4254134.8959091911</v>
          </cell>
        </row>
        <row r="45">
          <cell r="B45" t="str">
            <v>Connersville CT 2</v>
          </cell>
          <cell r="C45" t="str">
            <v>PSI</v>
          </cell>
          <cell r="D45">
            <v>5200684.5180296274</v>
          </cell>
          <cell r="E45">
            <v>2972173.8930032151</v>
          </cell>
          <cell r="F45">
            <v>2526892.5955757033</v>
          </cell>
          <cell r="G45">
            <v>2957595.4226811295</v>
          </cell>
          <cell r="H45">
            <v>2027368.5353189558</v>
          </cell>
          <cell r="I45">
            <v>1963944.4910964356</v>
          </cell>
          <cell r="J45">
            <v>1736377.1115256529</v>
          </cell>
          <cell r="K45">
            <v>1722132.1063430309</v>
          </cell>
          <cell r="L45">
            <v>1990757.5689578704</v>
          </cell>
          <cell r="M45">
            <v>2058404.5835345697</v>
          </cell>
          <cell r="N45">
            <v>2159945.7239969405</v>
          </cell>
          <cell r="O45">
            <v>2021060.6028625914</v>
          </cell>
          <cell r="P45">
            <v>2177378.4452875378</v>
          </cell>
          <cell r="Q45">
            <v>2218183.6233424814</v>
          </cell>
          <cell r="R45">
            <v>2341098.8078246783</v>
          </cell>
          <cell r="S45">
            <v>2437514.1164721018</v>
          </cell>
          <cell r="T45">
            <v>2614773.9183015875</v>
          </cell>
          <cell r="U45">
            <v>2757981.885821857</v>
          </cell>
          <cell r="V45">
            <v>2693745.2339980234</v>
          </cell>
          <cell r="W45">
            <v>4254134.8959091911</v>
          </cell>
        </row>
        <row r="46">
          <cell r="B46" t="str">
            <v>Dicks Creek CT 1</v>
          </cell>
          <cell r="C46" t="str">
            <v>CGE</v>
          </cell>
          <cell r="D46">
            <v>9873682.2363238372</v>
          </cell>
          <cell r="E46">
            <v>5335231.1257872842</v>
          </cell>
          <cell r="F46">
            <v>4474794.1492353221</v>
          </cell>
          <cell r="G46">
            <v>5223507.3000002764</v>
          </cell>
          <cell r="H46">
            <v>3395598.6192972064</v>
          </cell>
          <cell r="I46">
            <v>3164195.6333002802</v>
          </cell>
          <cell r="J46">
            <v>2718121.4651373322</v>
          </cell>
          <cell r="K46">
            <v>2637491.4172830824</v>
          </cell>
          <cell r="L46">
            <v>2975162.9274516408</v>
          </cell>
          <cell r="M46">
            <v>2963864.3182614255</v>
          </cell>
          <cell r="N46">
            <v>3120745.2833289825</v>
          </cell>
          <cell r="O46">
            <v>2819260.9692726387</v>
          </cell>
          <cell r="P46">
            <v>2915041.9037199602</v>
          </cell>
          <cell r="Q46">
            <v>2777408.4389813379</v>
          </cell>
          <cell r="R46">
            <v>3152873.6083315667</v>
          </cell>
          <cell r="S46">
            <v>3229486.621555665</v>
          </cell>
          <cell r="T46">
            <v>3377109.9948780914</v>
          </cell>
          <cell r="U46">
            <v>3534556.1805213001</v>
          </cell>
          <cell r="V46">
            <v>3499887.9707640815</v>
          </cell>
          <cell r="W46">
            <v>6096785.6079732506</v>
          </cell>
        </row>
        <row r="47">
          <cell r="B47" t="str">
            <v>Dicks Creek CT 3</v>
          </cell>
          <cell r="C47" t="str">
            <v>CGE</v>
          </cell>
          <cell r="D47">
            <v>1525589.8197003249</v>
          </cell>
          <cell r="E47">
            <v>825178.75145853835</v>
          </cell>
          <cell r="F47">
            <v>691281.52076320234</v>
          </cell>
          <cell r="G47">
            <v>808257.14727530966</v>
          </cell>
          <cell r="H47">
            <v>525374.10981541628</v>
          </cell>
          <cell r="I47">
            <v>489544.8083815003</v>
          </cell>
          <cell r="J47">
            <v>420896.34838577278</v>
          </cell>
          <cell r="K47">
            <v>408529.98985879769</v>
          </cell>
          <cell r="L47">
            <v>461548.33185911807</v>
          </cell>
          <cell r="M47">
            <v>460051.69659771351</v>
          </cell>
          <cell r="N47">
            <v>485976.13817337085</v>
          </cell>
          <cell r="O47">
            <v>438761.89193477953</v>
          </cell>
          <cell r="P47">
            <v>454284.55154011905</v>
          </cell>
          <cell r="Q47">
            <v>433707.70373528497</v>
          </cell>
          <cell r="R47">
            <v>493015.42287949118</v>
          </cell>
          <cell r="S47">
            <v>505797.13850747288</v>
          </cell>
          <cell r="T47">
            <v>529467.4343556175</v>
          </cell>
          <cell r="U47">
            <v>554487.62769356149</v>
          </cell>
          <cell r="V47">
            <v>549012.50295175973</v>
          </cell>
          <cell r="W47">
            <v>964322.98168661504</v>
          </cell>
        </row>
        <row r="48">
          <cell r="B48" t="str">
            <v>Dicks Creek CT 4-5</v>
          </cell>
          <cell r="C48" t="str">
            <v>CGE</v>
          </cell>
          <cell r="D48">
            <v>3242026.8966325046</v>
          </cell>
          <cell r="E48">
            <v>1761109.0138590601</v>
          </cell>
          <cell r="F48">
            <v>1491616.3895118544</v>
          </cell>
          <cell r="G48">
            <v>1770760.8936322904</v>
          </cell>
          <cell r="H48">
            <v>1138641.2350788203</v>
          </cell>
          <cell r="I48">
            <v>1112871.5248797743</v>
          </cell>
          <cell r="J48">
            <v>962649.56243291486</v>
          </cell>
          <cell r="K48">
            <v>950477.11965604022</v>
          </cell>
          <cell r="L48">
            <v>1103017.631364536</v>
          </cell>
          <cell r="M48">
            <v>1076474.1111349</v>
          </cell>
          <cell r="N48">
            <v>1136051.6393061283</v>
          </cell>
          <cell r="O48">
            <v>1114960.0170635318</v>
          </cell>
          <cell r="P48">
            <v>1141195.8422231416</v>
          </cell>
          <cell r="Q48">
            <v>1090672.8952184988</v>
          </cell>
          <cell r="R48">
            <v>1170581.2639613384</v>
          </cell>
          <cell r="S48">
            <v>1252139.1586681309</v>
          </cell>
          <cell r="T48">
            <v>1292940.2233148178</v>
          </cell>
          <cell r="U48">
            <v>1411651.3537379205</v>
          </cell>
          <cell r="V48">
            <v>1470087.667427547</v>
          </cell>
          <cell r="W48">
            <v>2426391.1665946878</v>
          </cell>
        </row>
        <row r="49">
          <cell r="B49" t="str">
            <v>Miami Fort CT 3-6</v>
          </cell>
          <cell r="C49" t="str">
            <v>CGE</v>
          </cell>
          <cell r="D49">
            <v>6164602.5486717103</v>
          </cell>
          <cell r="E49">
            <v>3361923.5206782776</v>
          </cell>
          <cell r="F49">
            <v>2830144.4111783043</v>
          </cell>
          <cell r="G49">
            <v>3311442.0225159163</v>
          </cell>
          <cell r="H49">
            <v>2162306.4941460891</v>
          </cell>
          <cell r="I49">
            <v>2032952.6024585376</v>
          </cell>
          <cell r="J49">
            <v>1781055.0105363936</v>
          </cell>
          <cell r="K49">
            <v>1746486.8020909887</v>
          </cell>
          <cell r="L49">
            <v>1974389.2371194146</v>
          </cell>
          <cell r="M49">
            <v>2013311.6656110706</v>
          </cell>
          <cell r="N49">
            <v>2120740.6073251129</v>
          </cell>
          <cell r="O49">
            <v>1950965.8547546668</v>
          </cell>
          <cell r="P49">
            <v>2060993.1692921931</v>
          </cell>
          <cell r="Q49">
            <v>1994186.9332135681</v>
          </cell>
          <cell r="R49">
            <v>2248003.8801693255</v>
          </cell>
          <cell r="S49">
            <v>2320463.7805475793</v>
          </cell>
          <cell r="T49">
            <v>2476171.1471140054</v>
          </cell>
          <cell r="U49">
            <v>2597946.023642465</v>
          </cell>
          <cell r="V49">
            <v>2554971.8589405133</v>
          </cell>
          <cell r="W49">
            <v>4368586.6369682625</v>
          </cell>
        </row>
        <row r="50">
          <cell r="B50" t="str">
            <v>Miami-Wabash CT 1-6</v>
          </cell>
          <cell r="C50" t="str">
            <v>PSI</v>
          </cell>
          <cell r="D50">
            <v>9937456.7046485525</v>
          </cell>
          <cell r="E50">
            <v>5352196.453961351</v>
          </cell>
          <cell r="F50">
            <v>4483788.7912200931</v>
          </cell>
          <cell r="G50">
            <v>5232104.9203981394</v>
          </cell>
          <cell r="H50">
            <v>3367195.3114283965</v>
          </cell>
          <cell r="I50">
            <v>3135078.1541705457</v>
          </cell>
          <cell r="J50">
            <v>2662289.5969138336</v>
          </cell>
          <cell r="K50">
            <v>2607203.174441285</v>
          </cell>
          <cell r="L50">
            <v>2886959.993114321</v>
          </cell>
          <cell r="M50">
            <v>2873069.8444613279</v>
          </cell>
          <cell r="N50">
            <v>3040645.0404902501</v>
          </cell>
          <cell r="O50">
            <v>2696571.8556197919</v>
          </cell>
          <cell r="P50">
            <v>2756974.9594466239</v>
          </cell>
          <cell r="Q50">
            <v>2598067.9315347243</v>
          </cell>
          <cell r="R50">
            <v>2967890.607015403</v>
          </cell>
          <cell r="S50">
            <v>3055562.0577519624</v>
          </cell>
          <cell r="T50">
            <v>3105495.2296511084</v>
          </cell>
          <cell r="U50">
            <v>3274873.2913426631</v>
          </cell>
          <cell r="V50">
            <v>3252885.449530323</v>
          </cell>
          <cell r="W50">
            <v>5674787.5353256855</v>
          </cell>
        </row>
        <row r="51">
          <cell r="B51" t="str">
            <v>Wabash Diesel 7A-B</v>
          </cell>
          <cell r="C51" t="str">
            <v>PSI</v>
          </cell>
          <cell r="D51">
            <v>1390381.0066906447</v>
          </cell>
          <cell r="E51">
            <v>906266.53908560122</v>
          </cell>
          <cell r="F51">
            <v>782942.56456220185</v>
          </cell>
          <cell r="G51">
            <v>886998.76024628012</v>
          </cell>
          <cell r="H51">
            <v>671171.51762172068</v>
          </cell>
          <cell r="I51">
            <v>654694.57386643579</v>
          </cell>
          <cell r="J51">
            <v>593457.01603794214</v>
          </cell>
          <cell r="K51">
            <v>591707.56426013331</v>
          </cell>
          <cell r="L51">
            <v>661625.94985707675</v>
          </cell>
          <cell r="M51">
            <v>674273.27059902216</v>
          </cell>
          <cell r="N51">
            <v>677908.14340538916</v>
          </cell>
          <cell r="O51">
            <v>662081.50806020433</v>
          </cell>
          <cell r="P51">
            <v>687057.86265511718</v>
          </cell>
          <cell r="Q51">
            <v>721031.07852500398</v>
          </cell>
          <cell r="R51">
            <v>731796.14562368346</v>
          </cell>
          <cell r="S51">
            <v>756687.38344446209</v>
          </cell>
          <cell r="T51">
            <v>798971.3448255487</v>
          </cell>
          <cell r="U51">
            <v>804827.95700061496</v>
          </cell>
          <cell r="V51">
            <v>790898.9928158574</v>
          </cell>
          <cell r="W51">
            <v>1018131.0188933852</v>
          </cell>
        </row>
        <row r="52">
          <cell r="B52" t="str">
            <v>W.C. Beckjord CT 1</v>
          </cell>
          <cell r="C52" t="str">
            <v>CGE</v>
          </cell>
          <cell r="D52">
            <v>5729959.1484674923</v>
          </cell>
          <cell r="E52">
            <v>3180597.8986537824</v>
          </cell>
          <cell r="F52">
            <v>2687753.6543325689</v>
          </cell>
          <cell r="G52">
            <v>3146984.7625414478</v>
          </cell>
          <cell r="H52">
            <v>2081788.4594103054</v>
          </cell>
          <cell r="I52">
            <v>2004586.8918455723</v>
          </cell>
          <cell r="J52">
            <v>1764814.9036839926</v>
          </cell>
          <cell r="K52">
            <v>1724327.3126347472</v>
          </cell>
          <cell r="L52">
            <v>1988301.2520900876</v>
          </cell>
          <cell r="M52">
            <v>2052439.6190897163</v>
          </cell>
          <cell r="N52">
            <v>2155183.8085169615</v>
          </cell>
          <cell r="O52">
            <v>2018861.0750971988</v>
          </cell>
          <cell r="P52">
            <v>2155807.9459832613</v>
          </cell>
          <cell r="Q52">
            <v>2143606.5311312736</v>
          </cell>
          <cell r="R52">
            <v>2317250.4477271261</v>
          </cell>
          <cell r="S52">
            <v>2413478.2540919636</v>
          </cell>
          <cell r="T52">
            <v>2616391.0274075656</v>
          </cell>
          <cell r="U52">
            <v>2761211.8644116945</v>
          </cell>
          <cell r="V52">
            <v>2702584.5469245915</v>
          </cell>
          <cell r="W52">
            <v>4387000.1962242909</v>
          </cell>
        </row>
        <row r="53">
          <cell r="B53" t="str">
            <v>W.C. Beckjord CT 2</v>
          </cell>
          <cell r="C53" t="str">
            <v>CGE</v>
          </cell>
          <cell r="D53">
            <v>5729959.1484674923</v>
          </cell>
          <cell r="E53">
            <v>3180597.8986537824</v>
          </cell>
          <cell r="F53">
            <v>2687753.6543325689</v>
          </cell>
          <cell r="G53">
            <v>3146984.7625414478</v>
          </cell>
          <cell r="H53">
            <v>2081788.4594103054</v>
          </cell>
          <cell r="I53">
            <v>2004586.8918455723</v>
          </cell>
          <cell r="J53">
            <v>1764814.9036839926</v>
          </cell>
          <cell r="K53">
            <v>1724327.3126347472</v>
          </cell>
          <cell r="L53">
            <v>1988301.2520900876</v>
          </cell>
          <cell r="M53">
            <v>2052439.6190897163</v>
          </cell>
          <cell r="N53">
            <v>2155183.8085169615</v>
          </cell>
          <cell r="O53">
            <v>2018861.0750971988</v>
          </cell>
          <cell r="P53">
            <v>2155807.9459832613</v>
          </cell>
          <cell r="Q53">
            <v>2143606.5311312736</v>
          </cell>
          <cell r="R53">
            <v>2317250.4477271261</v>
          </cell>
          <cell r="S53">
            <v>2413478.2540919636</v>
          </cell>
          <cell r="T53">
            <v>2616391.0274075656</v>
          </cell>
          <cell r="U53">
            <v>2761211.8644116945</v>
          </cell>
          <cell r="V53">
            <v>2702584.5469245915</v>
          </cell>
          <cell r="W53">
            <v>4387000.1962242909</v>
          </cell>
        </row>
        <row r="54">
          <cell r="B54" t="str">
            <v>W.C. Beckjord CT 3</v>
          </cell>
          <cell r="C54" t="str">
            <v>CGE</v>
          </cell>
          <cell r="D54">
            <v>5729959.1484674923</v>
          </cell>
          <cell r="E54">
            <v>3180597.8986537824</v>
          </cell>
          <cell r="F54">
            <v>2687753.6543325689</v>
          </cell>
          <cell r="G54">
            <v>3146984.7625414478</v>
          </cell>
          <cell r="H54">
            <v>2081788.4594103054</v>
          </cell>
          <cell r="I54">
            <v>2004586.8918455723</v>
          </cell>
          <cell r="J54">
            <v>1764814.9036839926</v>
          </cell>
          <cell r="K54">
            <v>1724327.3126347472</v>
          </cell>
          <cell r="L54">
            <v>1988301.2520900876</v>
          </cell>
          <cell r="M54">
            <v>2052439.6190897163</v>
          </cell>
          <cell r="N54">
            <v>2155183.8085169615</v>
          </cell>
          <cell r="O54">
            <v>2018861.0750971988</v>
          </cell>
          <cell r="P54">
            <v>2155807.9459832613</v>
          </cell>
          <cell r="Q54">
            <v>2143606.5311312736</v>
          </cell>
          <cell r="R54">
            <v>2317250.4477271261</v>
          </cell>
          <cell r="S54">
            <v>2413478.2540919636</v>
          </cell>
          <cell r="T54">
            <v>2616391.0274075656</v>
          </cell>
          <cell r="U54">
            <v>2761211.8644116945</v>
          </cell>
          <cell r="V54">
            <v>2702584.5469245915</v>
          </cell>
          <cell r="W54">
            <v>4387000.1962242909</v>
          </cell>
        </row>
        <row r="55">
          <cell r="B55" t="str">
            <v>W.C. Beckjord CT 4</v>
          </cell>
          <cell r="C55" t="str">
            <v>CGE</v>
          </cell>
          <cell r="D55">
            <v>5729959.1484674923</v>
          </cell>
          <cell r="E55">
            <v>3180597.8986537824</v>
          </cell>
          <cell r="F55">
            <v>2687753.6543325689</v>
          </cell>
          <cell r="G55">
            <v>3146984.7625414478</v>
          </cell>
          <cell r="H55">
            <v>2081788.4594103054</v>
          </cell>
          <cell r="I55">
            <v>2004586.8918455723</v>
          </cell>
          <cell r="J55">
            <v>1764814.9036839926</v>
          </cell>
          <cell r="K55">
            <v>1724327.3126347472</v>
          </cell>
          <cell r="L55">
            <v>1988301.2520900876</v>
          </cell>
          <cell r="M55">
            <v>2052439.6190897163</v>
          </cell>
          <cell r="N55">
            <v>2155183.8085169615</v>
          </cell>
          <cell r="O55">
            <v>2018861.0750971988</v>
          </cell>
          <cell r="P55">
            <v>2155807.9459832613</v>
          </cell>
          <cell r="Q55">
            <v>2143606.5311312736</v>
          </cell>
          <cell r="R55">
            <v>2317250.4477271261</v>
          </cell>
          <cell r="S55">
            <v>2413478.2540919636</v>
          </cell>
          <cell r="T55">
            <v>2616391.0274075656</v>
          </cell>
          <cell r="U55">
            <v>2761211.8644116945</v>
          </cell>
          <cell r="V55">
            <v>2702584.5469245915</v>
          </cell>
          <cell r="W55">
            <v>4387000.1962242909</v>
          </cell>
        </row>
        <row r="56">
          <cell r="B56" t="str">
            <v>Woodsdale CT 1</v>
          </cell>
          <cell r="C56" t="str">
            <v>CGE</v>
          </cell>
          <cell r="D56">
            <v>10038331.824599583</v>
          </cell>
          <cell r="E56">
            <v>5801198.5692708101</v>
          </cell>
          <cell r="F56">
            <v>4934232.5887836488</v>
          </cell>
          <cell r="G56">
            <v>5852901.6950392928</v>
          </cell>
          <cell r="H56">
            <v>3928682.6310290517</v>
          </cell>
          <cell r="I56">
            <v>3907053.9931175257</v>
          </cell>
          <cell r="J56">
            <v>3391636.0385011123</v>
          </cell>
          <cell r="K56">
            <v>3368754.7407844095</v>
          </cell>
          <cell r="L56">
            <v>3950867.2439570557</v>
          </cell>
          <cell r="M56">
            <v>3849216.1583086671</v>
          </cell>
          <cell r="N56">
            <v>4091903.7136771386</v>
          </cell>
          <cell r="O56">
            <v>4002057.532055222</v>
          </cell>
          <cell r="P56">
            <v>4159412.5513948016</v>
          </cell>
          <cell r="Q56">
            <v>4153959.101956896</v>
          </cell>
          <cell r="R56">
            <v>4404215.4037976339</v>
          </cell>
          <cell r="S56">
            <v>4649680.9406666998</v>
          </cell>
          <cell r="T56">
            <v>4818089.8950354056</v>
          </cell>
          <cell r="U56">
            <v>4967830.7224319158</v>
          </cell>
          <cell r="V56">
            <v>5224694.6673470223</v>
          </cell>
          <cell r="W56">
            <v>8632806.646756243</v>
          </cell>
        </row>
        <row r="57">
          <cell r="B57" t="str">
            <v>Woodsdale CT 2</v>
          </cell>
          <cell r="C57" t="str">
            <v>CGE</v>
          </cell>
          <cell r="D57">
            <v>10038331.824599583</v>
          </cell>
          <cell r="E57">
            <v>5801198.5692708101</v>
          </cell>
          <cell r="F57">
            <v>4934232.5887836488</v>
          </cell>
          <cell r="G57">
            <v>5852901.6950392928</v>
          </cell>
          <cell r="H57">
            <v>3928682.6310290517</v>
          </cell>
          <cell r="I57">
            <v>3907053.9931175257</v>
          </cell>
          <cell r="J57">
            <v>3391636.0385011123</v>
          </cell>
          <cell r="K57">
            <v>3368754.7407844095</v>
          </cell>
          <cell r="L57">
            <v>3950867.2439570557</v>
          </cell>
          <cell r="M57">
            <v>3849216.1583086671</v>
          </cell>
          <cell r="N57">
            <v>4091903.7136771386</v>
          </cell>
          <cell r="O57">
            <v>4002057.532055222</v>
          </cell>
          <cell r="P57">
            <v>4159412.5513948016</v>
          </cell>
          <cell r="Q57">
            <v>4153959.101956896</v>
          </cell>
          <cell r="R57">
            <v>4404215.4037976339</v>
          </cell>
          <cell r="S57">
            <v>4649680.9406666998</v>
          </cell>
          <cell r="T57">
            <v>4818089.8950354056</v>
          </cell>
          <cell r="U57">
            <v>4967830.7224319158</v>
          </cell>
          <cell r="V57">
            <v>5224694.6673470223</v>
          </cell>
          <cell r="W57">
            <v>8632806.646756243</v>
          </cell>
        </row>
        <row r="58">
          <cell r="B58" t="str">
            <v>Woodsdale CT 3</v>
          </cell>
          <cell r="C58" t="str">
            <v>CGE</v>
          </cell>
          <cell r="D58">
            <v>10038331.824599583</v>
          </cell>
          <cell r="E58">
            <v>5801198.5692708101</v>
          </cell>
          <cell r="F58">
            <v>4934232.5887836488</v>
          </cell>
          <cell r="G58">
            <v>5852901.6950392928</v>
          </cell>
          <cell r="H58">
            <v>3928682.6310290517</v>
          </cell>
          <cell r="I58">
            <v>3907053.9931175257</v>
          </cell>
          <cell r="J58">
            <v>3391636.0385011123</v>
          </cell>
          <cell r="K58">
            <v>3368754.7407844095</v>
          </cell>
          <cell r="L58">
            <v>3950867.2439570557</v>
          </cell>
          <cell r="M58">
            <v>3849216.1583086671</v>
          </cell>
          <cell r="N58">
            <v>4091903.7136771386</v>
          </cell>
          <cell r="O58">
            <v>4002057.532055222</v>
          </cell>
          <cell r="P58">
            <v>4159412.5513948016</v>
          </cell>
          <cell r="Q58">
            <v>4153959.101956896</v>
          </cell>
          <cell r="R58">
            <v>4404215.4037976339</v>
          </cell>
          <cell r="S58">
            <v>4649680.9406666998</v>
          </cell>
          <cell r="T58">
            <v>4818089.8950354056</v>
          </cell>
          <cell r="U58">
            <v>4967830.7224319158</v>
          </cell>
          <cell r="V58">
            <v>5224694.6673470223</v>
          </cell>
          <cell r="W58">
            <v>8632806.646756243</v>
          </cell>
        </row>
        <row r="59">
          <cell r="B59" t="str">
            <v>Woodsdale CT 4</v>
          </cell>
          <cell r="C59" t="str">
            <v>CGE</v>
          </cell>
          <cell r="D59">
            <v>10038331.824599583</v>
          </cell>
          <cell r="E59">
            <v>5801198.5692708101</v>
          </cell>
          <cell r="F59">
            <v>4934232.5887836488</v>
          </cell>
          <cell r="G59">
            <v>5852901.6950392928</v>
          </cell>
          <cell r="H59">
            <v>3928682.6310290517</v>
          </cell>
          <cell r="I59">
            <v>3907053.9931175257</v>
          </cell>
          <cell r="J59">
            <v>3391636.0385011123</v>
          </cell>
          <cell r="K59">
            <v>3368754.7407844095</v>
          </cell>
          <cell r="L59">
            <v>3950867.2439570557</v>
          </cell>
          <cell r="M59">
            <v>3849216.1583086671</v>
          </cell>
          <cell r="N59">
            <v>4091903.7136771386</v>
          </cell>
          <cell r="O59">
            <v>4002057.532055222</v>
          </cell>
          <cell r="P59">
            <v>4159412.5513948016</v>
          </cell>
          <cell r="Q59">
            <v>4153959.101956896</v>
          </cell>
          <cell r="R59">
            <v>4404215.4037976339</v>
          </cell>
          <cell r="S59">
            <v>4649680.9406666998</v>
          </cell>
          <cell r="T59">
            <v>4818089.8950354056</v>
          </cell>
          <cell r="U59">
            <v>4967830.7224319158</v>
          </cell>
          <cell r="V59">
            <v>5224694.6673470223</v>
          </cell>
          <cell r="W59">
            <v>8632806.646756243</v>
          </cell>
        </row>
        <row r="60">
          <cell r="B60" t="str">
            <v>Woodsdale CT 5</v>
          </cell>
          <cell r="C60" t="str">
            <v>CGE</v>
          </cell>
          <cell r="D60">
            <v>10038331.824599583</v>
          </cell>
          <cell r="E60">
            <v>5801198.5692708101</v>
          </cell>
          <cell r="F60">
            <v>4934232.5887836488</v>
          </cell>
          <cell r="G60">
            <v>5852901.6950392928</v>
          </cell>
          <cell r="H60">
            <v>3928682.6310290517</v>
          </cell>
          <cell r="I60">
            <v>3907053.9931175257</v>
          </cell>
          <cell r="J60">
            <v>3391636.0385011123</v>
          </cell>
          <cell r="K60">
            <v>3368754.7407844095</v>
          </cell>
          <cell r="L60">
            <v>3950867.2439570557</v>
          </cell>
          <cell r="M60">
            <v>3849216.1583086671</v>
          </cell>
          <cell r="N60">
            <v>4091903.7136771386</v>
          </cell>
          <cell r="O60">
            <v>4002057.532055222</v>
          </cell>
          <cell r="P60">
            <v>4159412.5513948016</v>
          </cell>
          <cell r="Q60">
            <v>4153959.101956896</v>
          </cell>
          <cell r="R60">
            <v>4404215.4037976339</v>
          </cell>
          <cell r="S60">
            <v>4649680.9406666998</v>
          </cell>
          <cell r="T60">
            <v>4818089.8950354056</v>
          </cell>
          <cell r="U60">
            <v>4967830.7224319158</v>
          </cell>
          <cell r="V60">
            <v>5224694.6673470223</v>
          </cell>
          <cell r="W60">
            <v>8632806.646756243</v>
          </cell>
        </row>
        <row r="61">
          <cell r="B61" t="str">
            <v>Woodsdale CT 6</v>
          </cell>
          <cell r="C61" t="str">
            <v>CGE</v>
          </cell>
          <cell r="D61">
            <v>10038331.824599583</v>
          </cell>
          <cell r="E61">
            <v>5801198.5692708101</v>
          </cell>
          <cell r="F61">
            <v>4934232.5887836488</v>
          </cell>
          <cell r="G61">
            <v>5852901.6950392928</v>
          </cell>
          <cell r="H61">
            <v>3928682.6310290517</v>
          </cell>
          <cell r="I61">
            <v>3907053.9931175257</v>
          </cell>
          <cell r="J61">
            <v>3391636.0385011123</v>
          </cell>
          <cell r="K61">
            <v>3368754.7407844095</v>
          </cell>
          <cell r="L61">
            <v>3950867.2439570557</v>
          </cell>
          <cell r="M61">
            <v>3849216.1583086671</v>
          </cell>
          <cell r="N61">
            <v>4091903.7136771386</v>
          </cell>
          <cell r="O61">
            <v>4002057.532055222</v>
          </cell>
          <cell r="P61">
            <v>4159412.5513948016</v>
          </cell>
          <cell r="Q61">
            <v>4153959.101956896</v>
          </cell>
          <cell r="R61">
            <v>4404215.4037976339</v>
          </cell>
          <cell r="S61">
            <v>4649680.9406666998</v>
          </cell>
          <cell r="T61">
            <v>4818089.8950354056</v>
          </cell>
          <cell r="U61">
            <v>4967830.7224319158</v>
          </cell>
          <cell r="V61">
            <v>5224694.6673470223</v>
          </cell>
          <cell r="W61">
            <v>8632806.646756243</v>
          </cell>
        </row>
        <row r="62">
          <cell r="B62" t="str">
            <v>Markland 1 -3</v>
          </cell>
          <cell r="C62" t="str">
            <v>PSI</v>
          </cell>
          <cell r="D62">
            <v>11410496.605221782</v>
          </cell>
          <cell r="E62">
            <v>9362442.3058683183</v>
          </cell>
          <cell r="F62">
            <v>9057609.2830062192</v>
          </cell>
          <cell r="G62">
            <v>9706779.1681994349</v>
          </cell>
          <cell r="H62">
            <v>8839582.9826156646</v>
          </cell>
          <cell r="I62">
            <v>9039888.4686178714</v>
          </cell>
          <cell r="J62">
            <v>9003887.2720924448</v>
          </cell>
          <cell r="K62">
            <v>9189705.3269877099</v>
          </cell>
          <cell r="L62">
            <v>9683764.0972302835</v>
          </cell>
          <cell r="M62">
            <v>9783361.5802418627</v>
          </cell>
          <cell r="N62">
            <v>9913799.3465920147</v>
          </cell>
          <cell r="O62">
            <v>10083563.73909894</v>
          </cell>
          <cell r="P62">
            <v>10409679.797748201</v>
          </cell>
          <cell r="Q62">
            <v>10675014.92955493</v>
          </cell>
          <cell r="R62">
            <v>11000798.206166523</v>
          </cell>
          <cell r="S62">
            <v>11326590.22745749</v>
          </cell>
          <cell r="T62">
            <v>11718142.290795054</v>
          </cell>
          <cell r="U62">
            <v>11868584.752769327</v>
          </cell>
          <cell r="V62">
            <v>11980146.096907018</v>
          </cell>
          <cell r="W62">
            <v>12895253.836727148</v>
          </cell>
        </row>
      </sheetData>
      <sheetData sheetId="30">
        <row r="2">
          <cell r="B2" t="str">
            <v>Cayuga 1</v>
          </cell>
          <cell r="C2" t="str">
            <v>PSI</v>
          </cell>
          <cell r="D2">
            <v>33578804.919267029</v>
          </cell>
          <cell r="E2">
            <v>28801549.654958356</v>
          </cell>
          <cell r="F2">
            <v>27169078.17580213</v>
          </cell>
          <cell r="G2">
            <v>26778019.101727728</v>
          </cell>
          <cell r="H2">
            <v>32133478.712836128</v>
          </cell>
          <cell r="I2">
            <v>34109869.113423564</v>
          </cell>
          <cell r="J2">
            <v>36093316.88505888</v>
          </cell>
          <cell r="K2">
            <v>37727977.421957299</v>
          </cell>
          <cell r="L2">
            <v>38737484.15249376</v>
          </cell>
          <cell r="M2">
            <v>39454975.801082738</v>
          </cell>
          <cell r="N2">
            <v>40694880.791835047</v>
          </cell>
          <cell r="O2">
            <v>42199322.207480386</v>
          </cell>
          <cell r="P2">
            <v>43054942.315589368</v>
          </cell>
          <cell r="Q2">
            <v>43267720.101749271</v>
          </cell>
          <cell r="R2">
            <v>44277896.246094227</v>
          </cell>
          <cell r="S2">
            <v>45238556.501394898</v>
          </cell>
          <cell r="T2">
            <v>45505123.432333618</v>
          </cell>
          <cell r="U2">
            <v>45980845.464669704</v>
          </cell>
          <cell r="V2">
            <v>46859248.94868806</v>
          </cell>
          <cell r="W2">
            <v>47062273.396733873</v>
          </cell>
        </row>
        <row r="3">
          <cell r="B3" t="str">
            <v>Cayuga 2</v>
          </cell>
          <cell r="C3" t="str">
            <v>PSI</v>
          </cell>
          <cell r="D3">
            <v>34788128.563624501</v>
          </cell>
          <cell r="E3">
            <v>30583255.551772639</v>
          </cell>
          <cell r="F3">
            <v>28589807.038489688</v>
          </cell>
          <cell r="G3">
            <v>28076937.942129549</v>
          </cell>
          <cell r="H3">
            <v>31415912.637028802</v>
          </cell>
          <cell r="I3">
            <v>33567679.98174303</v>
          </cell>
          <cell r="J3">
            <v>35406744.202446736</v>
          </cell>
          <cell r="K3">
            <v>36938387.527767733</v>
          </cell>
          <cell r="L3">
            <v>38180064.822457969</v>
          </cell>
          <cell r="M3">
            <v>38944924.455034234</v>
          </cell>
          <cell r="N3">
            <v>40120546.606018253</v>
          </cell>
          <cell r="O3">
            <v>41532550.591290213</v>
          </cell>
          <cell r="P3">
            <v>42307453.890615299</v>
          </cell>
          <cell r="Q3">
            <v>42523470.325070284</v>
          </cell>
          <cell r="R3">
            <v>43450934.776892833</v>
          </cell>
          <cell r="S3">
            <v>44490877.594616249</v>
          </cell>
          <cell r="T3">
            <v>44556981.751291998</v>
          </cell>
          <cell r="U3">
            <v>45236981.534669265</v>
          </cell>
          <cell r="V3">
            <v>46116228.461237714</v>
          </cell>
          <cell r="W3">
            <v>46460495.001409702</v>
          </cell>
        </row>
        <row r="4">
          <cell r="B4" t="str">
            <v>Conesville 4</v>
          </cell>
          <cell r="C4" t="str">
            <v>CGE</v>
          </cell>
          <cell r="D4">
            <v>23266686.520320438</v>
          </cell>
          <cell r="E4">
            <v>23645257.383604266</v>
          </cell>
          <cell r="F4">
            <v>23472488.224732317</v>
          </cell>
          <cell r="G4">
            <v>20294483.983875789</v>
          </cell>
          <cell r="H4">
            <v>20220738.703586321</v>
          </cell>
          <cell r="I4">
            <v>20646776.869371578</v>
          </cell>
          <cell r="J4">
            <v>21984337.863334298</v>
          </cell>
          <cell r="K4">
            <v>22641395.680513181</v>
          </cell>
          <cell r="L4">
            <v>23270560.661544181</v>
          </cell>
          <cell r="M4">
            <v>24061616.309845451</v>
          </cell>
          <cell r="N4">
            <v>24578546.028763164</v>
          </cell>
          <cell r="O4">
            <v>25124043.827276159</v>
          </cell>
          <cell r="P4">
            <v>25287740.684254549</v>
          </cell>
          <cell r="Q4">
            <v>25325240.536920153</v>
          </cell>
          <cell r="R4">
            <v>25646547.65771408</v>
          </cell>
          <cell r="S4">
            <v>26069678.975719925</v>
          </cell>
          <cell r="T4">
            <v>26115195.674794253</v>
          </cell>
          <cell r="U4">
            <v>26310216.56848472</v>
          </cell>
          <cell r="V4">
            <v>26643038.426792797</v>
          </cell>
          <cell r="W4">
            <v>26931509.822473429</v>
          </cell>
        </row>
        <row r="5">
          <cell r="B5" t="str">
            <v>East Bend 2</v>
          </cell>
          <cell r="C5" t="str">
            <v>CGE</v>
          </cell>
          <cell r="D5">
            <v>28293459.115047794</v>
          </cell>
          <cell r="E5">
            <v>28268959.962225903</v>
          </cell>
          <cell r="F5">
            <v>28167900.95683622</v>
          </cell>
          <cell r="G5">
            <v>28180866.044663537</v>
          </cell>
          <cell r="H5">
            <v>28452367.070844702</v>
          </cell>
          <cell r="I5">
            <v>29026925.763297603</v>
          </cell>
          <cell r="J5">
            <v>29951649.656849552</v>
          </cell>
          <cell r="K5">
            <v>31297782.326915126</v>
          </cell>
          <cell r="L5">
            <v>32267012.010155611</v>
          </cell>
          <cell r="M5">
            <v>33064941.935563907</v>
          </cell>
          <cell r="N5">
            <v>33997671.281898052</v>
          </cell>
          <cell r="O5">
            <v>36167748.44188758</v>
          </cell>
          <cell r="P5">
            <v>36567742.606213748</v>
          </cell>
          <cell r="Q5">
            <v>36595379.936141938</v>
          </cell>
          <cell r="R5">
            <v>37224198.006796263</v>
          </cell>
          <cell r="S5">
            <v>37830857.810912192</v>
          </cell>
          <cell r="T5">
            <v>37666493.896275125</v>
          </cell>
          <cell r="U5">
            <v>38193643.36974436</v>
          </cell>
          <cell r="V5">
            <v>38606801.294753812</v>
          </cell>
          <cell r="W5">
            <v>38757932.074835174</v>
          </cell>
        </row>
        <row r="6">
          <cell r="B6" t="str">
            <v>Edwardsport 6</v>
          </cell>
          <cell r="C6" t="str">
            <v>PSI</v>
          </cell>
          <cell r="D6">
            <v>1725524.4763887282</v>
          </cell>
          <cell r="E6">
            <v>1317025.7339744049</v>
          </cell>
          <cell r="F6">
            <v>1263670.0681350885</v>
          </cell>
          <cell r="G6">
            <v>1387284.5756269149</v>
          </cell>
          <cell r="H6">
            <v>1212869.5367228331</v>
          </cell>
          <cell r="I6">
            <v>1306212.688600393</v>
          </cell>
          <cell r="J6">
            <v>1255955.8784063691</v>
          </cell>
          <cell r="K6">
            <v>1267600.621201003</v>
          </cell>
          <cell r="L6">
            <v>1440418.3992679229</v>
          </cell>
          <cell r="M6">
            <v>1555644.7320339764</v>
          </cell>
          <cell r="N6">
            <v>1550104.89386604</v>
          </cell>
          <cell r="O6">
            <v>1574720.0256012387</v>
          </cell>
          <cell r="P6">
            <v>1668214.2010468238</v>
          </cell>
          <cell r="Q6">
            <v>1811064.1809519283</v>
          </cell>
          <cell r="R6">
            <v>1796909.4419872316</v>
          </cell>
          <cell r="S6">
            <v>1854886.9577967185</v>
          </cell>
          <cell r="T6">
            <v>1983502.2796479815</v>
          </cell>
          <cell r="U6">
            <v>2027294.2150701983</v>
          </cell>
          <cell r="V6">
            <v>2007212.6210175622</v>
          </cell>
          <cell r="W6">
            <v>2306555.6219411632</v>
          </cell>
        </row>
        <row r="7">
          <cell r="B7" t="str">
            <v>Edwardsport 7</v>
          </cell>
          <cell r="C7" t="str">
            <v>PSI</v>
          </cell>
          <cell r="D7">
            <v>2206174.8366219867</v>
          </cell>
          <cell r="E7">
            <v>2064823.093545754</v>
          </cell>
          <cell r="F7">
            <v>1999690.6271174434</v>
          </cell>
          <cell r="G7">
            <v>2121870.372144659</v>
          </cell>
          <cell r="H7">
            <v>1954366.6565336036</v>
          </cell>
          <cell r="I7">
            <v>1956155.3817174549</v>
          </cell>
          <cell r="J7">
            <v>2051471.1768992043</v>
          </cell>
          <cell r="K7">
            <v>2133568.721914148</v>
          </cell>
          <cell r="L7">
            <v>2164924.1240161643</v>
          </cell>
          <cell r="M7">
            <v>2184629.1370063107</v>
          </cell>
          <cell r="N7">
            <v>2280293.2527915137</v>
          </cell>
          <cell r="O7">
            <v>2469037.2207592521</v>
          </cell>
          <cell r="P7">
            <v>2623654.8388921269</v>
          </cell>
          <cell r="Q7">
            <v>2644485.1337264455</v>
          </cell>
          <cell r="R7">
            <v>2861449.2577884737</v>
          </cell>
          <cell r="S7">
            <v>2973694.6175445314</v>
          </cell>
          <cell r="T7">
            <v>3086634.9614441986</v>
          </cell>
          <cell r="U7">
            <v>2978269.5363748046</v>
          </cell>
          <cell r="V7">
            <v>3114707.3123796242</v>
          </cell>
          <cell r="W7">
            <v>3078605.4171412266</v>
          </cell>
        </row>
        <row r="8">
          <cell r="B8" t="str">
            <v>Edwardsport 8</v>
          </cell>
          <cell r="C8" t="str">
            <v>PSI</v>
          </cell>
          <cell r="D8">
            <v>3666119.5990604134</v>
          </cell>
          <cell r="E8">
            <v>3431310.6300599594</v>
          </cell>
          <cell r="F8">
            <v>3323183.3099484919</v>
          </cell>
          <cell r="G8">
            <v>3526268.140173689</v>
          </cell>
          <cell r="H8">
            <v>3247915.3595803375</v>
          </cell>
          <cell r="I8">
            <v>3250926.0215997957</v>
          </cell>
          <cell r="J8">
            <v>3409445.8172356086</v>
          </cell>
          <cell r="K8">
            <v>3545728.6722916239</v>
          </cell>
          <cell r="L8">
            <v>3597954.2317331112</v>
          </cell>
          <cell r="M8">
            <v>3630593.7618556637</v>
          </cell>
          <cell r="N8">
            <v>3789674.7071275259</v>
          </cell>
          <cell r="O8">
            <v>4103385.7037689192</v>
          </cell>
          <cell r="P8">
            <v>4360198.0530711208</v>
          </cell>
          <cell r="Q8">
            <v>4395085.4238049947</v>
          </cell>
          <cell r="R8">
            <v>4755305.7838557567</v>
          </cell>
          <cell r="S8">
            <v>4942170.3424986014</v>
          </cell>
          <cell r="T8">
            <v>5129954.9221641906</v>
          </cell>
          <cell r="U8">
            <v>4949811.5503112562</v>
          </cell>
          <cell r="V8">
            <v>5176753.2843582155</v>
          </cell>
          <cell r="W8">
            <v>5116715.2166836383</v>
          </cell>
        </row>
        <row r="9">
          <cell r="B9" t="str">
            <v>Gallagher 1</v>
          </cell>
          <cell r="C9" t="str">
            <v>PSI</v>
          </cell>
          <cell r="D9">
            <v>9260130.9510872159</v>
          </cell>
          <cell r="E9">
            <v>8634915.9893661216</v>
          </cell>
          <cell r="F9">
            <v>8639923.3318038937</v>
          </cell>
          <cell r="G9">
            <v>8830889.1922541205</v>
          </cell>
          <cell r="H9">
            <v>8566845.3679280393</v>
          </cell>
          <cell r="I9">
            <v>7598165.3105165446</v>
          </cell>
          <cell r="J9">
            <v>7960594.7110791849</v>
          </cell>
          <cell r="K9">
            <v>7760754.1390996287</v>
          </cell>
          <cell r="L9">
            <v>9788948.481035877</v>
          </cell>
          <cell r="M9">
            <v>10011766.463432536</v>
          </cell>
          <cell r="N9">
            <v>10323756.529388303</v>
          </cell>
          <cell r="O9">
            <v>10892533.915716343</v>
          </cell>
          <cell r="P9">
            <v>11356889.436417403</v>
          </cell>
          <cell r="Q9">
            <v>9367032.723114701</v>
          </cell>
          <cell r="R9">
            <v>9768408.5651955064</v>
          </cell>
          <cell r="S9">
            <v>10346005.184784167</v>
          </cell>
          <cell r="T9">
            <v>10275079.510467783</v>
          </cell>
          <cell r="U9">
            <v>10299716.720815266</v>
          </cell>
          <cell r="V9">
            <v>10678417.285616025</v>
          </cell>
          <cell r="W9">
            <v>10943709.837643251</v>
          </cell>
        </row>
        <row r="10">
          <cell r="B10" t="str">
            <v>Gallagher 2</v>
          </cell>
          <cell r="C10" t="str">
            <v>PSI</v>
          </cell>
          <cell r="D10">
            <v>9548422.4649277311</v>
          </cell>
          <cell r="E10">
            <v>8874948.0588913709</v>
          </cell>
          <cell r="F10">
            <v>8851654.0206394363</v>
          </cell>
          <cell r="G10">
            <v>9065559.3755641524</v>
          </cell>
          <cell r="H10">
            <v>8841538.3490927275</v>
          </cell>
          <cell r="I10">
            <v>7909812.9917129781</v>
          </cell>
          <cell r="J10">
            <v>8260038.1775295958</v>
          </cell>
          <cell r="K10">
            <v>7967095.2556173075</v>
          </cell>
          <cell r="L10">
            <v>10005696.968612434</v>
          </cell>
          <cell r="M10">
            <v>10294405.279915212</v>
          </cell>
          <cell r="N10">
            <v>10511866.454080854</v>
          </cell>
          <cell r="O10">
            <v>11083327.767910959</v>
          </cell>
          <cell r="P10">
            <v>11500809.773620492</v>
          </cell>
          <cell r="Q10">
            <v>9474506.4513561614</v>
          </cell>
          <cell r="R10">
            <v>9869989.0734505001</v>
          </cell>
          <cell r="S10">
            <v>10457173.884978963</v>
          </cell>
          <cell r="T10">
            <v>10384292.078829128</v>
          </cell>
          <cell r="U10">
            <v>10389890.071825944</v>
          </cell>
          <cell r="V10">
            <v>10766996.247621726</v>
          </cell>
          <cell r="W10">
            <v>11066262.430510195</v>
          </cell>
        </row>
        <row r="11">
          <cell r="B11" t="str">
            <v>Gallagher 3</v>
          </cell>
          <cell r="C11" t="str">
            <v>PSI</v>
          </cell>
          <cell r="D11">
            <v>9407411.5634817276</v>
          </cell>
          <cell r="E11">
            <v>8761253.401242258</v>
          </cell>
          <cell r="F11">
            <v>8756360.5364290848</v>
          </cell>
          <cell r="G11">
            <v>8952673.4365776964</v>
          </cell>
          <cell r="H11">
            <v>8709766.7918102182</v>
          </cell>
          <cell r="I11">
            <v>7742083.3606103454</v>
          </cell>
          <cell r="J11">
            <v>8122790.698081905</v>
          </cell>
          <cell r="K11">
            <v>7868794.2782740341</v>
          </cell>
          <cell r="L11">
            <v>9897187.3876279909</v>
          </cell>
          <cell r="M11">
            <v>10151266.669259176</v>
          </cell>
          <cell r="N11">
            <v>10418658.971529776</v>
          </cell>
          <cell r="O11">
            <v>10999670.314453043</v>
          </cell>
          <cell r="P11">
            <v>11440336.20172004</v>
          </cell>
          <cell r="Q11">
            <v>9422231.9687609393</v>
          </cell>
          <cell r="R11">
            <v>9818880.7966976184</v>
          </cell>
          <cell r="S11">
            <v>10391772.010455851</v>
          </cell>
          <cell r="T11">
            <v>10337133.206874287</v>
          </cell>
          <cell r="U11">
            <v>10347863.278709119</v>
          </cell>
          <cell r="V11">
            <v>10715786.538179366</v>
          </cell>
          <cell r="W11">
            <v>11017008.558270605</v>
          </cell>
        </row>
        <row r="12">
          <cell r="B12" t="str">
            <v>Gallagher 4</v>
          </cell>
          <cell r="C12" t="str">
            <v>PSI</v>
          </cell>
          <cell r="D12">
            <v>9193624.1785423905</v>
          </cell>
          <cell r="E12">
            <v>8541319.8302216399</v>
          </cell>
          <cell r="F12">
            <v>8526873.2525785025</v>
          </cell>
          <cell r="G12">
            <v>8742752.7510166205</v>
          </cell>
          <cell r="H12">
            <v>8433432.9398453012</v>
          </cell>
          <cell r="I12">
            <v>7462290.2504269127</v>
          </cell>
          <cell r="J12">
            <v>7851702.8243744364</v>
          </cell>
          <cell r="K12">
            <v>7696750.4116633749</v>
          </cell>
          <cell r="L12">
            <v>9723869.1920146532</v>
          </cell>
          <cell r="M12">
            <v>9950552.7527502086</v>
          </cell>
          <cell r="N12">
            <v>10266067.176942866</v>
          </cell>
          <cell r="O12">
            <v>10820280.67077201</v>
          </cell>
          <cell r="P12">
            <v>11301212.905462623</v>
          </cell>
          <cell r="Q12">
            <v>9326984.8584777489</v>
          </cell>
          <cell r="R12">
            <v>9716730.7516755871</v>
          </cell>
          <cell r="S12">
            <v>10290074.632771723</v>
          </cell>
          <cell r="T12">
            <v>10228540.361298632</v>
          </cell>
          <cell r="U12">
            <v>10276133.090582883</v>
          </cell>
          <cell r="V12">
            <v>10659703.785530757</v>
          </cell>
          <cell r="W12">
            <v>10910099.24223326</v>
          </cell>
        </row>
        <row r="13">
          <cell r="B13" t="str">
            <v>Gibson 1</v>
          </cell>
          <cell r="C13" t="str">
            <v>PSI</v>
          </cell>
          <cell r="D13">
            <v>52025087.251105331</v>
          </cell>
          <cell r="E13">
            <v>45715978.557137109</v>
          </cell>
          <cell r="F13">
            <v>44847372.083325408</v>
          </cell>
          <cell r="G13">
            <v>43910798.771927617</v>
          </cell>
          <cell r="H13">
            <v>42802169.639931604</v>
          </cell>
          <cell r="I13">
            <v>44194510.191405661</v>
          </cell>
          <cell r="J13">
            <v>46224483.984381907</v>
          </cell>
          <cell r="K13">
            <v>48243449.149985462</v>
          </cell>
          <cell r="L13">
            <v>49909562.689130001</v>
          </cell>
          <cell r="M13">
            <v>50911261.280400045</v>
          </cell>
          <cell r="N13">
            <v>52445331.506644323</v>
          </cell>
          <cell r="O13">
            <v>54286839.758486599</v>
          </cell>
          <cell r="P13">
            <v>55249221.245465666</v>
          </cell>
          <cell r="Q13">
            <v>55549285.100425914</v>
          </cell>
          <cell r="R13">
            <v>56775081.633957312</v>
          </cell>
          <cell r="S13">
            <v>58132973.164041445</v>
          </cell>
          <cell r="T13">
            <v>58240937.881056719</v>
          </cell>
          <cell r="U13">
            <v>59135321.092064269</v>
          </cell>
          <cell r="V13">
            <v>60269160.378821984</v>
          </cell>
          <cell r="W13">
            <v>61647355.907150194</v>
          </cell>
        </row>
        <row r="14">
          <cell r="B14" t="str">
            <v>Gibson 2</v>
          </cell>
          <cell r="C14" t="str">
            <v>PSI</v>
          </cell>
          <cell r="D14">
            <v>52304364.937249258</v>
          </cell>
          <cell r="E14">
            <v>46103331.945747755</v>
          </cell>
          <cell r="F14">
            <v>45239389.734662332</v>
          </cell>
          <cell r="G14">
            <v>44539546.329609908</v>
          </cell>
          <cell r="H14">
            <v>42716728.743384346</v>
          </cell>
          <cell r="I14">
            <v>44026310.450383291</v>
          </cell>
          <cell r="J14">
            <v>46043647.447747342</v>
          </cell>
          <cell r="K14">
            <v>48120492.329992183</v>
          </cell>
          <cell r="L14">
            <v>49733561.326149352</v>
          </cell>
          <cell r="M14">
            <v>50773654.134497494</v>
          </cell>
          <cell r="N14">
            <v>52288934.096593581</v>
          </cell>
          <cell r="O14">
            <v>54070484.549336679</v>
          </cell>
          <cell r="P14">
            <v>55047513.931289293</v>
          </cell>
          <cell r="Q14">
            <v>55344757.391490184</v>
          </cell>
          <cell r="R14">
            <v>56558903.233057365</v>
          </cell>
          <cell r="S14">
            <v>57936394.425489962</v>
          </cell>
          <cell r="T14">
            <v>58078335.963709332</v>
          </cell>
          <cell r="U14">
            <v>58942789.035627387</v>
          </cell>
          <cell r="V14">
            <v>60080741.502264574</v>
          </cell>
          <cell r="W14">
            <v>61516667.243090972</v>
          </cell>
        </row>
        <row r="15">
          <cell r="B15" t="str">
            <v>Gibson 3</v>
          </cell>
          <cell r="C15" t="str">
            <v>PSI</v>
          </cell>
          <cell r="D15">
            <v>50949420.010380782</v>
          </cell>
          <cell r="E15">
            <v>44773783.566222355</v>
          </cell>
          <cell r="F15">
            <v>43339024.948695138</v>
          </cell>
          <cell r="G15">
            <v>42034726.300240725</v>
          </cell>
          <cell r="H15">
            <v>43040527.524230786</v>
          </cell>
          <cell r="I15">
            <v>44778984.264258213</v>
          </cell>
          <cell r="J15">
            <v>46697999.84584219</v>
          </cell>
          <cell r="K15">
            <v>48713829.633067064</v>
          </cell>
          <cell r="L15">
            <v>50299649.671569921</v>
          </cell>
          <cell r="M15">
            <v>51310890.633953504</v>
          </cell>
          <cell r="N15">
            <v>52890754.96444723</v>
          </cell>
          <cell r="O15">
            <v>54759599.315694399</v>
          </cell>
          <cell r="P15">
            <v>55809717.632309891</v>
          </cell>
          <cell r="Q15">
            <v>56075498.013889216</v>
          </cell>
          <cell r="R15">
            <v>57309474.420558125</v>
          </cell>
          <cell r="S15">
            <v>58651051.753320433</v>
          </cell>
          <cell r="T15">
            <v>58744253.974789612</v>
          </cell>
          <cell r="U15">
            <v>59585815.875976622</v>
          </cell>
          <cell r="V15">
            <v>60739315.307786502</v>
          </cell>
          <cell r="W15">
            <v>62068581.648150854</v>
          </cell>
        </row>
        <row r="16">
          <cell r="B16" t="str">
            <v>Gibson 4</v>
          </cell>
          <cell r="C16" t="str">
            <v>PSI</v>
          </cell>
          <cell r="D16">
            <v>42093103.805195816</v>
          </cell>
          <cell r="E16">
            <v>41921828.728142709</v>
          </cell>
          <cell r="F16">
            <v>41714495.740131378</v>
          </cell>
          <cell r="G16">
            <v>41732524.695610635</v>
          </cell>
          <cell r="H16">
            <v>42164133.622730315</v>
          </cell>
          <cell r="I16">
            <v>42948625.411776826</v>
          </cell>
          <cell r="J16">
            <v>44280574.935594618</v>
          </cell>
          <cell r="K16">
            <v>46136486.977998249</v>
          </cell>
          <cell r="L16">
            <v>47658497.237985067</v>
          </cell>
          <cell r="M16">
            <v>48936028.63263832</v>
          </cell>
          <cell r="N16">
            <v>50511298.560450152</v>
          </cell>
          <cell r="O16">
            <v>52167191.91748663</v>
          </cell>
          <cell r="P16">
            <v>53023500.05821985</v>
          </cell>
          <cell r="Q16">
            <v>53476517.926088005</v>
          </cell>
          <cell r="R16">
            <v>54569417.949655168</v>
          </cell>
          <cell r="S16">
            <v>55960103.760760956</v>
          </cell>
          <cell r="T16">
            <v>56341321.564939164</v>
          </cell>
          <cell r="U16">
            <v>57262648.896442778</v>
          </cell>
          <cell r="V16">
            <v>58322104.76676368</v>
          </cell>
          <cell r="W16">
            <v>60132801.545935288</v>
          </cell>
        </row>
        <row r="17">
          <cell r="B17" t="str">
            <v>Gibson 5</v>
          </cell>
          <cell r="C17" t="str">
            <v>PSI</v>
          </cell>
          <cell r="D17">
            <v>21503401.112048913</v>
          </cell>
          <cell r="E17">
            <v>21415904.673216354</v>
          </cell>
          <cell r="F17">
            <v>21309987.931471586</v>
          </cell>
          <cell r="G17">
            <v>21313807.812483218</v>
          </cell>
          <cell r="H17">
            <v>21527068.742466193</v>
          </cell>
          <cell r="I17">
            <v>21933888.097102359</v>
          </cell>
          <cell r="J17">
            <v>22603773.606965452</v>
          </cell>
          <cell r="K17">
            <v>23567816.943375047</v>
          </cell>
          <cell r="L17">
            <v>24319815.74578733</v>
          </cell>
          <cell r="M17">
            <v>24956124.149351869</v>
          </cell>
          <cell r="N17">
            <v>25741326.993158285</v>
          </cell>
          <cell r="O17">
            <v>26607295.790152699</v>
          </cell>
          <cell r="P17">
            <v>27076851.053741921</v>
          </cell>
          <cell r="Q17">
            <v>27290726.153637659</v>
          </cell>
          <cell r="R17">
            <v>27845828.581986222</v>
          </cell>
          <cell r="S17">
            <v>28574958.705192953</v>
          </cell>
          <cell r="T17">
            <v>28733469.809493814</v>
          </cell>
          <cell r="U17">
            <v>29227255.256874464</v>
          </cell>
          <cell r="V17">
            <v>29747670.421235777</v>
          </cell>
          <cell r="W17">
            <v>30626604.493432954</v>
          </cell>
        </row>
        <row r="18">
          <cell r="B18" t="str">
            <v>J.M. Stuart 1</v>
          </cell>
          <cell r="C18" t="str">
            <v>CGE</v>
          </cell>
          <cell r="D18">
            <v>18682278.728957877</v>
          </cell>
          <cell r="E18">
            <v>19219547.860242296</v>
          </cell>
          <cell r="F18">
            <v>19498000.080807172</v>
          </cell>
          <cell r="G18">
            <v>19625274.181100316</v>
          </cell>
          <cell r="H18">
            <v>19910462.686872855</v>
          </cell>
          <cell r="I18">
            <v>20218938.520401515</v>
          </cell>
          <cell r="J18">
            <v>20572980.107296847</v>
          </cell>
          <cell r="K18">
            <v>20853568.512750041</v>
          </cell>
          <cell r="L18">
            <v>20753674.858508378</v>
          </cell>
          <cell r="M18">
            <v>20975602.028770283</v>
          </cell>
          <cell r="N18">
            <v>20918569.519834097</v>
          </cell>
          <cell r="O18">
            <v>21317315.935986444</v>
          </cell>
          <cell r="P18">
            <v>21595257.660827998</v>
          </cell>
          <cell r="Q18">
            <v>21408079.143295109</v>
          </cell>
          <cell r="R18">
            <v>21808473.249145254</v>
          </cell>
          <cell r="S18">
            <v>22441209.349105705</v>
          </cell>
          <cell r="T18">
            <v>22071942.839321565</v>
          </cell>
          <cell r="U18">
            <v>21813189.692485407</v>
          </cell>
          <cell r="V18">
            <v>17558779.410840422</v>
          </cell>
          <cell r="W18">
            <v>17946005.981209662</v>
          </cell>
        </row>
        <row r="19">
          <cell r="B19" t="str">
            <v>J.M. Stuart 2</v>
          </cell>
          <cell r="C19" t="str">
            <v>CGE</v>
          </cell>
          <cell r="D19">
            <v>18371827.976300064</v>
          </cell>
          <cell r="E19">
            <v>18905607.270033415</v>
          </cell>
          <cell r="F19">
            <v>19176456.703945637</v>
          </cell>
          <cell r="G19">
            <v>19355100.472981606</v>
          </cell>
          <cell r="H19">
            <v>19784082.195841074</v>
          </cell>
          <cell r="I19">
            <v>20256574.856576093</v>
          </cell>
          <cell r="J19">
            <v>20760051.812463265</v>
          </cell>
          <cell r="K19">
            <v>21027491.657393903</v>
          </cell>
          <cell r="L19">
            <v>21116314.625864223</v>
          </cell>
          <cell r="M19">
            <v>21490857.805297971</v>
          </cell>
          <cell r="N19">
            <v>21247422.001033086</v>
          </cell>
          <cell r="O19">
            <v>21668101.580905419</v>
          </cell>
          <cell r="P19">
            <v>21870070.596048504</v>
          </cell>
          <cell r="Q19">
            <v>21717273.244039252</v>
          </cell>
          <cell r="R19">
            <v>22117173.404382218</v>
          </cell>
          <cell r="S19">
            <v>22693422.776278093</v>
          </cell>
          <cell r="T19">
            <v>22261413.02219376</v>
          </cell>
          <cell r="U19">
            <v>22013958.879109483</v>
          </cell>
          <cell r="V19">
            <v>17709828.058338024</v>
          </cell>
          <cell r="W19">
            <v>18102368.521540392</v>
          </cell>
        </row>
        <row r="20">
          <cell r="B20" t="str">
            <v>J.M. Stuart 3</v>
          </cell>
          <cell r="C20" t="str">
            <v>CGE</v>
          </cell>
          <cell r="D20">
            <v>18668946.488046117</v>
          </cell>
          <cell r="E20">
            <v>19205832.207778066</v>
          </cell>
          <cell r="F20">
            <v>19484085.716390308</v>
          </cell>
          <cell r="G20">
            <v>19622156.675149154</v>
          </cell>
          <cell r="H20">
            <v>19920769.634895492</v>
          </cell>
          <cell r="I20">
            <v>20227945.014840361</v>
          </cell>
          <cell r="J20">
            <v>20589350.578223113</v>
          </cell>
          <cell r="K20">
            <v>20867460.05504138</v>
          </cell>
          <cell r="L20">
            <v>20780657.968062185</v>
          </cell>
          <cell r="M20">
            <v>21014227.051021799</v>
          </cell>
          <cell r="N20">
            <v>20944369.088334043</v>
          </cell>
          <cell r="O20">
            <v>21328165.795841519</v>
          </cell>
          <cell r="P20">
            <v>21607893.108293992</v>
          </cell>
          <cell r="Q20">
            <v>21429071.318913989</v>
          </cell>
          <cell r="R20">
            <v>21826860.177410997</v>
          </cell>
          <cell r="S20">
            <v>22452296.707603313</v>
          </cell>
          <cell r="T20">
            <v>22085152.989720736</v>
          </cell>
          <cell r="U20">
            <v>21818250.73938695</v>
          </cell>
          <cell r="V20">
            <v>17573979.217392311</v>
          </cell>
          <cell r="W20">
            <v>17948708.999339376</v>
          </cell>
        </row>
        <row r="21">
          <cell r="B21" t="str">
            <v>J.M. Stuart 4</v>
          </cell>
          <cell r="C21" t="str">
            <v>CGE</v>
          </cell>
          <cell r="D21">
            <v>18636568.188689217</v>
          </cell>
          <cell r="E21">
            <v>19175576.564481933</v>
          </cell>
          <cell r="F21">
            <v>19452791.711394068</v>
          </cell>
          <cell r="G21">
            <v>19600905.555936046</v>
          </cell>
          <cell r="H21">
            <v>19918013.931938209</v>
          </cell>
          <cell r="I21">
            <v>20238626.607039064</v>
          </cell>
          <cell r="J21">
            <v>20611731.823153131</v>
          </cell>
          <cell r="K21">
            <v>20900215.415791713</v>
          </cell>
          <cell r="L21">
            <v>20817943.87635776</v>
          </cell>
          <cell r="M21">
            <v>21081580.393924553</v>
          </cell>
          <cell r="N21">
            <v>20976885.439329129</v>
          </cell>
          <cell r="O21">
            <v>21391012.191914845</v>
          </cell>
          <cell r="P21">
            <v>21625057.568277374</v>
          </cell>
          <cell r="Q21">
            <v>21453634.146168355</v>
          </cell>
          <cell r="R21">
            <v>21870122.082592826</v>
          </cell>
          <cell r="S21">
            <v>22482785.381203536</v>
          </cell>
          <cell r="T21">
            <v>22111581.265018143</v>
          </cell>
          <cell r="U21">
            <v>21845243.809533373</v>
          </cell>
          <cell r="V21">
            <v>17601077.169641182</v>
          </cell>
          <cell r="W21">
            <v>17971427.50876791</v>
          </cell>
        </row>
        <row r="22">
          <cell r="B22" t="str">
            <v>Killen 2</v>
          </cell>
          <cell r="C22" t="str">
            <v>CGE</v>
          </cell>
          <cell r="D22">
            <v>16410148.736089224</v>
          </cell>
          <cell r="E22">
            <v>16870150.925181285</v>
          </cell>
          <cell r="F22">
            <v>17066987.464454006</v>
          </cell>
          <cell r="G22">
            <v>17162584.455480389</v>
          </cell>
          <cell r="H22">
            <v>17275807.829177454</v>
          </cell>
          <cell r="I22">
            <v>17502487.092689406</v>
          </cell>
          <cell r="J22">
            <v>17710082.132858749</v>
          </cell>
          <cell r="K22">
            <v>17891957.757127061</v>
          </cell>
          <cell r="L22">
            <v>17752434.381117951</v>
          </cell>
          <cell r="M22">
            <v>17905725.74927672</v>
          </cell>
          <cell r="N22">
            <v>18022598.478797596</v>
          </cell>
          <cell r="O22">
            <v>18359605.259742033</v>
          </cell>
          <cell r="P22">
            <v>18584155.619858976</v>
          </cell>
          <cell r="Q22">
            <v>18416829.347146153</v>
          </cell>
          <cell r="R22">
            <v>18758320.308173947</v>
          </cell>
          <cell r="S22">
            <v>19344559.124842957</v>
          </cell>
          <cell r="T22">
            <v>19031086.679393999</v>
          </cell>
          <cell r="U22">
            <v>18736110.333458703</v>
          </cell>
          <cell r="V22">
            <v>15006732.762804251</v>
          </cell>
          <cell r="W22">
            <v>15463638.082154663</v>
          </cell>
        </row>
        <row r="23">
          <cell r="B23" t="str">
            <v>Miami Fort 5</v>
          </cell>
          <cell r="C23" t="str">
            <v>CGE</v>
          </cell>
          <cell r="D23">
            <v>4487316.2269563088</v>
          </cell>
          <cell r="E23">
            <v>4077025.9105543438</v>
          </cell>
          <cell r="F23">
            <v>3912055.7255020807</v>
          </cell>
          <cell r="G23">
            <v>4296097.3453387525</v>
          </cell>
          <cell r="H23">
            <v>4010404.0709051089</v>
          </cell>
          <cell r="I23">
            <v>4204190.1534485575</v>
          </cell>
          <cell r="J23">
            <v>4000098.4914319771</v>
          </cell>
          <cell r="K23">
            <v>4860029.3971679183</v>
          </cell>
          <cell r="L23">
            <v>5152653.4593686862</v>
          </cell>
          <cell r="M23">
            <v>5216723.4284372386</v>
          </cell>
          <cell r="N23">
            <v>5366698.0459482865</v>
          </cell>
          <cell r="O23">
            <v>5798168.8158131</v>
          </cell>
          <cell r="P23">
            <v>6131594.8573201969</v>
          </cell>
          <cell r="Q23">
            <v>6283585.6626413893</v>
          </cell>
          <cell r="R23">
            <v>6681663.6595495297</v>
          </cell>
          <cell r="S23">
            <v>5902298.8682060456</v>
          </cell>
          <cell r="T23">
            <v>5994261.4656340266</v>
          </cell>
          <cell r="U23">
            <v>6066447.0286237588</v>
          </cell>
          <cell r="V23">
            <v>6069254.4717124915</v>
          </cell>
          <cell r="W23">
            <v>5996485.2110364251</v>
          </cell>
        </row>
        <row r="24">
          <cell r="B24" t="str">
            <v>Miami Fort 6</v>
          </cell>
          <cell r="C24" t="str">
            <v>CGE</v>
          </cell>
          <cell r="D24">
            <v>13891514.900129283</v>
          </cell>
          <cell r="E24">
            <v>13668579.529384572</v>
          </cell>
          <cell r="F24">
            <v>14015831.027127054</v>
          </cell>
          <cell r="G24">
            <v>14144589.001736471</v>
          </cell>
          <cell r="H24">
            <v>13972019.065088961</v>
          </cell>
          <cell r="I24">
            <v>13991020.329247372</v>
          </cell>
          <cell r="J24">
            <v>11742863.988160545</v>
          </cell>
          <cell r="K24">
            <v>14384564.313519161</v>
          </cell>
          <cell r="L24">
            <v>14228528.935464215</v>
          </cell>
          <cell r="M24">
            <v>14351987.811506111</v>
          </cell>
          <cell r="N24">
            <v>14541671.444107641</v>
          </cell>
          <cell r="O24">
            <v>14973201.126648638</v>
          </cell>
          <cell r="P24">
            <v>15339147.415302163</v>
          </cell>
          <cell r="Q24">
            <v>15142938.348002525</v>
          </cell>
          <cell r="R24">
            <v>15447419.23089757</v>
          </cell>
          <cell r="S24">
            <v>13277182.406073287</v>
          </cell>
          <cell r="T24">
            <v>12999864.693459176</v>
          </cell>
          <cell r="U24">
            <v>12903902.959508855</v>
          </cell>
          <cell r="V24">
            <v>13251471.949778983</v>
          </cell>
          <cell r="W24">
            <v>13782219.835646993</v>
          </cell>
        </row>
        <row r="25">
          <cell r="B25" t="str">
            <v>Miami Fort 7</v>
          </cell>
          <cell r="C25" t="str">
            <v>CGE</v>
          </cell>
          <cell r="D25">
            <v>25609491.666284237</v>
          </cell>
          <cell r="E25">
            <v>25012267.897380199</v>
          </cell>
          <cell r="F25">
            <v>24969904.949317589</v>
          </cell>
          <cell r="G25">
            <v>25067455.202375244</v>
          </cell>
          <cell r="H25">
            <v>24678988.717029929</v>
          </cell>
          <cell r="I25">
            <v>24108596.661160458</v>
          </cell>
          <cell r="J25">
            <v>19908321.307912797</v>
          </cell>
          <cell r="K25">
            <v>24696946.909390412</v>
          </cell>
          <cell r="L25">
            <v>24650169.302627396</v>
          </cell>
          <cell r="M25">
            <v>25058692.470735263</v>
          </cell>
          <cell r="N25">
            <v>25402156.623675298</v>
          </cell>
          <cell r="O25">
            <v>26144867.271254107</v>
          </cell>
          <cell r="P25">
            <v>26691937.622966014</v>
          </cell>
          <cell r="Q25">
            <v>26579814.067811683</v>
          </cell>
          <cell r="R25">
            <v>27056293.826726381</v>
          </cell>
          <cell r="S25">
            <v>22600182.248717822</v>
          </cell>
          <cell r="T25">
            <v>22568203.89247261</v>
          </cell>
          <cell r="U25">
            <v>22113820.947123691</v>
          </cell>
          <cell r="V25">
            <v>22727525.470515337</v>
          </cell>
          <cell r="W25">
            <v>23344459.513833333</v>
          </cell>
        </row>
        <row r="26">
          <cell r="B26" t="str">
            <v>Miami Fort 8</v>
          </cell>
          <cell r="C26" t="str">
            <v>CGE</v>
          </cell>
          <cell r="D26">
            <v>26576687.411289714</v>
          </cell>
          <cell r="E26">
            <v>26232997.06784001</v>
          </cell>
          <cell r="F26">
            <v>26536067.096355084</v>
          </cell>
          <cell r="G26">
            <v>26682587.99022536</v>
          </cell>
          <cell r="H26">
            <v>26519109.884652458</v>
          </cell>
          <cell r="I26">
            <v>26681718.616387151</v>
          </cell>
          <cell r="J26">
            <v>21939846.691734161</v>
          </cell>
          <cell r="K26">
            <v>26911926.124758683</v>
          </cell>
          <cell r="L26">
            <v>26485259.281590149</v>
          </cell>
          <cell r="M26">
            <v>26621066.16878543</v>
          </cell>
          <cell r="N26">
            <v>26999702.935067061</v>
          </cell>
          <cell r="O26">
            <v>27634544.240573615</v>
          </cell>
          <cell r="P26">
            <v>28101413.087071449</v>
          </cell>
          <cell r="Q26">
            <v>27827427.172395337</v>
          </cell>
          <cell r="R26">
            <v>28306254.440821573</v>
          </cell>
          <cell r="S26">
            <v>23637706.684377726</v>
          </cell>
          <cell r="T26">
            <v>23522112.457186915</v>
          </cell>
          <cell r="U26">
            <v>22918732.728928432</v>
          </cell>
          <cell r="V26">
            <v>23655528.346606769</v>
          </cell>
          <cell r="W26">
            <v>24436963.382863108</v>
          </cell>
        </row>
        <row r="27">
          <cell r="B27" t="str">
            <v>Noblesville 1</v>
          </cell>
          <cell r="C27" t="str">
            <v>PSI</v>
          </cell>
          <cell r="D27">
            <v>2528277.216876457</v>
          </cell>
          <cell r="E27">
            <v>2031835.0934731474</v>
          </cell>
          <cell r="F27">
            <v>1965867.1988272301</v>
          </cell>
          <cell r="G27">
            <v>2120055.3264661347</v>
          </cell>
          <cell r="H27">
            <v>1939445.1776809902</v>
          </cell>
          <cell r="I27">
            <v>1966935.5850666985</v>
          </cell>
          <cell r="J27">
            <v>2233521.807943359</v>
          </cell>
          <cell r="K27">
            <v>2796737.1968238712</v>
          </cell>
          <cell r="L27">
            <v>2953988.5162285548</v>
          </cell>
          <cell r="M27">
            <v>2993954.7942980919</v>
          </cell>
          <cell r="N27">
            <v>3046139.6224620249</v>
          </cell>
          <cell r="O27">
            <v>3371429.5430235649</v>
          </cell>
          <cell r="P27">
            <v>3584571.1773117306</v>
          </cell>
          <cell r="Q27">
            <v>3530516.286569152</v>
          </cell>
          <cell r="R27">
            <v>3836558.7381709339</v>
          </cell>
          <cell r="S27">
            <v>4033763.6588034462</v>
          </cell>
          <cell r="T27">
            <v>4159883.9397352431</v>
          </cell>
          <cell r="U27">
            <v>4084322.6477833553</v>
          </cell>
          <cell r="V27">
            <v>4263450.5040425546</v>
          </cell>
          <cell r="W27">
            <v>3539953.1726433062</v>
          </cell>
        </row>
        <row r="28">
          <cell r="B28" t="str">
            <v>Noblesville 2</v>
          </cell>
          <cell r="C28" t="str">
            <v>PSI</v>
          </cell>
          <cell r="D28">
            <v>2528277.216876457</v>
          </cell>
          <cell r="E28">
            <v>2031835.0934731474</v>
          </cell>
          <cell r="F28">
            <v>1965867.1988272301</v>
          </cell>
          <cell r="G28">
            <v>2120055.3264661347</v>
          </cell>
          <cell r="H28">
            <v>1939445.1776809902</v>
          </cell>
          <cell r="I28">
            <v>1966935.5850666985</v>
          </cell>
          <cell r="J28">
            <v>2233521.807943359</v>
          </cell>
          <cell r="K28">
            <v>2796737.1968238712</v>
          </cell>
          <cell r="L28">
            <v>2953988.5162285548</v>
          </cell>
          <cell r="M28">
            <v>2993954.7942980919</v>
          </cell>
          <cell r="N28">
            <v>3046139.6224620249</v>
          </cell>
          <cell r="O28">
            <v>3371429.5430235649</v>
          </cell>
          <cell r="P28">
            <v>3584571.1773117306</v>
          </cell>
          <cell r="Q28">
            <v>3530516.286569152</v>
          </cell>
          <cell r="R28">
            <v>3836558.7381709339</v>
          </cell>
          <cell r="S28">
            <v>4033763.6588034462</v>
          </cell>
          <cell r="T28">
            <v>4159883.9397352431</v>
          </cell>
          <cell r="U28">
            <v>4084322.6477833553</v>
          </cell>
          <cell r="V28">
            <v>4263450.5040425546</v>
          </cell>
          <cell r="W28">
            <v>3539953.1726433062</v>
          </cell>
        </row>
        <row r="29">
          <cell r="B29" t="str">
            <v>Wabash River 1</v>
          </cell>
          <cell r="C29" t="str">
            <v>PSI</v>
          </cell>
          <cell r="D29">
            <v>15099214.058857977</v>
          </cell>
          <cell r="E29">
            <v>14851767.601720555</v>
          </cell>
          <cell r="F29">
            <v>14940913.365347708</v>
          </cell>
          <cell r="G29">
            <v>16038000.697865495</v>
          </cell>
          <cell r="H29">
            <v>15165335.56880367</v>
          </cell>
          <cell r="I29">
            <v>16142556.12384023</v>
          </cell>
          <cell r="J29">
            <v>16203571.029047444</v>
          </cell>
          <cell r="K29">
            <v>16266741.896908093</v>
          </cell>
          <cell r="L29">
            <v>17512196.583059397</v>
          </cell>
          <cell r="M29">
            <v>17703743.525212277</v>
          </cell>
          <cell r="N29">
            <v>17223661.575963009</v>
          </cell>
          <cell r="O29">
            <v>18177022.723324429</v>
          </cell>
          <cell r="P29">
            <v>19182096.419561345</v>
          </cell>
          <cell r="Q29">
            <v>19576028.192908276</v>
          </cell>
          <cell r="R29">
            <v>19806595.179920588</v>
          </cell>
          <cell r="S29">
            <v>21153805.463020608</v>
          </cell>
          <cell r="T29">
            <v>21549118.111170664</v>
          </cell>
          <cell r="U29">
            <v>20726649.206451181</v>
          </cell>
          <cell r="V29">
            <v>20223776.718536749</v>
          </cell>
          <cell r="W29">
            <v>21525075.089370936</v>
          </cell>
        </row>
        <row r="30">
          <cell r="B30" t="str">
            <v>Wabash River 2</v>
          </cell>
          <cell r="C30" t="str">
            <v>PSI</v>
          </cell>
          <cell r="D30">
            <v>4986131.6912524747</v>
          </cell>
          <cell r="E30">
            <v>4152241.721602913</v>
          </cell>
          <cell r="F30">
            <v>4063463.5008303616</v>
          </cell>
          <cell r="G30">
            <v>4333159.2747017788</v>
          </cell>
          <cell r="H30">
            <v>4145823.6360352747</v>
          </cell>
          <cell r="I30">
            <v>4231822.3750848612</v>
          </cell>
          <cell r="J30">
            <v>4769975.3717758842</v>
          </cell>
          <cell r="K30">
            <v>5687178.187390022</v>
          </cell>
          <cell r="L30">
            <v>5912023.5140505787</v>
          </cell>
          <cell r="M30">
            <v>6063004.6906462302</v>
          </cell>
          <cell r="N30">
            <v>6389518.2671732875</v>
          </cell>
          <cell r="O30">
            <v>6752867.2224803558</v>
          </cell>
          <cell r="P30">
            <v>7063630.8029655851</v>
          </cell>
          <cell r="Q30">
            <v>7163345.2588256206</v>
          </cell>
          <cell r="R30">
            <v>7474224.9842245877</v>
          </cell>
          <cell r="S30">
            <v>7920225.3735440709</v>
          </cell>
          <cell r="T30">
            <v>7977110.2900891444</v>
          </cell>
          <cell r="U30">
            <v>8303954.0363648441</v>
          </cell>
          <cell r="V30">
            <v>8307471.5862749573</v>
          </cell>
          <cell r="W30">
            <v>6854243.5279683629</v>
          </cell>
        </row>
        <row r="31">
          <cell r="B31" t="str">
            <v>Wabash River 3</v>
          </cell>
          <cell r="C31" t="str">
            <v>PSI</v>
          </cell>
          <cell r="D31">
            <v>5007843.0491608623</v>
          </cell>
          <cell r="E31">
            <v>4184266.4478185135</v>
          </cell>
          <cell r="F31">
            <v>4099844.1575540714</v>
          </cell>
          <cell r="G31">
            <v>4368329.0087317843</v>
          </cell>
          <cell r="H31">
            <v>4172796.9485117751</v>
          </cell>
          <cell r="I31">
            <v>4259734.0717528816</v>
          </cell>
          <cell r="J31">
            <v>4826780.6978021488</v>
          </cell>
          <cell r="K31">
            <v>5737562.2481553694</v>
          </cell>
          <cell r="L31">
            <v>5960697.519670371</v>
          </cell>
          <cell r="M31">
            <v>6124662.3361273697</v>
          </cell>
          <cell r="N31">
            <v>6446160.4859651839</v>
          </cell>
          <cell r="O31">
            <v>6812457.0811780803</v>
          </cell>
          <cell r="P31">
            <v>7098747.563776358</v>
          </cell>
          <cell r="Q31">
            <v>7214497.3456462361</v>
          </cell>
          <cell r="R31">
            <v>7496651.9471407803</v>
          </cell>
          <cell r="S31">
            <v>7952640.6537285736</v>
          </cell>
          <cell r="T31">
            <v>8025203.0216024816</v>
          </cell>
          <cell r="U31">
            <v>8325149.2759293141</v>
          </cell>
          <cell r="V31">
            <v>8324200.9404692231</v>
          </cell>
          <cell r="W31">
            <v>6895080.4094932834</v>
          </cell>
        </row>
        <row r="32">
          <cell r="B32" t="str">
            <v>Wabash River 4</v>
          </cell>
          <cell r="C32" t="str">
            <v>PSI</v>
          </cell>
          <cell r="D32">
            <v>5121515.4967233529</v>
          </cell>
          <cell r="E32">
            <v>4344351.6811023084</v>
          </cell>
          <cell r="F32">
            <v>4288567.420418038</v>
          </cell>
          <cell r="G32">
            <v>4487949.1722551724</v>
          </cell>
          <cell r="H32">
            <v>4274286.0295541128</v>
          </cell>
          <cell r="I32">
            <v>4355861.09209006</v>
          </cell>
          <cell r="J32">
            <v>4934616.950441733</v>
          </cell>
          <cell r="K32">
            <v>5876164.9384141956</v>
          </cell>
          <cell r="L32">
            <v>6117569.1319454703</v>
          </cell>
          <cell r="M32">
            <v>6291642.9582767002</v>
          </cell>
          <cell r="N32">
            <v>6579730.2654595701</v>
          </cell>
          <cell r="O32">
            <v>6941398.2647823896</v>
          </cell>
          <cell r="P32">
            <v>7216847.4543249868</v>
          </cell>
          <cell r="Q32">
            <v>7345870.2876205966</v>
          </cell>
          <cell r="R32">
            <v>7601465.7723808503</v>
          </cell>
          <cell r="S32">
            <v>8065524.1128367605</v>
          </cell>
          <cell r="T32">
            <v>8117161.6101518562</v>
          </cell>
          <cell r="U32">
            <v>8410338.4757633321</v>
          </cell>
          <cell r="V32">
            <v>8366578.2471106183</v>
          </cell>
          <cell r="W32">
            <v>6980926.372789775</v>
          </cell>
        </row>
        <row r="33">
          <cell r="B33" t="str">
            <v>Wabash River 5</v>
          </cell>
          <cell r="C33" t="str">
            <v>PSI</v>
          </cell>
          <cell r="D33">
            <v>5673976.2481815992</v>
          </cell>
          <cell r="E33">
            <v>4784079.3440064704</v>
          </cell>
          <cell r="F33">
            <v>4717349.2707741484</v>
          </cell>
          <cell r="G33">
            <v>4962728.3516338151</v>
          </cell>
          <cell r="H33">
            <v>4737831.8925574897</v>
          </cell>
          <cell r="I33">
            <v>4840928.7162698321</v>
          </cell>
          <cell r="J33">
            <v>5481252.1844023578</v>
          </cell>
          <cell r="K33">
            <v>6521074.4538671328</v>
          </cell>
          <cell r="L33">
            <v>6778067.4301719256</v>
          </cell>
          <cell r="M33">
            <v>6975568.4129842352</v>
          </cell>
          <cell r="N33">
            <v>7299462.8148280587</v>
          </cell>
          <cell r="O33">
            <v>7704321.8240915844</v>
          </cell>
          <cell r="P33">
            <v>8022107.7438967386</v>
          </cell>
          <cell r="Q33">
            <v>8157372.278519568</v>
          </cell>
          <cell r="R33">
            <v>8455610.4933872055</v>
          </cell>
          <cell r="S33">
            <v>8962359.8884968348</v>
          </cell>
          <cell r="T33">
            <v>9019966.9477102235</v>
          </cell>
          <cell r="U33">
            <v>9357039.6673846412</v>
          </cell>
          <cell r="V33">
            <v>9325276.4373024013</v>
          </cell>
          <cell r="W33">
            <v>7766114.568087033</v>
          </cell>
        </row>
        <row r="34">
          <cell r="B34" t="str">
            <v>Wabash River 6</v>
          </cell>
          <cell r="C34" t="str">
            <v>PSI</v>
          </cell>
          <cell r="D34">
            <v>18011578.91201229</v>
          </cell>
          <cell r="E34">
            <v>15192683.958860068</v>
          </cell>
          <cell r="F34">
            <v>14368244.625026908</v>
          </cell>
          <cell r="G34">
            <v>14458414.211090267</v>
          </cell>
          <cell r="H34">
            <v>13831411.733949738</v>
          </cell>
          <cell r="I34">
            <v>14384564.213098885</v>
          </cell>
          <cell r="J34">
            <v>14939669.040772649</v>
          </cell>
          <cell r="K34">
            <v>18513126.12105405</v>
          </cell>
          <cell r="L34">
            <v>19042268.982010704</v>
          </cell>
          <cell r="M34">
            <v>19660284.110448476</v>
          </cell>
          <cell r="N34">
            <v>20437446.15673339</v>
          </cell>
          <cell r="O34">
            <v>21647563.566319823</v>
          </cell>
          <cell r="P34">
            <v>22525693.217197701</v>
          </cell>
          <cell r="Q34">
            <v>23190311.584697224</v>
          </cell>
          <cell r="R34">
            <v>23819684.788739234</v>
          </cell>
          <cell r="S34">
            <v>24880337.381249916</v>
          </cell>
          <cell r="T34">
            <v>25382996.282098804</v>
          </cell>
          <cell r="U34">
            <v>25417927.905820612</v>
          </cell>
          <cell r="V34">
            <v>26258265.948532365</v>
          </cell>
          <cell r="W34">
            <v>21826473.503137287</v>
          </cell>
        </row>
        <row r="35">
          <cell r="B35" t="str">
            <v>W.C. Beckjord 1</v>
          </cell>
          <cell r="C35" t="str">
            <v>CGE</v>
          </cell>
          <cell r="D35">
            <v>6253355.3596479502</v>
          </cell>
          <cell r="E35">
            <v>5818938.8669416439</v>
          </cell>
          <cell r="F35">
            <v>5823271.1273918403</v>
          </cell>
          <cell r="G35">
            <v>6124740.9922363115</v>
          </cell>
          <cell r="H35">
            <v>5918837.1034860043</v>
          </cell>
          <cell r="I35">
            <v>5890053.7531541195</v>
          </cell>
          <cell r="J35">
            <v>6514674.5363310687</v>
          </cell>
          <cell r="K35">
            <v>6666889.6570860948</v>
          </cell>
          <cell r="L35">
            <v>6963014.3961905371</v>
          </cell>
          <cell r="M35">
            <v>7187097.4567061793</v>
          </cell>
          <cell r="N35">
            <v>7392644.788436533</v>
          </cell>
          <cell r="O35">
            <v>7773055.0981084052</v>
          </cell>
          <cell r="P35">
            <v>8057220.3641926507</v>
          </cell>
          <cell r="Q35">
            <v>8158534.8534985874</v>
          </cell>
          <cell r="R35">
            <v>8441696.6979141124</v>
          </cell>
          <cell r="S35">
            <v>8934115.9500186965</v>
          </cell>
          <cell r="T35">
            <v>7463275.413416516</v>
          </cell>
          <cell r="U35">
            <v>9302080.5765488949</v>
          </cell>
          <cell r="V35">
            <v>7586477.9838596927</v>
          </cell>
          <cell r="W35">
            <v>7543164.0542798126</v>
          </cell>
        </row>
        <row r="36">
          <cell r="B36" t="str">
            <v>W.C. Beckjord 2</v>
          </cell>
          <cell r="C36" t="str">
            <v>CGE</v>
          </cell>
          <cell r="D36">
            <v>7305941.1363557307</v>
          </cell>
          <cell r="E36">
            <v>6870732.7786780559</v>
          </cell>
          <cell r="F36">
            <v>6926257.3431715956</v>
          </cell>
          <cell r="G36">
            <v>7152654.6337777842</v>
          </cell>
          <cell r="H36">
            <v>6920892.7066900143</v>
          </cell>
          <cell r="I36">
            <v>6864543.2142870994</v>
          </cell>
          <cell r="J36">
            <v>7454945.6319875112</v>
          </cell>
          <cell r="K36">
            <v>7658309.0489621768</v>
          </cell>
          <cell r="L36">
            <v>7735437.5552116754</v>
          </cell>
          <cell r="M36">
            <v>7881730.922448528</v>
          </cell>
          <cell r="N36">
            <v>8051400.8494700482</v>
          </cell>
          <cell r="O36">
            <v>8422745.9265677519</v>
          </cell>
          <cell r="P36">
            <v>8642343.4243347272</v>
          </cell>
          <cell r="Q36">
            <v>8636833.8063763585</v>
          </cell>
          <cell r="R36">
            <v>8857740.5975061972</v>
          </cell>
          <cell r="S36">
            <v>9337914.0702615157</v>
          </cell>
          <cell r="T36">
            <v>7729357.5305585479</v>
          </cell>
          <cell r="U36">
            <v>9570060.1730148345</v>
          </cell>
          <cell r="V36">
            <v>7795433.2843592856</v>
          </cell>
          <cell r="W36">
            <v>7774008.8587480374</v>
          </cell>
        </row>
        <row r="37">
          <cell r="B37" t="str">
            <v>W.C. Beckjord 3</v>
          </cell>
          <cell r="C37" t="str">
            <v>CGE</v>
          </cell>
          <cell r="D37">
            <v>10883296.385004573</v>
          </cell>
          <cell r="E37">
            <v>10690582.402233906</v>
          </cell>
          <cell r="F37">
            <v>10960242.830652155</v>
          </cell>
          <cell r="G37">
            <v>11277313.704810238</v>
          </cell>
          <cell r="H37">
            <v>11051621.177969841</v>
          </cell>
          <cell r="I37">
            <v>10844769.682136057</v>
          </cell>
          <cell r="J37">
            <v>11372571.934126837</v>
          </cell>
          <cell r="K37">
            <v>11685361.81957441</v>
          </cell>
          <cell r="L37">
            <v>11571915.93393711</v>
          </cell>
          <cell r="M37">
            <v>11707348.57862821</v>
          </cell>
          <cell r="N37">
            <v>11870314.045462815</v>
          </cell>
          <cell r="O37">
            <v>12242912.385236869</v>
          </cell>
          <cell r="P37">
            <v>12526193.792821076</v>
          </cell>
          <cell r="Q37">
            <v>12466692.066126971</v>
          </cell>
          <cell r="R37">
            <v>12747181.549318722</v>
          </cell>
          <cell r="S37">
            <v>13343752.732018156</v>
          </cell>
          <cell r="T37">
            <v>10905985.675400319</v>
          </cell>
          <cell r="U37">
            <v>13510688.179590082</v>
          </cell>
          <cell r="V37">
            <v>10914540.483669596</v>
          </cell>
          <cell r="W37">
            <v>10965088.274821412</v>
          </cell>
        </row>
        <row r="38">
          <cell r="B38" t="str">
            <v>W.C. Beckjord 4</v>
          </cell>
          <cell r="C38" t="str">
            <v>CGE</v>
          </cell>
          <cell r="D38">
            <v>12933388.189395165</v>
          </cell>
          <cell r="E38">
            <v>13126109.887728924</v>
          </cell>
          <cell r="F38">
            <v>13445985.37843775</v>
          </cell>
          <cell r="G38">
            <v>13762105.84673488</v>
          </cell>
          <cell r="H38">
            <v>13674338.717356492</v>
          </cell>
          <cell r="I38">
            <v>13675146.802383889</v>
          </cell>
          <cell r="J38">
            <v>14500284.481164802</v>
          </cell>
          <cell r="K38">
            <v>14679696.807000192</v>
          </cell>
          <cell r="L38">
            <v>14540841.011521714</v>
          </cell>
          <cell r="M38">
            <v>14638287.764907097</v>
          </cell>
          <cell r="N38">
            <v>14779220.219898898</v>
          </cell>
          <cell r="O38">
            <v>15157901.881523373</v>
          </cell>
          <cell r="P38">
            <v>15392547.222264519</v>
          </cell>
          <cell r="Q38">
            <v>15287385.950157382</v>
          </cell>
          <cell r="R38">
            <v>15598432.677516902</v>
          </cell>
          <cell r="S38">
            <v>16322532.184099274</v>
          </cell>
          <cell r="T38">
            <v>13247590.957317304</v>
          </cell>
          <cell r="U38">
            <v>16293281.517791476</v>
          </cell>
          <cell r="V38">
            <v>13242168.834976537</v>
          </cell>
          <cell r="W38">
            <v>13346403.901156964</v>
          </cell>
        </row>
        <row r="39">
          <cell r="B39" t="str">
            <v>W.C. Beckjord 5</v>
          </cell>
          <cell r="C39" t="str">
            <v>CGE</v>
          </cell>
          <cell r="D39">
            <v>20392137.56079071</v>
          </cell>
          <cell r="E39">
            <v>20118228.042589847</v>
          </cell>
          <cell r="F39">
            <v>20720108.844150804</v>
          </cell>
          <cell r="G39">
            <v>21224160.486659236</v>
          </cell>
          <cell r="H39">
            <v>21032296.743121635</v>
          </cell>
          <cell r="I39">
            <v>20902486.668617211</v>
          </cell>
          <cell r="J39">
            <v>21990837.054795634</v>
          </cell>
          <cell r="K39">
            <v>22264843.670288082</v>
          </cell>
          <cell r="L39">
            <v>21996577.706430025</v>
          </cell>
          <cell r="M39">
            <v>22151804.941839188</v>
          </cell>
          <cell r="N39">
            <v>22590431.350030422</v>
          </cell>
          <cell r="O39">
            <v>23231245.233284064</v>
          </cell>
          <cell r="P39">
            <v>23700459.134330034</v>
          </cell>
          <cell r="Q39">
            <v>23506678.068807531</v>
          </cell>
          <cell r="R39">
            <v>24034877.478908319</v>
          </cell>
          <cell r="S39">
            <v>25104378.403680891</v>
          </cell>
          <cell r="T39">
            <v>20518526.224561848</v>
          </cell>
          <cell r="U39">
            <v>25185382.853990883</v>
          </cell>
          <cell r="V39">
            <v>20533465.975899223</v>
          </cell>
          <cell r="W39">
            <v>20761037.609956957</v>
          </cell>
        </row>
        <row r="40">
          <cell r="B40" t="str">
            <v>W.C. Beckjord 6</v>
          </cell>
          <cell r="C40" t="str">
            <v>CGE</v>
          </cell>
          <cell r="D40">
            <v>12952379.508286236</v>
          </cell>
          <cell r="E40">
            <v>12786256.142821534</v>
          </cell>
          <cell r="F40">
            <v>12892149.18314117</v>
          </cell>
          <cell r="G40">
            <v>12953274.310931327</v>
          </cell>
          <cell r="H40">
            <v>12881318.168070115</v>
          </cell>
          <cell r="I40">
            <v>12930552.660477655</v>
          </cell>
          <cell r="J40">
            <v>12812630.191617711</v>
          </cell>
          <cell r="K40">
            <v>12991144.194544315</v>
          </cell>
          <cell r="L40">
            <v>12759564.602643795</v>
          </cell>
          <cell r="M40">
            <v>12818379.240000948</v>
          </cell>
          <cell r="N40">
            <v>13022929.545526462</v>
          </cell>
          <cell r="O40">
            <v>13370167.277057391</v>
          </cell>
          <cell r="P40">
            <v>13611248.366145119</v>
          </cell>
          <cell r="Q40">
            <v>13473201.989219978</v>
          </cell>
          <cell r="R40">
            <v>13710948.676445978</v>
          </cell>
          <cell r="S40">
            <v>14232804.411498493</v>
          </cell>
          <cell r="T40">
            <v>11276612.987714246</v>
          </cell>
          <cell r="U40">
            <v>13954373.951677002</v>
          </cell>
          <cell r="V40">
            <v>11327376.316122143</v>
          </cell>
          <cell r="W40">
            <v>11727512.937055454</v>
          </cell>
        </row>
        <row r="41">
          <cell r="B41" t="str">
            <v>W.H. Zimmer 1</v>
          </cell>
          <cell r="C41" t="str">
            <v>CGE</v>
          </cell>
          <cell r="D41">
            <v>36846790.170005292</v>
          </cell>
          <cell r="E41">
            <v>36794105.582212895</v>
          </cell>
          <cell r="F41">
            <v>36648209.800633401</v>
          </cell>
          <cell r="G41">
            <v>36707390.327982515</v>
          </cell>
          <cell r="H41">
            <v>37091139.125975825</v>
          </cell>
          <cell r="I41">
            <v>37819951.577938683</v>
          </cell>
          <cell r="J41">
            <v>39009638.713567376</v>
          </cell>
          <cell r="K41">
            <v>40960623.570642494</v>
          </cell>
          <cell r="L41">
            <v>42162088.027140595</v>
          </cell>
          <cell r="M41">
            <v>43231283.152913243</v>
          </cell>
          <cell r="N41">
            <v>44585557.324113086</v>
          </cell>
          <cell r="O41">
            <v>46119412.482460737</v>
          </cell>
          <cell r="P41">
            <v>48134908.661253281</v>
          </cell>
          <cell r="Q41">
            <v>48242038.714186437</v>
          </cell>
          <cell r="R41">
            <v>48972182.845035188</v>
          </cell>
          <cell r="S41">
            <v>49850947.884144455</v>
          </cell>
          <cell r="T41">
            <v>49900685.4484597</v>
          </cell>
          <cell r="U41">
            <v>50438350.833831578</v>
          </cell>
          <cell r="V41">
            <v>51089537.266815566</v>
          </cell>
          <cell r="W41">
            <v>51679926.202986896</v>
          </cell>
        </row>
        <row r="42">
          <cell r="B42" t="str">
            <v>Cayuga Diesel 3A-D</v>
          </cell>
          <cell r="C42" t="str">
            <v>PSI</v>
          </cell>
          <cell r="D42">
            <v>588527.93903592881</v>
          </cell>
          <cell r="E42">
            <v>500003.92398158787</v>
          </cell>
          <cell r="F42">
            <v>444602.85384691285</v>
          </cell>
          <cell r="G42">
            <v>498368.99573785072</v>
          </cell>
          <cell r="H42">
            <v>430689.55472416029</v>
          </cell>
          <cell r="I42">
            <v>435222.11392364284</v>
          </cell>
          <cell r="J42">
            <v>411950.6191132043</v>
          </cell>
          <cell r="K42">
            <v>419161.74275434832</v>
          </cell>
          <cell r="L42">
            <v>466270.26610432245</v>
          </cell>
          <cell r="M42">
            <v>481394.55562348547</v>
          </cell>
          <cell r="N42">
            <v>476995.46271573828</v>
          </cell>
          <cell r="O42">
            <v>485942.61926299438</v>
          </cell>
          <cell r="P42">
            <v>503666.20308830705</v>
          </cell>
          <cell r="Q42">
            <v>541102.59174939001</v>
          </cell>
          <cell r="R42">
            <v>532458.67598784738</v>
          </cell>
          <cell r="S42">
            <v>552226.32679059217</v>
          </cell>
          <cell r="T42">
            <v>586315.73775757651</v>
          </cell>
          <cell r="U42">
            <v>579071.77094988991</v>
          </cell>
          <cell r="V42">
            <v>570355.40234845458</v>
          </cell>
          <cell r="W42">
            <v>645479.669767919</v>
          </cell>
        </row>
        <row r="43">
          <cell r="B43" t="str">
            <v>Cayuga CT 4</v>
          </cell>
          <cell r="C43" t="str">
            <v>PSI</v>
          </cell>
          <cell r="D43">
            <v>5270276.9309517369</v>
          </cell>
          <cell r="E43">
            <v>4046648.2619203175</v>
          </cell>
          <cell r="F43">
            <v>3798946.5608545928</v>
          </cell>
          <cell r="G43">
            <v>4118765.9142099698</v>
          </cell>
          <cell r="H43">
            <v>3640931.7683545728</v>
          </cell>
          <cell r="I43">
            <v>3853154.7386495215</v>
          </cell>
          <cell r="J43">
            <v>3644312.5960418894</v>
          </cell>
          <cell r="K43">
            <v>3638917.3688655361</v>
          </cell>
          <cell r="L43">
            <v>4147490.1371576679</v>
          </cell>
          <cell r="M43">
            <v>4386472.465116634</v>
          </cell>
          <cell r="N43">
            <v>4366266.2208064208</v>
          </cell>
          <cell r="O43">
            <v>4441482.0277866153</v>
          </cell>
          <cell r="P43">
            <v>4642103.0711498149</v>
          </cell>
          <cell r="Q43">
            <v>5109948.2831122642</v>
          </cell>
          <cell r="R43">
            <v>5043718.357410864</v>
          </cell>
          <cell r="S43">
            <v>5169422.9476059387</v>
          </cell>
          <cell r="T43">
            <v>5534730.9125559628</v>
          </cell>
          <cell r="U43">
            <v>5551721.0809336444</v>
          </cell>
          <cell r="V43">
            <v>5529493.1023809537</v>
          </cell>
          <cell r="W43">
            <v>6265208.0850029979</v>
          </cell>
        </row>
        <row r="44">
          <cell r="B44" t="str">
            <v>Connersville CT 1</v>
          </cell>
          <cell r="C44" t="str">
            <v>PSI</v>
          </cell>
          <cell r="D44">
            <v>823779.54960445687</v>
          </cell>
          <cell r="E44">
            <v>682373.9545128959</v>
          </cell>
          <cell r="F44">
            <v>639726.47548919788</v>
          </cell>
          <cell r="G44">
            <v>775665.61955032591</v>
          </cell>
          <cell r="H44">
            <v>657998.4094775538</v>
          </cell>
          <cell r="I44">
            <v>726303.77155802911</v>
          </cell>
          <cell r="J44">
            <v>712094.16410415678</v>
          </cell>
          <cell r="K44">
            <v>743253.72348227142</v>
          </cell>
          <cell r="L44">
            <v>893456.1874468656</v>
          </cell>
          <cell r="M44">
            <v>984828.85606829287</v>
          </cell>
          <cell r="N44">
            <v>1050356.4935729427</v>
          </cell>
          <cell r="O44">
            <v>1047669.9402672095</v>
          </cell>
          <cell r="P44">
            <v>1165736.5533082804</v>
          </cell>
          <cell r="Q44">
            <v>1229504.9796862854</v>
          </cell>
          <cell r="R44">
            <v>1246713.536867809</v>
          </cell>
          <cell r="S44">
            <v>1314027.0019593721</v>
          </cell>
          <cell r="T44">
            <v>1441551.7476703576</v>
          </cell>
          <cell r="U44">
            <v>1534903.704363721</v>
          </cell>
          <cell r="V44">
            <v>1502360.5243335611</v>
          </cell>
          <cell r="W44">
            <v>2226781.4943079324</v>
          </cell>
        </row>
        <row r="45">
          <cell r="B45" t="str">
            <v>Connersville CT 2</v>
          </cell>
          <cell r="C45" t="str">
            <v>PSI</v>
          </cell>
          <cell r="D45">
            <v>823779.54960445687</v>
          </cell>
          <cell r="E45">
            <v>682373.9545128959</v>
          </cell>
          <cell r="F45">
            <v>639726.47548919788</v>
          </cell>
          <cell r="G45">
            <v>775665.61955032591</v>
          </cell>
          <cell r="H45">
            <v>657998.4094775538</v>
          </cell>
          <cell r="I45">
            <v>726303.77155802911</v>
          </cell>
          <cell r="J45">
            <v>712094.16410415678</v>
          </cell>
          <cell r="K45">
            <v>743253.72348227142</v>
          </cell>
          <cell r="L45">
            <v>893456.1874468656</v>
          </cell>
          <cell r="M45">
            <v>984828.85606829287</v>
          </cell>
          <cell r="N45">
            <v>1050356.4935729427</v>
          </cell>
          <cell r="O45">
            <v>1047669.9402672095</v>
          </cell>
          <cell r="P45">
            <v>1165736.5533082804</v>
          </cell>
          <cell r="Q45">
            <v>1229504.9796862854</v>
          </cell>
          <cell r="R45">
            <v>1246713.536867809</v>
          </cell>
          <cell r="S45">
            <v>1314027.0019593721</v>
          </cell>
          <cell r="T45">
            <v>1441551.7476703576</v>
          </cell>
          <cell r="U45">
            <v>1534903.704363721</v>
          </cell>
          <cell r="V45">
            <v>1502360.5243335611</v>
          </cell>
          <cell r="W45">
            <v>2226781.4943079324</v>
          </cell>
        </row>
        <row r="46">
          <cell r="B46" t="str">
            <v>Dicks Creek CT 1</v>
          </cell>
          <cell r="C46" t="str">
            <v>CGE</v>
          </cell>
          <cell r="D46">
            <v>903345.87757033634</v>
          </cell>
          <cell r="E46">
            <v>816862.4048177019</v>
          </cell>
          <cell r="F46">
            <v>817985.76964767952</v>
          </cell>
          <cell r="G46">
            <v>1025659.3024474808</v>
          </cell>
          <cell r="H46">
            <v>877026.10068559065</v>
          </cell>
          <cell r="I46">
            <v>994589.15204290894</v>
          </cell>
          <cell r="J46">
            <v>1021912.5817242604</v>
          </cell>
          <cell r="K46">
            <v>1068989.5619970695</v>
          </cell>
          <cell r="L46">
            <v>1264962.3842761333</v>
          </cell>
          <cell r="M46">
            <v>1387516.3182308911</v>
          </cell>
          <cell r="N46">
            <v>1518243.7403700408</v>
          </cell>
          <cell r="O46">
            <v>1514648.2604933064</v>
          </cell>
          <cell r="P46">
            <v>1612816.3107579954</v>
          </cell>
          <cell r="Q46">
            <v>1530628.829313739</v>
          </cell>
          <cell r="R46">
            <v>1737095.0927152797</v>
          </cell>
          <cell r="S46">
            <v>1802862.2880063315</v>
          </cell>
          <cell r="T46">
            <v>1963516.7374366466</v>
          </cell>
          <cell r="U46">
            <v>2080219.2235740542</v>
          </cell>
          <cell r="V46">
            <v>2092188.0563112348</v>
          </cell>
          <cell r="W46">
            <v>3499969.022799138</v>
          </cell>
        </row>
        <row r="47">
          <cell r="B47" t="str">
            <v>Dicks Creek CT 3</v>
          </cell>
          <cell r="C47" t="str">
            <v>CGE</v>
          </cell>
          <cell r="D47">
            <v>140194.04271214025</v>
          </cell>
          <cell r="E47">
            <v>126951.13517220769</v>
          </cell>
          <cell r="F47">
            <v>126584.36855079152</v>
          </cell>
          <cell r="G47">
            <v>159376.38470438699</v>
          </cell>
          <cell r="H47">
            <v>136114.96700093499</v>
          </cell>
          <cell r="I47">
            <v>154266.39316662718</v>
          </cell>
          <cell r="J47">
            <v>158687.21911437539</v>
          </cell>
          <cell r="K47">
            <v>165913.97903819932</v>
          </cell>
          <cell r="L47">
            <v>196737.11747240325</v>
          </cell>
          <cell r="M47">
            <v>215870.66482641589</v>
          </cell>
          <cell r="N47">
            <v>237083.95321987252</v>
          </cell>
          <cell r="O47">
            <v>236280.27856926061</v>
          </cell>
          <cell r="P47">
            <v>251981.50249941606</v>
          </cell>
          <cell r="Q47">
            <v>239677.56186547261</v>
          </cell>
          <cell r="R47">
            <v>272272.55671457312</v>
          </cell>
          <cell r="S47">
            <v>283000.34251642803</v>
          </cell>
          <cell r="T47">
            <v>308514.41593297018</v>
          </cell>
          <cell r="U47">
            <v>327183.51940249139</v>
          </cell>
          <cell r="V47">
            <v>329135.21935315407</v>
          </cell>
          <cell r="W47">
            <v>555558.77038588421</v>
          </cell>
        </row>
        <row r="48">
          <cell r="B48" t="str">
            <v>Dicks Creek CT 4-5</v>
          </cell>
          <cell r="C48" t="str">
            <v>CGE</v>
          </cell>
          <cell r="D48">
            <v>284236.60963896848</v>
          </cell>
          <cell r="E48">
            <v>252334.79169138893</v>
          </cell>
          <cell r="F48">
            <v>243392.45251253113</v>
          </cell>
          <cell r="G48">
            <v>321102.20182978397</v>
          </cell>
          <cell r="H48">
            <v>255377.41696211655</v>
          </cell>
          <cell r="I48">
            <v>303482.63440506381</v>
          </cell>
          <cell r="J48">
            <v>312986.2203552351</v>
          </cell>
          <cell r="K48">
            <v>321629.30244131276</v>
          </cell>
          <cell r="L48">
            <v>412674.39921630366</v>
          </cell>
          <cell r="M48">
            <v>436961.34616552613</v>
          </cell>
          <cell r="N48">
            <v>466035.49038560345</v>
          </cell>
          <cell r="O48">
            <v>508602.35137768625</v>
          </cell>
          <cell r="P48">
            <v>522446.34517132794</v>
          </cell>
          <cell r="Q48">
            <v>534303.97836500616</v>
          </cell>
          <cell r="R48">
            <v>569656.65165536385</v>
          </cell>
          <cell r="S48">
            <v>648209.75053439406</v>
          </cell>
          <cell r="T48">
            <v>647997.51549851568</v>
          </cell>
          <cell r="U48">
            <v>710765.55479668884</v>
          </cell>
          <cell r="V48">
            <v>752572.26657191082</v>
          </cell>
          <cell r="W48">
            <v>1204452.2073323075</v>
          </cell>
        </row>
        <row r="49">
          <cell r="B49" t="str">
            <v>Miami Fort CT 3-6</v>
          </cell>
          <cell r="C49" t="str">
            <v>CGE</v>
          </cell>
          <cell r="D49">
            <v>546546.00046401459</v>
          </cell>
          <cell r="E49">
            <v>499676.84748992173</v>
          </cell>
          <cell r="F49">
            <v>501667.3865189408</v>
          </cell>
          <cell r="G49">
            <v>628501.5282288834</v>
          </cell>
          <cell r="H49">
            <v>531319.92824343545</v>
          </cell>
          <cell r="I49">
            <v>607135.42215986131</v>
          </cell>
          <cell r="J49">
            <v>643053.77543327701</v>
          </cell>
          <cell r="K49">
            <v>682399.97009536636</v>
          </cell>
          <cell r="L49">
            <v>804641.94912209932</v>
          </cell>
          <cell r="M49">
            <v>910196.82161076355</v>
          </cell>
          <cell r="N49">
            <v>989253.51375946973</v>
          </cell>
          <cell r="O49">
            <v>1004142.2414115232</v>
          </cell>
          <cell r="P49">
            <v>1103801.3166973286</v>
          </cell>
          <cell r="Q49">
            <v>1074938.4346639283</v>
          </cell>
          <cell r="R49">
            <v>1202713.3617663258</v>
          </cell>
          <cell r="S49">
            <v>1260321.3022975663</v>
          </cell>
          <cell r="T49">
            <v>1401759.2520324304</v>
          </cell>
          <cell r="U49">
            <v>1489294.8638227771</v>
          </cell>
          <cell r="V49">
            <v>1477246.1007364648</v>
          </cell>
          <cell r="W49">
            <v>2406505.2719162833</v>
          </cell>
        </row>
        <row r="50">
          <cell r="B50" t="str">
            <v>Miami-Wabash CT 1-6</v>
          </cell>
          <cell r="C50" t="str">
            <v>PSI</v>
          </cell>
          <cell r="D50">
            <v>939663.48983291269</v>
          </cell>
          <cell r="E50">
            <v>847644.26388384972</v>
          </cell>
          <cell r="F50">
            <v>848617.3223470347</v>
          </cell>
          <cell r="G50">
            <v>1067997.6543319486</v>
          </cell>
          <cell r="H50">
            <v>887527.48653420701</v>
          </cell>
          <cell r="I50">
            <v>1016529.522677255</v>
          </cell>
          <cell r="J50">
            <v>1023716.0978803065</v>
          </cell>
          <cell r="K50">
            <v>1102459.7475709603</v>
          </cell>
          <cell r="L50">
            <v>1253574.0159257504</v>
          </cell>
          <cell r="M50">
            <v>1385390.0342386237</v>
          </cell>
          <cell r="N50">
            <v>1537695.1133530121</v>
          </cell>
          <cell r="O50">
            <v>1491169.4313589949</v>
          </cell>
          <cell r="P50">
            <v>1562819.7656074343</v>
          </cell>
          <cell r="Q50">
            <v>1453873.2587035478</v>
          </cell>
          <cell r="R50">
            <v>1670822.9420673079</v>
          </cell>
          <cell r="S50">
            <v>1754013.7635728824</v>
          </cell>
          <cell r="T50">
            <v>1828996.4901584492</v>
          </cell>
          <cell r="U50">
            <v>1964882.5240847142</v>
          </cell>
          <cell r="V50">
            <v>1991045.0169903382</v>
          </cell>
          <cell r="W50">
            <v>3331754.0193156772</v>
          </cell>
        </row>
        <row r="51">
          <cell r="B51" t="str">
            <v>Wabash Diesel 7A-B</v>
          </cell>
          <cell r="C51" t="str">
            <v>PSI</v>
          </cell>
          <cell r="D51">
            <v>430588.81355618208</v>
          </cell>
          <cell r="E51">
            <v>366609.26990251115</v>
          </cell>
          <cell r="F51">
            <v>327006.24896672316</v>
          </cell>
          <cell r="G51">
            <v>366229.79132832674</v>
          </cell>
          <cell r="H51">
            <v>316745.34938070661</v>
          </cell>
          <cell r="I51">
            <v>320918.86736628436</v>
          </cell>
          <cell r="J51">
            <v>304008.18405246688</v>
          </cell>
          <cell r="K51">
            <v>309839.93671607785</v>
          </cell>
          <cell r="L51">
            <v>344655.32511425781</v>
          </cell>
          <cell r="M51">
            <v>355824.72571432247</v>
          </cell>
          <cell r="N51">
            <v>352896.361403986</v>
          </cell>
          <cell r="O51">
            <v>360098.23643921682</v>
          </cell>
          <cell r="P51">
            <v>373193.89587253414</v>
          </cell>
          <cell r="Q51">
            <v>400834.99682388979</v>
          </cell>
          <cell r="R51">
            <v>394462.09509971074</v>
          </cell>
          <cell r="S51">
            <v>409422.92393935082</v>
          </cell>
          <cell r="T51">
            <v>434559.26115884027</v>
          </cell>
          <cell r="U51">
            <v>429687.73367125017</v>
          </cell>
          <cell r="V51">
            <v>423544.5280263176</v>
          </cell>
          <cell r="W51">
            <v>479816.77538066253</v>
          </cell>
        </row>
        <row r="52">
          <cell r="B52" t="str">
            <v>W.C. Beckjord CT 1</v>
          </cell>
          <cell r="C52" t="str">
            <v>CGE</v>
          </cell>
          <cell r="D52">
            <v>586031.16641549882</v>
          </cell>
          <cell r="E52">
            <v>527783.32960255968</v>
          </cell>
          <cell r="F52">
            <v>514717.74496200751</v>
          </cell>
          <cell r="G52">
            <v>639670.05896523315</v>
          </cell>
          <cell r="H52">
            <v>535539.46671424666</v>
          </cell>
          <cell r="I52">
            <v>629538.38772428792</v>
          </cell>
          <cell r="J52">
            <v>646207.31701992662</v>
          </cell>
          <cell r="K52">
            <v>667606.13011945831</v>
          </cell>
          <cell r="L52">
            <v>816809.35144474031</v>
          </cell>
          <cell r="M52">
            <v>924626.04185919825</v>
          </cell>
          <cell r="N52">
            <v>995553.22663824796</v>
          </cell>
          <cell r="O52">
            <v>1020742.6198335683</v>
          </cell>
          <cell r="P52">
            <v>1132786.3555873416</v>
          </cell>
          <cell r="Q52">
            <v>1156037.8268067995</v>
          </cell>
          <cell r="R52">
            <v>1206332.7422496756</v>
          </cell>
          <cell r="S52">
            <v>1281378.5953083115</v>
          </cell>
          <cell r="T52">
            <v>1447213.8647000925</v>
          </cell>
          <cell r="U52">
            <v>1547936.6607586083</v>
          </cell>
          <cell r="V52">
            <v>1521676.2734021116</v>
          </cell>
          <cell r="W52">
            <v>2317977.0609133099</v>
          </cell>
        </row>
        <row r="53">
          <cell r="B53" t="str">
            <v>W.C. Beckjord CT 2</v>
          </cell>
          <cell r="C53" t="str">
            <v>CGE</v>
          </cell>
          <cell r="D53">
            <v>586031.16641549882</v>
          </cell>
          <cell r="E53">
            <v>527783.32960255968</v>
          </cell>
          <cell r="F53">
            <v>514717.74496200751</v>
          </cell>
          <cell r="G53">
            <v>639670.05896523315</v>
          </cell>
          <cell r="H53">
            <v>535539.46671424666</v>
          </cell>
          <cell r="I53">
            <v>629538.38772428792</v>
          </cell>
          <cell r="J53">
            <v>646207.31701992662</v>
          </cell>
          <cell r="K53">
            <v>667606.13011945831</v>
          </cell>
          <cell r="L53">
            <v>816809.35144474031</v>
          </cell>
          <cell r="M53">
            <v>924626.04185919825</v>
          </cell>
          <cell r="N53">
            <v>995553.22663824796</v>
          </cell>
          <cell r="O53">
            <v>1020742.6198335683</v>
          </cell>
          <cell r="P53">
            <v>1132786.3555873416</v>
          </cell>
          <cell r="Q53">
            <v>1156037.8268067995</v>
          </cell>
          <cell r="R53">
            <v>1206332.7422496756</v>
          </cell>
          <cell r="S53">
            <v>1281378.5953083115</v>
          </cell>
          <cell r="T53">
            <v>1447213.8647000925</v>
          </cell>
          <cell r="U53">
            <v>1547936.6607586083</v>
          </cell>
          <cell r="V53">
            <v>1521676.2734021116</v>
          </cell>
          <cell r="W53">
            <v>2317977.0609133099</v>
          </cell>
        </row>
        <row r="54">
          <cell r="B54" t="str">
            <v>W.C. Beckjord CT 3</v>
          </cell>
          <cell r="C54" t="str">
            <v>CGE</v>
          </cell>
          <cell r="D54">
            <v>586031.16641549882</v>
          </cell>
          <cell r="E54">
            <v>527783.32960255968</v>
          </cell>
          <cell r="F54">
            <v>514717.74496200751</v>
          </cell>
          <cell r="G54">
            <v>639670.05896523315</v>
          </cell>
          <cell r="H54">
            <v>535539.46671424666</v>
          </cell>
          <cell r="I54">
            <v>629538.38772428792</v>
          </cell>
          <cell r="J54">
            <v>646207.31701992662</v>
          </cell>
          <cell r="K54">
            <v>667606.13011945831</v>
          </cell>
          <cell r="L54">
            <v>816809.35144474031</v>
          </cell>
          <cell r="M54">
            <v>924626.04185919825</v>
          </cell>
          <cell r="N54">
            <v>995553.22663824796</v>
          </cell>
          <cell r="O54">
            <v>1020742.6198335683</v>
          </cell>
          <cell r="P54">
            <v>1132786.3555873416</v>
          </cell>
          <cell r="Q54">
            <v>1156037.8268067995</v>
          </cell>
          <cell r="R54">
            <v>1206332.7422496756</v>
          </cell>
          <cell r="S54">
            <v>1281378.5953083115</v>
          </cell>
          <cell r="T54">
            <v>1447213.8647000925</v>
          </cell>
          <cell r="U54">
            <v>1547936.6607586083</v>
          </cell>
          <cell r="V54">
            <v>1521676.2734021116</v>
          </cell>
          <cell r="W54">
            <v>2317977.0609133099</v>
          </cell>
        </row>
        <row r="55">
          <cell r="B55" t="str">
            <v>W.C. Beckjord CT 4</v>
          </cell>
          <cell r="C55" t="str">
            <v>CGE</v>
          </cell>
          <cell r="D55">
            <v>586031.16641549882</v>
          </cell>
          <cell r="E55">
            <v>527783.32960255968</v>
          </cell>
          <cell r="F55">
            <v>514717.74496200751</v>
          </cell>
          <cell r="G55">
            <v>639670.05896523315</v>
          </cell>
          <cell r="H55">
            <v>535539.46671424666</v>
          </cell>
          <cell r="I55">
            <v>629538.38772428792</v>
          </cell>
          <cell r="J55">
            <v>646207.31701992662</v>
          </cell>
          <cell r="K55">
            <v>667606.13011945831</v>
          </cell>
          <cell r="L55">
            <v>816809.35144474031</v>
          </cell>
          <cell r="M55">
            <v>924626.04185919825</v>
          </cell>
          <cell r="N55">
            <v>995553.22663824796</v>
          </cell>
          <cell r="O55">
            <v>1020742.6198335683</v>
          </cell>
          <cell r="P55">
            <v>1132786.3555873416</v>
          </cell>
          <cell r="Q55">
            <v>1156037.8268067995</v>
          </cell>
          <cell r="R55">
            <v>1206332.7422496756</v>
          </cell>
          <cell r="S55">
            <v>1281378.5953083115</v>
          </cell>
          <cell r="T55">
            <v>1447213.8647000925</v>
          </cell>
          <cell r="U55">
            <v>1547936.6607586083</v>
          </cell>
          <cell r="V55">
            <v>1521676.2734021116</v>
          </cell>
          <cell r="W55">
            <v>2317977.0609133099</v>
          </cell>
        </row>
        <row r="56">
          <cell r="B56" t="str">
            <v>Woodsdale CT 1</v>
          </cell>
          <cell r="C56" t="str">
            <v>CGE</v>
          </cell>
          <cell r="D56">
            <v>1484563.1928872629</v>
          </cell>
          <cell r="E56">
            <v>1304730.6800241705</v>
          </cell>
          <cell r="F56">
            <v>1174967.4748745419</v>
          </cell>
          <cell r="G56">
            <v>1467387.4535895763</v>
          </cell>
          <cell r="H56">
            <v>1182800.8483383143</v>
          </cell>
          <cell r="I56">
            <v>1323619.9606083443</v>
          </cell>
          <cell r="J56">
            <v>1250984.221675239</v>
          </cell>
          <cell r="K56">
            <v>1276817.7207517233</v>
          </cell>
          <cell r="L56">
            <v>1599112.824959222</v>
          </cell>
          <cell r="M56">
            <v>1620429.2222064943</v>
          </cell>
          <cell r="N56">
            <v>1755549.1327815005</v>
          </cell>
          <cell r="O56">
            <v>1808410.7092623583</v>
          </cell>
          <cell r="P56">
            <v>1910154.3459622201</v>
          </cell>
          <cell r="Q56">
            <v>2047880.2761251298</v>
          </cell>
          <cell r="R56">
            <v>2142430.2141069337</v>
          </cell>
          <cell r="S56">
            <v>2311440.4163208324</v>
          </cell>
          <cell r="T56">
            <v>2362036.2021818538</v>
          </cell>
          <cell r="U56">
            <v>2343967.3189649512</v>
          </cell>
          <cell r="V56">
            <v>2512079.675060634</v>
          </cell>
          <cell r="W56">
            <v>4139926.3137251413</v>
          </cell>
        </row>
        <row r="57">
          <cell r="B57" t="str">
            <v>Woodsdale CT 2</v>
          </cell>
          <cell r="C57" t="str">
            <v>CGE</v>
          </cell>
          <cell r="D57">
            <v>1484563.1928872629</v>
          </cell>
          <cell r="E57">
            <v>1304730.6800241705</v>
          </cell>
          <cell r="F57">
            <v>1174967.4748745419</v>
          </cell>
          <cell r="G57">
            <v>1467387.4535895763</v>
          </cell>
          <cell r="H57">
            <v>1182800.8483383143</v>
          </cell>
          <cell r="I57">
            <v>1323619.9606083443</v>
          </cell>
          <cell r="J57">
            <v>1250984.221675239</v>
          </cell>
          <cell r="K57">
            <v>1276817.7207517233</v>
          </cell>
          <cell r="L57">
            <v>1599112.824959222</v>
          </cell>
          <cell r="M57">
            <v>1620429.2222064943</v>
          </cell>
          <cell r="N57">
            <v>1755549.1327815005</v>
          </cell>
          <cell r="O57">
            <v>1808410.7092623583</v>
          </cell>
          <cell r="P57">
            <v>1910154.3459622201</v>
          </cell>
          <cell r="Q57">
            <v>2047880.2761251298</v>
          </cell>
          <cell r="R57">
            <v>2142430.2141069337</v>
          </cell>
          <cell r="S57">
            <v>2311440.4163208324</v>
          </cell>
          <cell r="T57">
            <v>2362036.2021818538</v>
          </cell>
          <cell r="U57">
            <v>2343967.3189649512</v>
          </cell>
          <cell r="V57">
            <v>2512079.675060634</v>
          </cell>
          <cell r="W57">
            <v>4139926.3137251413</v>
          </cell>
        </row>
        <row r="58">
          <cell r="B58" t="str">
            <v>Woodsdale CT 3</v>
          </cell>
          <cell r="C58" t="str">
            <v>CGE</v>
          </cell>
          <cell r="D58">
            <v>1484563.1928872629</v>
          </cell>
          <cell r="E58">
            <v>1304730.6800241705</v>
          </cell>
          <cell r="F58">
            <v>1174967.4748745419</v>
          </cell>
          <cell r="G58">
            <v>1467387.4535895763</v>
          </cell>
          <cell r="H58">
            <v>1182800.8483383143</v>
          </cell>
          <cell r="I58">
            <v>1323619.9606083443</v>
          </cell>
          <cell r="J58">
            <v>1250984.221675239</v>
          </cell>
          <cell r="K58">
            <v>1276817.7207517233</v>
          </cell>
          <cell r="L58">
            <v>1599112.824959222</v>
          </cell>
          <cell r="M58">
            <v>1620429.2222064943</v>
          </cell>
          <cell r="N58">
            <v>1755549.1327815005</v>
          </cell>
          <cell r="O58">
            <v>1808410.7092623583</v>
          </cell>
          <cell r="P58">
            <v>1910154.3459622201</v>
          </cell>
          <cell r="Q58">
            <v>2047880.2761251298</v>
          </cell>
          <cell r="R58">
            <v>2142430.2141069337</v>
          </cell>
          <cell r="S58">
            <v>2311440.4163208324</v>
          </cell>
          <cell r="T58">
            <v>2362036.2021818538</v>
          </cell>
          <cell r="U58">
            <v>2343967.3189649512</v>
          </cell>
          <cell r="V58">
            <v>2512079.675060634</v>
          </cell>
          <cell r="W58">
            <v>4139926.3137251413</v>
          </cell>
        </row>
        <row r="59">
          <cell r="B59" t="str">
            <v>Woodsdale CT 4</v>
          </cell>
          <cell r="C59" t="str">
            <v>CGE</v>
          </cell>
          <cell r="D59">
            <v>1484563.1928872629</v>
          </cell>
          <cell r="E59">
            <v>1304730.6800241705</v>
          </cell>
          <cell r="F59">
            <v>1174967.4748745419</v>
          </cell>
          <cell r="G59">
            <v>1467387.4535895763</v>
          </cell>
          <cell r="H59">
            <v>1182800.8483383143</v>
          </cell>
          <cell r="I59">
            <v>1323619.9606083443</v>
          </cell>
          <cell r="J59">
            <v>1250984.221675239</v>
          </cell>
          <cell r="K59">
            <v>1276817.7207517233</v>
          </cell>
          <cell r="L59">
            <v>1599112.824959222</v>
          </cell>
          <cell r="M59">
            <v>1620429.2222064943</v>
          </cell>
          <cell r="N59">
            <v>1755549.1327815005</v>
          </cell>
          <cell r="O59">
            <v>1808410.7092623583</v>
          </cell>
          <cell r="P59">
            <v>1910154.3459622201</v>
          </cell>
          <cell r="Q59">
            <v>2047880.2761251298</v>
          </cell>
          <cell r="R59">
            <v>2142430.2141069337</v>
          </cell>
          <cell r="S59">
            <v>2311440.4163208324</v>
          </cell>
          <cell r="T59">
            <v>2362036.2021818538</v>
          </cell>
          <cell r="U59">
            <v>2343967.3189649512</v>
          </cell>
          <cell r="V59">
            <v>2512079.675060634</v>
          </cell>
          <cell r="W59">
            <v>4139926.3137251413</v>
          </cell>
        </row>
        <row r="60">
          <cell r="B60" t="str">
            <v>Woodsdale CT 5</v>
          </cell>
          <cell r="C60" t="str">
            <v>CGE</v>
          </cell>
          <cell r="D60">
            <v>1484563.1928872629</v>
          </cell>
          <cell r="E60">
            <v>1304730.6800241705</v>
          </cell>
          <cell r="F60">
            <v>1174967.4748745419</v>
          </cell>
          <cell r="G60">
            <v>1467387.4535895763</v>
          </cell>
          <cell r="H60">
            <v>1182800.8483383143</v>
          </cell>
          <cell r="I60">
            <v>1323619.9606083443</v>
          </cell>
          <cell r="J60">
            <v>1250984.221675239</v>
          </cell>
          <cell r="K60">
            <v>1276817.7207517233</v>
          </cell>
          <cell r="L60">
            <v>1599112.824959222</v>
          </cell>
          <cell r="M60">
            <v>1620429.2222064943</v>
          </cell>
          <cell r="N60">
            <v>1755549.1327815005</v>
          </cell>
          <cell r="O60">
            <v>1808410.7092623583</v>
          </cell>
          <cell r="P60">
            <v>1910154.3459622201</v>
          </cell>
          <cell r="Q60">
            <v>2047880.2761251298</v>
          </cell>
          <cell r="R60">
            <v>2142430.2141069337</v>
          </cell>
          <cell r="S60">
            <v>2311440.4163208324</v>
          </cell>
          <cell r="T60">
            <v>2362036.2021818538</v>
          </cell>
          <cell r="U60">
            <v>2343967.3189649512</v>
          </cell>
          <cell r="V60">
            <v>2512079.675060634</v>
          </cell>
          <cell r="W60">
            <v>4139926.3137251413</v>
          </cell>
        </row>
        <row r="61">
          <cell r="B61" t="str">
            <v>Woodsdale CT 6</v>
          </cell>
          <cell r="C61" t="str">
            <v>CGE</v>
          </cell>
          <cell r="D61">
            <v>1484563.1928872629</v>
          </cell>
          <cell r="E61">
            <v>1304730.6800241705</v>
          </cell>
          <cell r="F61">
            <v>1174967.4748745419</v>
          </cell>
          <cell r="G61">
            <v>1467387.4535895763</v>
          </cell>
          <cell r="H61">
            <v>1182800.8483383143</v>
          </cell>
          <cell r="I61">
            <v>1323619.9606083443</v>
          </cell>
          <cell r="J61">
            <v>1250984.221675239</v>
          </cell>
          <cell r="K61">
            <v>1276817.7207517233</v>
          </cell>
          <cell r="L61">
            <v>1599112.824959222</v>
          </cell>
          <cell r="M61">
            <v>1620429.2222064943</v>
          </cell>
          <cell r="N61">
            <v>1755549.1327815005</v>
          </cell>
          <cell r="O61">
            <v>1808410.7092623583</v>
          </cell>
          <cell r="P61">
            <v>1910154.3459622201</v>
          </cell>
          <cell r="Q61">
            <v>2047880.2761251298</v>
          </cell>
          <cell r="R61">
            <v>2142430.2141069337</v>
          </cell>
          <cell r="S61">
            <v>2311440.4163208324</v>
          </cell>
          <cell r="T61">
            <v>2362036.2021818538</v>
          </cell>
          <cell r="U61">
            <v>2343967.3189649512</v>
          </cell>
          <cell r="V61">
            <v>2512079.675060634</v>
          </cell>
          <cell r="W61">
            <v>4139926.3137251413</v>
          </cell>
        </row>
        <row r="62">
          <cell r="B62" t="str">
            <v>Markland 1 -3</v>
          </cell>
          <cell r="C62" t="str">
            <v>PSI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</sheetData>
      <sheetData sheetId="31">
        <row r="2">
          <cell r="B2" t="str">
            <v>Cayuga 1</v>
          </cell>
          <cell r="C2" t="str">
            <v>PSI</v>
          </cell>
          <cell r="D2">
            <v>3951803.6165071102</v>
          </cell>
          <cell r="E2">
            <v>3936102.1858472102</v>
          </cell>
          <cell r="F2">
            <v>3755506.1181353461</v>
          </cell>
          <cell r="G2">
            <v>3740143.122607532</v>
          </cell>
          <cell r="H2">
            <v>9564178.0723245628</v>
          </cell>
          <cell r="I2">
            <v>10806183.49657082</v>
          </cell>
          <cell r="J2">
            <v>11373296.811316933</v>
          </cell>
          <cell r="K2">
            <v>11597309.120357694</v>
          </cell>
          <cell r="L2">
            <v>11841291.554548627</v>
          </cell>
          <cell r="M2">
            <v>12064699.919606339</v>
          </cell>
          <cell r="N2">
            <v>12355428.558394931</v>
          </cell>
          <cell r="O2">
            <v>12724090.448435418</v>
          </cell>
          <cell r="P2">
            <v>13081314.499704231</v>
          </cell>
          <cell r="Q2">
            <v>13293577.682880189</v>
          </cell>
          <cell r="R2">
            <v>13718660.987042272</v>
          </cell>
          <cell r="S2">
            <v>14063813.896958353</v>
          </cell>
          <cell r="T2">
            <v>14218782.598285848</v>
          </cell>
          <cell r="U2">
            <v>14494987.524458092</v>
          </cell>
          <cell r="V2">
            <v>14875605.841265284</v>
          </cell>
          <cell r="W2">
            <v>15001827.488669027</v>
          </cell>
        </row>
        <row r="3">
          <cell r="B3" t="str">
            <v>Cayuga 2</v>
          </cell>
          <cell r="C3" t="str">
            <v>PSI</v>
          </cell>
          <cell r="D3">
            <v>4152971.0767162619</v>
          </cell>
          <cell r="E3">
            <v>4239844.3434903435</v>
          </cell>
          <cell r="F3">
            <v>4008715.0663504563</v>
          </cell>
          <cell r="G3">
            <v>3981696.3984337621</v>
          </cell>
          <cell r="H3">
            <v>9306302.4879896343</v>
          </cell>
          <cell r="I3">
            <v>10778775.567178514</v>
          </cell>
          <cell r="J3">
            <v>11360519.310747499</v>
          </cell>
          <cell r="K3">
            <v>11570003.623209551</v>
          </cell>
          <cell r="L3">
            <v>11838869.993108837</v>
          </cell>
          <cell r="M3">
            <v>12069838.301459432</v>
          </cell>
          <cell r="N3">
            <v>12359156.994088707</v>
          </cell>
          <cell r="O3">
            <v>12722081.924668115</v>
          </cell>
          <cell r="P3">
            <v>13074384.1008195</v>
          </cell>
          <cell r="Q3">
            <v>13286958.463740993</v>
          </cell>
          <cell r="R3">
            <v>13693490.665793102</v>
          </cell>
          <cell r="S3">
            <v>14057829.195563758</v>
          </cell>
          <cell r="T3">
            <v>14193664.810189553</v>
          </cell>
          <cell r="U3">
            <v>14521812.720754737</v>
          </cell>
          <cell r="V3">
            <v>14910446.91924067</v>
          </cell>
          <cell r="W3">
            <v>15068695.161202488</v>
          </cell>
        </row>
        <row r="4">
          <cell r="B4" t="str">
            <v>Conesville 4</v>
          </cell>
          <cell r="C4" t="str">
            <v>CGE</v>
          </cell>
          <cell r="D4">
            <v>3361794.1760260318</v>
          </cell>
          <cell r="E4">
            <v>3558199.6445762445</v>
          </cell>
          <cell r="F4">
            <v>3616401.8428008612</v>
          </cell>
          <cell r="G4">
            <v>6649116.0099359667</v>
          </cell>
          <cell r="H4">
            <v>7103682.3288940359</v>
          </cell>
          <cell r="I4">
            <v>7331811.9643050293</v>
          </cell>
          <cell r="J4">
            <v>7497016.7952494156</v>
          </cell>
          <cell r="K4">
            <v>7709305.3785616187</v>
          </cell>
          <cell r="L4">
            <v>7849250.2680753032</v>
          </cell>
          <cell r="M4">
            <v>8012789.8790092282</v>
          </cell>
          <cell r="N4">
            <v>8199686.6126651</v>
          </cell>
          <cell r="O4">
            <v>8422874.0776842423</v>
          </cell>
          <cell r="P4">
            <v>8638880.5745320953</v>
          </cell>
          <cell r="Q4">
            <v>8819872.3136741035</v>
          </cell>
          <cell r="R4">
            <v>9066640.6963275373</v>
          </cell>
          <cell r="S4">
            <v>9333878.9876448512</v>
          </cell>
          <cell r="T4">
            <v>9487086.665505534</v>
          </cell>
          <cell r="U4">
            <v>9709014.0275703203</v>
          </cell>
          <cell r="V4">
            <v>9955965.4058059882</v>
          </cell>
          <cell r="W4">
            <v>10176416.292482508</v>
          </cell>
        </row>
        <row r="5">
          <cell r="B5" t="str">
            <v>East Bend 2</v>
          </cell>
          <cell r="C5" t="str">
            <v>CGE</v>
          </cell>
          <cell r="D5">
            <v>9166129.0384264924</v>
          </cell>
          <cell r="E5">
            <v>9352620.4002751391</v>
          </cell>
          <cell r="F5">
            <v>9553431.4293611906</v>
          </cell>
          <cell r="G5">
            <v>9749021.7114615664</v>
          </cell>
          <cell r="H5">
            <v>9949987.994404858</v>
          </cell>
          <cell r="I5">
            <v>10206922.7126058</v>
          </cell>
          <cell r="J5">
            <v>10437924.566530868</v>
          </cell>
          <cell r="K5">
            <v>10659851.980317585</v>
          </cell>
          <cell r="L5">
            <v>10916647.906389838</v>
          </cell>
          <cell r="M5">
            <v>11126815.179320788</v>
          </cell>
          <cell r="N5">
            <v>11338708.107433368</v>
          </cell>
          <cell r="O5">
            <v>11668601.429242782</v>
          </cell>
          <cell r="P5">
            <v>11991337.183985934</v>
          </cell>
          <cell r="Q5">
            <v>12209000.475764656</v>
          </cell>
          <cell r="R5">
            <v>12578478.541255105</v>
          </cell>
          <cell r="S5">
            <v>12934937.249858744</v>
          </cell>
          <cell r="T5">
            <v>13036576.218536343</v>
          </cell>
          <cell r="U5">
            <v>13405588.440309281</v>
          </cell>
          <cell r="V5">
            <v>13694464.063844994</v>
          </cell>
          <cell r="W5">
            <v>13878415.052433055</v>
          </cell>
        </row>
        <row r="6">
          <cell r="B6" t="str">
            <v>Edwardsport 6</v>
          </cell>
          <cell r="C6" t="str">
            <v>PSI</v>
          </cell>
          <cell r="D6">
            <v>65072.833009197886</v>
          </cell>
          <cell r="E6">
            <v>47225.919820500101</v>
          </cell>
          <cell r="F6">
            <v>41894.234226660468</v>
          </cell>
          <cell r="G6">
            <v>46335.247963048954</v>
          </cell>
          <cell r="H6">
            <v>42012.767408678679</v>
          </cell>
          <cell r="I6">
            <v>44759.039180404943</v>
          </cell>
          <cell r="J6">
            <v>43612.981903741078</v>
          </cell>
          <cell r="K6">
            <v>47363.59046355504</v>
          </cell>
          <cell r="L6">
            <v>56142.170248937895</v>
          </cell>
          <cell r="M6">
            <v>63146.773966484994</v>
          </cell>
          <cell r="N6">
            <v>63586.744544163485</v>
          </cell>
          <cell r="O6">
            <v>59224.050964396127</v>
          </cell>
          <cell r="P6">
            <v>64868.980454846045</v>
          </cell>
          <cell r="Q6">
            <v>70911.466427223946</v>
          </cell>
          <cell r="R6">
            <v>72912.931654050859</v>
          </cell>
          <cell r="S6">
            <v>77002.766425375521</v>
          </cell>
          <cell r="T6">
            <v>82823.531028202517</v>
          </cell>
          <cell r="U6">
            <v>84488.796074319296</v>
          </cell>
          <cell r="V6">
            <v>79785.834980409651</v>
          </cell>
          <cell r="W6">
            <v>90738.064940921147</v>
          </cell>
        </row>
        <row r="7">
          <cell r="B7" t="str">
            <v>Edwardsport 7</v>
          </cell>
          <cell r="C7" t="str">
            <v>PSI</v>
          </cell>
          <cell r="D7">
            <v>263401.63189344556</v>
          </cell>
          <cell r="E7">
            <v>257021.92661411114</v>
          </cell>
          <cell r="F7">
            <v>246995.82616107361</v>
          </cell>
          <cell r="G7">
            <v>262530.02333683043</v>
          </cell>
          <cell r="H7">
            <v>244783.04259892288</v>
          </cell>
          <cell r="I7">
            <v>246326.82413908376</v>
          </cell>
          <cell r="J7">
            <v>249164.08131543192</v>
          </cell>
          <cell r="K7">
            <v>260016.391230596</v>
          </cell>
          <cell r="L7">
            <v>258358.64342127444</v>
          </cell>
          <cell r="M7">
            <v>268228.29462949099</v>
          </cell>
          <cell r="N7">
            <v>288404.47159160959</v>
          </cell>
          <cell r="O7">
            <v>305162.71828974225</v>
          </cell>
          <cell r="P7">
            <v>330424.12443529145</v>
          </cell>
          <cell r="Q7">
            <v>340099.74381861888</v>
          </cell>
          <cell r="R7">
            <v>365716.97083507158</v>
          </cell>
          <cell r="S7">
            <v>385393.1341333937</v>
          </cell>
          <cell r="T7">
            <v>394396.34189889772</v>
          </cell>
          <cell r="U7">
            <v>382692.7696500817</v>
          </cell>
          <cell r="V7">
            <v>406818.28355633019</v>
          </cell>
          <cell r="W7">
            <v>407024.56214634323</v>
          </cell>
        </row>
        <row r="8">
          <cell r="B8" t="str">
            <v>Edwardsport 8</v>
          </cell>
          <cell r="C8" t="str">
            <v>PSI</v>
          </cell>
          <cell r="D8">
            <v>437708.9239413318</v>
          </cell>
          <cell r="E8">
            <v>427117.7261721234</v>
          </cell>
          <cell r="F8">
            <v>410469.00293458765</v>
          </cell>
          <cell r="G8">
            <v>436286.20400076528</v>
          </cell>
          <cell r="H8">
            <v>406798.47942873091</v>
          </cell>
          <cell r="I8">
            <v>409364.56720149628</v>
          </cell>
          <cell r="J8">
            <v>414090.91672443628</v>
          </cell>
          <cell r="K8">
            <v>432122.57992462756</v>
          </cell>
          <cell r="L8">
            <v>429369.85960223555</v>
          </cell>
          <cell r="M8">
            <v>445766.36333925033</v>
          </cell>
          <cell r="N8">
            <v>479310.44879735936</v>
          </cell>
          <cell r="O8">
            <v>507170.00398300798</v>
          </cell>
          <cell r="P8">
            <v>549130.30559875164</v>
          </cell>
          <cell r="Q8">
            <v>565219.42073707329</v>
          </cell>
          <cell r="R8">
            <v>607784.91229146754</v>
          </cell>
          <cell r="S8">
            <v>640504.1736176589</v>
          </cell>
          <cell r="T8">
            <v>655479.48346378084</v>
          </cell>
          <cell r="U8">
            <v>636014.32976171409</v>
          </cell>
          <cell r="V8">
            <v>676127.4267223865</v>
          </cell>
          <cell r="W8">
            <v>676468.11984450568</v>
          </cell>
        </row>
        <row r="9">
          <cell r="B9" t="str">
            <v>Gallagher 1</v>
          </cell>
          <cell r="C9" t="str">
            <v>PSI</v>
          </cell>
          <cell r="D9">
            <v>1071513.4951519265</v>
          </cell>
          <cell r="E9">
            <v>990511.84133585007</v>
          </cell>
          <cell r="F9">
            <v>991363.70101350395</v>
          </cell>
          <cell r="G9">
            <v>1021576.4330666788</v>
          </cell>
          <cell r="H9">
            <v>986117.79553650052</v>
          </cell>
          <cell r="I9">
            <v>1043732.2832646406</v>
          </cell>
          <cell r="J9">
            <v>1073915.480454423</v>
          </cell>
          <cell r="K9">
            <v>1076178.3486154489</v>
          </cell>
          <cell r="L9">
            <v>1094883.3408521421</v>
          </cell>
          <cell r="M9">
            <v>1132685.5167505522</v>
          </cell>
          <cell r="N9">
            <v>1185610.7813314106</v>
          </cell>
          <cell r="O9">
            <v>1249584.9236699124</v>
          </cell>
          <cell r="P9">
            <v>1319637.6740601629</v>
          </cell>
          <cell r="Q9">
            <v>1356193.4489098818</v>
          </cell>
          <cell r="R9">
            <v>1421966.3506633765</v>
          </cell>
          <cell r="S9">
            <v>1506307.5361201435</v>
          </cell>
          <cell r="T9">
            <v>1555294.0657912609</v>
          </cell>
          <cell r="U9">
            <v>1546341.8694618416</v>
          </cell>
          <cell r="V9">
            <v>1630063.2168902764</v>
          </cell>
          <cell r="W9">
            <v>1655425.9414562467</v>
          </cell>
        </row>
        <row r="10">
          <cell r="B10" t="str">
            <v>Gallagher 2</v>
          </cell>
          <cell r="C10" t="str">
            <v>PSI</v>
          </cell>
          <cell r="D10">
            <v>1118950.7978837891</v>
          </cell>
          <cell r="E10">
            <v>1030984.5459021376</v>
          </cell>
          <cell r="F10">
            <v>1028293.7041544804</v>
          </cell>
          <cell r="G10">
            <v>1061708.8406426564</v>
          </cell>
          <cell r="H10">
            <v>1030338.1257609894</v>
          </cell>
          <cell r="I10">
            <v>1101241.2648983048</v>
          </cell>
          <cell r="J10">
            <v>1129756.6394507773</v>
          </cell>
          <cell r="K10">
            <v>1117813.8557361953</v>
          </cell>
          <cell r="L10">
            <v>1132635.6251546917</v>
          </cell>
          <cell r="M10">
            <v>1177927.5016152661</v>
          </cell>
          <cell r="N10">
            <v>1221348.755113981</v>
          </cell>
          <cell r="O10">
            <v>1287011.6247986238</v>
          </cell>
          <cell r="P10">
            <v>1352098.8900554348</v>
          </cell>
          <cell r="Q10">
            <v>1387832.499034425</v>
          </cell>
          <cell r="R10">
            <v>1453934.9227123919</v>
          </cell>
          <cell r="S10">
            <v>1540832.5140649357</v>
          </cell>
          <cell r="T10">
            <v>1590247.6896216504</v>
          </cell>
          <cell r="U10">
            <v>1578306.8364535135</v>
          </cell>
          <cell r="V10">
            <v>1663397.6753168087</v>
          </cell>
          <cell r="W10">
            <v>1695184.5711307176</v>
          </cell>
        </row>
        <row r="11">
          <cell r="B11" t="str">
            <v>Gallagher 3</v>
          </cell>
          <cell r="C11" t="str">
            <v>PSI</v>
          </cell>
          <cell r="D11">
            <v>1096214.2609227656</v>
          </cell>
          <cell r="E11">
            <v>1012051.6408188211</v>
          </cell>
          <cell r="F11">
            <v>1011625.1599547345</v>
          </cell>
          <cell r="G11">
            <v>1042744.2443674174</v>
          </cell>
          <cell r="H11">
            <v>1009412.3556741762</v>
          </cell>
          <cell r="I11">
            <v>1071361.4504675271</v>
          </cell>
          <cell r="J11">
            <v>1104128.7488468818</v>
          </cell>
          <cell r="K11">
            <v>1098201.9293033069</v>
          </cell>
          <cell r="L11">
            <v>1114407.34578368</v>
          </cell>
          <cell r="M11">
            <v>1156000.3093024886</v>
          </cell>
          <cell r="N11">
            <v>1204195.7325506276</v>
          </cell>
          <cell r="O11">
            <v>1270356.2616295137</v>
          </cell>
          <cell r="P11">
            <v>1337998.8683569694</v>
          </cell>
          <cell r="Q11">
            <v>1372800.6068924672</v>
          </cell>
          <cell r="R11">
            <v>1438772.158047792</v>
          </cell>
          <cell r="S11">
            <v>1522941.2759045551</v>
          </cell>
          <cell r="T11">
            <v>1574792.0649171611</v>
          </cell>
          <cell r="U11">
            <v>1563517.711950372</v>
          </cell>
          <cell r="V11">
            <v>1646661.3058643364</v>
          </cell>
          <cell r="W11">
            <v>1678204.4943618765</v>
          </cell>
        </row>
        <row r="12">
          <cell r="B12" t="str">
            <v>Gallagher 4</v>
          </cell>
          <cell r="C12" t="str">
            <v>PSI</v>
          </cell>
          <cell r="D12">
            <v>1058292.9357264868</v>
          </cell>
          <cell r="E12">
            <v>974706.01164996263</v>
          </cell>
          <cell r="F12">
            <v>973418.68379580544</v>
          </cell>
          <cell r="G12">
            <v>1006294.9353243613</v>
          </cell>
          <cell r="H12">
            <v>965857.59083815571</v>
          </cell>
          <cell r="I12">
            <v>1019353.6210164927</v>
          </cell>
          <cell r="J12">
            <v>1053447.8427986661</v>
          </cell>
          <cell r="K12">
            <v>1062062.0394319398</v>
          </cell>
          <cell r="L12">
            <v>1082237.755350665</v>
          </cell>
          <cell r="M12">
            <v>1120584.9079256144</v>
          </cell>
          <cell r="N12">
            <v>1173371.700833838</v>
          </cell>
          <cell r="O12">
            <v>1235269.8273257036</v>
          </cell>
          <cell r="P12">
            <v>1306844.7830451936</v>
          </cell>
          <cell r="Q12">
            <v>1343865.9294899029</v>
          </cell>
          <cell r="R12">
            <v>1407449.1300904616</v>
          </cell>
          <cell r="S12">
            <v>1490919.7146931351</v>
          </cell>
          <cell r="T12">
            <v>1540825.8124435032</v>
          </cell>
          <cell r="U12">
            <v>1535511.01667891</v>
          </cell>
          <cell r="V12">
            <v>1619213.5873974604</v>
          </cell>
          <cell r="W12">
            <v>1642019.69956628</v>
          </cell>
        </row>
        <row r="13">
          <cell r="B13" t="str">
            <v>Gibson 1</v>
          </cell>
          <cell r="C13" t="str">
            <v>PSI</v>
          </cell>
          <cell r="D13">
            <v>6561223.9235052355</v>
          </cell>
          <cell r="E13">
            <v>6728843.0908103334</v>
          </cell>
          <cell r="F13">
            <v>6677935.486634179</v>
          </cell>
          <cell r="G13">
            <v>6614626.186779324</v>
          </cell>
          <cell r="H13">
            <v>12877292.021541683</v>
          </cell>
          <cell r="I13">
            <v>14307543.048291367</v>
          </cell>
          <cell r="J13">
            <v>14905349.359680466</v>
          </cell>
          <cell r="K13">
            <v>15174786.257084353</v>
          </cell>
          <cell r="L13">
            <v>15530119.931556679</v>
          </cell>
          <cell r="M13">
            <v>15835261.813017601</v>
          </cell>
          <cell r="N13">
            <v>16218259.912525006</v>
          </cell>
          <cell r="O13">
            <v>16694545.75417144</v>
          </cell>
          <cell r="P13">
            <v>17149174.091497365</v>
          </cell>
          <cell r="Q13">
            <v>17431797.01021957</v>
          </cell>
          <cell r="R13">
            <v>17965688.99330654</v>
          </cell>
          <cell r="S13">
            <v>18443305.983841978</v>
          </cell>
          <cell r="T13">
            <v>18632016.802409276</v>
          </cell>
          <cell r="U13">
            <v>19060349.025905646</v>
          </cell>
          <cell r="V13">
            <v>19572412.602376804</v>
          </cell>
          <cell r="W13">
            <v>19802359.633655284</v>
          </cell>
        </row>
        <row r="14">
          <cell r="B14" t="str">
            <v>Gibson 2</v>
          </cell>
          <cell r="C14" t="str">
            <v>PSI</v>
          </cell>
          <cell r="D14">
            <v>6623756.7346279677</v>
          </cell>
          <cell r="E14">
            <v>6813989.2919045938</v>
          </cell>
          <cell r="F14">
            <v>6764125.3779284265</v>
          </cell>
          <cell r="G14">
            <v>6736996.5863975845</v>
          </cell>
          <cell r="H14">
            <v>12820046.542603312</v>
          </cell>
          <cell r="I14">
            <v>14302621.893212222</v>
          </cell>
          <cell r="J14">
            <v>14905662.970833611</v>
          </cell>
          <cell r="K14">
            <v>15180411.929468459</v>
          </cell>
          <cell r="L14">
            <v>15531988.941692017</v>
          </cell>
          <cell r="M14">
            <v>15842675.190424874</v>
          </cell>
          <cell r="N14">
            <v>16224681.03443403</v>
          </cell>
          <cell r="O14">
            <v>16695408.492889471</v>
          </cell>
          <cell r="P14">
            <v>17151064.237196025</v>
          </cell>
          <cell r="Q14">
            <v>17438105.468548935</v>
          </cell>
          <cell r="R14">
            <v>17968608.839462519</v>
          </cell>
          <cell r="S14">
            <v>18451683.567744609</v>
          </cell>
          <cell r="T14">
            <v>18654464.997482229</v>
          </cell>
          <cell r="U14">
            <v>19072183.176593274</v>
          </cell>
          <cell r="V14">
            <v>19587764.031446844</v>
          </cell>
          <cell r="W14">
            <v>19838780.389166333</v>
          </cell>
        </row>
        <row r="15">
          <cell r="B15" t="str">
            <v>Gibson 3</v>
          </cell>
          <cell r="C15" t="str">
            <v>PSI</v>
          </cell>
          <cell r="D15">
            <v>6355286.2429720387</v>
          </cell>
          <cell r="E15">
            <v>6518088.9907045364</v>
          </cell>
          <cell r="F15">
            <v>6382951.0263790675</v>
          </cell>
          <cell r="G15">
            <v>6262795.405413731</v>
          </cell>
          <cell r="H15">
            <v>12984622.69474934</v>
          </cell>
          <cell r="I15">
            <v>14402747.087989427</v>
          </cell>
          <cell r="J15">
            <v>14908378.545113545</v>
          </cell>
          <cell r="K15">
            <v>15171631.186145354</v>
          </cell>
          <cell r="L15">
            <v>15520532.703626476</v>
          </cell>
          <cell r="M15">
            <v>15820999.12436183</v>
          </cell>
          <cell r="N15">
            <v>16202398.671124823</v>
          </cell>
          <cell r="O15">
            <v>16676900.000943769</v>
          </cell>
          <cell r="P15">
            <v>17142167.417888876</v>
          </cell>
          <cell r="Q15">
            <v>17417784.393259682</v>
          </cell>
          <cell r="R15">
            <v>17952627.845902491</v>
          </cell>
          <cell r="S15">
            <v>18426533.270519961</v>
          </cell>
          <cell r="T15">
            <v>18602115.357489452</v>
          </cell>
          <cell r="U15">
            <v>19019912.852817308</v>
          </cell>
          <cell r="V15">
            <v>19517641.163048245</v>
          </cell>
          <cell r="W15">
            <v>19728711.417837523</v>
          </cell>
        </row>
        <row r="16">
          <cell r="B16" t="str">
            <v>Gibson 4</v>
          </cell>
          <cell r="C16" t="str">
            <v>PSI</v>
          </cell>
          <cell r="D16">
            <v>10223023.935283415</v>
          </cell>
          <cell r="E16">
            <v>10431014.370066287</v>
          </cell>
          <cell r="F16">
            <v>10654977.267236466</v>
          </cell>
          <cell r="G16">
            <v>10891779.412485369</v>
          </cell>
          <cell r="H16">
            <v>11134182.756177016</v>
          </cell>
          <cell r="I16">
            <v>11410685.965447946</v>
          </cell>
          <cell r="J16">
            <v>11668759.932785863</v>
          </cell>
          <cell r="K16">
            <v>11990001.034727132</v>
          </cell>
          <cell r="L16">
            <v>12220911.942932025</v>
          </cell>
          <cell r="M16">
            <v>12485834.374513337</v>
          </cell>
          <cell r="N16">
            <v>12773642.54206178</v>
          </cell>
          <cell r="O16">
            <v>13113226.393962411</v>
          </cell>
          <cell r="P16">
            <v>13446785.678620942</v>
          </cell>
          <cell r="Q16">
            <v>13723772.454274334</v>
          </cell>
          <cell r="R16">
            <v>14108913.13307981</v>
          </cell>
          <cell r="S16">
            <v>14521960.161515238</v>
          </cell>
          <cell r="T16">
            <v>14727561.146039911</v>
          </cell>
          <cell r="U16">
            <v>15088858.343460541</v>
          </cell>
          <cell r="V16">
            <v>15455248.006710561</v>
          </cell>
          <cell r="W16">
            <v>15765884.741464414</v>
          </cell>
        </row>
        <row r="17">
          <cell r="B17" t="str">
            <v>Gibson 5</v>
          </cell>
          <cell r="C17" t="str">
            <v>PSI</v>
          </cell>
          <cell r="D17">
            <v>5082582.2929813862</v>
          </cell>
          <cell r="E17">
            <v>5185987.2667514673</v>
          </cell>
          <cell r="F17">
            <v>5297333.9341056356</v>
          </cell>
          <cell r="G17">
            <v>5413692.4204450659</v>
          </cell>
          <cell r="H17">
            <v>5532332.2876849947</v>
          </cell>
          <cell r="I17">
            <v>5671342.2894254709</v>
          </cell>
          <cell r="J17">
            <v>5796958.6673553372</v>
          </cell>
          <cell r="K17">
            <v>5960768.7042900287</v>
          </cell>
          <cell r="L17">
            <v>6073812.6409273008</v>
          </cell>
          <cell r="M17">
            <v>6200932.8362162402</v>
          </cell>
          <cell r="N17">
            <v>6339395.5766404048</v>
          </cell>
          <cell r="O17">
            <v>6511238.4598303568</v>
          </cell>
          <cell r="P17">
            <v>6682755.6866517849</v>
          </cell>
          <cell r="Q17">
            <v>6816067.7469722275</v>
          </cell>
          <cell r="R17">
            <v>7006676.8256884133</v>
          </cell>
          <cell r="S17">
            <v>7216732.5702630542</v>
          </cell>
          <cell r="T17">
            <v>7309670.5839545047</v>
          </cell>
          <cell r="U17">
            <v>7495151.2672208957</v>
          </cell>
          <cell r="V17">
            <v>7671852.4192229034</v>
          </cell>
          <cell r="W17">
            <v>7816697.6232412569</v>
          </cell>
        </row>
        <row r="18">
          <cell r="B18" t="str">
            <v>J.M. Stuart 1</v>
          </cell>
          <cell r="C18" t="str">
            <v>CGE</v>
          </cell>
          <cell r="D18">
            <v>2518548.5309649687</v>
          </cell>
          <cell r="E18">
            <v>2569050.388602749</v>
          </cell>
          <cell r="F18">
            <v>2624628.0068411445</v>
          </cell>
          <cell r="G18">
            <v>2654416.4637970272</v>
          </cell>
          <cell r="H18">
            <v>2678351.1631708411</v>
          </cell>
          <cell r="I18">
            <v>2682825.966510871</v>
          </cell>
          <cell r="J18">
            <v>2696005.8436281439</v>
          </cell>
          <cell r="K18">
            <v>2729804.1035682238</v>
          </cell>
          <cell r="L18">
            <v>2728809.2206681883</v>
          </cell>
          <cell r="M18">
            <v>2759945.4777582204</v>
          </cell>
          <cell r="N18">
            <v>2809081.5591986608</v>
          </cell>
          <cell r="O18">
            <v>2899852.4437144562</v>
          </cell>
          <cell r="P18">
            <v>2957057.1709981803</v>
          </cell>
          <cell r="Q18">
            <v>2934271.7813057094</v>
          </cell>
          <cell r="R18">
            <v>3008416.2056473456</v>
          </cell>
          <cell r="S18">
            <v>3117142.9449121072</v>
          </cell>
          <cell r="T18">
            <v>3086816.5194964488</v>
          </cell>
          <cell r="U18">
            <v>3056365.0052859355</v>
          </cell>
          <cell r="V18">
            <v>3131220.7486139596</v>
          </cell>
          <cell r="W18">
            <v>3242146.9423152776</v>
          </cell>
        </row>
        <row r="19">
          <cell r="B19" t="str">
            <v>J.M. Stuart 2</v>
          </cell>
          <cell r="C19" t="str">
            <v>CGE</v>
          </cell>
          <cell r="D19">
            <v>2518548.5309649687</v>
          </cell>
          <cell r="E19">
            <v>2569790.2937454875</v>
          </cell>
          <cell r="F19">
            <v>2624966.5802260339</v>
          </cell>
          <cell r="G19">
            <v>2662110.3867884944</v>
          </cell>
          <cell r="H19">
            <v>2706335.3490600293</v>
          </cell>
          <cell r="I19">
            <v>2732605.8075230545</v>
          </cell>
          <cell r="J19">
            <v>2766399.7489099973</v>
          </cell>
          <cell r="K19">
            <v>2797448.8021015222</v>
          </cell>
          <cell r="L19">
            <v>2822874.5329996361</v>
          </cell>
          <cell r="M19">
            <v>2872902.0061786533</v>
          </cell>
          <cell r="N19">
            <v>2900535.0428963872</v>
          </cell>
          <cell r="O19">
            <v>2996900.7770950673</v>
          </cell>
          <cell r="P19">
            <v>3044808.8968072804</v>
          </cell>
          <cell r="Q19">
            <v>3027450.2525237515</v>
          </cell>
          <cell r="R19">
            <v>3102059.2553797276</v>
          </cell>
          <cell r="S19">
            <v>3203944.5301127499</v>
          </cell>
          <cell r="T19">
            <v>3165315.8377988166</v>
          </cell>
          <cell r="U19">
            <v>3134899.808496431</v>
          </cell>
          <cell r="V19">
            <v>3211237.9891366209</v>
          </cell>
          <cell r="W19">
            <v>3325408.3504288364</v>
          </cell>
        </row>
        <row r="20">
          <cell r="B20" t="str">
            <v>J.M. Stuart 3</v>
          </cell>
          <cell r="C20" t="str">
            <v>CGE</v>
          </cell>
          <cell r="D20">
            <v>2518548.5309649687</v>
          </cell>
          <cell r="E20">
            <v>2569050.388602749</v>
          </cell>
          <cell r="F20">
            <v>2624628.0068411445</v>
          </cell>
          <cell r="G20">
            <v>2655889.777453017</v>
          </cell>
          <cell r="H20">
            <v>2681655.7188252183</v>
          </cell>
          <cell r="I20">
            <v>2685943.9690852193</v>
          </cell>
          <cell r="J20">
            <v>2700088.533871185</v>
          </cell>
          <cell r="K20">
            <v>2733384.794684154</v>
          </cell>
          <cell r="L20">
            <v>2734337.8141947724</v>
          </cell>
          <cell r="M20">
            <v>2766555.196240942</v>
          </cell>
          <cell r="N20">
            <v>2813978.4668610771</v>
          </cell>
          <cell r="O20">
            <v>2903433.3658547536</v>
          </cell>
          <cell r="P20">
            <v>2960920.8345396812</v>
          </cell>
          <cell r="Q20">
            <v>2939265.0174550922</v>
          </cell>
          <cell r="R20">
            <v>3013111.081484437</v>
          </cell>
          <cell r="S20">
            <v>3120931.3538184692</v>
          </cell>
          <cell r="T20">
            <v>3090744.2127116113</v>
          </cell>
          <cell r="U20">
            <v>3059008.2305282927</v>
          </cell>
          <cell r="V20">
            <v>3136186.5153058111</v>
          </cell>
          <cell r="W20">
            <v>3244976.6128817229</v>
          </cell>
        </row>
        <row r="21">
          <cell r="B21" t="str">
            <v>J.M. Stuart 4</v>
          </cell>
          <cell r="C21" t="str">
            <v>CGE</v>
          </cell>
          <cell r="D21">
            <v>2518548.5309649687</v>
          </cell>
          <cell r="E21">
            <v>2569460.6151727904</v>
          </cell>
          <cell r="F21">
            <v>2624966.5802260339</v>
          </cell>
          <cell r="G21">
            <v>2657622.3088396387</v>
          </cell>
          <cell r="H21">
            <v>2685941.0026213159</v>
          </cell>
          <cell r="I21">
            <v>2692047.1830485463</v>
          </cell>
          <cell r="J21">
            <v>2707742.2137911092</v>
          </cell>
          <cell r="K21">
            <v>2742344.6736131934</v>
          </cell>
          <cell r="L21">
            <v>2743890.1716431384</v>
          </cell>
          <cell r="M21">
            <v>2780223.3368650144</v>
          </cell>
          <cell r="N21">
            <v>2823324.8504288965</v>
          </cell>
          <cell r="O21">
            <v>2916403.1360035604</v>
          </cell>
          <cell r="P21">
            <v>2968458.9273273684</v>
          </cell>
          <cell r="Q21">
            <v>2947791.3264417099</v>
          </cell>
          <cell r="R21">
            <v>3023987.8412360889</v>
          </cell>
          <cell r="S21">
            <v>3130650.6749013774</v>
          </cell>
          <cell r="T21">
            <v>3099846.3063136321</v>
          </cell>
          <cell r="U21">
            <v>3067946.1656345492</v>
          </cell>
          <cell r="V21">
            <v>3146555.2518241638</v>
          </cell>
          <cell r="W21">
            <v>3254282.9401872824</v>
          </cell>
        </row>
        <row r="22">
          <cell r="B22" t="str">
            <v>Killen 2</v>
          </cell>
          <cell r="C22" t="str">
            <v>CGE</v>
          </cell>
          <cell r="D22">
            <v>2193343.4113188111</v>
          </cell>
          <cell r="E22">
            <v>2235751.4497120483</v>
          </cell>
          <cell r="F22">
            <v>2277767.5628034235</v>
          </cell>
          <cell r="G22">
            <v>2301642.6680163983</v>
          </cell>
          <cell r="H22">
            <v>2304025.6522341953</v>
          </cell>
          <cell r="I22">
            <v>2302206.2917777346</v>
          </cell>
          <cell r="J22">
            <v>2300865.093005368</v>
          </cell>
          <cell r="K22">
            <v>2322738.7099456838</v>
          </cell>
          <cell r="L22">
            <v>2314377.2369962097</v>
          </cell>
          <cell r="M22">
            <v>2337731.3274214431</v>
          </cell>
          <cell r="N22">
            <v>2400032.4445927236</v>
          </cell>
          <cell r="O22">
            <v>2476422.4707829761</v>
          </cell>
          <cell r="P22">
            <v>2523854.6679047551</v>
          </cell>
          <cell r="Q22">
            <v>2503692.2578046117</v>
          </cell>
          <cell r="R22">
            <v>2565707.1437255405</v>
          </cell>
          <cell r="S22">
            <v>2664887.1020796834</v>
          </cell>
          <cell r="T22">
            <v>2639490.1771555049</v>
          </cell>
          <cell r="U22">
            <v>2604711.473691036</v>
          </cell>
          <cell r="V22">
            <v>2641710.8287836798</v>
          </cell>
          <cell r="W22">
            <v>2758416.1195628</v>
          </cell>
        </row>
        <row r="23">
          <cell r="B23" t="str">
            <v>Miami Fort 5</v>
          </cell>
          <cell r="C23" t="str">
            <v>CGE</v>
          </cell>
          <cell r="D23">
            <v>393387.44257295388</v>
          </cell>
          <cell r="E23">
            <v>354419.51721647603</v>
          </cell>
          <cell r="F23">
            <v>344324.60492551955</v>
          </cell>
          <cell r="G23">
            <v>383757.38788393559</v>
          </cell>
          <cell r="H23">
            <v>354979.94485606044</v>
          </cell>
          <cell r="I23">
            <v>361895.37847437558</v>
          </cell>
          <cell r="J23">
            <v>393651.40674346103</v>
          </cell>
          <cell r="K23">
            <v>424852.58130543091</v>
          </cell>
          <cell r="L23">
            <v>442203.2125926204</v>
          </cell>
          <cell r="M23">
            <v>462612.21555361408</v>
          </cell>
          <cell r="N23">
            <v>475961.3764019243</v>
          </cell>
          <cell r="O23">
            <v>507492.11353604944</v>
          </cell>
          <cell r="P23">
            <v>546647.48730350193</v>
          </cell>
          <cell r="Q23">
            <v>567406.75531747891</v>
          </cell>
          <cell r="R23">
            <v>600244.33721725165</v>
          </cell>
          <cell r="S23">
            <v>628483.72698093101</v>
          </cell>
          <cell r="T23">
            <v>657229.78114946943</v>
          </cell>
          <cell r="U23">
            <v>639079.66033948003</v>
          </cell>
          <cell r="V23">
            <v>680098.37948001001</v>
          </cell>
          <cell r="W23">
            <v>683346.19804755028</v>
          </cell>
        </row>
        <row r="24">
          <cell r="B24" t="str">
            <v>Miami Fort 6</v>
          </cell>
          <cell r="C24" t="str">
            <v>CGE</v>
          </cell>
          <cell r="D24">
            <v>1773681.5447041159</v>
          </cell>
          <cell r="E24">
            <v>1730232.8239425845</v>
          </cell>
          <cell r="F24">
            <v>1774193.6620768174</v>
          </cell>
          <cell r="G24">
            <v>1803398.6666584269</v>
          </cell>
          <cell r="H24">
            <v>1772314.4692996368</v>
          </cell>
          <cell r="I24">
            <v>1739250.903555088</v>
          </cell>
          <cell r="J24">
            <v>1726045.9994081012</v>
          </cell>
          <cell r="K24">
            <v>1784221.0026898952</v>
          </cell>
          <cell r="L24">
            <v>1750078.7365043252</v>
          </cell>
          <cell r="M24">
            <v>1776973.0608951494</v>
          </cell>
          <cell r="N24">
            <v>1832100.313569465</v>
          </cell>
          <cell r="O24">
            <v>1889716.6209762199</v>
          </cell>
          <cell r="P24">
            <v>1957443.603821381</v>
          </cell>
          <cell r="Q24">
            <v>1961020.5458956202</v>
          </cell>
          <cell r="R24">
            <v>1995315.185737232</v>
          </cell>
          <cell r="S24">
            <v>2086928.5403453717</v>
          </cell>
          <cell r="T24">
            <v>2120173.7400728604</v>
          </cell>
          <cell r="U24">
            <v>2088869.5405019019</v>
          </cell>
          <cell r="V24">
            <v>2184431.0738398023</v>
          </cell>
          <cell r="W24">
            <v>2258146.3498468511</v>
          </cell>
        </row>
        <row r="25">
          <cell r="B25" t="str">
            <v>Miami Fort 7</v>
          </cell>
          <cell r="C25" t="str">
            <v>CGE</v>
          </cell>
          <cell r="D25">
            <v>3230848.6405107956</v>
          </cell>
          <cell r="E25">
            <v>3128506.341380992</v>
          </cell>
          <cell r="F25">
            <v>3144706.1854167925</v>
          </cell>
          <cell r="G25">
            <v>3172063.6403833032</v>
          </cell>
          <cell r="H25">
            <v>3106588.6527481903</v>
          </cell>
          <cell r="I25">
            <v>2993424.7156467484</v>
          </cell>
          <cell r="J25">
            <v>3005749.5245985501</v>
          </cell>
          <cell r="K25">
            <v>3029325.0686704894</v>
          </cell>
          <cell r="L25">
            <v>3035839.8490439518</v>
          </cell>
          <cell r="M25">
            <v>3092232.0030375291</v>
          </cell>
          <cell r="N25">
            <v>3195086.4133773553</v>
          </cell>
          <cell r="O25">
            <v>3330613.9087332059</v>
          </cell>
          <cell r="P25">
            <v>3422275.3069826718</v>
          </cell>
          <cell r="Q25">
            <v>3411058.1284356983</v>
          </cell>
          <cell r="R25">
            <v>3493909.3051960738</v>
          </cell>
          <cell r="S25">
            <v>3656835.1542579681</v>
          </cell>
          <cell r="T25">
            <v>3713852.3179957108</v>
          </cell>
          <cell r="U25">
            <v>3697036.7129038759</v>
          </cell>
          <cell r="V25">
            <v>3864142.6690639318</v>
          </cell>
          <cell r="W25">
            <v>4019511.9479963984</v>
          </cell>
        </row>
        <row r="26">
          <cell r="B26" t="str">
            <v>Miami Fort 8</v>
          </cell>
          <cell r="C26" t="str">
            <v>CGE</v>
          </cell>
          <cell r="D26">
            <v>3441495.2638601507</v>
          </cell>
          <cell r="E26">
            <v>3367776.7972511984</v>
          </cell>
          <cell r="F26">
            <v>3429962.9508637111</v>
          </cell>
          <cell r="G26">
            <v>3465359.1080117133</v>
          </cell>
          <cell r="H26">
            <v>3426093.2319529229</v>
          </cell>
          <cell r="I26">
            <v>3401241.4970497317</v>
          </cell>
          <cell r="J26">
            <v>3399968.1007605912</v>
          </cell>
          <cell r="K26">
            <v>3386310.9318638295</v>
          </cell>
          <cell r="L26">
            <v>3347414.1688962281</v>
          </cell>
          <cell r="M26">
            <v>3365910.3406342678</v>
          </cell>
          <cell r="N26">
            <v>3482350.2245992981</v>
          </cell>
          <cell r="O26">
            <v>3610306.3547055321</v>
          </cell>
          <cell r="P26">
            <v>3695938.4223565566</v>
          </cell>
          <cell r="Q26">
            <v>3664310.3539425321</v>
          </cell>
          <cell r="R26">
            <v>3750030.2520674276</v>
          </cell>
          <cell r="S26">
            <v>3922158.5283677303</v>
          </cell>
          <cell r="T26">
            <v>3970754.5103325928</v>
          </cell>
          <cell r="U26">
            <v>3926228.7308421717</v>
          </cell>
          <cell r="V26">
            <v>4126668.9478605492</v>
          </cell>
          <cell r="W26">
            <v>4318580.7323018843</v>
          </cell>
        </row>
        <row r="27">
          <cell r="B27" t="str">
            <v>Noblesville 1</v>
          </cell>
          <cell r="C27" t="str">
            <v>PSI</v>
          </cell>
          <cell r="D27">
            <v>240609.88391503741</v>
          </cell>
          <cell r="E27">
            <v>225449.27578751813</v>
          </cell>
          <cell r="F27">
            <v>217281.01458442141</v>
          </cell>
          <cell r="G27">
            <v>235782.28531435464</v>
          </cell>
          <cell r="H27">
            <v>217960.53951886506</v>
          </cell>
          <cell r="I27">
            <v>221900.93957042965</v>
          </cell>
          <cell r="J27">
            <v>233521.03791737623</v>
          </cell>
          <cell r="K27">
            <v>256788.66487793828</v>
          </cell>
          <cell r="L27">
            <v>268888.96579784923</v>
          </cell>
          <cell r="M27">
            <v>280668.15915682469</v>
          </cell>
          <cell r="N27">
            <v>287929.36183972633</v>
          </cell>
          <cell r="O27">
            <v>313648.45287443831</v>
          </cell>
          <cell r="P27">
            <v>338443.84913365921</v>
          </cell>
          <cell r="Q27">
            <v>348144.86952106759</v>
          </cell>
          <cell r="R27">
            <v>370443.22604105511</v>
          </cell>
          <cell r="S27">
            <v>386558.57790294982</v>
          </cell>
          <cell r="T27">
            <v>403646.91177699983</v>
          </cell>
          <cell r="U27">
            <v>392731.19311550428</v>
          </cell>
          <cell r="V27">
            <v>415048.26834384655</v>
          </cell>
          <cell r="W27">
            <v>401629.01730730763</v>
          </cell>
        </row>
        <row r="28">
          <cell r="B28" t="str">
            <v>Noblesville 2</v>
          </cell>
          <cell r="C28" t="str">
            <v>PSI</v>
          </cell>
          <cell r="D28">
            <v>240609.88391503741</v>
          </cell>
          <cell r="E28">
            <v>225449.27578751813</v>
          </cell>
          <cell r="F28">
            <v>217281.01458442141</v>
          </cell>
          <cell r="G28">
            <v>235782.28531435464</v>
          </cell>
          <cell r="H28">
            <v>217960.53951886506</v>
          </cell>
          <cell r="I28">
            <v>221900.93957042965</v>
          </cell>
          <cell r="J28">
            <v>233521.03791737623</v>
          </cell>
          <cell r="K28">
            <v>256788.66487793828</v>
          </cell>
          <cell r="L28">
            <v>268888.96579784923</v>
          </cell>
          <cell r="M28">
            <v>280668.15915682469</v>
          </cell>
          <cell r="N28">
            <v>287929.36183972633</v>
          </cell>
          <cell r="O28">
            <v>313648.45287443831</v>
          </cell>
          <cell r="P28">
            <v>338443.84913365921</v>
          </cell>
          <cell r="Q28">
            <v>348144.86952106759</v>
          </cell>
          <cell r="R28">
            <v>370443.22604105511</v>
          </cell>
          <cell r="S28">
            <v>386558.57790294982</v>
          </cell>
          <cell r="T28">
            <v>403646.91177699983</v>
          </cell>
          <cell r="U28">
            <v>392731.19311550428</v>
          </cell>
          <cell r="V28">
            <v>415048.26834384655</v>
          </cell>
          <cell r="W28">
            <v>401629.01730730763</v>
          </cell>
        </row>
        <row r="29">
          <cell r="B29" t="str">
            <v>Wabash River 1</v>
          </cell>
          <cell r="C29" t="str">
            <v>PSI</v>
          </cell>
          <cell r="D29">
            <v>1397679.7775499546</v>
          </cell>
          <cell r="E29">
            <v>1408003.4881142182</v>
          </cell>
          <cell r="F29">
            <v>1452561.6667491354</v>
          </cell>
          <cell r="G29">
            <v>1550939.1599454479</v>
          </cell>
          <cell r="H29">
            <v>1523384.8703359151</v>
          </cell>
          <cell r="I29">
            <v>1596957.7043200016</v>
          </cell>
          <cell r="J29">
            <v>1626600.8386282525</v>
          </cell>
          <cell r="K29">
            <v>1646159.3279123837</v>
          </cell>
          <cell r="L29">
            <v>1797778.0634756314</v>
          </cell>
          <cell r="M29">
            <v>1871547.5947351272</v>
          </cell>
          <cell r="N29">
            <v>1841831.3599179641</v>
          </cell>
          <cell r="O29">
            <v>1954085.240053233</v>
          </cell>
          <cell r="P29">
            <v>2022644.7499079735</v>
          </cell>
          <cell r="Q29">
            <v>2051124.4447919026</v>
          </cell>
          <cell r="R29">
            <v>2074235.8000606685</v>
          </cell>
          <cell r="S29">
            <v>2199715.4614208848</v>
          </cell>
          <cell r="T29">
            <v>2263369.9704145258</v>
          </cell>
          <cell r="U29">
            <v>2280644.5853100587</v>
          </cell>
          <cell r="V29">
            <v>2302409.9137216904</v>
          </cell>
          <cell r="W29">
            <v>2391492.3120652749</v>
          </cell>
        </row>
        <row r="30">
          <cell r="B30" t="str">
            <v>Wabash River 2</v>
          </cell>
          <cell r="C30" t="str">
            <v>PSI</v>
          </cell>
          <cell r="D30">
            <v>526416.12104644219</v>
          </cell>
          <cell r="E30">
            <v>508368.06501061236</v>
          </cell>
          <cell r="F30">
            <v>497497.78238279</v>
          </cell>
          <cell r="G30">
            <v>533536.15575592127</v>
          </cell>
          <cell r="H30">
            <v>511381.56427859771</v>
          </cell>
          <cell r="I30">
            <v>515968.58087852696</v>
          </cell>
          <cell r="J30">
            <v>548993.73140014149</v>
          </cell>
          <cell r="K30">
            <v>580391.1117831202</v>
          </cell>
          <cell r="L30">
            <v>592575.62349992187</v>
          </cell>
          <cell r="M30">
            <v>627751.61425733892</v>
          </cell>
          <cell r="N30">
            <v>666178.4210911704</v>
          </cell>
          <cell r="O30">
            <v>699429.46199768037</v>
          </cell>
          <cell r="P30">
            <v>745129.07767582161</v>
          </cell>
          <cell r="Q30">
            <v>764845.44586417393</v>
          </cell>
          <cell r="R30">
            <v>796490.21109506337</v>
          </cell>
          <cell r="S30">
            <v>835079.26540594746</v>
          </cell>
          <cell r="T30">
            <v>857215.05356596468</v>
          </cell>
          <cell r="U30">
            <v>860899.1078587852</v>
          </cell>
          <cell r="V30">
            <v>894614.19317297277</v>
          </cell>
          <cell r="W30">
            <v>866830.65977726737</v>
          </cell>
        </row>
        <row r="31">
          <cell r="B31" t="str">
            <v>Wabash River 3</v>
          </cell>
          <cell r="C31" t="str">
            <v>PSI</v>
          </cell>
          <cell r="D31">
            <v>535099.17988493387</v>
          </cell>
          <cell r="E31">
            <v>518472.74805039651</v>
          </cell>
          <cell r="F31">
            <v>507811.51924868167</v>
          </cell>
          <cell r="G31">
            <v>543919.3392442452</v>
          </cell>
          <cell r="H31">
            <v>520543.42292124033</v>
          </cell>
          <cell r="I31">
            <v>525440.40251807519</v>
          </cell>
          <cell r="J31">
            <v>562069.3989599878</v>
          </cell>
          <cell r="K31">
            <v>591544.28031340649</v>
          </cell>
          <cell r="L31">
            <v>603558.80636827252</v>
          </cell>
          <cell r="M31">
            <v>640557.85642941098</v>
          </cell>
          <cell r="N31">
            <v>679065.8696410628</v>
          </cell>
          <cell r="O31">
            <v>713219.59669371159</v>
          </cell>
          <cell r="P31">
            <v>756785.90871386079</v>
          </cell>
          <cell r="Q31">
            <v>778542.38024942111</v>
          </cell>
          <cell r="R31">
            <v>807263.13604651601</v>
          </cell>
          <cell r="S31">
            <v>847363.61345996987</v>
          </cell>
          <cell r="T31">
            <v>871714.21604362444</v>
          </cell>
          <cell r="U31">
            <v>872281.1657678521</v>
          </cell>
          <cell r="V31">
            <v>906078.70151511789</v>
          </cell>
          <cell r="W31">
            <v>881531.78518112225</v>
          </cell>
        </row>
        <row r="32">
          <cell r="B32" t="str">
            <v>Wabash River 4</v>
          </cell>
          <cell r="C32" t="str">
            <v>PSI</v>
          </cell>
          <cell r="D32">
            <v>563064.86316735228</v>
          </cell>
          <cell r="E32">
            <v>553892.53185133962</v>
          </cell>
          <cell r="F32">
            <v>546250.35912398819</v>
          </cell>
          <cell r="G32">
            <v>574020.83755459788</v>
          </cell>
          <cell r="H32">
            <v>547832.32626917795</v>
          </cell>
          <cell r="I32">
            <v>552423.35741830745</v>
          </cell>
          <cell r="J32">
            <v>590339.59231927048</v>
          </cell>
          <cell r="K32">
            <v>621003.68682181009</v>
          </cell>
          <cell r="L32">
            <v>634766.44995155151</v>
          </cell>
          <cell r="M32">
            <v>673579.52877881471</v>
          </cell>
          <cell r="N32">
            <v>710391.1790234308</v>
          </cell>
          <cell r="O32">
            <v>745482.71139502351</v>
          </cell>
          <cell r="P32">
            <v>788975.3373494962</v>
          </cell>
          <cell r="Q32">
            <v>812939.61866331357</v>
          </cell>
          <cell r="R32">
            <v>839435.98716348829</v>
          </cell>
          <cell r="S32">
            <v>881521.28075520252</v>
          </cell>
          <cell r="T32">
            <v>904225.78629163373</v>
          </cell>
          <cell r="U32">
            <v>903845.37753883551</v>
          </cell>
          <cell r="V32">
            <v>934154.97149966133</v>
          </cell>
          <cell r="W32">
            <v>916177.10689177166</v>
          </cell>
        </row>
        <row r="33">
          <cell r="B33" t="str">
            <v>Wabash River 5</v>
          </cell>
          <cell r="C33" t="str">
            <v>PSI</v>
          </cell>
          <cell r="D33">
            <v>620035.04701918561</v>
          </cell>
          <cell r="E33">
            <v>606280.36197560304</v>
          </cell>
          <cell r="F33">
            <v>597283.61006808921</v>
          </cell>
          <cell r="G33">
            <v>631104.50078410585</v>
          </cell>
          <cell r="H33">
            <v>603756.46652259631</v>
          </cell>
          <cell r="I33">
            <v>610298.18766296038</v>
          </cell>
          <cell r="J33">
            <v>652102.10127703217</v>
          </cell>
          <cell r="K33">
            <v>685554.32619857579</v>
          </cell>
          <cell r="L33">
            <v>699845.01373714011</v>
          </cell>
          <cell r="M33">
            <v>743025.44960817788</v>
          </cell>
          <cell r="N33">
            <v>783973.67446273705</v>
          </cell>
          <cell r="O33">
            <v>822915.98082256108</v>
          </cell>
          <cell r="P33">
            <v>872416.64859011967</v>
          </cell>
          <cell r="Q33">
            <v>897904.81277623575</v>
          </cell>
          <cell r="R33">
            <v>928733.9546758529</v>
          </cell>
          <cell r="S33">
            <v>974170.50538314355</v>
          </cell>
          <cell r="T33">
            <v>999454.09579266887</v>
          </cell>
          <cell r="U33">
            <v>1000298.2159662583</v>
          </cell>
          <cell r="V33">
            <v>1035603.3865687349</v>
          </cell>
          <cell r="W33">
            <v>1013544.8581209986</v>
          </cell>
        </row>
        <row r="34">
          <cell r="B34" t="str">
            <v>Wabash River 6</v>
          </cell>
          <cell r="C34" t="str">
            <v>PSI</v>
          </cell>
          <cell r="D34">
            <v>1967166.5457195216</v>
          </cell>
          <cell r="E34">
            <v>1924283.8091761086</v>
          </cell>
          <cell r="F34">
            <v>1840623.6862267014</v>
          </cell>
          <cell r="G34">
            <v>1872452.6996815884</v>
          </cell>
          <cell r="H34">
            <v>1797027.9106251183</v>
          </cell>
          <cell r="I34">
            <v>1862078.1362418763</v>
          </cell>
          <cell r="J34">
            <v>1910011.2781551972</v>
          </cell>
          <cell r="K34">
            <v>1952854.7507256342</v>
          </cell>
          <cell r="L34">
            <v>2004534.2360333621</v>
          </cell>
          <cell r="M34">
            <v>2097509.1564324815</v>
          </cell>
          <cell r="N34">
            <v>2226398.0685136439</v>
          </cell>
          <cell r="O34">
            <v>2383351.9258810561</v>
          </cell>
          <cell r="P34">
            <v>2501377.8024359616</v>
          </cell>
          <cell r="Q34">
            <v>2593586.6106992927</v>
          </cell>
          <cell r="R34">
            <v>2676782.626739454</v>
          </cell>
          <cell r="S34">
            <v>2807690.882733285</v>
          </cell>
          <cell r="T34">
            <v>2886701.6975844158</v>
          </cell>
          <cell r="U34">
            <v>2888118.1049938942</v>
          </cell>
          <cell r="V34">
            <v>2992866.3312232732</v>
          </cell>
          <cell r="W34">
            <v>2955278.4052612321</v>
          </cell>
        </row>
        <row r="35">
          <cell r="B35" t="str">
            <v>W.C. Beckjord 1</v>
          </cell>
          <cell r="C35" t="str">
            <v>CGE</v>
          </cell>
          <cell r="D35">
            <v>725956.97513904213</v>
          </cell>
          <cell r="E35">
            <v>669729.64056973637</v>
          </cell>
          <cell r="F35">
            <v>670538.8324604294</v>
          </cell>
          <cell r="G35">
            <v>707151.44331152504</v>
          </cell>
          <cell r="H35">
            <v>678943.24140452046</v>
          </cell>
          <cell r="I35">
            <v>663158.57359935925</v>
          </cell>
          <cell r="J35">
            <v>696839.53324329702</v>
          </cell>
          <cell r="K35">
            <v>737896.60586727143</v>
          </cell>
          <cell r="L35">
            <v>761532.0181537685</v>
          </cell>
          <cell r="M35">
            <v>807037.50206215156</v>
          </cell>
          <cell r="N35">
            <v>833804.52486301842</v>
          </cell>
          <cell r="O35">
            <v>871194.90371363191</v>
          </cell>
          <cell r="P35">
            <v>917405.27663198742</v>
          </cell>
          <cell r="Q35">
            <v>940066.79162116244</v>
          </cell>
          <cell r="R35">
            <v>968808.42309278529</v>
          </cell>
          <cell r="S35">
            <v>1015802.9640915549</v>
          </cell>
          <cell r="T35">
            <v>1040158.6985728883</v>
          </cell>
          <cell r="U35">
            <v>1038619.4967024783</v>
          </cell>
          <cell r="V35">
            <v>1085209.643852982</v>
          </cell>
          <cell r="W35">
            <v>1101714.2942209367</v>
          </cell>
        </row>
        <row r="36">
          <cell r="B36" t="str">
            <v>W.C. Beckjord 2</v>
          </cell>
          <cell r="C36" t="str">
            <v>CGE</v>
          </cell>
          <cell r="D36">
            <v>892578.24667314487</v>
          </cell>
          <cell r="E36">
            <v>832132.30281104415</v>
          </cell>
          <cell r="F36">
            <v>838934.70307211892</v>
          </cell>
          <cell r="G36">
            <v>867632.84539125289</v>
          </cell>
          <cell r="H36">
            <v>834470.89814277587</v>
          </cell>
          <cell r="I36">
            <v>810603.67013525427</v>
          </cell>
          <cell r="J36">
            <v>840989.13241518254</v>
          </cell>
          <cell r="K36">
            <v>889361.49884934153</v>
          </cell>
          <cell r="L36">
            <v>888837.3850915822</v>
          </cell>
          <cell r="M36">
            <v>927255.28979929676</v>
          </cell>
          <cell r="N36">
            <v>952558.29678546148</v>
          </cell>
          <cell r="O36">
            <v>992026.944921438</v>
          </cell>
          <cell r="P36">
            <v>1032658.7254985964</v>
          </cell>
          <cell r="Q36">
            <v>1043307.0755920644</v>
          </cell>
          <cell r="R36">
            <v>1065728.9202660699</v>
          </cell>
          <cell r="S36">
            <v>1114011.1698655575</v>
          </cell>
          <cell r="T36">
            <v>1130539.9333227212</v>
          </cell>
          <cell r="U36">
            <v>1121105.3874513621</v>
          </cell>
          <cell r="V36">
            <v>1170295.2029502857</v>
          </cell>
          <cell r="W36">
            <v>1191963.4115456657</v>
          </cell>
        </row>
        <row r="37">
          <cell r="B37" t="str">
            <v>W.C. Beckjord 3</v>
          </cell>
          <cell r="C37" t="str">
            <v>CGE</v>
          </cell>
          <cell r="D37">
            <v>1386198.6178823137</v>
          </cell>
          <cell r="E37">
            <v>1349929.8081668159</v>
          </cell>
          <cell r="F37">
            <v>1384157.3857846977</v>
          </cell>
          <cell r="G37">
            <v>1425591.0761016977</v>
          </cell>
          <cell r="H37">
            <v>1389289.4300462746</v>
          </cell>
          <cell r="I37">
            <v>1337685.7725164078</v>
          </cell>
          <cell r="J37">
            <v>1341548.6643221267</v>
          </cell>
          <cell r="K37">
            <v>1412859.8154420487</v>
          </cell>
          <cell r="L37">
            <v>1386127.5173929941</v>
          </cell>
          <cell r="M37">
            <v>1432310.0460806894</v>
          </cell>
          <cell r="N37">
            <v>1462117.9009684108</v>
          </cell>
          <cell r="O37">
            <v>1502920.5503839799</v>
          </cell>
          <cell r="P37">
            <v>1558732.0457112622</v>
          </cell>
          <cell r="Q37">
            <v>1567293.8825863274</v>
          </cell>
          <cell r="R37">
            <v>1596685.6303835013</v>
          </cell>
          <cell r="S37">
            <v>1658425.1335994536</v>
          </cell>
          <cell r="T37">
            <v>1662715.6412060463</v>
          </cell>
          <cell r="U37">
            <v>1649663.5861460459</v>
          </cell>
          <cell r="V37">
            <v>1707367.4701960159</v>
          </cell>
          <cell r="W37">
            <v>1752744.882693887</v>
          </cell>
        </row>
        <row r="38">
          <cell r="B38" t="str">
            <v>W.C. Beckjord 4</v>
          </cell>
          <cell r="C38" t="str">
            <v>CGE</v>
          </cell>
          <cell r="D38">
            <v>1697726.398051087</v>
          </cell>
          <cell r="E38">
            <v>1708185.6965779727</v>
          </cell>
          <cell r="F38">
            <v>1749455.7280292918</v>
          </cell>
          <cell r="G38">
            <v>1791388.8159273679</v>
          </cell>
          <cell r="H38">
            <v>1770611.3110809287</v>
          </cell>
          <cell r="I38">
            <v>1739426.6483123044</v>
          </cell>
          <cell r="J38">
            <v>1766628.3738921925</v>
          </cell>
          <cell r="K38">
            <v>1826563.3984014981</v>
          </cell>
          <cell r="L38">
            <v>1795330.0478869197</v>
          </cell>
          <cell r="M38">
            <v>1843349.3239807771</v>
          </cell>
          <cell r="N38">
            <v>1874846.732297234</v>
          </cell>
          <cell r="O38">
            <v>1918215.6248529183</v>
          </cell>
          <cell r="P38">
            <v>1973061.5549365541</v>
          </cell>
          <cell r="Q38">
            <v>1978862.4386447051</v>
          </cell>
          <cell r="R38">
            <v>2012122.6212924386</v>
          </cell>
          <cell r="S38">
            <v>2091211.2668614432</v>
          </cell>
          <cell r="T38">
            <v>2083241.1538896468</v>
          </cell>
          <cell r="U38">
            <v>2050353.5417923643</v>
          </cell>
          <cell r="V38">
            <v>2137109.158008378</v>
          </cell>
          <cell r="W38">
            <v>2201317.1219574315</v>
          </cell>
        </row>
        <row r="39">
          <cell r="B39" t="str">
            <v>W.C. Beckjord 5</v>
          </cell>
          <cell r="C39" t="str">
            <v>CGE</v>
          </cell>
          <cell r="D39">
            <v>2642057.6428491203</v>
          </cell>
          <cell r="E39">
            <v>2584071.6970133088</v>
          </cell>
          <cell r="F39">
            <v>2661230.5639962004</v>
          </cell>
          <cell r="G39">
            <v>2727798.4056921126</v>
          </cell>
          <cell r="H39">
            <v>2688723.010317307</v>
          </cell>
          <cell r="I39">
            <v>2623744.5418708851</v>
          </cell>
          <cell r="J39">
            <v>2642794.0387756233</v>
          </cell>
          <cell r="K39">
            <v>2736301.3950740034</v>
          </cell>
          <cell r="L39">
            <v>2680123.189584075</v>
          </cell>
          <cell r="M39">
            <v>2735897.8999156142</v>
          </cell>
          <cell r="N39">
            <v>2817125.9688094943</v>
          </cell>
          <cell r="O39">
            <v>2890505.6914136801</v>
          </cell>
          <cell r="P39">
            <v>2989818.6122189458</v>
          </cell>
          <cell r="Q39">
            <v>2992232.0702155703</v>
          </cell>
          <cell r="R39">
            <v>3052026.9227978135</v>
          </cell>
          <cell r="S39">
            <v>3160347.1732542766</v>
          </cell>
          <cell r="T39">
            <v>3166050.6813256722</v>
          </cell>
          <cell r="U39">
            <v>3113664.0419419343</v>
          </cell>
          <cell r="V39">
            <v>3255383.1264833324</v>
          </cell>
          <cell r="W39">
            <v>3362118.762777071</v>
          </cell>
        </row>
        <row r="40">
          <cell r="B40" t="str">
            <v>W.C. Beckjord 6</v>
          </cell>
          <cell r="C40" t="str">
            <v>CGE</v>
          </cell>
          <cell r="D40">
            <v>1670446.7603398501</v>
          </cell>
          <cell r="E40">
            <v>1634784.7289420241</v>
          </cell>
          <cell r="F40">
            <v>1659827.2428500652</v>
          </cell>
          <cell r="G40">
            <v>1675561.2795839596</v>
          </cell>
          <cell r="H40">
            <v>1657457.6157986301</v>
          </cell>
          <cell r="I40">
            <v>1641339.8764566914</v>
          </cell>
          <cell r="J40">
            <v>1607201.7856821599</v>
          </cell>
          <cell r="K40">
            <v>1628463.1313997307</v>
          </cell>
          <cell r="L40">
            <v>1605930.1914913214</v>
          </cell>
          <cell r="M40">
            <v>1615970.3947707191</v>
          </cell>
          <cell r="N40">
            <v>1674009.8822755609</v>
          </cell>
          <cell r="O40">
            <v>1740401.999968797</v>
          </cell>
          <cell r="P40">
            <v>1783582.902638365</v>
          </cell>
          <cell r="Q40">
            <v>1767068.8786112622</v>
          </cell>
          <cell r="R40">
            <v>1809760.2472018632</v>
          </cell>
          <cell r="S40">
            <v>1891528.6841315588</v>
          </cell>
          <cell r="T40">
            <v>1881510.8906217248</v>
          </cell>
          <cell r="U40">
            <v>1871900.830027292</v>
          </cell>
          <cell r="V40">
            <v>1953177.941777121</v>
          </cell>
          <cell r="W40">
            <v>2048267.9442403007</v>
          </cell>
        </row>
        <row r="41">
          <cell r="B41" t="str">
            <v>W.H. Zimmer 1</v>
          </cell>
          <cell r="C41" t="str">
            <v>CGE</v>
          </cell>
          <cell r="D41">
            <v>13071153.133087151</v>
          </cell>
          <cell r="E41">
            <v>13337104.298851227</v>
          </cell>
          <cell r="F41">
            <v>13623471.979103798</v>
          </cell>
          <cell r="G41">
            <v>13922564.124727895</v>
          </cell>
          <cell r="H41">
            <v>14224327.656722521</v>
          </cell>
          <cell r="I41">
            <v>14583845.620121812</v>
          </cell>
          <cell r="J41">
            <v>14905529.651369339</v>
          </cell>
          <cell r="K41">
            <v>15228260.257694935</v>
          </cell>
          <cell r="L41">
            <v>15597944.717533296</v>
          </cell>
          <cell r="M41">
            <v>15924423.005729951</v>
          </cell>
          <cell r="N41">
            <v>16270798.536180392</v>
          </cell>
          <cell r="O41">
            <v>16720535.523266928</v>
          </cell>
          <cell r="P41">
            <v>17162005.413502764</v>
          </cell>
          <cell r="Q41">
            <v>17500760.823978592</v>
          </cell>
          <cell r="R41">
            <v>17996291.329760537</v>
          </cell>
          <cell r="S41">
            <v>18537459.766663086</v>
          </cell>
          <cell r="T41">
            <v>18786264.395822052</v>
          </cell>
          <cell r="U41">
            <v>19258733.70850905</v>
          </cell>
          <cell r="V41">
            <v>19716901.260305945</v>
          </cell>
          <cell r="W41">
            <v>20120145.564463839</v>
          </cell>
        </row>
        <row r="42">
          <cell r="B42" t="str">
            <v>Cayuga Diesel 3A-D</v>
          </cell>
          <cell r="C42" t="str">
            <v>PSI</v>
          </cell>
          <cell r="D42">
            <v>36067.707720871083</v>
          </cell>
          <cell r="E42">
            <v>28809.686625257687</v>
          </cell>
          <cell r="F42">
            <v>24110.887372777521</v>
          </cell>
          <cell r="G42">
            <v>26878.19549009448</v>
          </cell>
          <cell r="H42">
            <v>23906.833055382278</v>
          </cell>
          <cell r="I42">
            <v>23973.25713343477</v>
          </cell>
          <cell r="J42">
            <v>23584.088868927924</v>
          </cell>
          <cell r="K42">
            <v>24877.31340517932</v>
          </cell>
          <cell r="L42">
            <v>29082.237287478758</v>
          </cell>
          <cell r="M42">
            <v>31448.911809896799</v>
          </cell>
          <cell r="N42">
            <v>31709.238650075546</v>
          </cell>
          <cell r="O42">
            <v>30834.710354930445</v>
          </cell>
          <cell r="P42">
            <v>31978.807742845216</v>
          </cell>
          <cell r="Q42">
            <v>35395.582274233195</v>
          </cell>
          <cell r="R42">
            <v>35285.087398458418</v>
          </cell>
          <cell r="S42">
            <v>37172.837077894837</v>
          </cell>
          <cell r="T42">
            <v>38844.926943267295</v>
          </cell>
          <cell r="U42">
            <v>39251.320878431856</v>
          </cell>
          <cell r="V42">
            <v>36949.344576239549</v>
          </cell>
          <cell r="W42">
            <v>40637.61041488366</v>
          </cell>
        </row>
        <row r="43">
          <cell r="B43" t="str">
            <v>Cayuga CT 4</v>
          </cell>
          <cell r="C43" t="str">
            <v>PSI</v>
          </cell>
          <cell r="D43">
            <v>278332.43205095828</v>
          </cell>
          <cell r="E43">
            <v>202593.68390384121</v>
          </cell>
          <cell r="F43">
            <v>176124.57266512074</v>
          </cell>
          <cell r="G43">
            <v>192443.32130893931</v>
          </cell>
          <cell r="H43">
            <v>176283.09400752204</v>
          </cell>
          <cell r="I43">
            <v>184028.3830043184</v>
          </cell>
          <cell r="J43">
            <v>178163.08633524735</v>
          </cell>
          <cell r="K43">
            <v>189486.0789023487</v>
          </cell>
          <cell r="L43">
            <v>225835.22986882587</v>
          </cell>
          <cell r="M43">
            <v>251917.914803983</v>
          </cell>
          <cell r="N43">
            <v>251928.76618214819</v>
          </cell>
          <cell r="O43">
            <v>236479.9512579703</v>
          </cell>
          <cell r="P43">
            <v>253825.96010114774</v>
          </cell>
          <cell r="Q43">
            <v>282022.81005309505</v>
          </cell>
          <cell r="R43">
            <v>287739.53339065326</v>
          </cell>
          <cell r="S43">
            <v>301152.97204202478</v>
          </cell>
          <cell r="T43">
            <v>321541.93751184992</v>
          </cell>
          <cell r="U43">
            <v>323904.31307844969</v>
          </cell>
          <cell r="V43">
            <v>308458.56533508969</v>
          </cell>
          <cell r="W43">
            <v>343058.50100625632</v>
          </cell>
        </row>
        <row r="44">
          <cell r="B44" t="str">
            <v>Connersville CT 1</v>
          </cell>
          <cell r="C44" t="str">
            <v>PSI</v>
          </cell>
          <cell r="D44">
            <v>36445.403369079089</v>
          </cell>
          <cell r="E44">
            <v>28699.559508788643</v>
          </cell>
          <cell r="F44">
            <v>24629.173107919854</v>
          </cell>
          <cell r="G44">
            <v>29871.76701706673</v>
          </cell>
          <cell r="H44">
            <v>26105.119919412675</v>
          </cell>
          <cell r="I44">
            <v>28413.517421165383</v>
          </cell>
          <cell r="J44">
            <v>27707.893540856028</v>
          </cell>
          <cell r="K44">
            <v>32218.448088010275</v>
          </cell>
          <cell r="L44">
            <v>41034.503055193607</v>
          </cell>
          <cell r="M44">
            <v>47125.867277054713</v>
          </cell>
          <cell r="N44">
            <v>48810.159670929679</v>
          </cell>
          <cell r="O44">
            <v>43053.881436847238</v>
          </cell>
          <cell r="P44">
            <v>49727.029943535599</v>
          </cell>
          <cell r="Q44">
            <v>54475.697334715718</v>
          </cell>
          <cell r="R44">
            <v>58244.504998648401</v>
          </cell>
          <cell r="S44">
            <v>63453.639493705479</v>
          </cell>
          <cell r="T44">
            <v>72224.438248692648</v>
          </cell>
          <cell r="U44">
            <v>75206.930890752512</v>
          </cell>
          <cell r="V44">
            <v>69885.9278859115</v>
          </cell>
          <cell r="W44">
            <v>103434.56102540827</v>
          </cell>
        </row>
        <row r="45">
          <cell r="B45" t="str">
            <v>Connersville CT 2</v>
          </cell>
          <cell r="C45" t="str">
            <v>PSI</v>
          </cell>
          <cell r="D45">
            <v>36445.403369079089</v>
          </cell>
          <cell r="E45">
            <v>28699.559508788643</v>
          </cell>
          <cell r="F45">
            <v>24629.173107919854</v>
          </cell>
          <cell r="G45">
            <v>29871.76701706673</v>
          </cell>
          <cell r="H45">
            <v>26105.119919412675</v>
          </cell>
          <cell r="I45">
            <v>28413.517421165383</v>
          </cell>
          <cell r="J45">
            <v>27707.893540856028</v>
          </cell>
          <cell r="K45">
            <v>32218.448088010275</v>
          </cell>
          <cell r="L45">
            <v>41034.503055193607</v>
          </cell>
          <cell r="M45">
            <v>47125.867277054713</v>
          </cell>
          <cell r="N45">
            <v>48810.159670929679</v>
          </cell>
          <cell r="O45">
            <v>43053.881436847238</v>
          </cell>
          <cell r="P45">
            <v>49727.029943535599</v>
          </cell>
          <cell r="Q45">
            <v>54475.697334715718</v>
          </cell>
          <cell r="R45">
            <v>58244.504998648401</v>
          </cell>
          <cell r="S45">
            <v>63453.639493705479</v>
          </cell>
          <cell r="T45">
            <v>72224.438248692648</v>
          </cell>
          <cell r="U45">
            <v>75206.930890752512</v>
          </cell>
          <cell r="V45">
            <v>69885.9278859115</v>
          </cell>
          <cell r="W45">
            <v>103434.56102540827</v>
          </cell>
        </row>
        <row r="46">
          <cell r="B46" t="str">
            <v>Dicks Creek CT 1</v>
          </cell>
          <cell r="C46" t="str">
            <v>CGE</v>
          </cell>
          <cell r="D46">
            <v>26195.222431471786</v>
          </cell>
          <cell r="E46">
            <v>22661.653895575717</v>
          </cell>
          <cell r="F46">
            <v>20943.939759957673</v>
          </cell>
          <cell r="G46">
            <v>26030.856523127444</v>
          </cell>
          <cell r="H46">
            <v>22179.670368449824</v>
          </cell>
          <cell r="I46">
            <v>24597.322056762219</v>
          </cell>
          <cell r="J46">
            <v>25578.184261008653</v>
          </cell>
          <cell r="K46">
            <v>27484.322314885361</v>
          </cell>
          <cell r="L46">
            <v>34063.213112760728</v>
          </cell>
          <cell r="M46">
            <v>39334.318460021444</v>
          </cell>
          <cell r="N46">
            <v>44273.245086010902</v>
          </cell>
          <cell r="O46">
            <v>41802.940916193831</v>
          </cell>
          <cell r="P46">
            <v>47235.310473944286</v>
          </cell>
          <cell r="Q46">
            <v>49141.441854265722</v>
          </cell>
          <cell r="R46">
            <v>57535.010644935326</v>
          </cell>
          <cell r="S46">
            <v>60408.919217343908</v>
          </cell>
          <cell r="T46">
            <v>67533.912857183153</v>
          </cell>
          <cell r="U46">
            <v>71071.083787175085</v>
          </cell>
          <cell r="V46">
            <v>70747.854378206248</v>
          </cell>
          <cell r="W46">
            <v>122351.74778482469</v>
          </cell>
        </row>
        <row r="47">
          <cell r="B47" t="str">
            <v>Dicks Creek CT 3</v>
          </cell>
          <cell r="C47" t="str">
            <v>CGE</v>
          </cell>
          <cell r="D47">
            <v>4063.7570954729454</v>
          </cell>
          <cell r="E47">
            <v>3522.2280264696647</v>
          </cell>
          <cell r="F47">
            <v>3241.3980388996292</v>
          </cell>
          <cell r="G47">
            <v>4044.9300799079465</v>
          </cell>
          <cell r="H47">
            <v>3443.1977581244082</v>
          </cell>
          <cell r="I47">
            <v>3815.6020985679806</v>
          </cell>
          <cell r="J47">
            <v>3971.632710654299</v>
          </cell>
          <cell r="K47">
            <v>4266.2362871843707</v>
          </cell>
          <cell r="L47">
            <v>5299.6227453200836</v>
          </cell>
          <cell r="M47">
            <v>6123.2971812932183</v>
          </cell>
          <cell r="N47">
            <v>6918.4064383384466</v>
          </cell>
          <cell r="O47">
            <v>6521.9063136211935</v>
          </cell>
          <cell r="P47">
            <v>7381.8829160383557</v>
          </cell>
          <cell r="Q47">
            <v>7701.0717142063168</v>
          </cell>
          <cell r="R47">
            <v>9025.4143387509412</v>
          </cell>
          <cell r="S47">
            <v>9494.2887786658212</v>
          </cell>
          <cell r="T47">
            <v>10617.454396110677</v>
          </cell>
          <cell r="U47">
            <v>11186.266644869094</v>
          </cell>
          <cell r="V47">
            <v>11135.598417020512</v>
          </cell>
          <cell r="W47">
            <v>19432.353393842561</v>
          </cell>
        </row>
        <row r="48">
          <cell r="B48" t="str">
            <v>Dicks Creek CT 4-5</v>
          </cell>
          <cell r="C48" t="str">
            <v>CGE</v>
          </cell>
          <cell r="D48">
            <v>9279.3752246661606</v>
          </cell>
          <cell r="E48">
            <v>8239.9207340023368</v>
          </cell>
          <cell r="F48">
            <v>8081.9173197645987</v>
          </cell>
          <cell r="G48">
            <v>10835.419009409245</v>
          </cell>
          <cell r="H48">
            <v>8490.8718931065432</v>
          </cell>
          <cell r="I48">
            <v>10241.827641108479</v>
          </cell>
          <cell r="J48">
            <v>10210.206392842696</v>
          </cell>
          <cell r="K48">
            <v>11022.298254696983</v>
          </cell>
          <cell r="L48">
            <v>14064.209118885652</v>
          </cell>
          <cell r="M48">
            <v>15053.83862201024</v>
          </cell>
          <cell r="N48">
            <v>17213.494285568468</v>
          </cell>
          <cell r="O48">
            <v>18248.435961339761</v>
          </cell>
          <cell r="P48">
            <v>19690.948985591345</v>
          </cell>
          <cell r="Q48">
            <v>20133.275404697062</v>
          </cell>
          <cell r="R48">
            <v>22208.491662882087</v>
          </cell>
          <cell r="S48">
            <v>24055.581435104621</v>
          </cell>
          <cell r="T48">
            <v>26005.119187510711</v>
          </cell>
          <cell r="U48">
            <v>29468.60071701897</v>
          </cell>
          <cell r="V48">
            <v>31166.217813566182</v>
          </cell>
          <cell r="W48">
            <v>50963.316157030313</v>
          </cell>
        </row>
        <row r="49">
          <cell r="B49" t="str">
            <v>Miami Fort CT 3-6</v>
          </cell>
          <cell r="C49" t="str">
            <v>CGE</v>
          </cell>
          <cell r="D49">
            <v>18232.065647857511</v>
          </cell>
          <cell r="E49">
            <v>15883.531683993915</v>
          </cell>
          <cell r="F49">
            <v>14614.629360013911</v>
          </cell>
          <cell r="G49">
            <v>18287.456338189706</v>
          </cell>
          <cell r="H49">
            <v>15401.336326821871</v>
          </cell>
          <cell r="I49">
            <v>17213.498944259311</v>
          </cell>
          <cell r="J49">
            <v>18311.372276569353</v>
          </cell>
          <cell r="K49">
            <v>19851.192426601614</v>
          </cell>
          <cell r="L49">
            <v>24507.541049495885</v>
          </cell>
          <cell r="M49">
            <v>30833.032164599761</v>
          </cell>
          <cell r="N49">
            <v>32163.659353387033</v>
          </cell>
          <cell r="O49">
            <v>30963.209204507923</v>
          </cell>
          <cell r="P49">
            <v>35100.079543351552</v>
          </cell>
          <cell r="Q49">
            <v>37304.99984250914</v>
          </cell>
          <cell r="R49">
            <v>43681.670902793318</v>
          </cell>
          <cell r="S49">
            <v>46128.548686223738</v>
          </cell>
          <cell r="T49">
            <v>54858.111525683984</v>
          </cell>
          <cell r="U49">
            <v>55435.99885826894</v>
          </cell>
          <cell r="V49">
            <v>53906.773540746864</v>
          </cell>
          <cell r="W49">
            <v>90800.543922751065</v>
          </cell>
        </row>
        <row r="50">
          <cell r="B50" t="str">
            <v>Miami-Wabash CT 1-6</v>
          </cell>
          <cell r="C50" t="str">
            <v>PSI</v>
          </cell>
          <cell r="D50">
            <v>25378.755591976453</v>
          </cell>
          <cell r="E50">
            <v>21915.333252726421</v>
          </cell>
          <cell r="F50">
            <v>20271.740963738026</v>
          </cell>
          <cell r="G50">
            <v>25285.286931330069</v>
          </cell>
          <cell r="H50">
            <v>20920.889113008161</v>
          </cell>
          <cell r="I50">
            <v>23565.597531255855</v>
          </cell>
          <cell r="J50">
            <v>24064.80772636447</v>
          </cell>
          <cell r="K50">
            <v>26509.951471716791</v>
          </cell>
          <cell r="L50">
            <v>32061.082962699518</v>
          </cell>
          <cell r="M50">
            <v>36426.67448099178</v>
          </cell>
          <cell r="N50">
            <v>41993.765861055545</v>
          </cell>
          <cell r="O50">
            <v>39215.534105514947</v>
          </cell>
          <cell r="P50">
            <v>43588.39023588226</v>
          </cell>
          <cell r="Q50">
            <v>45136.914270605419</v>
          </cell>
          <cell r="R50">
            <v>53124.129883454319</v>
          </cell>
          <cell r="S50">
            <v>56219.929091692997</v>
          </cell>
          <cell r="T50">
            <v>59927.233472754859</v>
          </cell>
          <cell r="U50">
            <v>64821.549078729506</v>
          </cell>
          <cell r="V50">
            <v>64491.088412956429</v>
          </cell>
          <cell r="W50">
            <v>111904.66643319851</v>
          </cell>
        </row>
        <row r="51">
          <cell r="B51" t="str">
            <v>Wabash Diesel 7A-B</v>
          </cell>
          <cell r="C51" t="str">
            <v>PSI</v>
          </cell>
          <cell r="D51">
            <v>26424.212980785742</v>
          </cell>
          <cell r="E51">
            <v>21152.410827488704</v>
          </cell>
          <cell r="F51">
            <v>17757.772810907674</v>
          </cell>
          <cell r="G51">
            <v>19785.135968457209</v>
          </cell>
          <cell r="H51">
            <v>17597.475555497731</v>
          </cell>
          <cell r="I51">
            <v>17687.025990874285</v>
          </cell>
          <cell r="J51">
            <v>17410.65283919228</v>
          </cell>
          <cell r="K51">
            <v>18381.017574654739</v>
          </cell>
          <cell r="L51">
            <v>21482.891417049268</v>
          </cell>
          <cell r="M51">
            <v>23206.299311292692</v>
          </cell>
          <cell r="N51">
            <v>23422.879615983067</v>
          </cell>
          <cell r="O51">
            <v>22816.926061817478</v>
          </cell>
          <cell r="P51">
            <v>23641.193898353449</v>
          </cell>
          <cell r="Q51">
            <v>26168.193378698357</v>
          </cell>
          <cell r="R51">
            <v>26082.675723453867</v>
          </cell>
          <cell r="S51">
            <v>27487.604365145628</v>
          </cell>
          <cell r="T51">
            <v>28732.394549767265</v>
          </cell>
          <cell r="U51">
            <v>29048.602426527621</v>
          </cell>
          <cell r="V51">
            <v>27373.554956919037</v>
          </cell>
          <cell r="W51">
            <v>30148.676821213463</v>
          </cell>
        </row>
        <row r="52">
          <cell r="B52" t="str">
            <v>W.C. Beckjord CT 1</v>
          </cell>
          <cell r="C52" t="str">
            <v>CGE</v>
          </cell>
          <cell r="D52">
            <v>22682.472084854264</v>
          </cell>
          <cell r="E52">
            <v>19425.866641561417</v>
          </cell>
          <cell r="F52">
            <v>17323.650509438256</v>
          </cell>
          <cell r="G52">
            <v>21502.725601418937</v>
          </cell>
          <cell r="H52">
            <v>18282.921321726495</v>
          </cell>
          <cell r="I52">
            <v>20944.50924824809</v>
          </cell>
          <cell r="J52">
            <v>21420.692569247298</v>
          </cell>
          <cell r="K52">
            <v>23571.634296259541</v>
          </cell>
          <cell r="L52">
            <v>30307.894578026273</v>
          </cell>
          <cell r="M52">
            <v>38145.607476009893</v>
          </cell>
          <cell r="N52">
            <v>37813.716159046708</v>
          </cell>
          <cell r="O52">
            <v>35551.567338940666</v>
          </cell>
          <cell r="P52">
            <v>40751.181649679813</v>
          </cell>
          <cell r="Q52">
            <v>44374.572281578185</v>
          </cell>
          <cell r="R52">
            <v>49492.468549989018</v>
          </cell>
          <cell r="S52">
            <v>53161.596109312857</v>
          </cell>
          <cell r="T52">
            <v>64329.061907159892</v>
          </cell>
          <cell r="U52">
            <v>65463.375385341795</v>
          </cell>
          <cell r="V52">
            <v>61408.060516905549</v>
          </cell>
          <cell r="W52">
            <v>96205.734742711764</v>
          </cell>
        </row>
        <row r="53">
          <cell r="B53" t="str">
            <v>W.C. Beckjord CT 2</v>
          </cell>
          <cell r="C53" t="str">
            <v>CGE</v>
          </cell>
          <cell r="D53">
            <v>22682.472084854264</v>
          </cell>
          <cell r="E53">
            <v>19425.866641561417</v>
          </cell>
          <cell r="F53">
            <v>17323.650509438256</v>
          </cell>
          <cell r="G53">
            <v>21502.725601418937</v>
          </cell>
          <cell r="H53">
            <v>18282.921321726495</v>
          </cell>
          <cell r="I53">
            <v>20944.50924824809</v>
          </cell>
          <cell r="J53">
            <v>21420.692569247298</v>
          </cell>
          <cell r="K53">
            <v>23571.634296259541</v>
          </cell>
          <cell r="L53">
            <v>30307.894578026273</v>
          </cell>
          <cell r="M53">
            <v>38145.607476009893</v>
          </cell>
          <cell r="N53">
            <v>37813.716159046708</v>
          </cell>
          <cell r="O53">
            <v>35551.567338940666</v>
          </cell>
          <cell r="P53">
            <v>40751.181649679813</v>
          </cell>
          <cell r="Q53">
            <v>44374.572281578185</v>
          </cell>
          <cell r="R53">
            <v>49492.468549989018</v>
          </cell>
          <cell r="S53">
            <v>53161.596109312857</v>
          </cell>
          <cell r="T53">
            <v>64329.061907159892</v>
          </cell>
          <cell r="U53">
            <v>65463.375385341795</v>
          </cell>
          <cell r="V53">
            <v>61408.060516905549</v>
          </cell>
          <cell r="W53">
            <v>96205.734742711764</v>
          </cell>
        </row>
        <row r="54">
          <cell r="B54" t="str">
            <v>W.C. Beckjord CT 3</v>
          </cell>
          <cell r="C54" t="str">
            <v>CGE</v>
          </cell>
          <cell r="D54">
            <v>22682.472084854264</v>
          </cell>
          <cell r="E54">
            <v>19425.866641561417</v>
          </cell>
          <cell r="F54">
            <v>17323.650509438256</v>
          </cell>
          <cell r="G54">
            <v>21502.725601418937</v>
          </cell>
          <cell r="H54">
            <v>18282.921321726495</v>
          </cell>
          <cell r="I54">
            <v>20944.50924824809</v>
          </cell>
          <cell r="J54">
            <v>21420.692569247298</v>
          </cell>
          <cell r="K54">
            <v>23571.634296259541</v>
          </cell>
          <cell r="L54">
            <v>30307.894578026273</v>
          </cell>
          <cell r="M54">
            <v>38145.607476009893</v>
          </cell>
          <cell r="N54">
            <v>37813.716159046708</v>
          </cell>
          <cell r="O54">
            <v>35551.567338940666</v>
          </cell>
          <cell r="P54">
            <v>40751.181649679813</v>
          </cell>
          <cell r="Q54">
            <v>44374.572281578185</v>
          </cell>
          <cell r="R54">
            <v>49492.468549989018</v>
          </cell>
          <cell r="S54">
            <v>53161.596109312857</v>
          </cell>
          <cell r="T54">
            <v>64329.061907159892</v>
          </cell>
          <cell r="U54">
            <v>65463.375385341795</v>
          </cell>
          <cell r="V54">
            <v>61408.060516905549</v>
          </cell>
          <cell r="W54">
            <v>96205.734742711764</v>
          </cell>
        </row>
        <row r="55">
          <cell r="B55" t="str">
            <v>W.C. Beckjord CT 4</v>
          </cell>
          <cell r="C55" t="str">
            <v>CGE</v>
          </cell>
          <cell r="D55">
            <v>22682.472084854264</v>
          </cell>
          <cell r="E55">
            <v>19425.866641561417</v>
          </cell>
          <cell r="F55">
            <v>17323.650509438256</v>
          </cell>
          <cell r="G55">
            <v>21502.725601418937</v>
          </cell>
          <cell r="H55">
            <v>18282.921321726495</v>
          </cell>
          <cell r="I55">
            <v>20944.50924824809</v>
          </cell>
          <cell r="J55">
            <v>21420.692569247298</v>
          </cell>
          <cell r="K55">
            <v>23571.634296259541</v>
          </cell>
          <cell r="L55">
            <v>30307.894578026273</v>
          </cell>
          <cell r="M55">
            <v>38145.607476009893</v>
          </cell>
          <cell r="N55">
            <v>37813.716159046708</v>
          </cell>
          <cell r="O55">
            <v>35551.567338940666</v>
          </cell>
          <cell r="P55">
            <v>40751.181649679813</v>
          </cell>
          <cell r="Q55">
            <v>44374.572281578185</v>
          </cell>
          <cell r="R55">
            <v>49492.468549989018</v>
          </cell>
          <cell r="S55">
            <v>53161.596109312857</v>
          </cell>
          <cell r="T55">
            <v>64329.061907159892</v>
          </cell>
          <cell r="U55">
            <v>65463.375385341795</v>
          </cell>
          <cell r="V55">
            <v>61408.060516905549</v>
          </cell>
          <cell r="W55">
            <v>96205.734742711764</v>
          </cell>
        </row>
        <row r="56">
          <cell r="B56" t="str">
            <v>Woodsdale CT 1</v>
          </cell>
          <cell r="C56" t="str">
            <v>CGE</v>
          </cell>
          <cell r="D56">
            <v>68919.994427087469</v>
          </cell>
          <cell r="E56">
            <v>61242.951785356796</v>
          </cell>
          <cell r="F56">
            <v>55505.242654724687</v>
          </cell>
          <cell r="G56">
            <v>68679.807411415764</v>
          </cell>
          <cell r="H56">
            <v>54484.156961218832</v>
          </cell>
          <cell r="I56">
            <v>61933.92956482622</v>
          </cell>
          <cell r="J56">
            <v>58293.675948851931</v>
          </cell>
          <cell r="K56">
            <v>60773.919662775734</v>
          </cell>
          <cell r="L56">
            <v>75592.334925561328</v>
          </cell>
          <cell r="M56">
            <v>76420.369167294368</v>
          </cell>
          <cell r="N56">
            <v>85214.824036174919</v>
          </cell>
          <cell r="O56">
            <v>88067.595189343818</v>
          </cell>
          <cell r="P56">
            <v>95618.776403009004</v>
          </cell>
          <cell r="Q56">
            <v>97928.834716971382</v>
          </cell>
          <cell r="R56">
            <v>106856.15268949866</v>
          </cell>
          <cell r="S56">
            <v>114082.8481716781</v>
          </cell>
          <cell r="T56">
            <v>120016.59452154182</v>
          </cell>
          <cell r="U56">
            <v>129733.3117798366</v>
          </cell>
          <cell r="V56">
            <v>136544.13286226836</v>
          </cell>
          <cell r="W56">
            <v>215695.73375681147</v>
          </cell>
        </row>
        <row r="57">
          <cell r="B57" t="str">
            <v>Woodsdale CT 2</v>
          </cell>
          <cell r="C57" t="str">
            <v>CGE</v>
          </cell>
          <cell r="D57">
            <v>68919.994427087469</v>
          </cell>
          <cell r="E57">
            <v>61242.951785356796</v>
          </cell>
          <cell r="F57">
            <v>55505.242654724687</v>
          </cell>
          <cell r="G57">
            <v>68679.807411415764</v>
          </cell>
          <cell r="H57">
            <v>54484.156961218832</v>
          </cell>
          <cell r="I57">
            <v>61933.92956482622</v>
          </cell>
          <cell r="J57">
            <v>58293.675948851931</v>
          </cell>
          <cell r="K57">
            <v>60773.919662775734</v>
          </cell>
          <cell r="L57">
            <v>75592.334925561328</v>
          </cell>
          <cell r="M57">
            <v>76420.369167294368</v>
          </cell>
          <cell r="N57">
            <v>85214.824036174919</v>
          </cell>
          <cell r="O57">
            <v>88067.595189343818</v>
          </cell>
          <cell r="P57">
            <v>95618.776403009004</v>
          </cell>
          <cell r="Q57">
            <v>97928.834716971382</v>
          </cell>
          <cell r="R57">
            <v>106856.15268949866</v>
          </cell>
          <cell r="S57">
            <v>114082.8481716781</v>
          </cell>
          <cell r="T57">
            <v>120016.59452154182</v>
          </cell>
          <cell r="U57">
            <v>129733.3117798366</v>
          </cell>
          <cell r="V57">
            <v>136544.13286226836</v>
          </cell>
          <cell r="W57">
            <v>215695.73375681147</v>
          </cell>
        </row>
        <row r="58">
          <cell r="B58" t="str">
            <v>Woodsdale CT 3</v>
          </cell>
          <cell r="C58" t="str">
            <v>CGE</v>
          </cell>
          <cell r="D58">
            <v>68919.994427087469</v>
          </cell>
          <cell r="E58">
            <v>61242.951785356796</v>
          </cell>
          <cell r="F58">
            <v>55505.242654724687</v>
          </cell>
          <cell r="G58">
            <v>68679.807411415764</v>
          </cell>
          <cell r="H58">
            <v>54484.156961218832</v>
          </cell>
          <cell r="I58">
            <v>61933.92956482622</v>
          </cell>
          <cell r="J58">
            <v>58293.675948851931</v>
          </cell>
          <cell r="K58">
            <v>60773.919662775734</v>
          </cell>
          <cell r="L58">
            <v>75592.334925561328</v>
          </cell>
          <cell r="M58">
            <v>76420.369167294368</v>
          </cell>
          <cell r="N58">
            <v>85214.824036174919</v>
          </cell>
          <cell r="O58">
            <v>88067.595189343818</v>
          </cell>
          <cell r="P58">
            <v>95618.776403009004</v>
          </cell>
          <cell r="Q58">
            <v>97928.834716971382</v>
          </cell>
          <cell r="R58">
            <v>106856.15268949866</v>
          </cell>
          <cell r="S58">
            <v>114082.8481716781</v>
          </cell>
          <cell r="T58">
            <v>120016.59452154182</v>
          </cell>
          <cell r="U58">
            <v>129733.3117798366</v>
          </cell>
          <cell r="V58">
            <v>136544.13286226836</v>
          </cell>
          <cell r="W58">
            <v>215695.73375681147</v>
          </cell>
        </row>
        <row r="59">
          <cell r="B59" t="str">
            <v>Woodsdale CT 4</v>
          </cell>
          <cell r="C59" t="str">
            <v>CGE</v>
          </cell>
          <cell r="D59">
            <v>68919.994427087469</v>
          </cell>
          <cell r="E59">
            <v>61242.951785356796</v>
          </cell>
          <cell r="F59">
            <v>55505.242654724687</v>
          </cell>
          <cell r="G59">
            <v>68679.807411415764</v>
          </cell>
          <cell r="H59">
            <v>54484.156961218832</v>
          </cell>
          <cell r="I59">
            <v>61933.92956482622</v>
          </cell>
          <cell r="J59">
            <v>58293.675948851931</v>
          </cell>
          <cell r="K59">
            <v>60773.919662775734</v>
          </cell>
          <cell r="L59">
            <v>75592.334925561328</v>
          </cell>
          <cell r="M59">
            <v>76420.369167294368</v>
          </cell>
          <cell r="N59">
            <v>85214.824036174919</v>
          </cell>
          <cell r="O59">
            <v>88067.595189343818</v>
          </cell>
          <cell r="P59">
            <v>95618.776403009004</v>
          </cell>
          <cell r="Q59">
            <v>97928.834716971382</v>
          </cell>
          <cell r="R59">
            <v>106856.15268949866</v>
          </cell>
          <cell r="S59">
            <v>114082.8481716781</v>
          </cell>
          <cell r="T59">
            <v>120016.59452154182</v>
          </cell>
          <cell r="U59">
            <v>129733.3117798366</v>
          </cell>
          <cell r="V59">
            <v>136544.13286226836</v>
          </cell>
          <cell r="W59">
            <v>215695.73375681147</v>
          </cell>
        </row>
        <row r="60">
          <cell r="B60" t="str">
            <v>Woodsdale CT 5</v>
          </cell>
          <cell r="C60" t="str">
            <v>CGE</v>
          </cell>
          <cell r="D60">
            <v>68919.994427087469</v>
          </cell>
          <cell r="E60">
            <v>61242.951785356796</v>
          </cell>
          <cell r="F60">
            <v>55505.242654724687</v>
          </cell>
          <cell r="G60">
            <v>68679.807411415764</v>
          </cell>
          <cell r="H60">
            <v>54484.156961218832</v>
          </cell>
          <cell r="I60">
            <v>61933.92956482622</v>
          </cell>
          <cell r="J60">
            <v>58293.675948851931</v>
          </cell>
          <cell r="K60">
            <v>60773.919662775734</v>
          </cell>
          <cell r="L60">
            <v>75592.334925561328</v>
          </cell>
          <cell r="M60">
            <v>76420.369167294368</v>
          </cell>
          <cell r="N60">
            <v>85214.824036174919</v>
          </cell>
          <cell r="O60">
            <v>88067.595189343818</v>
          </cell>
          <cell r="P60">
            <v>95618.776403009004</v>
          </cell>
          <cell r="Q60">
            <v>97928.834716971382</v>
          </cell>
          <cell r="R60">
            <v>106856.15268949866</v>
          </cell>
          <cell r="S60">
            <v>114082.8481716781</v>
          </cell>
          <cell r="T60">
            <v>120016.59452154182</v>
          </cell>
          <cell r="U60">
            <v>129733.3117798366</v>
          </cell>
          <cell r="V60">
            <v>136544.13286226836</v>
          </cell>
          <cell r="W60">
            <v>215695.73375681147</v>
          </cell>
        </row>
        <row r="61">
          <cell r="B61" t="str">
            <v>Woodsdale CT 6</v>
          </cell>
          <cell r="C61" t="str">
            <v>CGE</v>
          </cell>
          <cell r="D61">
            <v>68919.994427087469</v>
          </cell>
          <cell r="E61">
            <v>61242.951785356796</v>
          </cell>
          <cell r="F61">
            <v>55505.242654724687</v>
          </cell>
          <cell r="G61">
            <v>68679.807411415764</v>
          </cell>
          <cell r="H61">
            <v>54484.156961218832</v>
          </cell>
          <cell r="I61">
            <v>61933.92956482622</v>
          </cell>
          <cell r="J61">
            <v>58293.675948851931</v>
          </cell>
          <cell r="K61">
            <v>60773.919662775734</v>
          </cell>
          <cell r="L61">
            <v>75592.334925561328</v>
          </cell>
          <cell r="M61">
            <v>76420.369167294368</v>
          </cell>
          <cell r="N61">
            <v>85214.824036174919</v>
          </cell>
          <cell r="O61">
            <v>88067.595189343818</v>
          </cell>
          <cell r="P61">
            <v>95618.776403009004</v>
          </cell>
          <cell r="Q61">
            <v>97928.834716971382</v>
          </cell>
          <cell r="R61">
            <v>106856.15268949866</v>
          </cell>
          <cell r="S61">
            <v>114082.8481716781</v>
          </cell>
          <cell r="T61">
            <v>120016.59452154182</v>
          </cell>
          <cell r="U61">
            <v>129733.3117798366</v>
          </cell>
          <cell r="V61">
            <v>136544.13286226836</v>
          </cell>
          <cell r="W61">
            <v>215695.73375681147</v>
          </cell>
        </row>
        <row r="62">
          <cell r="B62" t="str">
            <v>Markland 1 -3</v>
          </cell>
          <cell r="C62" t="str">
            <v>PSI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</sheetData>
      <sheetData sheetId="32">
        <row r="2">
          <cell r="B2" t="str">
            <v>Cayuga 1</v>
          </cell>
          <cell r="C2" t="str">
            <v>PSI</v>
          </cell>
          <cell r="D2">
            <v>3659245.4949437417</v>
          </cell>
          <cell r="E2">
            <v>8037285.738228092</v>
          </cell>
          <cell r="F2">
            <v>8310863.9714156678</v>
          </cell>
          <cell r="G2">
            <v>8900796.4684982877</v>
          </cell>
          <cell r="H2">
            <v>2807107.399231968</v>
          </cell>
          <cell r="I2">
            <v>2132825.6144225886</v>
          </cell>
          <cell r="J2">
            <v>2069737.3751228743</v>
          </cell>
          <cell r="K2">
            <v>2164441.9656479531</v>
          </cell>
          <cell r="L2">
            <v>2416807.2961397516</v>
          </cell>
          <cell r="M2">
            <v>2556763.975450065</v>
          </cell>
          <cell r="N2">
            <v>2422062.702176997</v>
          </cell>
          <cell r="O2">
            <v>2501116.8730601128</v>
          </cell>
          <cell r="P2">
            <v>2515796.5444929092</v>
          </cell>
          <cell r="Q2">
            <v>2454869.9358570389</v>
          </cell>
          <cell r="R2">
            <v>2461339.5079821884</v>
          </cell>
          <cell r="S2">
            <v>2502081.50209849</v>
          </cell>
          <cell r="T2">
            <v>2507348.9736081031</v>
          </cell>
          <cell r="U2">
            <v>2712483.1464812164</v>
          </cell>
          <cell r="V2">
            <v>2684245.186064302</v>
          </cell>
          <cell r="W2">
            <v>2394743.0581366397</v>
          </cell>
        </row>
        <row r="3">
          <cell r="B3" t="str">
            <v>Cayuga 2</v>
          </cell>
          <cell r="C3" t="str">
            <v>PSI</v>
          </cell>
          <cell r="D3">
            <v>3791031.3672576519</v>
          </cell>
          <cell r="E3">
            <v>8534483.9642172307</v>
          </cell>
          <cell r="F3">
            <v>8745456.718422316</v>
          </cell>
          <cell r="G3">
            <v>9350451.2152149733</v>
          </cell>
          <cell r="H3">
            <v>3072931.1044607544</v>
          </cell>
          <cell r="I3">
            <v>2140265.6548105441</v>
          </cell>
          <cell r="J3">
            <v>2039036.517100527</v>
          </cell>
          <cell r="K3">
            <v>2132993.4227477852</v>
          </cell>
          <cell r="L3">
            <v>2382558.7055216092</v>
          </cell>
          <cell r="M3">
            <v>2521647.4579597716</v>
          </cell>
          <cell r="N3">
            <v>2389023.7084095674</v>
          </cell>
          <cell r="O3">
            <v>2466249.6481946316</v>
          </cell>
          <cell r="P3">
            <v>2481233.175504392</v>
          </cell>
          <cell r="Q3">
            <v>2421679.1171173523</v>
          </cell>
          <cell r="R3">
            <v>2425304.2338674213</v>
          </cell>
          <cell r="S3">
            <v>2467964.7509496221</v>
          </cell>
          <cell r="T3">
            <v>2472710.1402051444</v>
          </cell>
          <cell r="U3">
            <v>2681434.8054969576</v>
          </cell>
          <cell r="V3">
            <v>2655117.1395278154</v>
          </cell>
          <cell r="W3">
            <v>2372859.8311075605</v>
          </cell>
        </row>
        <row r="4">
          <cell r="B4" t="str">
            <v>Conesville 4</v>
          </cell>
          <cell r="C4" t="str">
            <v>CGE</v>
          </cell>
          <cell r="D4">
            <v>6178790.2975800885</v>
          </cell>
          <cell r="E4">
            <v>7022180.8635127489</v>
          </cell>
          <cell r="F4">
            <v>7735685.2641894678</v>
          </cell>
          <cell r="G4">
            <v>1905201.3864961704</v>
          </cell>
          <cell r="H4">
            <v>1372914.7867359309</v>
          </cell>
          <cell r="I4">
            <v>1477836.139882362</v>
          </cell>
          <cell r="J4">
            <v>921672.13295222702</v>
          </cell>
          <cell r="K4">
            <v>1003548.5065810377</v>
          </cell>
          <cell r="L4">
            <v>1112406.2136379585</v>
          </cell>
          <cell r="M4">
            <v>1178414.3016314979</v>
          </cell>
          <cell r="N4">
            <v>1116608.7954705083</v>
          </cell>
          <cell r="O4">
            <v>1150424.1736070702</v>
          </cell>
          <cell r="P4">
            <v>1155060.01535699</v>
          </cell>
          <cell r="Q4">
            <v>1132498.5608453378</v>
          </cell>
          <cell r="R4">
            <v>1131304.0477293162</v>
          </cell>
          <cell r="S4">
            <v>1154057.1916309034</v>
          </cell>
          <cell r="T4">
            <v>1164380.9519620393</v>
          </cell>
          <cell r="U4">
            <v>1262089.6100447045</v>
          </cell>
          <cell r="V4">
            <v>1249237.3929723722</v>
          </cell>
          <cell r="W4">
            <v>1129293.508006277</v>
          </cell>
        </row>
        <row r="5">
          <cell r="B5" t="str">
            <v>East Bend 2</v>
          </cell>
          <cell r="C5" t="str">
            <v>CGE</v>
          </cell>
          <cell r="D5">
            <v>1173917.7394354302</v>
          </cell>
          <cell r="E5">
            <v>1286205.5232075152</v>
          </cell>
          <cell r="F5">
            <v>1424013.2578368918</v>
          </cell>
          <cell r="G5">
            <v>1564244.9331279905</v>
          </cell>
          <cell r="H5">
            <v>1712834.5307885078</v>
          </cell>
          <cell r="I5">
            <v>1898482.0814047544</v>
          </cell>
          <cell r="J5">
            <v>2082091.6174842746</v>
          </cell>
          <cell r="K5">
            <v>2247179.8680620305</v>
          </cell>
          <cell r="L5">
            <v>2510311.3144699638</v>
          </cell>
          <cell r="M5">
            <v>2655559.6797088468</v>
          </cell>
          <cell r="N5">
            <v>2505881.0184328137</v>
          </cell>
          <cell r="O5">
            <v>1479116.9110363452</v>
          </cell>
          <cell r="P5">
            <v>1488044.8455871709</v>
          </cell>
          <cell r="Q5">
            <v>1454959.8744740575</v>
          </cell>
          <cell r="R5">
            <v>1456656.9207077879</v>
          </cell>
          <cell r="S5">
            <v>1484319.5745430624</v>
          </cell>
          <cell r="T5">
            <v>1484936.6420186139</v>
          </cell>
          <cell r="U5">
            <v>1617319.8266727587</v>
          </cell>
          <cell r="V5">
            <v>1594776.3663257963</v>
          </cell>
          <cell r="W5">
            <v>1429286.9364164844</v>
          </cell>
        </row>
        <row r="6">
          <cell r="B6" t="str">
            <v>Edwardsport 6</v>
          </cell>
          <cell r="C6" t="str">
            <v>PSI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B7" t="str">
            <v>Edwardsport 7</v>
          </cell>
          <cell r="C7" t="str">
            <v>PSI</v>
          </cell>
          <cell r="D7">
            <v>661530.31448562769</v>
          </cell>
          <cell r="E7">
            <v>693115.1688692586</v>
          </cell>
          <cell r="F7">
            <v>695135.22980448324</v>
          </cell>
          <cell r="G7">
            <v>768658.72484727576</v>
          </cell>
          <cell r="H7">
            <v>785898.60662269732</v>
          </cell>
          <cell r="I7">
            <v>879656.58247554256</v>
          </cell>
          <cell r="J7">
            <v>938968.04113945377</v>
          </cell>
          <cell r="K7">
            <v>1006112.9009169179</v>
          </cell>
          <cell r="L7">
            <v>1118548.1147948124</v>
          </cell>
          <cell r="M7">
            <v>1194272.7101495529</v>
          </cell>
          <cell r="N7">
            <v>1197313.4047692872</v>
          </cell>
          <cell r="O7">
            <v>1273880.2841207325</v>
          </cell>
          <cell r="P7">
            <v>1339945.6476155405</v>
          </cell>
          <cell r="Q7">
            <v>1333684.7945278222</v>
          </cell>
          <cell r="R7">
            <v>1380127.8048775645</v>
          </cell>
          <cell r="S7">
            <v>1458013.402706281</v>
          </cell>
          <cell r="T7">
            <v>1461389.0728621022</v>
          </cell>
          <cell r="U7">
            <v>1526775.3688377484</v>
          </cell>
          <cell r="V7">
            <v>1568451.9349818879</v>
          </cell>
          <cell r="W7">
            <v>1405707.7393408052</v>
          </cell>
        </row>
        <row r="8">
          <cell r="B8" t="str">
            <v>Edwardsport 8</v>
          </cell>
          <cell r="C8" t="str">
            <v>PSI</v>
          </cell>
          <cell r="D8">
            <v>1099300.5681371177</v>
          </cell>
          <cell r="E8">
            <v>1151814.6296556753</v>
          </cell>
          <cell r="F8">
            <v>1155207.1173205171</v>
          </cell>
          <cell r="G8">
            <v>1277361.4527149017</v>
          </cell>
          <cell r="H8">
            <v>1306043.2883559754</v>
          </cell>
          <cell r="I8">
            <v>1461855.6781121171</v>
          </cell>
          <cell r="J8">
            <v>1560462.8622245276</v>
          </cell>
          <cell r="K8">
            <v>1672034.2234105482</v>
          </cell>
          <cell r="L8">
            <v>1858919.855914528</v>
          </cell>
          <cell r="M8">
            <v>1984762.6768727747</v>
          </cell>
          <cell r="N8">
            <v>1989816.787989113</v>
          </cell>
          <cell r="O8">
            <v>2117128.9575217119</v>
          </cell>
          <cell r="P8">
            <v>2226794.2824931066</v>
          </cell>
          <cell r="Q8">
            <v>2216432.3376059006</v>
          </cell>
          <cell r="R8">
            <v>2293605.2314010784</v>
          </cell>
          <cell r="S8">
            <v>2423078.3531300444</v>
          </cell>
          <cell r="T8">
            <v>2428767.134755474</v>
          </cell>
          <cell r="U8">
            <v>2537357.9682351947</v>
          </cell>
          <cell r="V8">
            <v>2606701.5726207788</v>
          </cell>
          <cell r="W8">
            <v>2336229.3523939746</v>
          </cell>
        </row>
        <row r="9">
          <cell r="B9" t="str">
            <v>Gallagher 1</v>
          </cell>
          <cell r="C9" t="str">
            <v>PSI</v>
          </cell>
          <cell r="D9">
            <v>1007542.699666834</v>
          </cell>
          <cell r="E9">
            <v>1000104.5152848166</v>
          </cell>
          <cell r="F9">
            <v>1048367.4738105583</v>
          </cell>
          <cell r="G9">
            <v>1162382.3082880944</v>
          </cell>
          <cell r="H9">
            <v>1204304.672525618</v>
          </cell>
          <cell r="I9">
            <v>2888098.307584743</v>
          </cell>
          <cell r="J9">
            <v>3083237.0678063957</v>
          </cell>
          <cell r="K9">
            <v>3217416.5741875805</v>
          </cell>
          <cell r="L9">
            <v>1720019.6291513708</v>
          </cell>
          <cell r="M9">
            <v>1838720.8376830639</v>
          </cell>
          <cell r="N9">
            <v>1779680.2206750195</v>
          </cell>
          <cell r="O9">
            <v>1891441.6708139777</v>
          </cell>
          <cell r="P9">
            <v>1934095.9161670087</v>
          </cell>
          <cell r="Q9">
            <v>3989924.8096026713</v>
          </cell>
          <cell r="R9">
            <v>4072295.4488466154</v>
          </cell>
          <cell r="S9">
            <v>4300450.8320904737</v>
          </cell>
          <cell r="T9">
            <v>4396985.4084298275</v>
          </cell>
          <cell r="U9">
            <v>4639051.0748427883</v>
          </cell>
          <cell r="V9">
            <v>4710826.4525622092</v>
          </cell>
          <cell r="W9">
            <v>4290825.4636163851</v>
          </cell>
        </row>
        <row r="10">
          <cell r="B10" t="str">
            <v>Gallagher 2</v>
          </cell>
          <cell r="C10" t="str">
            <v>PSI</v>
          </cell>
          <cell r="D10">
            <v>1038910.0757525692</v>
          </cell>
          <cell r="E10">
            <v>1027905.2671208445</v>
          </cell>
          <cell r="F10">
            <v>1075123.5648252559</v>
          </cell>
          <cell r="G10">
            <v>1194453.064296271</v>
          </cell>
          <cell r="H10">
            <v>1244378.929962391</v>
          </cell>
          <cell r="I10">
            <v>3014062.0474868678</v>
          </cell>
          <cell r="J10">
            <v>3213302.4441326112</v>
          </cell>
          <cell r="K10">
            <v>3308940.5093410974</v>
          </cell>
          <cell r="L10">
            <v>1761070.8907715799</v>
          </cell>
          <cell r="M10">
            <v>1891963.8030953016</v>
          </cell>
          <cell r="N10">
            <v>1813383.9752317027</v>
          </cell>
          <cell r="O10">
            <v>1926618.0120048884</v>
          </cell>
          <cell r="P10">
            <v>1959892.1962471246</v>
          </cell>
          <cell r="Q10">
            <v>4037274.6006096574</v>
          </cell>
          <cell r="R10">
            <v>4117348.6404203135</v>
          </cell>
          <cell r="S10">
            <v>4348985.8893928621</v>
          </cell>
          <cell r="T10">
            <v>4442940.4617677666</v>
          </cell>
          <cell r="U10">
            <v>4681474.1900586421</v>
          </cell>
          <cell r="V10">
            <v>4752611.2244830271</v>
          </cell>
          <cell r="W10">
            <v>4343730.4725459768</v>
          </cell>
        </row>
        <row r="11">
          <cell r="B11" t="str">
            <v>Gallagher 3</v>
          </cell>
          <cell r="C11" t="str">
            <v>PSI</v>
          </cell>
          <cell r="D11">
            <v>1023567.4736796841</v>
          </cell>
          <cell r="E11">
            <v>1014737.0393559592</v>
          </cell>
          <cell r="F11">
            <v>1063081.4695075534</v>
          </cell>
          <cell r="G11">
            <v>1179025.7213124994</v>
          </cell>
          <cell r="H11">
            <v>1225155.114024342</v>
          </cell>
          <cell r="I11">
            <v>2946301.0157200443</v>
          </cell>
          <cell r="J11">
            <v>3153440.9653058262</v>
          </cell>
          <cell r="K11">
            <v>3265030.6504671122</v>
          </cell>
          <cell r="L11">
            <v>1740760.6446627169</v>
          </cell>
          <cell r="M11">
            <v>1865951.899124111</v>
          </cell>
          <cell r="N11">
            <v>1796415.582478045</v>
          </cell>
          <cell r="O11">
            <v>1911412.4374733192</v>
          </cell>
          <cell r="P11">
            <v>1948859.099876585</v>
          </cell>
          <cell r="Q11">
            <v>4012631.0733541991</v>
          </cell>
          <cell r="R11">
            <v>4094270.5428192276</v>
          </cell>
          <cell r="S11">
            <v>4319653.0110262139</v>
          </cell>
          <cell r="T11">
            <v>4422822.3698435156</v>
          </cell>
          <cell r="U11">
            <v>4660584.5039730221</v>
          </cell>
          <cell r="V11">
            <v>4728509.1653188756</v>
          </cell>
          <cell r="W11">
            <v>4322384.4370716009</v>
          </cell>
        </row>
        <row r="12">
          <cell r="B12" t="str">
            <v>Gallagher 4</v>
          </cell>
          <cell r="C12" t="str">
            <v>PSI</v>
          </cell>
          <cell r="D12">
            <v>1000306.4722840998</v>
          </cell>
          <cell r="E12">
            <v>989264.11550686811</v>
          </cell>
          <cell r="F12">
            <v>1034081.5040930382</v>
          </cell>
          <cell r="G12">
            <v>1150337.3085250771</v>
          </cell>
          <cell r="H12">
            <v>1184841.4741374219</v>
          </cell>
          <cell r="I12">
            <v>2833186.9144051932</v>
          </cell>
          <cell r="J12">
            <v>3036776.8926956956</v>
          </cell>
          <cell r="K12">
            <v>3188333.8905544197</v>
          </cell>
          <cell r="L12">
            <v>1707538.5917494192</v>
          </cell>
          <cell r="M12">
            <v>1827568.9374954593</v>
          </cell>
          <cell r="N12">
            <v>1769400.3709774483</v>
          </cell>
          <cell r="O12">
            <v>1878808.7906248325</v>
          </cell>
          <cell r="P12">
            <v>1924215.5962224356</v>
          </cell>
          <cell r="Q12">
            <v>3971966.766445694</v>
          </cell>
          <cell r="R12">
            <v>4048876.660810343</v>
          </cell>
          <cell r="S12">
            <v>4276581.6216908535</v>
          </cell>
          <cell r="T12">
            <v>4376721.1174056092</v>
          </cell>
          <cell r="U12">
            <v>4629044.6144695012</v>
          </cell>
          <cell r="V12">
            <v>4701673.6670247298</v>
          </cell>
          <cell r="W12">
            <v>4276633.6720999964</v>
          </cell>
        </row>
        <row r="13">
          <cell r="B13" t="str">
            <v>Gibson 1</v>
          </cell>
          <cell r="C13" t="str">
            <v>PSI</v>
          </cell>
          <cell r="D13">
            <v>5961784.5731961429</v>
          </cell>
          <cell r="E13">
            <v>13482382.965544593</v>
          </cell>
          <cell r="F13">
            <v>14502105.715400789</v>
          </cell>
          <cell r="G13">
            <v>15462258.238876088</v>
          </cell>
          <cell r="H13">
            <v>4162109.164383593</v>
          </cell>
          <cell r="I13">
            <v>2764025.4554973836</v>
          </cell>
          <cell r="J13">
            <v>2644857.6922498681</v>
          </cell>
          <cell r="K13">
            <v>2784754.0035067373</v>
          </cell>
          <cell r="L13">
            <v>3110750.7884230698</v>
          </cell>
          <cell r="M13">
            <v>3292659.0575322746</v>
          </cell>
          <cell r="N13">
            <v>3120248.941022939</v>
          </cell>
          <cell r="O13">
            <v>3221249.192727868</v>
          </cell>
          <cell r="P13">
            <v>3239832.4560851981</v>
          </cell>
          <cell r="Q13">
            <v>3162573.0918123643</v>
          </cell>
          <cell r="R13">
            <v>3167203.1448430135</v>
          </cell>
          <cell r="S13">
            <v>3222889.1733953059</v>
          </cell>
          <cell r="T13">
            <v>3231113.3113849009</v>
          </cell>
          <cell r="U13">
            <v>3503151.7930210703</v>
          </cell>
          <cell r="V13">
            <v>3469481.7338413177</v>
          </cell>
          <cell r="W13">
            <v>2169590.38284725</v>
          </cell>
        </row>
        <row r="14">
          <cell r="B14" t="str">
            <v>Gibson 2</v>
          </cell>
          <cell r="C14" t="str">
            <v>PSI</v>
          </cell>
          <cell r="D14">
            <v>5993788.2369835041</v>
          </cell>
          <cell r="E14">
            <v>13596619.757429602</v>
          </cell>
          <cell r="F14">
            <v>14628870.8112782</v>
          </cell>
          <cell r="G14">
            <v>15683658.381343154</v>
          </cell>
          <cell r="H14">
            <v>4310447.8557339553</v>
          </cell>
          <cell r="I14">
            <v>2770339.2501233332</v>
          </cell>
          <cell r="J14">
            <v>2634173.4656492905</v>
          </cell>
          <cell r="K14">
            <v>2773872.5593930501</v>
          </cell>
          <cell r="L14">
            <v>3098321.1455987273</v>
          </cell>
          <cell r="M14">
            <v>3280155.8032408482</v>
          </cell>
          <cell r="N14">
            <v>3108269.1883748174</v>
          </cell>
          <cell r="O14">
            <v>3208409.2024617647</v>
          </cell>
          <cell r="P14">
            <v>3226887.1291892142</v>
          </cell>
          <cell r="Q14">
            <v>3150948.4687068439</v>
          </cell>
          <cell r="R14">
            <v>3154876.941292943</v>
          </cell>
          <cell r="S14">
            <v>3211185.8653438305</v>
          </cell>
          <cell r="T14">
            <v>3221912.6686978787</v>
          </cell>
          <cell r="U14">
            <v>3491002.2256402732</v>
          </cell>
          <cell r="V14">
            <v>3458025.0088916468</v>
          </cell>
          <cell r="W14">
            <v>2164726.7946479614</v>
          </cell>
        </row>
        <row r="15">
          <cell r="B15" t="str">
            <v>Gibson 3</v>
          </cell>
          <cell r="C15" t="str">
            <v>PSI</v>
          </cell>
          <cell r="D15">
            <v>5838519.1122332299</v>
          </cell>
          <cell r="E15">
            <v>13204514.39318414</v>
          </cell>
          <cell r="F15">
            <v>14014357.858931258</v>
          </cell>
          <cell r="G15">
            <v>14801639.032590728</v>
          </cell>
          <cell r="H15">
            <v>3853804.0912218122</v>
          </cell>
          <cell r="I15">
            <v>2674662.1937986678</v>
          </cell>
          <cell r="J15">
            <v>2655563.2887422829</v>
          </cell>
          <cell r="K15">
            <v>2814921.7147915401</v>
          </cell>
          <cell r="L15">
            <v>3143960.793386742</v>
          </cell>
          <cell r="M15">
            <v>3326979.5016342783</v>
          </cell>
          <cell r="N15">
            <v>3152196.0969954757</v>
          </cell>
          <cell r="O15">
            <v>3253737.2838915046</v>
          </cell>
          <cell r="P15">
            <v>3273749.5411012322</v>
          </cell>
          <cell r="Q15">
            <v>3194811.8355243802</v>
          </cell>
          <cell r="R15">
            <v>3199837.1065565143</v>
          </cell>
          <cell r="S15">
            <v>3255878.2142195427</v>
          </cell>
          <cell r="T15">
            <v>3261434.9483158384</v>
          </cell>
          <cell r="U15">
            <v>3534700.8633657466</v>
          </cell>
          <cell r="V15">
            <v>3497434.1088132579</v>
          </cell>
          <cell r="W15">
            <v>2185099.7623257041</v>
          </cell>
        </row>
        <row r="16">
          <cell r="B16" t="str">
            <v>Gibson 4</v>
          </cell>
          <cell r="C16" t="str">
            <v>PSI</v>
          </cell>
          <cell r="D16">
            <v>1413634.0092868344</v>
          </cell>
          <cell r="E16">
            <v>1548851.175392535</v>
          </cell>
          <cell r="F16">
            <v>1714799.5156131596</v>
          </cell>
          <cell r="G16">
            <v>1886894.0906567678</v>
          </cell>
          <cell r="H16">
            <v>2069458.0746328721</v>
          </cell>
          <cell r="I16">
            <v>2291538.094455786</v>
          </cell>
          <cell r="J16">
            <v>2513132.3619808033</v>
          </cell>
          <cell r="K16">
            <v>2734296.2345737009</v>
          </cell>
          <cell r="L16">
            <v>3030897.2107976284</v>
          </cell>
          <cell r="M16">
            <v>3212650.3719723984</v>
          </cell>
          <cell r="N16">
            <v>3043462.7578125419</v>
          </cell>
          <cell r="O16">
            <v>3134031.5422248305</v>
          </cell>
          <cell r="P16">
            <v>3146654.8337028278</v>
          </cell>
          <cell r="Q16">
            <v>3084106.7761443532</v>
          </cell>
          <cell r="R16">
            <v>3081116.7535091285</v>
          </cell>
          <cell r="S16">
            <v>3142494.2213725056</v>
          </cell>
          <cell r="T16">
            <v>3163496.1275910102</v>
          </cell>
          <cell r="U16">
            <v>3432808.7617755597</v>
          </cell>
          <cell r="V16">
            <v>3394026.8365319674</v>
          </cell>
          <cell r="W16">
            <v>2140044.4040283225</v>
          </cell>
        </row>
        <row r="17">
          <cell r="B17" t="str">
            <v>Gibson 5</v>
          </cell>
          <cell r="C17" t="str">
            <v>PSI</v>
          </cell>
          <cell r="D17">
            <v>722159.60286531528</v>
          </cell>
          <cell r="E17">
            <v>791235.73879156529</v>
          </cell>
          <cell r="F17">
            <v>876010.99651923205</v>
          </cell>
          <cell r="G17">
            <v>963682.36295559746</v>
          </cell>
          <cell r="H17">
            <v>1056570.1795484701</v>
          </cell>
          <cell r="I17">
            <v>1170289.8440204312</v>
          </cell>
          <cell r="J17">
            <v>1282871.2146844498</v>
          </cell>
          <cell r="K17">
            <v>1396755.5257539151</v>
          </cell>
          <cell r="L17">
            <v>1548206.4430668333</v>
          </cell>
          <cell r="M17">
            <v>1639911.4392624735</v>
          </cell>
          <cell r="N17">
            <v>1552363.742960596</v>
          </cell>
          <cell r="O17">
            <v>1599229.7408014941</v>
          </cell>
          <cell r="P17">
            <v>1606856.9456254095</v>
          </cell>
          <cell r="Q17">
            <v>1573906.2456977712</v>
          </cell>
          <cell r="R17">
            <v>1572229.0408634343</v>
          </cell>
          <cell r="S17">
            <v>1604652.817853146</v>
          </cell>
          <cell r="T17">
            <v>1613327.3443220798</v>
          </cell>
          <cell r="U17">
            <v>1752120.6642379868</v>
          </cell>
          <cell r="V17">
            <v>1731132.3008188233</v>
          </cell>
          <cell r="W17">
            <v>1090383.8033895991</v>
          </cell>
        </row>
        <row r="18">
          <cell r="B18" t="str">
            <v>J.M. Stuart 1</v>
          </cell>
          <cell r="C18" t="str">
            <v>CGE</v>
          </cell>
          <cell r="D18">
            <v>2160995.8302595024</v>
          </cell>
          <cell r="E18">
            <v>2367018.713356935</v>
          </cell>
          <cell r="F18">
            <v>2621045.2746824455</v>
          </cell>
          <cell r="G18">
            <v>2853421.7089682627</v>
          </cell>
          <cell r="H18">
            <v>3088994.6526025776</v>
          </cell>
          <cell r="I18">
            <v>3335290.2231788482</v>
          </cell>
          <cell r="J18">
            <v>3580494.8717120104</v>
          </cell>
          <cell r="K18">
            <v>3842467.2095475658</v>
          </cell>
          <cell r="L18">
            <v>4188340.6857532491</v>
          </cell>
          <cell r="M18">
            <v>4368736.1695382912</v>
          </cell>
          <cell r="N18">
            <v>4111004.5396985617</v>
          </cell>
          <cell r="O18">
            <v>4256592.1652144585</v>
          </cell>
          <cell r="P18">
            <v>4249155.323763812</v>
          </cell>
          <cell r="Q18">
            <v>4046737.1629928364</v>
          </cell>
          <cell r="R18">
            <v>4032352.9953458454</v>
          </cell>
          <cell r="S18">
            <v>4142674.5530850929</v>
          </cell>
          <cell r="T18">
            <v>4069095.9711862486</v>
          </cell>
          <cell r="U18">
            <v>4268759.3304533372</v>
          </cell>
          <cell r="V18">
            <v>8818087.9105149452</v>
          </cell>
          <cell r="W18">
            <v>8078675.6451810244</v>
          </cell>
        </row>
        <row r="19">
          <cell r="B19" t="str">
            <v>J.M. Stuart 2</v>
          </cell>
          <cell r="C19" t="str">
            <v>CGE</v>
          </cell>
          <cell r="D19">
            <v>2125085.7150253053</v>
          </cell>
          <cell r="E19">
            <v>2328354.7834190195</v>
          </cell>
          <cell r="F19">
            <v>2577821.3673567777</v>
          </cell>
          <cell r="G19">
            <v>2814139.7342644022</v>
          </cell>
          <cell r="H19">
            <v>3069387.4406994646</v>
          </cell>
          <cell r="I19">
            <v>3340012.8034327328</v>
          </cell>
          <cell r="J19">
            <v>3613081.4582708194</v>
          </cell>
          <cell r="K19">
            <v>3870115.215659834</v>
          </cell>
          <cell r="L19">
            <v>4260266.2551198322</v>
          </cell>
          <cell r="M19">
            <v>4469662.4736447511</v>
          </cell>
          <cell r="N19">
            <v>4174407.4064800926</v>
          </cell>
          <cell r="O19">
            <v>4326885.1148806596</v>
          </cell>
          <cell r="P19">
            <v>4303711.9952702597</v>
          </cell>
          <cell r="Q19">
            <v>4107823.9047078718</v>
          </cell>
          <cell r="R19">
            <v>4089793.8474983107</v>
          </cell>
          <cell r="S19">
            <v>4186391.2616229295</v>
          </cell>
          <cell r="T19">
            <v>4103751.8486709082</v>
          </cell>
          <cell r="U19">
            <v>4304373.8924189238</v>
          </cell>
          <cell r="V19">
            <v>8895553.055997951</v>
          </cell>
          <cell r="W19">
            <v>8149464.5091740303</v>
          </cell>
        </row>
        <row r="20">
          <cell r="B20" t="str">
            <v>J.M. Stuart 3</v>
          </cell>
          <cell r="C20" t="str">
            <v>CGE</v>
          </cell>
          <cell r="D20">
            <v>2159453.6780715291</v>
          </cell>
          <cell r="E20">
            <v>2365329.5369889541</v>
          </cell>
          <cell r="F20">
            <v>2619174.8172532753</v>
          </cell>
          <cell r="G20">
            <v>2852968.4384011114</v>
          </cell>
          <cell r="H20">
            <v>3090593.7167643378</v>
          </cell>
          <cell r="I20">
            <v>3336797.8349934495</v>
          </cell>
          <cell r="J20">
            <v>3583391.1455761069</v>
          </cell>
          <cell r="K20">
            <v>3844522.1941329497</v>
          </cell>
          <cell r="L20">
            <v>4193879.444580676</v>
          </cell>
          <cell r="M20">
            <v>4375546.4573229915</v>
          </cell>
          <cell r="N20">
            <v>4114754.7812943757</v>
          </cell>
          <cell r="O20">
            <v>4258871.7020196039</v>
          </cell>
          <cell r="P20">
            <v>4251745.7919276003</v>
          </cell>
          <cell r="Q20">
            <v>4050849.9521982586</v>
          </cell>
          <cell r="R20">
            <v>4035867.4238343691</v>
          </cell>
          <cell r="S20">
            <v>4144828.6061877841</v>
          </cell>
          <cell r="T20">
            <v>4071293.2135934699</v>
          </cell>
          <cell r="U20">
            <v>4268893.9745295299</v>
          </cell>
          <cell r="V20">
            <v>8826041.8517705481</v>
          </cell>
          <cell r="W20">
            <v>8080075.2413653824</v>
          </cell>
        </row>
        <row r="21">
          <cell r="B21" t="str">
            <v>J.M. Stuart 4</v>
          </cell>
          <cell r="C21" t="str">
            <v>CGE</v>
          </cell>
          <cell r="D21">
            <v>2155708.4513293132</v>
          </cell>
          <cell r="E21">
            <v>2361603.3476744434</v>
          </cell>
          <cell r="F21">
            <v>2614968.0779168606</v>
          </cell>
          <cell r="G21">
            <v>2849878.6265420108</v>
          </cell>
          <cell r="H21">
            <v>3090166.1851779032</v>
          </cell>
          <cell r="I21">
            <v>3338602.3491364978</v>
          </cell>
          <cell r="J21">
            <v>3587374.0266896351</v>
          </cell>
          <cell r="K21">
            <v>3850352.2028151071</v>
          </cell>
          <cell r="L21">
            <v>4201160.6531204032</v>
          </cell>
          <cell r="M21">
            <v>4389531.6016253214</v>
          </cell>
          <cell r="N21">
            <v>4121466.4908753098</v>
          </cell>
          <cell r="O21">
            <v>4270119.0171949826</v>
          </cell>
          <cell r="P21">
            <v>4255324.9895191463</v>
          </cell>
          <cell r="Q21">
            <v>4055737.2241369407</v>
          </cell>
          <cell r="R21">
            <v>4043209.5792297311</v>
          </cell>
          <cell r="S21">
            <v>4150731.9095741282</v>
          </cell>
          <cell r="T21">
            <v>4076402.0015923949</v>
          </cell>
          <cell r="U21">
            <v>4273827.4348030575</v>
          </cell>
          <cell r="V21">
            <v>8840313.4928298835</v>
          </cell>
          <cell r="W21">
            <v>8088670.2255171919</v>
          </cell>
        </row>
        <row r="22">
          <cell r="B22" t="str">
            <v>Killen 2</v>
          </cell>
          <cell r="C22" t="str">
            <v>CGE</v>
          </cell>
          <cell r="D22">
            <v>1909204.7832590723</v>
          </cell>
          <cell r="E22">
            <v>2089754.939504667</v>
          </cell>
          <cell r="F22">
            <v>2307595.0906650452</v>
          </cell>
          <cell r="G22">
            <v>2510030.8973298813</v>
          </cell>
          <cell r="H22">
            <v>2695773.845099309</v>
          </cell>
          <cell r="I22">
            <v>2903458.1488335999</v>
          </cell>
          <cell r="J22">
            <v>3100207.2067883527</v>
          </cell>
          <cell r="K22">
            <v>3318375.5321384962</v>
          </cell>
          <cell r="L22">
            <v>3603951.1931035388</v>
          </cell>
          <cell r="M22">
            <v>3756909.7165700388</v>
          </cell>
          <cell r="N22">
            <v>3564083.1493425542</v>
          </cell>
          <cell r="O22">
            <v>3687711.3980169524</v>
          </cell>
          <cell r="P22">
            <v>3679349.4755328684</v>
          </cell>
          <cell r="Q22">
            <v>3503747.8775032912</v>
          </cell>
          <cell r="R22">
            <v>3488217.128527448</v>
          </cell>
          <cell r="S22">
            <v>3593450.1955983783</v>
          </cell>
          <cell r="T22">
            <v>3529951.6036915784</v>
          </cell>
          <cell r="U22">
            <v>3692915.6849561348</v>
          </cell>
          <cell r="V22">
            <v>7543828.8523013676</v>
          </cell>
          <cell r="W22">
            <v>6972830.6565257451</v>
          </cell>
        </row>
        <row r="23">
          <cell r="B23" t="str">
            <v>Miami Fort 5</v>
          </cell>
          <cell r="C23" t="str">
            <v>CGE</v>
          </cell>
          <cell r="D23">
            <v>503006.31683681608</v>
          </cell>
          <cell r="E23">
            <v>486542.30315207294</v>
          </cell>
          <cell r="F23">
            <v>483546.24669036904</v>
          </cell>
          <cell r="G23">
            <v>550239.91195253632</v>
          </cell>
          <cell r="H23">
            <v>550880.56117134902</v>
          </cell>
          <cell r="I23">
            <v>629254.34336426412</v>
          </cell>
          <cell r="J23">
            <v>1378858.3876741386</v>
          </cell>
          <cell r="K23">
            <v>727771.65012442658</v>
          </cell>
          <cell r="L23">
            <v>841921.4001790334</v>
          </cell>
          <cell r="M23">
            <v>899014.97583286243</v>
          </cell>
          <cell r="N23">
            <v>862239.74748061062</v>
          </cell>
          <cell r="O23">
            <v>942300.4752994742</v>
          </cell>
          <cell r="P23">
            <v>987311.05744290282</v>
          </cell>
          <cell r="Q23">
            <v>990062.757820089</v>
          </cell>
          <cell r="R23">
            <v>1018343.2684250459</v>
          </cell>
          <cell r="S23">
            <v>2232048.3331946577</v>
          </cell>
          <cell r="T23">
            <v>2314036.5040726154</v>
          </cell>
          <cell r="U23">
            <v>2380127.389136184</v>
          </cell>
          <cell r="V23">
            <v>2477818.0179140177</v>
          </cell>
          <cell r="W23">
            <v>2245064.5840189694</v>
          </cell>
        </row>
        <row r="24">
          <cell r="B24" t="str">
            <v>Miami Fort 6</v>
          </cell>
          <cell r="C24" t="str">
            <v>CGE</v>
          </cell>
          <cell r="D24">
            <v>1557171.2337147573</v>
          </cell>
          <cell r="E24">
            <v>1631174.8590628419</v>
          </cell>
          <cell r="F24">
            <v>1773307.0646709045</v>
          </cell>
          <cell r="G24">
            <v>1939117.1181692472</v>
          </cell>
          <cell r="H24">
            <v>2045953.4761813027</v>
          </cell>
          <cell r="I24">
            <v>2169088.0433342247</v>
          </cell>
          <cell r="J24">
            <v>4709712.3815650754</v>
          </cell>
          <cell r="K24">
            <v>2437104.210623797</v>
          </cell>
          <cell r="L24">
            <v>2618744.4276393708</v>
          </cell>
          <cell r="M24">
            <v>2734580.6104640444</v>
          </cell>
          <cell r="N24">
            <v>2609090.5718856566</v>
          </cell>
          <cell r="O24">
            <v>2708376.3699836498</v>
          </cell>
          <cell r="P24">
            <v>2724975.4814388985</v>
          </cell>
          <cell r="Q24">
            <v>2613858.6172449561</v>
          </cell>
          <cell r="R24">
            <v>2584177.8380692773</v>
          </cell>
          <cell r="S24">
            <v>5612632.120325936</v>
          </cell>
          <cell r="T24">
            <v>5644789.1838795962</v>
          </cell>
          <cell r="U24">
            <v>5901022.2444942938</v>
          </cell>
          <cell r="V24">
            <v>5944169.8935644468</v>
          </cell>
          <cell r="W24">
            <v>5499891.6869186303</v>
          </cell>
        </row>
        <row r="25">
          <cell r="B25" t="str">
            <v>Miami Fort 7</v>
          </cell>
          <cell r="C25" t="str">
            <v>CGE</v>
          </cell>
          <cell r="D25">
            <v>2870699.4175577243</v>
          </cell>
          <cell r="E25">
            <v>2984902.891675117</v>
          </cell>
          <cell r="F25">
            <v>3251862.0722273695</v>
          </cell>
          <cell r="G25">
            <v>3530882.0490073776</v>
          </cell>
          <cell r="H25">
            <v>3709931.8396234638</v>
          </cell>
          <cell r="I25">
            <v>3851616.8876742423</v>
          </cell>
          <cell r="J25">
            <v>8635791.6055211313</v>
          </cell>
          <cell r="K25">
            <v>4416536.3278106935</v>
          </cell>
          <cell r="L25">
            <v>4821041.151015209</v>
          </cell>
          <cell r="M25">
            <v>5069225.2747563152</v>
          </cell>
          <cell r="N25">
            <v>4836909.952627141</v>
          </cell>
          <cell r="O25">
            <v>5056147.8700340549</v>
          </cell>
          <cell r="P25">
            <v>5081752.7701486545</v>
          </cell>
          <cell r="Q25">
            <v>4864509.1474083569</v>
          </cell>
          <cell r="R25">
            <v>4839867.1402176926</v>
          </cell>
          <cell r="S25">
            <v>10516125.598783704</v>
          </cell>
          <cell r="T25">
            <v>10591908.83911721</v>
          </cell>
          <cell r="U25">
            <v>11186511.882454811</v>
          </cell>
          <cell r="V25">
            <v>11255744.408772536</v>
          </cell>
          <cell r="W25">
            <v>10364783.659488928</v>
          </cell>
        </row>
        <row r="26">
          <cell r="B26" t="str">
            <v>Miami Fort 8</v>
          </cell>
          <cell r="C26" t="str">
            <v>CGE</v>
          </cell>
          <cell r="D26">
            <v>2979117.3548612939</v>
          </cell>
          <cell r="E26">
            <v>3130581.7259898288</v>
          </cell>
          <cell r="F26">
            <v>3455825.3350129849</v>
          </cell>
          <cell r="G26">
            <v>3758381.9416507739</v>
          </cell>
          <cell r="H26">
            <v>3986552.7411848479</v>
          </cell>
          <cell r="I26">
            <v>4265097.0817169771</v>
          </cell>
          <cell r="J26">
            <v>9523008.7844290473</v>
          </cell>
          <cell r="K26">
            <v>4807722.1417582519</v>
          </cell>
          <cell r="L26">
            <v>5180215.1383904256</v>
          </cell>
          <cell r="M26">
            <v>5368510.5212694509</v>
          </cell>
          <cell r="N26">
            <v>5133668.8434382323</v>
          </cell>
          <cell r="O26">
            <v>5338857.1538128173</v>
          </cell>
          <cell r="P26">
            <v>5350251.6423692321</v>
          </cell>
          <cell r="Q26">
            <v>5093261.5463379789</v>
          </cell>
          <cell r="R26">
            <v>5063472.0507990345</v>
          </cell>
          <cell r="S26">
            <v>10986146.795291618</v>
          </cell>
          <cell r="T26">
            <v>11035051.227128478</v>
          </cell>
          <cell r="U26">
            <v>11566473.71013316</v>
          </cell>
          <cell r="V26">
            <v>11716541.214511052</v>
          </cell>
          <cell r="W26">
            <v>10853450.693413958</v>
          </cell>
        </row>
        <row r="27">
          <cell r="B27" t="str">
            <v>Noblesville 1</v>
          </cell>
          <cell r="C27" t="str">
            <v>PSI</v>
          </cell>
          <cell r="D27">
            <v>283871.0484093136</v>
          </cell>
          <cell r="E27">
            <v>586482.22710899066</v>
          </cell>
          <cell r="F27">
            <v>586788.27078236092</v>
          </cell>
          <cell r="G27">
            <v>660307.95295707253</v>
          </cell>
          <cell r="H27">
            <v>670793.93375928502</v>
          </cell>
          <cell r="I27">
            <v>762638.85139691492</v>
          </cell>
          <cell r="J27">
            <v>798106.91096531448</v>
          </cell>
          <cell r="K27">
            <v>428054.03952126793</v>
          </cell>
          <cell r="L27">
            <v>494665.27679292759</v>
          </cell>
          <cell r="M27">
            <v>532299.61242003366</v>
          </cell>
          <cell r="N27">
            <v>517767.61293408519</v>
          </cell>
          <cell r="O27">
            <v>557851.50802434376</v>
          </cell>
          <cell r="P27">
            <v>583279.16913410055</v>
          </cell>
          <cell r="Q27">
            <v>580528.85147027264</v>
          </cell>
          <cell r="R27">
            <v>596087.52280985808</v>
          </cell>
          <cell r="S27">
            <v>624786.0014875225</v>
          </cell>
          <cell r="T27">
            <v>640146.22432265151</v>
          </cell>
          <cell r="U27">
            <v>668306.74761456845</v>
          </cell>
          <cell r="V27">
            <v>684413.5073881842</v>
          </cell>
          <cell r="W27">
            <v>1212339.5991615867</v>
          </cell>
        </row>
        <row r="28">
          <cell r="B28" t="str">
            <v>Noblesville 2</v>
          </cell>
          <cell r="C28" t="str">
            <v>PSI</v>
          </cell>
          <cell r="D28">
            <v>283871.0484093136</v>
          </cell>
          <cell r="E28">
            <v>586482.22710899066</v>
          </cell>
          <cell r="F28">
            <v>586788.27078236092</v>
          </cell>
          <cell r="G28">
            <v>660307.95295707253</v>
          </cell>
          <cell r="H28">
            <v>670793.93375928502</v>
          </cell>
          <cell r="I28">
            <v>762638.85139691492</v>
          </cell>
          <cell r="J28">
            <v>798106.91096531448</v>
          </cell>
          <cell r="K28">
            <v>428054.03952126793</v>
          </cell>
          <cell r="L28">
            <v>494665.27679292759</v>
          </cell>
          <cell r="M28">
            <v>532299.61242003366</v>
          </cell>
          <cell r="N28">
            <v>517767.61293408519</v>
          </cell>
          <cell r="O28">
            <v>557851.50802434376</v>
          </cell>
          <cell r="P28">
            <v>583279.16913410055</v>
          </cell>
          <cell r="Q28">
            <v>580528.85147027264</v>
          </cell>
          <cell r="R28">
            <v>596087.52280985808</v>
          </cell>
          <cell r="S28">
            <v>624786.0014875225</v>
          </cell>
          <cell r="T28">
            <v>640146.22432265151</v>
          </cell>
          <cell r="U28">
            <v>668306.74761456845</v>
          </cell>
          <cell r="V28">
            <v>684413.5073881842</v>
          </cell>
          <cell r="W28">
            <v>1212339.5991615867</v>
          </cell>
        </row>
        <row r="29">
          <cell r="B29" t="str">
            <v>Wabash River 1</v>
          </cell>
          <cell r="C29" t="str">
            <v>PSI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 t="str">
            <v>Wabash River 2</v>
          </cell>
          <cell r="C30" t="str">
            <v>PSI</v>
          </cell>
          <cell r="D30">
            <v>535855.09831573081</v>
          </cell>
          <cell r="E30">
            <v>1141123.8372927208</v>
          </cell>
          <cell r="F30">
            <v>1160446.7872278597</v>
          </cell>
          <cell r="G30">
            <v>1285487.2175377705</v>
          </cell>
          <cell r="H30">
            <v>1334278.4469638262</v>
          </cell>
          <cell r="I30">
            <v>1486146.1634467205</v>
          </cell>
          <cell r="J30">
            <v>1564017.088957526</v>
          </cell>
          <cell r="K30">
            <v>829605.71338759374</v>
          </cell>
          <cell r="L30">
            <v>928732.46562286851</v>
          </cell>
          <cell r="M30">
            <v>1011796.8436652927</v>
          </cell>
          <cell r="N30">
            <v>999865.8218148743</v>
          </cell>
          <cell r="O30">
            <v>1065971.6080076124</v>
          </cell>
          <cell r="P30">
            <v>1102765.8798158711</v>
          </cell>
          <cell r="Q30">
            <v>1091107.9631750879</v>
          </cell>
          <cell r="R30">
            <v>1102725.3726289668</v>
          </cell>
          <cell r="S30">
            <v>1157762.3397569703</v>
          </cell>
          <cell r="T30">
            <v>1174002.6886383439</v>
          </cell>
          <cell r="U30">
            <v>1256982.6593924516</v>
          </cell>
          <cell r="V30">
            <v>1264077.8328476369</v>
          </cell>
          <cell r="W30">
            <v>2253013.3687849957</v>
          </cell>
        </row>
        <row r="31">
          <cell r="B31" t="str">
            <v>Wabash River 3</v>
          </cell>
          <cell r="C31" t="str">
            <v>PSI</v>
          </cell>
          <cell r="D31">
            <v>538188.39846641989</v>
          </cell>
          <cell r="E31">
            <v>1149924.9093202162</v>
          </cell>
          <cell r="F31">
            <v>1171406.2361631598</v>
          </cell>
          <cell r="G31">
            <v>1297021.6038586097</v>
          </cell>
          <cell r="H31">
            <v>1343802.7620356858</v>
          </cell>
          <cell r="I31">
            <v>1496745.7179513229</v>
          </cell>
          <cell r="J31">
            <v>1587289.0934104694</v>
          </cell>
          <cell r="K31">
            <v>837943.07161213795</v>
          </cell>
          <cell r="L31">
            <v>936748.96094184753</v>
          </cell>
          <cell r="M31">
            <v>1023109.3060753484</v>
          </cell>
          <cell r="N31">
            <v>1009521.4836617921</v>
          </cell>
          <cell r="O31">
            <v>1076183.7506480706</v>
          </cell>
          <cell r="P31">
            <v>1108687.6766699906</v>
          </cell>
          <cell r="Q31">
            <v>1099919.9250727776</v>
          </cell>
          <cell r="R31">
            <v>1105975.9119155554</v>
          </cell>
          <cell r="S31">
            <v>1162163.6166920627</v>
          </cell>
          <cell r="T31">
            <v>1181320.9751061862</v>
          </cell>
          <cell r="U31">
            <v>1259888.1222140295</v>
          </cell>
          <cell r="V31">
            <v>1266057.9217873302</v>
          </cell>
          <cell r="W31">
            <v>2267021.584553774</v>
          </cell>
        </row>
        <row r="32">
          <cell r="B32" t="str">
            <v>Wabash River 4</v>
          </cell>
          <cell r="C32" t="str">
            <v>PSI</v>
          </cell>
          <cell r="D32">
            <v>550404.67439656786</v>
          </cell>
          <cell r="E32">
            <v>1193919.7169317978</v>
          </cell>
          <cell r="F32">
            <v>1228257.9576141478</v>
          </cell>
          <cell r="G32">
            <v>1336252.6420195354</v>
          </cell>
          <cell r="H32">
            <v>1379638.7011715481</v>
          </cell>
          <cell r="I32">
            <v>1532921.1751993685</v>
          </cell>
          <cell r="J32">
            <v>1630096.7233270085</v>
          </cell>
          <cell r="K32">
            <v>861426.84676516149</v>
          </cell>
          <cell r="L32">
            <v>963695.59563196893</v>
          </cell>
          <cell r="M32">
            <v>1051901.4063639746</v>
          </cell>
          <cell r="N32">
            <v>1031602.3337789765</v>
          </cell>
          <cell r="O32">
            <v>1098288.1477065771</v>
          </cell>
          <cell r="P32">
            <v>1128501.4459266579</v>
          </cell>
          <cell r="Q32">
            <v>1121215.3015057894</v>
          </cell>
          <cell r="R32">
            <v>1122972.5058995164</v>
          </cell>
          <cell r="S32">
            <v>1179629.8798333311</v>
          </cell>
          <cell r="T32">
            <v>1195525.1942611004</v>
          </cell>
          <cell r="U32">
            <v>1273622.1779070823</v>
          </cell>
          <cell r="V32">
            <v>1272505.9186993553</v>
          </cell>
          <cell r="W32">
            <v>2297418.2286371514</v>
          </cell>
        </row>
        <row r="33">
          <cell r="B33" t="str">
            <v>Wabash River 5</v>
          </cell>
          <cell r="C33" t="str">
            <v>PSI</v>
          </cell>
          <cell r="D33">
            <v>609777.13557877007</v>
          </cell>
          <cell r="E33">
            <v>1314766.178120777</v>
          </cell>
          <cell r="F33">
            <v>1350097.6374220212</v>
          </cell>
          <cell r="G33">
            <v>1476355.6532883241</v>
          </cell>
          <cell r="H33">
            <v>1528385.6573217243</v>
          </cell>
          <cell r="I33">
            <v>1702961.8790777058</v>
          </cell>
          <cell r="J33">
            <v>1809624.5714661982</v>
          </cell>
          <cell r="K33">
            <v>955246.77647751186</v>
          </cell>
          <cell r="L33">
            <v>1067561.2605761555</v>
          </cell>
          <cell r="M33">
            <v>1165602.7015917441</v>
          </cell>
          <cell r="N33">
            <v>1143871.8813541571</v>
          </cell>
          <cell r="O33">
            <v>1218225.1711439744</v>
          </cell>
          <cell r="P33">
            <v>1254496.6259329412</v>
          </cell>
          <cell r="Q33">
            <v>1244757.33031966</v>
          </cell>
          <cell r="R33">
            <v>1248919.1140114833</v>
          </cell>
          <cell r="S33">
            <v>1310410.7506675592</v>
          </cell>
          <cell r="T33">
            <v>1328312.4705402593</v>
          </cell>
          <cell r="U33">
            <v>1417135.187994919</v>
          </cell>
          <cell r="V33">
            <v>1418276.5123610585</v>
          </cell>
          <cell r="W33">
            <v>2555004.8414463983</v>
          </cell>
        </row>
        <row r="34">
          <cell r="B34" t="str">
            <v>Wabash River 6</v>
          </cell>
          <cell r="C34" t="str">
            <v>PSI</v>
          </cell>
          <cell r="D34">
            <v>1935688.2221242476</v>
          </cell>
          <cell r="E34">
            <v>4175270.8489276939</v>
          </cell>
          <cell r="F34">
            <v>4328345.2647301778</v>
          </cell>
          <cell r="G34">
            <v>4737580.9900067821</v>
          </cell>
          <cell r="H34">
            <v>4876116.5042761723</v>
          </cell>
          <cell r="I34">
            <v>5436905.0081516206</v>
          </cell>
          <cell r="J34">
            <v>5872352.5737830438</v>
          </cell>
          <cell r="K34">
            <v>3073033.2363077914</v>
          </cell>
          <cell r="L34">
            <v>3437101.4317535516</v>
          </cell>
          <cell r="M34">
            <v>3730964.3584854617</v>
          </cell>
          <cell r="N34">
            <v>3666560.7907846053</v>
          </cell>
          <cell r="O34">
            <v>3920328.0121850357</v>
          </cell>
          <cell r="P34">
            <v>4028242.0897064428</v>
          </cell>
          <cell r="Q34">
            <v>3986790.4292948376</v>
          </cell>
          <cell r="R34">
            <v>4010563.8423694135</v>
          </cell>
          <cell r="S34">
            <v>4212505.0200324524</v>
          </cell>
          <cell r="T34">
            <v>4271737.5781835904</v>
          </cell>
          <cell r="U34">
            <v>4548789.6952793095</v>
          </cell>
          <cell r="V34">
            <v>4538203.6762650311</v>
          </cell>
          <cell r="W34">
            <v>8153707.0726864496</v>
          </cell>
        </row>
        <row r="35">
          <cell r="B35" t="str">
            <v>W.C. Beckjord 1</v>
          </cell>
          <cell r="C35" t="str">
            <v>CGE</v>
          </cell>
          <cell r="D35">
            <v>709927.09792334691</v>
          </cell>
          <cell r="E35">
            <v>703267.29728259158</v>
          </cell>
          <cell r="F35">
            <v>737386.63407233288</v>
          </cell>
          <cell r="G35">
            <v>808656.57536385965</v>
          </cell>
          <cell r="H35">
            <v>839450.75055128429</v>
          </cell>
          <cell r="I35">
            <v>903548.95381864801</v>
          </cell>
          <cell r="J35">
            <v>946307.35232803866</v>
          </cell>
          <cell r="K35">
            <v>1036684.1503508521</v>
          </cell>
          <cell r="L35">
            <v>1178054.5141769161</v>
          </cell>
          <cell r="M35">
            <v>1284908.4875431617</v>
          </cell>
          <cell r="N35">
            <v>1234041.2940410071</v>
          </cell>
          <cell r="O35">
            <v>1308052.7450984141</v>
          </cell>
          <cell r="P35">
            <v>1336999.5148751494</v>
          </cell>
          <cell r="Q35">
            <v>1318369.4777541456</v>
          </cell>
          <cell r="R35">
            <v>1316777.8184981931</v>
          </cell>
          <cell r="S35">
            <v>1378172.3075854725</v>
          </cell>
          <cell r="T35">
            <v>2918351.8748036339</v>
          </cell>
          <cell r="U35">
            <v>1480098.9555757504</v>
          </cell>
          <cell r="V35">
            <v>3143854.9586586682</v>
          </cell>
          <cell r="W35">
            <v>2871278.844396438</v>
          </cell>
        </row>
        <row r="36">
          <cell r="B36" t="str">
            <v>W.C. Beckjord 2</v>
          </cell>
          <cell r="C36" t="str">
            <v>CGE</v>
          </cell>
          <cell r="D36">
            <v>829424.41141292115</v>
          </cell>
          <cell r="E36">
            <v>830385.36442838283</v>
          </cell>
          <cell r="F36">
            <v>882881.04699942237</v>
          </cell>
          <cell r="G36">
            <v>955300.56593077094</v>
          </cell>
          <cell r="H36">
            <v>992012.26752732811</v>
          </cell>
          <cell r="I36">
            <v>1054369.8998245401</v>
          </cell>
          <cell r="J36">
            <v>1107095.7614558665</v>
          </cell>
          <cell r="K36">
            <v>1216082.5870089189</v>
          </cell>
          <cell r="L36">
            <v>1331194.8182958507</v>
          </cell>
          <cell r="M36">
            <v>1427380.3481111536</v>
          </cell>
          <cell r="N36">
            <v>1361750.6820964247</v>
          </cell>
          <cell r="O36">
            <v>1435774.1639940592</v>
          </cell>
          <cell r="P36">
            <v>1451006.9355188755</v>
          </cell>
          <cell r="Q36">
            <v>1407406.6895335787</v>
          </cell>
          <cell r="R36">
            <v>1393426.5287794501</v>
          </cell>
          <cell r="S36">
            <v>1450970.5364654891</v>
          </cell>
          <cell r="T36">
            <v>3042241.9336488708</v>
          </cell>
          <cell r="U36">
            <v>1532357.2181373108</v>
          </cell>
          <cell r="V36">
            <v>3247635.8599143969</v>
          </cell>
          <cell r="W36">
            <v>2971812.7715953658</v>
          </cell>
        </row>
        <row r="37">
          <cell r="B37" t="str">
            <v>W.C. Beckjord 3</v>
          </cell>
          <cell r="C37" t="str">
            <v>CGE</v>
          </cell>
          <cell r="D37">
            <v>1235552.2074281946</v>
          </cell>
          <cell r="E37">
            <v>1292046.0524355699</v>
          </cell>
          <cell r="F37">
            <v>1404197.0514799242</v>
          </cell>
          <cell r="G37">
            <v>1520877.5290298474</v>
          </cell>
          <cell r="H37">
            <v>1599225.5465300665</v>
          </cell>
          <cell r="I37">
            <v>1679832.500333091</v>
          </cell>
          <cell r="J37">
            <v>1718845.1839070679</v>
          </cell>
          <cell r="K37">
            <v>1884357.6507886711</v>
          </cell>
          <cell r="L37">
            <v>2020872.0176820159</v>
          </cell>
          <cell r="M37">
            <v>2143907.1074341233</v>
          </cell>
          <cell r="N37">
            <v>2031689.3252619342</v>
          </cell>
          <cell r="O37">
            <v>2109514.5507371817</v>
          </cell>
          <cell r="P37">
            <v>2127490.7150383326</v>
          </cell>
          <cell r="Q37">
            <v>2052882.8110255853</v>
          </cell>
          <cell r="R37">
            <v>2027487.714339091</v>
          </cell>
          <cell r="S37">
            <v>2092371.9581797961</v>
          </cell>
          <cell r="T37">
            <v>4334032.0131388968</v>
          </cell>
          <cell r="U37">
            <v>2184270.1296756798</v>
          </cell>
          <cell r="V37">
            <v>4582218.6873341165</v>
          </cell>
          <cell r="W37">
            <v>4220741.9991668789</v>
          </cell>
        </row>
        <row r="38">
          <cell r="B38" t="str">
            <v>W.C. Beckjord 4</v>
          </cell>
          <cell r="C38" t="str">
            <v>CGE</v>
          </cell>
          <cell r="D38">
            <v>1468293.774389039</v>
          </cell>
          <cell r="E38">
            <v>1586399.863559528</v>
          </cell>
          <cell r="F38">
            <v>1725118.7386484114</v>
          </cell>
          <cell r="G38">
            <v>1860616.4257595567</v>
          </cell>
          <cell r="H38">
            <v>1984540.318315244</v>
          </cell>
          <cell r="I38">
            <v>2126139.4676442235</v>
          </cell>
          <cell r="J38">
            <v>2216545.0080027664</v>
          </cell>
          <cell r="K38">
            <v>2384488.3748700828</v>
          </cell>
          <cell r="L38">
            <v>2563696.864926694</v>
          </cell>
          <cell r="M38">
            <v>2702638.3040733873</v>
          </cell>
          <cell r="N38">
            <v>2550864.274504832</v>
          </cell>
          <cell r="O38">
            <v>2633674.7283862694</v>
          </cell>
          <cell r="P38">
            <v>2635218.0497881435</v>
          </cell>
          <cell r="Q38">
            <v>2536145.943397956</v>
          </cell>
          <cell r="R38">
            <v>2499963.0544564533</v>
          </cell>
          <cell r="S38">
            <v>2581176.4100907352</v>
          </cell>
          <cell r="T38">
            <v>5310828.731206201</v>
          </cell>
          <cell r="U38">
            <v>2652313.099874502</v>
          </cell>
          <cell r="V38">
            <v>5605905.6616454087</v>
          </cell>
          <cell r="W38">
            <v>5174552.4274849668</v>
          </cell>
        </row>
        <row r="39">
          <cell r="B39" t="str">
            <v>W.C. Beckjord 5</v>
          </cell>
          <cell r="C39" t="str">
            <v>CGE</v>
          </cell>
          <cell r="D39">
            <v>2315066.1055348762</v>
          </cell>
          <cell r="E39">
            <v>2431455.6631634329</v>
          </cell>
          <cell r="F39">
            <v>2657113.6958669997</v>
          </cell>
          <cell r="G39">
            <v>2866931.5353430347</v>
          </cell>
          <cell r="H39">
            <v>3049530.4204620295</v>
          </cell>
          <cell r="I39">
            <v>3245730.7407812048</v>
          </cell>
          <cell r="J39">
            <v>3348108.5623640064</v>
          </cell>
          <cell r="K39">
            <v>3605859.2535085366</v>
          </cell>
          <cell r="L39">
            <v>3861290.6114047631</v>
          </cell>
          <cell r="M39">
            <v>4021038.8297668966</v>
          </cell>
          <cell r="N39">
            <v>3837618.418112657</v>
          </cell>
          <cell r="O39">
            <v>3974143.0607651561</v>
          </cell>
          <cell r="P39">
            <v>3999043.6960194246</v>
          </cell>
          <cell r="Q39">
            <v>3839248.563924646</v>
          </cell>
          <cell r="R39">
            <v>3797102.7957511609</v>
          </cell>
          <cell r="S39">
            <v>3909016.2444560011</v>
          </cell>
          <cell r="T39">
            <v>8083556.4373668479</v>
          </cell>
          <cell r="U39">
            <v>4040077.6134702838</v>
          </cell>
          <cell r="V39">
            <v>8550193.9785274472</v>
          </cell>
          <cell r="W39">
            <v>7920869.2825827729</v>
          </cell>
        </row>
        <row r="40">
          <cell r="B40" t="str">
            <v>W.C. Beckjord 6</v>
          </cell>
          <cell r="C40" t="str">
            <v>CGE</v>
          </cell>
          <cell r="D40">
            <v>1470449.809210445</v>
          </cell>
          <cell r="E40">
            <v>1545325.7037998745</v>
          </cell>
          <cell r="F40">
            <v>1700597.5686138067</v>
          </cell>
          <cell r="G40">
            <v>1847937.1798338231</v>
          </cell>
          <cell r="H40">
            <v>1961162.0693385608</v>
          </cell>
          <cell r="I40">
            <v>2093076.1923216584</v>
          </cell>
          <cell r="J40">
            <v>2188597.8070348888</v>
          </cell>
          <cell r="K40">
            <v>2352539.2803175785</v>
          </cell>
          <cell r="L40">
            <v>2527795.6552055962</v>
          </cell>
          <cell r="M40">
            <v>2625021.9175211671</v>
          </cell>
          <cell r="N40">
            <v>2512132.1131581124</v>
          </cell>
          <cell r="O40">
            <v>2618487.5023853555</v>
          </cell>
          <cell r="P40">
            <v>2625930.1093651773</v>
          </cell>
          <cell r="Q40">
            <v>2497996.3133610869</v>
          </cell>
          <cell r="R40">
            <v>2485522.7266720589</v>
          </cell>
          <cell r="S40">
            <v>2577706.8695257045</v>
          </cell>
          <cell r="T40">
            <v>5316831.10743888</v>
          </cell>
          <cell r="U40">
            <v>2682853.4958130447</v>
          </cell>
          <cell r="V40">
            <v>5637515.7288011322</v>
          </cell>
          <cell r="W40">
            <v>5233655.9456560453</v>
          </cell>
        </row>
        <row r="41">
          <cell r="B41" t="str">
            <v>W.H. Zimmer 1</v>
          </cell>
          <cell r="C41" t="str">
            <v>CGE</v>
          </cell>
          <cell r="D41">
            <v>1553519.8965253243</v>
          </cell>
          <cell r="E41">
            <v>1702117.4518451416</v>
          </cell>
          <cell r="F41">
            <v>1884487.1788285403</v>
          </cell>
          <cell r="G41">
            <v>2073062.6989061907</v>
          </cell>
          <cell r="H41">
            <v>2272344.729144657</v>
          </cell>
          <cell r="I41">
            <v>2517280.8599708187</v>
          </cell>
          <cell r="J41">
            <v>2759195.3685543733</v>
          </cell>
          <cell r="K41">
            <v>2976603.7327528191</v>
          </cell>
          <cell r="L41">
            <v>3327174.2706188345</v>
          </cell>
          <cell r="M41">
            <v>3526031.281504082</v>
          </cell>
          <cell r="N41">
            <v>3336097.0296815229</v>
          </cell>
          <cell r="O41">
            <v>3438889.7002202407</v>
          </cell>
          <cell r="P41">
            <v>1976372.7187190719</v>
          </cell>
          <cell r="Q41">
            <v>1935459.3834671348</v>
          </cell>
          <cell r="R41">
            <v>1934048.6470633449</v>
          </cell>
          <cell r="S41">
            <v>1974098.5710225294</v>
          </cell>
          <cell r="T41">
            <v>1985870.5573809547</v>
          </cell>
          <cell r="U41">
            <v>2156234.376781757</v>
          </cell>
          <cell r="V41">
            <v>2130855.2950248979</v>
          </cell>
          <cell r="W41">
            <v>1922470.2143301582</v>
          </cell>
        </row>
        <row r="42">
          <cell r="B42" t="str">
            <v>Cayuga Diesel 3A-D</v>
          </cell>
          <cell r="C42" t="str">
            <v>PSI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B43" t="str">
            <v>Cayuga CT 4</v>
          </cell>
          <cell r="C43" t="str">
            <v>PSI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B44" t="str">
            <v>Connersville CT 1</v>
          </cell>
          <cell r="C44" t="str">
            <v>PSI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B45" t="str">
            <v>Connersville CT 2</v>
          </cell>
          <cell r="C45" t="str">
            <v>PSI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B46" t="str">
            <v>Dicks Creek CT 1</v>
          </cell>
          <cell r="C46" t="str">
            <v>CGE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B47" t="str">
            <v>Dicks Creek CT 3</v>
          </cell>
          <cell r="C47" t="str">
            <v>CGE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B48" t="str">
            <v>Dicks Creek CT 4-5</v>
          </cell>
          <cell r="C48" t="str">
            <v>CGE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B49" t="str">
            <v>Miami Fort CT 3-6</v>
          </cell>
          <cell r="C49" t="str">
            <v>CGE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B50" t="str">
            <v>Miami-Wabash CT 1-6</v>
          </cell>
          <cell r="C50" t="str">
            <v>PSI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B51" t="str">
            <v>Wabash Diesel 7A-B</v>
          </cell>
          <cell r="C51" t="str">
            <v>PSI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B52" t="str">
            <v>W.C. Beckjord CT 1</v>
          </cell>
          <cell r="C52" t="str">
            <v>CGE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B53" t="str">
            <v>W.C. Beckjord CT 2</v>
          </cell>
          <cell r="C53" t="str">
            <v>CGE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B54" t="str">
            <v>W.C. Beckjord CT 3</v>
          </cell>
          <cell r="C54" t="str">
            <v>CGE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 t="str">
            <v>W.C. Beckjord CT 4</v>
          </cell>
          <cell r="C55" t="str">
            <v>CGE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 t="str">
            <v>Woodsdale CT 1</v>
          </cell>
          <cell r="C56" t="str">
            <v>CGE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 t="str">
            <v>Woodsdale CT 2</v>
          </cell>
          <cell r="C57" t="str">
            <v>CGE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 t="str">
            <v>Woodsdale CT 3</v>
          </cell>
          <cell r="C58" t="str">
            <v>CGE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 t="str">
            <v>Woodsdale CT 4</v>
          </cell>
          <cell r="C59" t="str">
            <v>CGE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 t="str">
            <v>Woodsdale CT 5</v>
          </cell>
          <cell r="C60" t="str">
            <v>CGE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 t="str">
            <v>Woodsdale CT 6</v>
          </cell>
          <cell r="C61" t="str">
            <v>CGE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 t="str">
            <v>Markland 1 -3</v>
          </cell>
          <cell r="C62" t="str">
            <v>PSI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</sheetData>
      <sheetData sheetId="33">
        <row r="2">
          <cell r="B2" t="str">
            <v>Cayuga 1</v>
          </cell>
          <cell r="C2" t="str">
            <v>PSI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</row>
        <row r="3">
          <cell r="B3" t="str">
            <v>Cayuga 2</v>
          </cell>
          <cell r="C3" t="str">
            <v>PSI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</row>
        <row r="4">
          <cell r="B4" t="str">
            <v>Conesville 4</v>
          </cell>
          <cell r="C4" t="str">
            <v>CGE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</row>
        <row r="5">
          <cell r="B5" t="str">
            <v>East Bend 2</v>
          </cell>
          <cell r="C5" t="str">
            <v>CGE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</row>
        <row r="6">
          <cell r="B6" t="str">
            <v>Edwardsport 6</v>
          </cell>
          <cell r="C6" t="str">
            <v>PSI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B7" t="str">
            <v>Edwardsport 7</v>
          </cell>
          <cell r="C7" t="str">
            <v>PSI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B8" t="str">
            <v>Edwardsport 8</v>
          </cell>
          <cell r="C8" t="str">
            <v>PSI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B9" t="str">
            <v>Gallagher 1</v>
          </cell>
          <cell r="C9" t="str">
            <v>PSI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B10" t="str">
            <v>Gallagher 2</v>
          </cell>
          <cell r="C10" t="str">
            <v>PSI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B11" t="str">
            <v>Gallagher 3</v>
          </cell>
          <cell r="C11" t="str">
            <v>PSI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B12" t="str">
            <v>Gallagher 4</v>
          </cell>
          <cell r="C12" t="str">
            <v>PSI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B13" t="str">
            <v>Gibson 1</v>
          </cell>
          <cell r="C13" t="str">
            <v>PSI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B14" t="str">
            <v>Gibson 2</v>
          </cell>
          <cell r="C14" t="str">
            <v>PSI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 t="str">
            <v>Gibson 3</v>
          </cell>
          <cell r="C15" t="str">
            <v>PSI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 t="str">
            <v>Gibson 4</v>
          </cell>
          <cell r="C16" t="str">
            <v>PSI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 t="str">
            <v>Gibson 5</v>
          </cell>
          <cell r="C17" t="str">
            <v>PSI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 t="str">
            <v>J.M. Stuart 1</v>
          </cell>
          <cell r="C18" t="str">
            <v>CGE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 t="str">
            <v>J.M. Stuart 2</v>
          </cell>
          <cell r="C19" t="str">
            <v>CGE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 t="str">
            <v>J.M. Stuart 3</v>
          </cell>
          <cell r="C20" t="str">
            <v>CGE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 t="str">
            <v>J.M. Stuart 4</v>
          </cell>
          <cell r="C21" t="str">
            <v>CGE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 t="str">
            <v>Killen 2</v>
          </cell>
          <cell r="C22" t="str">
            <v>CGE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 t="str">
            <v>Miami Fort 5</v>
          </cell>
          <cell r="C23" t="str">
            <v>CGE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 t="str">
            <v>Miami Fort 6</v>
          </cell>
          <cell r="C24" t="str">
            <v>CGE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 t="str">
            <v>Miami Fort 7</v>
          </cell>
          <cell r="C25" t="str">
            <v>CGE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 t="str">
            <v>Miami Fort 8</v>
          </cell>
          <cell r="C26" t="str">
            <v>CGE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 t="str">
            <v>Noblesville 1</v>
          </cell>
          <cell r="C27" t="str">
            <v>PSI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 t="str">
            <v>Noblesville 2</v>
          </cell>
          <cell r="C28" t="str">
            <v>PSI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 t="str">
            <v>Wabash River 1</v>
          </cell>
          <cell r="C29" t="str">
            <v>PSI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 t="str">
            <v>Wabash River 2</v>
          </cell>
          <cell r="C30" t="str">
            <v>PSI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 t="str">
            <v>Wabash River 3</v>
          </cell>
          <cell r="C31" t="str">
            <v>PSI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 t="str">
            <v>Wabash River 4</v>
          </cell>
          <cell r="C32" t="str">
            <v>PSI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 t="str">
            <v>Wabash River 5</v>
          </cell>
          <cell r="C33" t="str">
            <v>PSI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 t="str">
            <v>Wabash River 6</v>
          </cell>
          <cell r="C34" t="str">
            <v>PSI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 t="str">
            <v>W.C. Beckjord 1</v>
          </cell>
          <cell r="C35" t="str">
            <v>CGE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B36" t="str">
            <v>W.C. Beckjord 2</v>
          </cell>
          <cell r="C36" t="str">
            <v>CGE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B37" t="str">
            <v>W.C. Beckjord 3</v>
          </cell>
          <cell r="C37" t="str">
            <v>CGE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B38" t="str">
            <v>W.C. Beckjord 4</v>
          </cell>
          <cell r="C38" t="str">
            <v>CGE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B39" t="str">
            <v>W.C. Beckjord 5</v>
          </cell>
          <cell r="C39" t="str">
            <v>CGE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B40" t="str">
            <v>W.C. Beckjord 6</v>
          </cell>
          <cell r="C40" t="str">
            <v>CGE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B41" t="str">
            <v>W.H. Zimmer 1</v>
          </cell>
          <cell r="C41" t="str">
            <v>CGE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B42" t="str">
            <v>Cayuga Diesel 3A-D</v>
          </cell>
          <cell r="C42" t="str">
            <v>PSI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B43" t="str">
            <v>Cayuga CT 4</v>
          </cell>
          <cell r="C43" t="str">
            <v>PSI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B44" t="str">
            <v>Connersville CT 1</v>
          </cell>
          <cell r="C44" t="str">
            <v>PSI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B45" t="str">
            <v>Connersville CT 2</v>
          </cell>
          <cell r="C45" t="str">
            <v>PSI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B46" t="str">
            <v>Dicks Creek CT 1</v>
          </cell>
          <cell r="C46" t="str">
            <v>CGE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B47" t="str">
            <v>Dicks Creek CT 3</v>
          </cell>
          <cell r="C47" t="str">
            <v>CGE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B48" t="str">
            <v>Dicks Creek CT 4-5</v>
          </cell>
          <cell r="C48" t="str">
            <v>CGE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B49" t="str">
            <v>Miami Fort CT 3-6</v>
          </cell>
          <cell r="C49" t="str">
            <v>CGE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B50" t="str">
            <v>Miami-Wabash CT 1-6</v>
          </cell>
          <cell r="C50" t="str">
            <v>PSI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B51" t="str">
            <v>Wabash Diesel 7A-B</v>
          </cell>
          <cell r="C51" t="str">
            <v>PSI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B52" t="str">
            <v>W.C. Beckjord CT 1</v>
          </cell>
          <cell r="C52" t="str">
            <v>CGE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B53" t="str">
            <v>W.C. Beckjord CT 2</v>
          </cell>
          <cell r="C53" t="str">
            <v>CGE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B54" t="str">
            <v>W.C. Beckjord CT 3</v>
          </cell>
          <cell r="C54" t="str">
            <v>CGE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 t="str">
            <v>W.C. Beckjord CT 4</v>
          </cell>
          <cell r="C55" t="str">
            <v>CGE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 t="str">
            <v>Woodsdale CT 1</v>
          </cell>
          <cell r="C56" t="str">
            <v>CGE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 t="str">
            <v>Woodsdale CT 2</v>
          </cell>
          <cell r="C57" t="str">
            <v>CGE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 t="str">
            <v>Woodsdale CT 3</v>
          </cell>
          <cell r="C58" t="str">
            <v>CGE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 t="str">
            <v>Woodsdale CT 4</v>
          </cell>
          <cell r="C59" t="str">
            <v>CGE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 t="str">
            <v>Woodsdale CT 5</v>
          </cell>
          <cell r="C60" t="str">
            <v>CGE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 t="str">
            <v>Woodsdale CT 6</v>
          </cell>
          <cell r="C61" t="str">
            <v>CGE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 t="str">
            <v>Markland 1 -3</v>
          </cell>
          <cell r="C62" t="str">
            <v>PSI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</sheetData>
      <sheetData sheetId="34">
        <row r="2">
          <cell r="B2" t="str">
            <v>Cayuga 1</v>
          </cell>
          <cell r="C2" t="str">
            <v>PSI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</row>
        <row r="3">
          <cell r="B3" t="str">
            <v>Cayuga 2</v>
          </cell>
          <cell r="C3" t="str">
            <v>PSI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</row>
        <row r="4">
          <cell r="B4" t="str">
            <v>Conesville 4</v>
          </cell>
          <cell r="C4" t="str">
            <v>CGE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</row>
        <row r="5">
          <cell r="B5" t="str">
            <v>East Bend 2</v>
          </cell>
          <cell r="C5" t="str">
            <v>CGE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</row>
        <row r="6">
          <cell r="B6" t="str">
            <v>Edwardsport 6</v>
          </cell>
          <cell r="C6" t="str">
            <v>PSI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B7" t="str">
            <v>Edwardsport 7</v>
          </cell>
          <cell r="C7" t="str">
            <v>PSI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B8" t="str">
            <v>Edwardsport 8</v>
          </cell>
          <cell r="C8" t="str">
            <v>PSI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B9" t="str">
            <v>Gallagher 1</v>
          </cell>
          <cell r="C9" t="str">
            <v>PSI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B10" t="str">
            <v>Gallagher 2</v>
          </cell>
          <cell r="C10" t="str">
            <v>PSI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B11" t="str">
            <v>Gallagher 3</v>
          </cell>
          <cell r="C11" t="str">
            <v>PSI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B12" t="str">
            <v>Gallagher 4</v>
          </cell>
          <cell r="C12" t="str">
            <v>PSI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B13" t="str">
            <v>Gibson 1</v>
          </cell>
          <cell r="C13" t="str">
            <v>PSI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B14" t="str">
            <v>Gibson 2</v>
          </cell>
          <cell r="C14" t="str">
            <v>PSI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 t="str">
            <v>Gibson 3</v>
          </cell>
          <cell r="C15" t="str">
            <v>PSI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 t="str">
            <v>Gibson 4</v>
          </cell>
          <cell r="C16" t="str">
            <v>PSI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 t="str">
            <v>Gibson 5</v>
          </cell>
          <cell r="C17" t="str">
            <v>PSI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 t="str">
            <v>J.M. Stuart 1</v>
          </cell>
          <cell r="C18" t="str">
            <v>CGE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 t="str">
            <v>J.M. Stuart 2</v>
          </cell>
          <cell r="C19" t="str">
            <v>CGE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 t="str">
            <v>J.M. Stuart 3</v>
          </cell>
          <cell r="C20" t="str">
            <v>CGE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 t="str">
            <v>J.M. Stuart 4</v>
          </cell>
          <cell r="C21" t="str">
            <v>CGE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 t="str">
            <v>Killen 2</v>
          </cell>
          <cell r="C22" t="str">
            <v>CGE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 t="str">
            <v>Miami Fort 5</v>
          </cell>
          <cell r="C23" t="str">
            <v>CGE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 t="str">
            <v>Miami Fort 6</v>
          </cell>
          <cell r="C24" t="str">
            <v>CGE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 t="str">
            <v>Miami Fort 7</v>
          </cell>
          <cell r="C25" t="str">
            <v>CGE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 t="str">
            <v>Miami Fort 8</v>
          </cell>
          <cell r="C26" t="str">
            <v>CGE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 t="str">
            <v>Noblesville 1</v>
          </cell>
          <cell r="C27" t="str">
            <v>PSI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 t="str">
            <v>Noblesville 2</v>
          </cell>
          <cell r="C28" t="str">
            <v>PSI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 t="str">
            <v>Wabash River 1</v>
          </cell>
          <cell r="C29" t="str">
            <v>PSI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 t="str">
            <v>Wabash River 2</v>
          </cell>
          <cell r="C30" t="str">
            <v>PSI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 t="str">
            <v>Wabash River 3</v>
          </cell>
          <cell r="C31" t="str">
            <v>PSI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 t="str">
            <v>Wabash River 4</v>
          </cell>
          <cell r="C32" t="str">
            <v>PSI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 t="str">
            <v>Wabash River 5</v>
          </cell>
          <cell r="C33" t="str">
            <v>PSI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 t="str">
            <v>Wabash River 6</v>
          </cell>
          <cell r="C34" t="str">
            <v>PSI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 t="str">
            <v>W.C. Beckjord 1</v>
          </cell>
          <cell r="C35" t="str">
            <v>CGE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B36" t="str">
            <v>W.C. Beckjord 2</v>
          </cell>
          <cell r="C36" t="str">
            <v>CGE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B37" t="str">
            <v>W.C. Beckjord 3</v>
          </cell>
          <cell r="C37" t="str">
            <v>CGE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B38" t="str">
            <v>W.C. Beckjord 4</v>
          </cell>
          <cell r="C38" t="str">
            <v>CGE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B39" t="str">
            <v>W.C. Beckjord 5</v>
          </cell>
          <cell r="C39" t="str">
            <v>CGE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B40" t="str">
            <v>W.C. Beckjord 6</v>
          </cell>
          <cell r="C40" t="str">
            <v>CGE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B41" t="str">
            <v>W.H. Zimmer 1</v>
          </cell>
          <cell r="C41" t="str">
            <v>CGE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B42" t="str">
            <v>Cayuga Diesel 3A-D</v>
          </cell>
          <cell r="C42" t="str">
            <v>PSI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B43" t="str">
            <v>Cayuga CT 4</v>
          </cell>
          <cell r="C43" t="str">
            <v>PSI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B44" t="str">
            <v>Connersville CT 1</v>
          </cell>
          <cell r="C44" t="str">
            <v>PSI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B45" t="str">
            <v>Connersville CT 2</v>
          </cell>
          <cell r="C45" t="str">
            <v>PSI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B46" t="str">
            <v>Dicks Creek CT 1</v>
          </cell>
          <cell r="C46" t="str">
            <v>CGE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B47" t="str">
            <v>Dicks Creek CT 3</v>
          </cell>
          <cell r="C47" t="str">
            <v>CGE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B48" t="str">
            <v>Dicks Creek CT 4-5</v>
          </cell>
          <cell r="C48" t="str">
            <v>CGE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B49" t="str">
            <v>Miami Fort CT 3-6</v>
          </cell>
          <cell r="C49" t="str">
            <v>CGE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B50" t="str">
            <v>Miami-Wabash CT 1-6</v>
          </cell>
          <cell r="C50" t="str">
            <v>PSI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B51" t="str">
            <v>Wabash Diesel 7A-B</v>
          </cell>
          <cell r="C51" t="str">
            <v>PSI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B52" t="str">
            <v>W.C. Beckjord CT 1</v>
          </cell>
          <cell r="C52" t="str">
            <v>CGE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B53" t="str">
            <v>W.C. Beckjord CT 2</v>
          </cell>
          <cell r="C53" t="str">
            <v>CGE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B54" t="str">
            <v>W.C. Beckjord CT 3</v>
          </cell>
          <cell r="C54" t="str">
            <v>CGE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 t="str">
            <v>W.C. Beckjord CT 4</v>
          </cell>
          <cell r="C55" t="str">
            <v>CGE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 t="str">
            <v>Woodsdale CT 1</v>
          </cell>
          <cell r="C56" t="str">
            <v>CGE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 t="str">
            <v>Woodsdale CT 2</v>
          </cell>
          <cell r="C57" t="str">
            <v>CGE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 t="str">
            <v>Woodsdale CT 3</v>
          </cell>
          <cell r="C58" t="str">
            <v>CGE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 t="str">
            <v>Woodsdale CT 4</v>
          </cell>
          <cell r="C59" t="str">
            <v>CGE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 t="str">
            <v>Woodsdale CT 5</v>
          </cell>
          <cell r="C60" t="str">
            <v>CGE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 t="str">
            <v>Woodsdale CT 6</v>
          </cell>
          <cell r="C61" t="str">
            <v>CGE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 t="str">
            <v>Markland 1 -3</v>
          </cell>
          <cell r="C62" t="str">
            <v>PSI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</sheetData>
      <sheetData sheetId="35">
        <row r="2">
          <cell r="A2" t="str">
            <v>Cayuga 1</v>
          </cell>
          <cell r="B2" t="str">
            <v>Property Taxes</v>
          </cell>
          <cell r="C2">
            <v>881794.67880635185</v>
          </cell>
          <cell r="D2">
            <v>899160.29272944247</v>
          </cell>
          <cell r="E2">
            <v>918132.5749060387</v>
          </cell>
          <cell r="F2">
            <v>938239.67829648196</v>
          </cell>
          <cell r="G2">
            <v>959443.89502597554</v>
          </cell>
          <cell r="H2">
            <v>982278.65972759563</v>
          </cell>
          <cell r="I2">
            <v>1006894.6616906085</v>
          </cell>
          <cell r="J2">
            <v>1031868.454379829</v>
          </cell>
          <cell r="K2">
            <v>1057987.1773929135</v>
          </cell>
          <cell r="L2">
            <v>1084119.4606745199</v>
          </cell>
          <cell r="M2">
            <v>1111764.506921716</v>
          </cell>
          <cell r="N2">
            <v>1138669.2079892273</v>
          </cell>
          <cell r="O2">
            <v>1167363.6720305521</v>
          </cell>
          <cell r="P2">
            <v>1197014.7093001255</v>
          </cell>
          <cell r="Q2">
            <v>1226940.077032628</v>
          </cell>
          <cell r="R2">
            <v>1257736.2729661472</v>
          </cell>
          <cell r="S2">
            <v>1289179.6797903033</v>
          </cell>
          <cell r="T2">
            <v>1321151.3358491007</v>
          </cell>
          <cell r="U2">
            <v>1354312.2343789155</v>
          </cell>
          <cell r="V2">
            <v>1388305.4714618262</v>
          </cell>
          <cell r="W2" t="str">
            <v>Cayuga 1</v>
          </cell>
          <cell r="X2" t="str">
            <v>Fixed O&amp;M inc Env</v>
          </cell>
          <cell r="Y2">
            <v>3078417.8518307046</v>
          </cell>
          <cell r="Z2">
            <v>3139042.6403372614</v>
          </cell>
          <cell r="AA2">
            <v>3205276.4400483952</v>
          </cell>
          <cell r="AB2">
            <v>3238632.9125853213</v>
          </cell>
          <cell r="AC2">
            <v>6472188.3516137293</v>
          </cell>
          <cell r="AD2">
            <v>7137713.464213185</v>
          </cell>
          <cell r="AE2">
            <v>7408649.827808165</v>
          </cell>
          <cell r="AF2">
            <v>7521152.8061645329</v>
          </cell>
          <cell r="AG2">
            <v>7703170.0641101729</v>
          </cell>
          <cell r="AH2">
            <v>7894914.8431671578</v>
          </cell>
          <cell r="AI2">
            <v>8093774.5056830905</v>
          </cell>
          <cell r="AJ2">
            <v>8291582.5812051501</v>
          </cell>
          <cell r="AK2">
            <v>8500927.8991053961</v>
          </cell>
          <cell r="AL2">
            <v>8716036.3852741458</v>
          </cell>
          <cell r="AM2">
            <v>8934146.1748817451</v>
          </cell>
          <cell r="AN2">
            <v>9158179.1288289875</v>
          </cell>
          <cell r="AO2">
            <v>9386694.6430514827</v>
          </cell>
          <cell r="AP2">
            <v>9620159.443588905</v>
          </cell>
          <cell r="AQ2">
            <v>9861625.4483381957</v>
          </cell>
          <cell r="AR2">
            <v>10109152.251373848</v>
          </cell>
          <cell r="AS2" t="str">
            <v>Cayuga 1</v>
          </cell>
          <cell r="AT2" t="str">
            <v>A&amp;G</v>
          </cell>
          <cell r="AU2">
            <v>839667.52757350833</v>
          </cell>
          <cell r="AV2">
            <v>856203.51090166322</v>
          </cell>
          <cell r="AW2">
            <v>874269.40498169314</v>
          </cell>
          <cell r="AX2">
            <v>893415.90495079313</v>
          </cell>
          <cell r="AY2">
            <v>913607.10440267448</v>
          </cell>
          <cell r="AZ2">
            <v>935350.95348746004</v>
          </cell>
          <cell r="BA2">
            <v>958790.94241436839</v>
          </cell>
          <cell r="BB2">
            <v>982571.62885475031</v>
          </cell>
          <cell r="BC2">
            <v>1007442.5473382471</v>
          </cell>
          <cell r="BD2">
            <v>1032326.378257503</v>
          </cell>
          <cell r="BE2">
            <v>1058650.7009030655</v>
          </cell>
          <cell r="BF2">
            <v>1084270.0478649251</v>
          </cell>
          <cell r="BG2">
            <v>1111593.6530711176</v>
          </cell>
          <cell r="BH2">
            <v>1139828.1318591216</v>
          </cell>
          <cell r="BI2">
            <v>1168323.8351555991</v>
          </cell>
          <cell r="BJ2">
            <v>1197648.7634180048</v>
          </cell>
          <cell r="BK2">
            <v>1227589.9825034572</v>
          </cell>
          <cell r="BL2">
            <v>1258034.2140695408</v>
          </cell>
          <cell r="BM2">
            <v>1289610.8728426888</v>
          </cell>
          <cell r="BN2">
            <v>1321980.1057510399</v>
          </cell>
          <cell r="BO2" t="str">
            <v>Cayuga 1</v>
          </cell>
          <cell r="BP2" t="str">
            <v>Depreciation</v>
          </cell>
          <cell r="BQ2">
            <v>2658860.4336308148</v>
          </cell>
          <cell r="BR2">
            <v>2015386.8972145296</v>
          </cell>
          <cell r="BS2">
            <v>1882515.0515216258</v>
          </cell>
          <cell r="BT2">
            <v>1982885.7791235219</v>
          </cell>
          <cell r="BU2">
            <v>2099228.7182653924</v>
          </cell>
          <cell r="BV2">
            <v>2232846.7484689895</v>
          </cell>
          <cell r="BW2">
            <v>2375359.4254289051</v>
          </cell>
          <cell r="BX2">
            <v>2507514.1931701303</v>
          </cell>
          <cell r="BY2">
            <v>2628627.679228209</v>
          </cell>
          <cell r="BZ2">
            <v>3680618.9982205462</v>
          </cell>
          <cell r="CA2">
            <v>3849467.4035475478</v>
          </cell>
          <cell r="CB2">
            <v>4024728.4138718387</v>
          </cell>
          <cell r="CC2">
            <v>4219114.1227802513</v>
          </cell>
          <cell r="CD2">
            <v>4434741.7772360155</v>
          </cell>
          <cell r="CE2">
            <v>2604726.2099560755</v>
          </cell>
          <cell r="CF2">
            <v>2869410.0097512556</v>
          </cell>
          <cell r="CG2">
            <v>3162660.8151230356</v>
          </cell>
          <cell r="CH2">
            <v>3487478.0503013139</v>
          </cell>
          <cell r="CI2">
            <v>3660419.6090519652</v>
          </cell>
          <cell r="CJ2">
            <v>3660419.6090519652</v>
          </cell>
          <cell r="CK2" t="str">
            <v>Cayuga 1</v>
          </cell>
          <cell r="CL2" t="str">
            <v>Cap Ads exc Env Cap Adds</v>
          </cell>
          <cell r="CM2">
            <v>3002733.3900243151</v>
          </cell>
          <cell r="CN2">
            <v>3061867.6874048808</v>
          </cell>
          <cell r="CO2">
            <v>3126473.095609141</v>
          </cell>
          <cell r="CP2">
            <v>3194942.8564029844</v>
          </cell>
          <cell r="CQ2">
            <v>3267148.5649576681</v>
          </cell>
          <cell r="CR2">
            <v>3344906.7008036673</v>
          </cell>
          <cell r="CS2">
            <v>3428730.3989952905</v>
          </cell>
          <cell r="CT2">
            <v>3513772.4648931907</v>
          </cell>
          <cell r="CU2">
            <v>3602713.3074511765</v>
          </cell>
          <cell r="CV2">
            <v>3691700.3261452252</v>
          </cell>
          <cell r="CW2">
            <v>3782885.3242010172</v>
          </cell>
          <cell r="CX2">
            <v>3879348.8999681291</v>
          </cell>
          <cell r="CY2">
            <v>3978272.2969173016</v>
          </cell>
          <cell r="CZ2">
            <v>4079718.2404886778</v>
          </cell>
          <cell r="DA2">
            <v>4183751.0556211234</v>
          </cell>
          <cell r="DB2">
            <v>4290436.7075394467</v>
          </cell>
          <cell r="DC2">
            <v>4399842.8435816858</v>
          </cell>
          <cell r="DD2">
            <v>4512038.836093002</v>
          </cell>
          <cell r="DE2">
            <v>4627095.8264133567</v>
          </cell>
          <cell r="DF2">
            <v>4745086.76998688</v>
          </cell>
          <cell r="DG2" t="str">
            <v>Cayuga 1</v>
          </cell>
          <cell r="DH2" t="str">
            <v>Env Cap Adds</v>
          </cell>
          <cell r="DI2">
            <v>0</v>
          </cell>
          <cell r="DJ2">
            <v>0</v>
          </cell>
          <cell r="DK2">
            <v>162915.9325631643</v>
          </cell>
          <cell r="DL2">
            <v>65804147.287237644</v>
          </cell>
          <cell r="DM2">
            <v>4383104.4056029702</v>
          </cell>
          <cell r="DN2">
            <v>2321605.0894708023</v>
          </cell>
          <cell r="DO2">
            <v>155346.59346976961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</row>
        <row r="3">
          <cell r="A3" t="str">
            <v>Cayuga 2</v>
          </cell>
          <cell r="B3" t="str">
            <v>Property Taxes</v>
          </cell>
          <cell r="C3">
            <v>873064.03842213063</v>
          </cell>
          <cell r="D3">
            <v>890257.7155737055</v>
          </cell>
          <cell r="E3">
            <v>909042.15337231569</v>
          </cell>
          <cell r="F3">
            <v>928950.17653117038</v>
          </cell>
          <cell r="G3">
            <v>949944.45052076795</v>
          </cell>
          <cell r="H3">
            <v>972553.12844316417</v>
          </cell>
          <cell r="I3">
            <v>996925.40761446406</v>
          </cell>
          <cell r="J3">
            <v>1021651.9350295338</v>
          </cell>
          <cell r="K3">
            <v>1047512.056824667</v>
          </cell>
          <cell r="L3">
            <v>1073385.6046282377</v>
          </cell>
          <cell r="M3">
            <v>1100756.9375462537</v>
          </cell>
          <cell r="N3">
            <v>1127395.2554348786</v>
          </cell>
          <cell r="O3">
            <v>1155805.6158718339</v>
          </cell>
          <cell r="P3">
            <v>1185163.078514976</v>
          </cell>
          <cell r="Q3">
            <v>1214792.1554778498</v>
          </cell>
          <cell r="R3">
            <v>1245283.438580344</v>
          </cell>
          <cell r="S3">
            <v>1276415.5245448549</v>
          </cell>
          <cell r="T3">
            <v>1308070.6295535653</v>
          </cell>
          <cell r="U3">
            <v>1340903.2023553622</v>
          </cell>
          <cell r="V3">
            <v>1374559.8727344815</v>
          </cell>
          <cell r="W3" t="str">
            <v>Cayuga 2</v>
          </cell>
          <cell r="X3" t="str">
            <v>Fixed O&amp;M inc Env</v>
          </cell>
          <cell r="Y3">
            <v>3047938.4671591134</v>
          </cell>
          <cell r="Z3">
            <v>3107963.0102349119</v>
          </cell>
          <cell r="AA3">
            <v>3173541.0297508859</v>
          </cell>
          <cell r="AB3">
            <v>3243041.5783024337</v>
          </cell>
          <cell r="AC3">
            <v>6354041.8025035802</v>
          </cell>
          <cell r="AD3">
            <v>7148456.2219826784</v>
          </cell>
          <cell r="AE3">
            <v>7432533.5403911732</v>
          </cell>
          <cell r="AF3">
            <v>7546262.3444443271</v>
          </cell>
          <cell r="AG3">
            <v>7728957.7475655209</v>
          </cell>
          <cell r="AH3">
            <v>7921362.4442730723</v>
          </cell>
          <cell r="AI3">
            <v>8120858.25287975</v>
          </cell>
          <cell r="AJ3">
            <v>8319351.9058261495</v>
          </cell>
          <cell r="AK3">
            <v>8529403.1915576048</v>
          </cell>
          <cell r="AL3">
            <v>8745222.2741709389</v>
          </cell>
          <cell r="AM3">
            <v>8964064.9594565146</v>
          </cell>
          <cell r="AN3">
            <v>9188845.5450264402</v>
          </cell>
          <cell r="AO3">
            <v>9418120.8929820731</v>
          </cell>
          <cell r="AP3">
            <v>9652375.5584454741</v>
          </cell>
          <cell r="AQ3">
            <v>9894650.1877198927</v>
          </cell>
          <cell r="AR3">
            <v>10143005.911780613</v>
          </cell>
          <cell r="AS3" t="str">
            <v>Cayuga 2</v>
          </cell>
          <cell r="AT3" t="str">
            <v>A&amp;G</v>
          </cell>
          <cell r="AU3">
            <v>831353.98769654287</v>
          </cell>
          <cell r="AV3">
            <v>847726.24841748842</v>
          </cell>
          <cell r="AW3">
            <v>865613.27225910209</v>
          </cell>
          <cell r="AX3">
            <v>884570.20292157738</v>
          </cell>
          <cell r="AY3">
            <v>904561.48950759857</v>
          </cell>
          <cell r="AZ3">
            <v>926090.05295788124</v>
          </cell>
          <cell r="BA3">
            <v>949297.96278650337</v>
          </cell>
          <cell r="BB3">
            <v>972843.19688589138</v>
          </cell>
          <cell r="BC3">
            <v>997467.86865172978</v>
          </cell>
          <cell r="BD3">
            <v>1022105.3250074288</v>
          </cell>
          <cell r="BE3">
            <v>1048169.0107951144</v>
          </cell>
          <cell r="BF3">
            <v>1073534.7008563615</v>
          </cell>
          <cell r="BG3">
            <v>1100587.7753179383</v>
          </cell>
          <cell r="BH3">
            <v>1128542.7048110114</v>
          </cell>
          <cell r="BI3">
            <v>1156756.2724312863</v>
          </cell>
          <cell r="BJ3">
            <v>1185790.8548693117</v>
          </cell>
          <cell r="BK3">
            <v>1215435.6262410467</v>
          </cell>
          <cell r="BL3">
            <v>1245578.4297718226</v>
          </cell>
          <cell r="BM3">
            <v>1276842.4483590978</v>
          </cell>
          <cell r="BN3">
            <v>1308891.1938129109</v>
          </cell>
          <cell r="BO3" t="str">
            <v>Cayuga 2</v>
          </cell>
          <cell r="BP3" t="str">
            <v>Depreciation</v>
          </cell>
          <cell r="BQ3">
            <v>2632456.543706534</v>
          </cell>
          <cell r="BR3">
            <v>1995379.6055734109</v>
          </cell>
          <cell r="BS3">
            <v>1863832.250403916</v>
          </cell>
          <cell r="BT3">
            <v>1963210.5894407348</v>
          </cell>
          <cell r="BU3">
            <v>2078402.5812436116</v>
          </cell>
          <cell r="BV3">
            <v>2210698.1709412476</v>
          </cell>
          <cell r="BW3">
            <v>2351800.172544037</v>
          </cell>
          <cell r="BX3">
            <v>2482647.2824145104</v>
          </cell>
          <cell r="BY3">
            <v>2602562.9222571915</v>
          </cell>
          <cell r="BZ3">
            <v>3644109.3943601395</v>
          </cell>
          <cell r="CA3">
            <v>3811286.0332977646</v>
          </cell>
          <cell r="CB3">
            <v>3984811.7860940928</v>
          </cell>
          <cell r="CC3">
            <v>4177272.8840232133</v>
          </cell>
          <cell r="CD3">
            <v>4390765.6112071387</v>
          </cell>
          <cell r="CE3">
            <v>2578936.8415406686</v>
          </cell>
          <cell r="CF3">
            <v>2841000.0096547082</v>
          </cell>
          <cell r="CG3">
            <v>3131347.3417059756</v>
          </cell>
          <cell r="CH3">
            <v>3452948.5646547657</v>
          </cell>
          <cell r="CI3">
            <v>3624177.8307445194</v>
          </cell>
          <cell r="CJ3">
            <v>3624177.8307445194</v>
          </cell>
          <cell r="CK3" t="str">
            <v>Cayuga 2</v>
          </cell>
          <cell r="CL3" t="str">
            <v>Cap Ads exc Env Cap Adds</v>
          </cell>
          <cell r="CM3">
            <v>2973003.3564597177</v>
          </cell>
          <cell r="CN3">
            <v>3031552.1657474064</v>
          </cell>
          <cell r="CO3">
            <v>3095517.9164446937</v>
          </cell>
          <cell r="CP3">
            <v>3163309.7588148359</v>
          </cell>
          <cell r="CQ3">
            <v>3234800.5593640278</v>
          </cell>
          <cell r="CR3">
            <v>3311788.8126768982</v>
          </cell>
          <cell r="CS3">
            <v>3394782.5732626636</v>
          </cell>
          <cell r="CT3">
            <v>3478982.6385081094</v>
          </cell>
          <cell r="CU3">
            <v>3567042.8786645308</v>
          </cell>
          <cell r="CV3">
            <v>3655148.8377675498</v>
          </cell>
          <cell r="CW3">
            <v>3745431.014060413</v>
          </cell>
          <cell r="CX3">
            <v>3840939.5049189394</v>
          </cell>
          <cell r="CY3">
            <v>3938883.4622943583</v>
          </cell>
          <cell r="CZ3">
            <v>4039324.9905828494</v>
          </cell>
          <cell r="DA3">
            <v>4142327.7778426968</v>
          </cell>
          <cell r="DB3">
            <v>4247957.1361776693</v>
          </cell>
          <cell r="DC3">
            <v>4356280.0431501837</v>
          </cell>
          <cell r="DD3">
            <v>4467365.1842504973</v>
          </cell>
          <cell r="DE3">
            <v>4581282.996448868</v>
          </cell>
          <cell r="DF3">
            <v>4698105.7128582969</v>
          </cell>
          <cell r="DG3" t="str">
            <v>Cayuga 2</v>
          </cell>
          <cell r="DH3" t="str">
            <v>Env Cap Adds</v>
          </cell>
          <cell r="DI3">
            <v>0</v>
          </cell>
          <cell r="DJ3">
            <v>0</v>
          </cell>
          <cell r="DK3">
            <v>0</v>
          </cell>
          <cell r="DL3">
            <v>63217772.259281188</v>
          </cell>
          <cell r="DM3">
            <v>7262866.1846928634</v>
          </cell>
          <cell r="DN3">
            <v>2308070.9458228005</v>
          </cell>
          <cell r="DO3">
            <v>154359.22382341992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</row>
        <row r="4">
          <cell r="A4" t="str">
            <v>Conesville 4</v>
          </cell>
          <cell r="B4" t="str">
            <v>Property Taxes</v>
          </cell>
          <cell r="C4">
            <v>375253.61428189022</v>
          </cell>
          <cell r="D4">
            <v>382643.66725622292</v>
          </cell>
          <cell r="E4">
            <v>390717.44863533136</v>
          </cell>
          <cell r="F4">
            <v>399274.16076044552</v>
          </cell>
          <cell r="G4">
            <v>408297.75679362868</v>
          </cell>
          <cell r="H4">
            <v>418015.24340531789</v>
          </cell>
          <cell r="I4">
            <v>428490.74742887891</v>
          </cell>
          <cell r="J4">
            <v>439118.51168534107</v>
          </cell>
          <cell r="K4">
            <v>450233.50868708635</v>
          </cell>
          <cell r="L4">
            <v>461354.27635165799</v>
          </cell>
          <cell r="M4">
            <v>473118.81039862352</v>
          </cell>
          <cell r="N4">
            <v>484568.28561027255</v>
          </cell>
          <cell r="O4">
            <v>496779.40640764986</v>
          </cell>
          <cell r="P4">
            <v>509397.6033304031</v>
          </cell>
          <cell r="Q4">
            <v>522132.54341366293</v>
          </cell>
          <cell r="R4">
            <v>535238.07025334588</v>
          </cell>
          <cell r="S4">
            <v>548619.02200968063</v>
          </cell>
          <cell r="T4">
            <v>562224.77375551977</v>
          </cell>
          <cell r="U4">
            <v>576336.61557678436</v>
          </cell>
          <cell r="V4">
            <v>590802.66462776158</v>
          </cell>
          <cell r="W4" t="str">
            <v>Conesville 4</v>
          </cell>
          <cell r="X4" t="str">
            <v>Fixed O&amp;M inc Env</v>
          </cell>
          <cell r="Y4">
            <v>2765180.7848625686</v>
          </cell>
          <cell r="Z4">
            <v>2819636.842595275</v>
          </cell>
          <cell r="AA4">
            <v>2879131.1799740512</v>
          </cell>
          <cell r="AB4">
            <v>4631017.8431260204</v>
          </cell>
          <cell r="AC4">
            <v>4909580.7536379956</v>
          </cell>
          <cell r="AD4">
            <v>5047217.5273267003</v>
          </cell>
          <cell r="AE4">
            <v>5175130.6587005276</v>
          </cell>
          <cell r="AF4">
            <v>5303961.3199496213</v>
          </cell>
          <cell r="AG4">
            <v>5392232.045768192</v>
          </cell>
          <cell r="AH4">
            <v>5522004.6799671315</v>
          </cell>
          <cell r="AI4">
            <v>5661545.187041115</v>
          </cell>
          <cell r="AJ4">
            <v>5799555.6824191716</v>
          </cell>
          <cell r="AK4">
            <v>5945909.709788898</v>
          </cell>
          <cell r="AL4">
            <v>6096514.9328892324</v>
          </cell>
          <cell r="AM4">
            <v>6249035.6654092558</v>
          </cell>
          <cell r="AN4">
            <v>6405775.8981858213</v>
          </cell>
          <cell r="AO4">
            <v>6565693.6281270571</v>
          </cell>
          <cell r="AP4">
            <v>6728871.2623381931</v>
          </cell>
          <cell r="AQ4">
            <v>6897765.9324249541</v>
          </cell>
          <cell r="AR4">
            <v>7070899.8595400937</v>
          </cell>
          <cell r="AS4" t="str">
            <v>Conesville 4</v>
          </cell>
          <cell r="AT4" t="str">
            <v>A&amp;G</v>
          </cell>
          <cell r="AU4">
            <v>516333.56380480988</v>
          </cell>
          <cell r="AV4">
            <v>526501.97323171329</v>
          </cell>
          <cell r="AW4">
            <v>537611.16486690543</v>
          </cell>
          <cell r="AX4">
            <v>549384.84937749116</v>
          </cell>
          <cell r="AY4">
            <v>561800.94697341847</v>
          </cell>
          <cell r="AZ4">
            <v>575171.80951138691</v>
          </cell>
          <cell r="BA4">
            <v>589585.67288079811</v>
          </cell>
          <cell r="BB4">
            <v>604209.04007825383</v>
          </cell>
          <cell r="BC4">
            <v>619502.81952545128</v>
          </cell>
          <cell r="BD4">
            <v>634804.53916773072</v>
          </cell>
          <cell r="BE4">
            <v>650992.05491650547</v>
          </cell>
          <cell r="BF4">
            <v>666746.06264548807</v>
          </cell>
          <cell r="BG4">
            <v>683548.06342415221</v>
          </cell>
          <cell r="BH4">
            <v>700910.18423512427</v>
          </cell>
          <cell r="BI4">
            <v>718432.93884100206</v>
          </cell>
          <cell r="BJ4">
            <v>736465.60560591123</v>
          </cell>
          <cell r="BK4">
            <v>754877.24574606039</v>
          </cell>
          <cell r="BL4">
            <v>773598.20144056156</v>
          </cell>
          <cell r="BM4">
            <v>793015.51629672106</v>
          </cell>
          <cell r="BN4">
            <v>812920.20575576869</v>
          </cell>
          <cell r="BO4" t="str">
            <v>Conesville 4</v>
          </cell>
          <cell r="BP4" t="str">
            <v>Depreciation</v>
          </cell>
          <cell r="BQ4">
            <v>1297202.6809828815</v>
          </cell>
          <cell r="BR4">
            <v>1304266.0132519787</v>
          </cell>
          <cell r="BS4">
            <v>1313678.3585699184</v>
          </cell>
          <cell r="BT4">
            <v>1338761.6105137216</v>
          </cell>
          <cell r="BU4">
            <v>1366816.4998719669</v>
          </cell>
          <cell r="BV4">
            <v>1398111.7837790039</v>
          </cell>
          <cell r="BW4">
            <v>1430444.5004881073</v>
          </cell>
          <cell r="BX4">
            <v>1469139.0308383284</v>
          </cell>
          <cell r="BY4">
            <v>1196310.6916855024</v>
          </cell>
          <cell r="BZ4">
            <v>924509.00010585994</v>
          </cell>
          <cell r="CA4">
            <v>966157.7452390875</v>
          </cell>
          <cell r="CB4">
            <v>856377.93042534112</v>
          </cell>
          <cell r="CC4">
            <v>751189.17426274088</v>
          </cell>
          <cell r="CD4">
            <v>804446.66190225538</v>
          </cell>
          <cell r="CE4">
            <v>863379.81486170145</v>
          </cell>
          <cell r="CF4">
            <v>819107.0539012386</v>
          </cell>
          <cell r="CG4">
            <v>781850.42407983274</v>
          </cell>
          <cell r="CH4">
            <v>862149.42163853743</v>
          </cell>
          <cell r="CI4">
            <v>904902.79892252025</v>
          </cell>
          <cell r="CJ4">
            <v>904902.79892252025</v>
          </cell>
          <cell r="CK4" t="str">
            <v>Conesville 4</v>
          </cell>
          <cell r="CL4" t="str">
            <v>Cap Ads exc Env Cap Adds</v>
          </cell>
          <cell r="CM4">
            <v>742314.30799127719</v>
          </cell>
          <cell r="CN4">
            <v>756933.06674769474</v>
          </cell>
          <cell r="CO4">
            <v>772904.35445607523</v>
          </cell>
          <cell r="CP4">
            <v>789830.95981866412</v>
          </cell>
          <cell r="CQ4">
            <v>807681.13951056008</v>
          </cell>
          <cell r="CR4">
            <v>826903.95063091314</v>
          </cell>
          <cell r="CS4">
            <v>847626.2467638643</v>
          </cell>
          <cell r="CT4">
            <v>868649.73906153953</v>
          </cell>
          <cell r="CU4">
            <v>890637.05908633128</v>
          </cell>
          <cell r="CV4">
            <v>912635.79444576486</v>
          </cell>
          <cell r="CW4">
            <v>935177.89856857632</v>
          </cell>
          <cell r="CX4">
            <v>959024.93498207151</v>
          </cell>
          <cell r="CY4">
            <v>983480.07082411065</v>
          </cell>
          <cell r="CZ4">
            <v>1008558.8126301217</v>
          </cell>
          <cell r="DA4">
            <v>1034277.0623521861</v>
          </cell>
          <cell r="DB4">
            <v>1060651.1274421629</v>
          </cell>
          <cell r="DC4">
            <v>1087697.7311919341</v>
          </cell>
          <cell r="DD4">
            <v>1115434.0233373244</v>
          </cell>
          <cell r="DE4">
            <v>1143877.5909324219</v>
          </cell>
          <cell r="DF4">
            <v>1173046.4695011943</v>
          </cell>
          <cell r="DG4" t="str">
            <v>Conesville 4</v>
          </cell>
          <cell r="DH4" t="str">
            <v>Env Cap Adds</v>
          </cell>
          <cell r="DI4">
            <v>0</v>
          </cell>
          <cell r="DJ4">
            <v>0</v>
          </cell>
          <cell r="DK4">
            <v>37836813.093066089</v>
          </cell>
          <cell r="DL4">
            <v>381182.99940933764</v>
          </cell>
          <cell r="DM4">
            <v>376617.78882405139</v>
          </cell>
          <cell r="DN4">
            <v>0</v>
          </cell>
          <cell r="DO4">
            <v>0</v>
          </cell>
          <cell r="DP4">
            <v>81143.754488357881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</row>
        <row r="5">
          <cell r="A5" t="str">
            <v>East Bend 2</v>
          </cell>
          <cell r="B5" t="str">
            <v>Property Taxes</v>
          </cell>
          <cell r="C5">
            <v>586236.40785954893</v>
          </cell>
          <cell r="D5">
            <v>597781.44818608975</v>
          </cell>
          <cell r="E5">
            <v>610394.63674281957</v>
          </cell>
          <cell r="F5">
            <v>623762.27928748797</v>
          </cell>
          <cell r="G5">
            <v>637859.30679938057</v>
          </cell>
          <cell r="H5">
            <v>653040.35830120707</v>
          </cell>
          <cell r="I5">
            <v>669405.61533155642</v>
          </cell>
          <cell r="J5">
            <v>686008.73946990573</v>
          </cell>
          <cell r="K5">
            <v>703373.03835385456</v>
          </cell>
          <cell r="L5">
            <v>720746.35240119579</v>
          </cell>
          <cell r="M5">
            <v>739125.38438742352</v>
          </cell>
          <cell r="N5">
            <v>757012.21868960292</v>
          </cell>
          <cell r="O5">
            <v>776088.92660057836</v>
          </cell>
          <cell r="P5">
            <v>795801.58533623139</v>
          </cell>
          <cell r="Q5">
            <v>815696.62496963679</v>
          </cell>
          <cell r="R5">
            <v>836170.61025637481</v>
          </cell>
          <cell r="S5">
            <v>857074.87551278574</v>
          </cell>
          <cell r="T5">
            <v>878330.33242550143</v>
          </cell>
          <cell r="U5">
            <v>900376.42376938323</v>
          </cell>
          <cell r="V5">
            <v>922975.87200599455</v>
          </cell>
          <cell r="W5" t="str">
            <v>East Bend 2</v>
          </cell>
          <cell r="X5" t="str">
            <v>Fixed O&amp;M inc Env</v>
          </cell>
          <cell r="Y5">
            <v>6923816.7794227861</v>
          </cell>
          <cell r="Z5">
            <v>7061926.9770181533</v>
          </cell>
          <cell r="AA5">
            <v>7211953.1483558025</v>
          </cell>
          <cell r="AB5">
            <v>7370806.2922534319</v>
          </cell>
          <cell r="AC5">
            <v>7538983.6358256945</v>
          </cell>
          <cell r="AD5">
            <v>7720127.7306665387</v>
          </cell>
          <cell r="AE5">
            <v>7913235.7232642742</v>
          </cell>
          <cell r="AF5">
            <v>8047413.8627866628</v>
          </cell>
          <cell r="AG5">
            <v>8244449.4470468592</v>
          </cell>
          <cell r="AH5">
            <v>8449263.8136262745</v>
          </cell>
          <cell r="AI5">
            <v>8662759.3702348229</v>
          </cell>
          <cell r="AJ5">
            <v>8873942.9384788387</v>
          </cell>
          <cell r="AK5">
            <v>9097882.980148986</v>
          </cell>
          <cell r="AL5">
            <v>9328319.7461648099</v>
          </cell>
          <cell r="AM5">
            <v>9561694.1764007416</v>
          </cell>
          <cell r="AN5">
            <v>9801522.0923200659</v>
          </cell>
          <cell r="AO5">
            <v>10046210.375976754</v>
          </cell>
          <cell r="AP5">
            <v>10295894.056023719</v>
          </cell>
          <cell r="AQ5">
            <v>10554320.998993419</v>
          </cell>
          <cell r="AR5">
            <v>10819234.459480371</v>
          </cell>
          <cell r="AS5" t="str">
            <v>East Bend 2</v>
          </cell>
          <cell r="AT5" t="str">
            <v>A&amp;G</v>
          </cell>
          <cell r="AU5">
            <v>953998.44235943677</v>
          </cell>
          <cell r="AV5">
            <v>972786.00031529739</v>
          </cell>
          <cell r="AW5">
            <v>993311.78492195555</v>
          </cell>
          <cell r="AX5">
            <v>1015065.3130117474</v>
          </cell>
          <cell r="AY5">
            <v>1038005.7890858054</v>
          </cell>
          <cell r="AZ5">
            <v>1062710.3268660498</v>
          </cell>
          <cell r="BA5">
            <v>1089341.9544934924</v>
          </cell>
          <cell r="BB5">
            <v>1116360.6697318</v>
          </cell>
          <cell r="BC5">
            <v>1144618.0653248758</v>
          </cell>
          <cell r="BD5">
            <v>1172890.1315384016</v>
          </cell>
          <cell r="BE5">
            <v>1202798.8298926265</v>
          </cell>
          <cell r="BF5">
            <v>1231906.5615760342</v>
          </cell>
          <cell r="BG5">
            <v>1262950.6069277462</v>
          </cell>
          <cell r="BH5">
            <v>1295029.5523437082</v>
          </cell>
          <cell r="BI5">
            <v>1327405.2911523003</v>
          </cell>
          <cell r="BJ5">
            <v>1360723.1639602233</v>
          </cell>
          <cell r="BK5">
            <v>1394741.2430592314</v>
          </cell>
          <cell r="BL5">
            <v>1429330.825887098</v>
          </cell>
          <cell r="BM5">
            <v>1465207.029616867</v>
          </cell>
          <cell r="BN5">
            <v>1501983.7260602501</v>
          </cell>
          <cell r="BO5" t="str">
            <v>East Bend 2</v>
          </cell>
          <cell r="BP5" t="str">
            <v>Depreciation</v>
          </cell>
          <cell r="BQ5">
            <v>1756448.4736773253</v>
          </cell>
          <cell r="BR5">
            <v>1751839.9493142653</v>
          </cell>
          <cell r="BS5">
            <v>1780673.4196990598</v>
          </cell>
          <cell r="BT5">
            <v>1802315.0491924854</v>
          </cell>
          <cell r="BU5">
            <v>1881212.7175569881</v>
          </cell>
          <cell r="BV5">
            <v>1968052.2394201527</v>
          </cell>
          <cell r="BW5">
            <v>2076782.9131168388</v>
          </cell>
          <cell r="BX5">
            <v>2199478.211743854</v>
          </cell>
          <cell r="BY5">
            <v>2325387.5794761842</v>
          </cell>
          <cell r="BZ5">
            <v>2454298.5438120374</v>
          </cell>
          <cell r="CA5">
            <v>2586605.1453350401</v>
          </cell>
          <cell r="CB5">
            <v>2448865.4816756519</v>
          </cell>
          <cell r="CC5">
            <v>2326306.9696360598</v>
          </cell>
          <cell r="CD5">
            <v>2494927.3104449511</v>
          </cell>
          <cell r="CE5">
            <v>2499357.3981687995</v>
          </cell>
          <cell r="CF5">
            <v>2523830.0077942139</v>
          </cell>
          <cell r="CG5">
            <v>2753585.1587821129</v>
          </cell>
          <cell r="CH5">
            <v>3007941.1957545555</v>
          </cell>
          <cell r="CI5">
            <v>3005269.3005158706</v>
          </cell>
          <cell r="CJ5">
            <v>2867079.3005158706</v>
          </cell>
          <cell r="CK5" t="str">
            <v>East Bend 2</v>
          </cell>
          <cell r="CL5" t="str">
            <v>Cap Ads exc Env Cap Adds</v>
          </cell>
          <cell r="CM5">
            <v>2351936.5720304069</v>
          </cell>
          <cell r="CN5">
            <v>2398254.4093491402</v>
          </cell>
          <cell r="CO5">
            <v>2448857.5773864207</v>
          </cell>
          <cell r="CP5">
            <v>2502487.558331186</v>
          </cell>
          <cell r="CQ5">
            <v>2559043.7771494524</v>
          </cell>
          <cell r="CR5">
            <v>2619949.0190456142</v>
          </cell>
          <cell r="CS5">
            <v>2685605.2048510816</v>
          </cell>
          <cell r="CT5">
            <v>2752215.6956827943</v>
          </cell>
          <cell r="CU5">
            <v>2821879.9625984896</v>
          </cell>
          <cell r="CV5">
            <v>2891580.397674676</v>
          </cell>
          <cell r="CW5">
            <v>2963002.433497244</v>
          </cell>
          <cell r="CX5">
            <v>3038558.9955514125</v>
          </cell>
          <cell r="CY5">
            <v>3116042.2499379618</v>
          </cell>
          <cell r="CZ5">
            <v>3195501.3273113682</v>
          </cell>
          <cell r="DA5">
            <v>3276986.6111577959</v>
          </cell>
          <cell r="DB5">
            <v>3360549.7697423077</v>
          </cell>
          <cell r="DC5">
            <v>3446243.7888707239</v>
          </cell>
          <cell r="DD5">
            <v>3534123.0054869144</v>
          </cell>
          <cell r="DE5">
            <v>3624243.1421268173</v>
          </cell>
          <cell r="DF5">
            <v>3716661.3422510372</v>
          </cell>
          <cell r="DG5" t="str">
            <v>East Bend 2</v>
          </cell>
          <cell r="DH5" t="str">
            <v>Env Cap Adds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119707.40973101098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</row>
        <row r="6">
          <cell r="A6" t="str">
            <v>Edwardsport 6</v>
          </cell>
          <cell r="B6" t="str">
            <v>Property Taxes</v>
          </cell>
          <cell r="C6">
            <v>48355.734826110645</v>
          </cell>
          <cell r="D6">
            <v>49308.027964343557</v>
          </cell>
          <cell r="E6">
            <v>50348.427354391482</v>
          </cell>
          <cell r="F6">
            <v>51451.057913452707</v>
          </cell>
          <cell r="G6">
            <v>52613.851822296361</v>
          </cell>
          <cell r="H6">
            <v>53866.06149566712</v>
          </cell>
          <cell r="I6">
            <v>55215.950412000522</v>
          </cell>
          <cell r="J6">
            <v>56585.459806769068</v>
          </cell>
          <cell r="K6">
            <v>58017.754732530026</v>
          </cell>
          <cell r="L6">
            <v>59450.793274423588</v>
          </cell>
          <cell r="M6">
            <v>60966.788502921168</v>
          </cell>
          <cell r="N6">
            <v>62442.184784692166</v>
          </cell>
          <cell r="O6">
            <v>64015.727841266205</v>
          </cell>
          <cell r="P6">
            <v>65641.727328434223</v>
          </cell>
          <cell r="Q6">
            <v>67282.770511645052</v>
          </cell>
          <cell r="R6">
            <v>68971.568051487353</v>
          </cell>
          <cell r="S6">
            <v>70695.857252774673</v>
          </cell>
          <cell r="T6">
            <v>72449.114512643369</v>
          </cell>
          <cell r="U6">
            <v>74267.587286910857</v>
          </cell>
          <cell r="V6">
            <v>76131.703727812303</v>
          </cell>
          <cell r="W6" t="str">
            <v>Edwardsport 6</v>
          </cell>
          <cell r="X6" t="str">
            <v>Fixed O&amp;M inc Env</v>
          </cell>
          <cell r="Y6">
            <v>632395.54659887706</v>
          </cell>
          <cell r="Z6">
            <v>644849.62142248987</v>
          </cell>
          <cell r="AA6">
            <v>658455.94843450794</v>
          </cell>
          <cell r="AB6">
            <v>672876.13370522438</v>
          </cell>
          <cell r="AC6">
            <v>688083.13432695752</v>
          </cell>
          <cell r="AD6">
            <v>704459.51292394055</v>
          </cell>
          <cell r="AE6">
            <v>722113.3391383955</v>
          </cell>
          <cell r="AF6">
            <v>740023.76166410802</v>
          </cell>
          <cell r="AG6">
            <v>758755.2923858437</v>
          </cell>
          <cell r="AH6">
            <v>777496.54810777504</v>
          </cell>
          <cell r="AI6">
            <v>797322.7100845204</v>
          </cell>
          <cell r="AJ6">
            <v>816617.9196685697</v>
          </cell>
          <cell r="AK6">
            <v>837196.69124421501</v>
          </cell>
          <cell r="AL6">
            <v>858461.48720181629</v>
          </cell>
          <cell r="AM6">
            <v>879923.02438186132</v>
          </cell>
          <cell r="AN6">
            <v>902009.09229384619</v>
          </cell>
          <cell r="AO6">
            <v>924559.319601194</v>
          </cell>
          <cell r="AP6">
            <v>947488.39072730206</v>
          </cell>
          <cell r="AQ6">
            <v>971270.34933455917</v>
          </cell>
          <cell r="AR6">
            <v>995649.23510285642</v>
          </cell>
          <cell r="AS6" t="str">
            <v>Edwardsport 6</v>
          </cell>
          <cell r="AT6" t="str">
            <v>A&amp;G</v>
          </cell>
          <cell r="AU6">
            <v>69563.510125876477</v>
          </cell>
          <cell r="AV6">
            <v>70933.458356473886</v>
          </cell>
          <cell r="AW6">
            <v>72430.154327795884</v>
          </cell>
          <cell r="AX6">
            <v>74016.374707574694</v>
          </cell>
          <cell r="AY6">
            <v>75689.144775965338</v>
          </cell>
          <cell r="AZ6">
            <v>77490.546421633466</v>
          </cell>
          <cell r="BA6">
            <v>79432.467305223516</v>
          </cell>
          <cell r="BB6">
            <v>81402.613783051886</v>
          </cell>
          <cell r="BC6">
            <v>83463.082162442821</v>
          </cell>
          <cell r="BD6">
            <v>85524.620291855259</v>
          </cell>
          <cell r="BE6">
            <v>87705.498109297245</v>
          </cell>
          <cell r="BF6">
            <v>89827.971163542679</v>
          </cell>
          <cell r="BG6">
            <v>92091.636036863667</v>
          </cell>
          <cell r="BH6">
            <v>94430.763592199801</v>
          </cell>
          <cell r="BI6">
            <v>96791.532682004748</v>
          </cell>
          <cell r="BJ6">
            <v>99221.000152323089</v>
          </cell>
          <cell r="BK6">
            <v>101701.52515613135</v>
          </cell>
          <cell r="BL6">
            <v>104223.72298000324</v>
          </cell>
          <cell r="BM6">
            <v>106839.73842680152</v>
          </cell>
          <cell r="BN6">
            <v>109521.41586131422</v>
          </cell>
          <cell r="BO6" t="str">
            <v>Edwardsport 6</v>
          </cell>
          <cell r="BP6" t="str">
            <v>Depreciation</v>
          </cell>
          <cell r="BQ6">
            <v>379942.39044336934</v>
          </cell>
          <cell r="BR6">
            <v>357398.43915784842</v>
          </cell>
          <cell r="BS6">
            <v>343887.58665446547</v>
          </cell>
          <cell r="BT6">
            <v>334621.79504418129</v>
          </cell>
          <cell r="BU6">
            <v>327671.70032158319</v>
          </cell>
          <cell r="BV6">
            <v>322524.66378572391</v>
          </cell>
          <cell r="BW6">
            <v>319587.9384812584</v>
          </cell>
          <cell r="BX6">
            <v>309465.90871129901</v>
          </cell>
          <cell r="BY6">
            <v>274320.84781820024</v>
          </cell>
          <cell r="BZ6">
            <v>343213.80243572395</v>
          </cell>
          <cell r="CA6">
            <v>343213.80243572395</v>
          </cell>
          <cell r="CB6">
            <v>343213.80243572395</v>
          </cell>
          <cell r="CC6">
            <v>343213.80243572395</v>
          </cell>
          <cell r="CD6">
            <v>343213.80243572395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 t="str">
            <v>Edwardsport 6</v>
          </cell>
          <cell r="CL6" t="str">
            <v>Cap Ads exc Env Cap Adds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 t="str">
            <v>Edwardsport 6</v>
          </cell>
          <cell r="DH6" t="str">
            <v>Env Cap Adds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</row>
        <row r="7">
          <cell r="A7" t="str">
            <v>Edwardsport 7</v>
          </cell>
          <cell r="B7" t="str">
            <v>Property Taxes</v>
          </cell>
          <cell r="C7">
            <v>54400.201679374477</v>
          </cell>
          <cell r="D7">
            <v>55471.531459886508</v>
          </cell>
          <cell r="E7">
            <v>56641.980773690419</v>
          </cell>
          <cell r="F7">
            <v>57882.440152634306</v>
          </cell>
          <cell r="G7">
            <v>59190.58330008341</v>
          </cell>
          <cell r="H7">
            <v>60599.319182625513</v>
          </cell>
          <cell r="I7">
            <v>62117.944213500596</v>
          </cell>
          <cell r="J7">
            <v>63658.642282615205</v>
          </cell>
          <cell r="K7">
            <v>65269.974074096281</v>
          </cell>
          <cell r="L7">
            <v>66882.142433726549</v>
          </cell>
          <cell r="M7">
            <v>68587.637065786315</v>
          </cell>
          <cell r="N7">
            <v>70247.45788277869</v>
          </cell>
          <cell r="O7">
            <v>72017.693821424487</v>
          </cell>
          <cell r="P7">
            <v>73846.943244488517</v>
          </cell>
          <cell r="Q7">
            <v>75693.116825600693</v>
          </cell>
          <cell r="R7">
            <v>77593.014057923283</v>
          </cell>
          <cell r="S7">
            <v>79532.839409371503</v>
          </cell>
          <cell r="T7">
            <v>81505.253826723798</v>
          </cell>
          <cell r="U7">
            <v>83551.035697774714</v>
          </cell>
          <cell r="V7">
            <v>85648.166693788851</v>
          </cell>
          <cell r="W7" t="str">
            <v>Edwardsport 7</v>
          </cell>
          <cell r="X7" t="str">
            <v>Fixed O&amp;M inc Env</v>
          </cell>
          <cell r="Y7">
            <v>1418283.483013896</v>
          </cell>
          <cell r="Z7">
            <v>1446214.4333716996</v>
          </cell>
          <cell r="AA7">
            <v>1488572.419890915</v>
          </cell>
          <cell r="AB7">
            <v>1534371.0217446035</v>
          </cell>
          <cell r="AC7">
            <v>1570175.3040746311</v>
          </cell>
          <cell r="AD7">
            <v>1607561.1330595077</v>
          </cell>
          <cell r="AE7">
            <v>1647843.5000164919</v>
          </cell>
          <cell r="AF7">
            <v>1685070.0279605566</v>
          </cell>
          <cell r="AG7">
            <v>1727379.4675806987</v>
          </cell>
          <cell r="AH7">
            <v>1770055.2065467022</v>
          </cell>
          <cell r="AI7">
            <v>1815175.8382952702</v>
          </cell>
          <cell r="AJ7">
            <v>1859115.5233386317</v>
          </cell>
          <cell r="AK7">
            <v>1905967.782605672</v>
          </cell>
          <cell r="AL7">
            <v>1954374.1385620055</v>
          </cell>
          <cell r="AM7">
            <v>2003234.8312140445</v>
          </cell>
          <cell r="AN7">
            <v>2053514.6527260507</v>
          </cell>
          <cell r="AO7">
            <v>2104849.7047231477</v>
          </cell>
          <cell r="AP7">
            <v>2157054.303561348</v>
          </cell>
          <cell r="AQ7">
            <v>2211196.3665981502</v>
          </cell>
          <cell r="AR7">
            <v>2266697.3954272186</v>
          </cell>
          <cell r="AS7" t="str">
            <v>Edwardsport 7</v>
          </cell>
          <cell r="AT7" t="str">
            <v>A&amp;G</v>
          </cell>
          <cell r="AU7">
            <v>170631.23937171724</v>
          </cell>
          <cell r="AV7">
            <v>173991.56382974045</v>
          </cell>
          <cell r="AW7">
            <v>177662.78582654893</v>
          </cell>
          <cell r="AX7">
            <v>181553.60083615055</v>
          </cell>
          <cell r="AY7">
            <v>185656.71221504622</v>
          </cell>
          <cell r="AZ7">
            <v>190075.3419657647</v>
          </cell>
          <cell r="BA7">
            <v>194838.64914404255</v>
          </cell>
          <cell r="BB7">
            <v>199671.19043828396</v>
          </cell>
          <cell r="BC7">
            <v>204725.28090360863</v>
          </cell>
          <cell r="BD7">
            <v>209781.99534192801</v>
          </cell>
          <cell r="BE7">
            <v>215131.43622314639</v>
          </cell>
          <cell r="BF7">
            <v>220337.6169797476</v>
          </cell>
          <cell r="BG7">
            <v>225890.12492763653</v>
          </cell>
          <cell r="BH7">
            <v>231627.734100798</v>
          </cell>
          <cell r="BI7">
            <v>237418.42745331785</v>
          </cell>
          <cell r="BJ7">
            <v>243377.62998239617</v>
          </cell>
          <cell r="BK7">
            <v>249462.07073195654</v>
          </cell>
          <cell r="BL7">
            <v>255648.73008610864</v>
          </cell>
          <cell r="BM7">
            <v>262065.51321127045</v>
          </cell>
          <cell r="BN7">
            <v>268643.35759287328</v>
          </cell>
          <cell r="BO7" t="str">
            <v>Edwardsport 7</v>
          </cell>
          <cell r="BP7" t="str">
            <v>Depreciation</v>
          </cell>
          <cell r="BQ7">
            <v>456341.13303688215</v>
          </cell>
          <cell r="BR7">
            <v>445973.3442860028</v>
          </cell>
          <cell r="BS7">
            <v>446084.16836602532</v>
          </cell>
          <cell r="BT7">
            <v>451305.98662668857</v>
          </cell>
          <cell r="BU7">
            <v>459486.55973038101</v>
          </cell>
          <cell r="BV7">
            <v>470076.35972022009</v>
          </cell>
          <cell r="BW7">
            <v>483563.2497073923</v>
          </cell>
          <cell r="BX7">
            <v>489383.12845531205</v>
          </cell>
          <cell r="BY7">
            <v>467487.64602584986</v>
          </cell>
          <cell r="BZ7">
            <v>563070.70600939728</v>
          </cell>
          <cell r="CA7">
            <v>581610.1934422208</v>
          </cell>
          <cell r="CB7">
            <v>600853.78234125976</v>
          </cell>
          <cell r="CC7">
            <v>622197.25550257647</v>
          </cell>
          <cell r="CD7">
            <v>645873.08579667844</v>
          </cell>
          <cell r="CE7">
            <v>285997.89700059488</v>
          </cell>
          <cell r="CF7">
            <v>315060.07245005394</v>
          </cell>
          <cell r="CG7">
            <v>347258.89369640447</v>
          </cell>
          <cell r="CH7">
            <v>382923.69632151484</v>
          </cell>
          <cell r="CI7">
            <v>401912.61036462465</v>
          </cell>
          <cell r="CJ7">
            <v>401912.61036462465</v>
          </cell>
          <cell r="CK7" t="str">
            <v>Edwardsport 7</v>
          </cell>
          <cell r="CL7" t="str">
            <v>Cap Ads exc Env Cap Adds</v>
          </cell>
          <cell r="CM7">
            <v>329698.92632780888</v>
          </cell>
          <cell r="CN7">
            <v>336191.84855003923</v>
          </cell>
          <cell r="CO7">
            <v>343285.49655444693</v>
          </cell>
          <cell r="CP7">
            <v>350803.4489289897</v>
          </cell>
          <cell r="CQ7">
            <v>358731.6068747823</v>
          </cell>
          <cell r="CR7">
            <v>367269.41911840282</v>
          </cell>
          <cell r="CS7">
            <v>376473.22768376488</v>
          </cell>
          <cell r="CT7">
            <v>385810.81253641454</v>
          </cell>
          <cell r="CU7">
            <v>395576.48150838452</v>
          </cell>
          <cell r="CV7">
            <v>405347.2206016421</v>
          </cell>
          <cell r="CW7">
            <v>415359.29695050319</v>
          </cell>
          <cell r="CX7">
            <v>425950.95902273949</v>
          </cell>
          <cell r="CY7">
            <v>436812.70847781771</v>
          </cell>
          <cell r="CZ7">
            <v>447951.43254400045</v>
          </cell>
          <cell r="DA7">
            <v>459374.19407387078</v>
          </cell>
          <cell r="DB7">
            <v>471088.23602275277</v>
          </cell>
          <cell r="DC7">
            <v>483100.9860413312</v>
          </cell>
          <cell r="DD7">
            <v>495420.0611853833</v>
          </cell>
          <cell r="DE7">
            <v>508053.27274560876</v>
          </cell>
          <cell r="DF7">
            <v>521008.63120061992</v>
          </cell>
          <cell r="DG7" t="str">
            <v>Edwardsport 7</v>
          </cell>
          <cell r="DH7" t="str">
            <v>Env Cap Adds</v>
          </cell>
          <cell r="DI7">
            <v>0</v>
          </cell>
          <cell r="DJ7">
            <v>509308.3123218625</v>
          </cell>
          <cell r="DK7">
            <v>520410.95465049514</v>
          </cell>
          <cell r="DL7">
            <v>0</v>
          </cell>
          <cell r="DM7">
            <v>0</v>
          </cell>
          <cell r="DN7">
            <v>0</v>
          </cell>
          <cell r="DO7">
            <v>32992.18934727896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</row>
        <row r="8">
          <cell r="A8" t="str">
            <v>Edwardsport 8</v>
          </cell>
          <cell r="B8" t="str">
            <v>Property Taxes</v>
          </cell>
          <cell r="C8">
            <v>90667.002798957459</v>
          </cell>
          <cell r="D8">
            <v>92452.55243314417</v>
          </cell>
          <cell r="E8">
            <v>94403.301289484036</v>
          </cell>
          <cell r="F8">
            <v>96470.733587723837</v>
          </cell>
          <cell r="G8">
            <v>98650.972166805688</v>
          </cell>
          <cell r="H8">
            <v>100998.86530437585</v>
          </cell>
          <cell r="I8">
            <v>103529.90702250099</v>
          </cell>
          <cell r="J8">
            <v>106097.73713769201</v>
          </cell>
          <cell r="K8">
            <v>108783.2901234938</v>
          </cell>
          <cell r="L8">
            <v>111470.23738954424</v>
          </cell>
          <cell r="M8">
            <v>114312.7284429772</v>
          </cell>
          <cell r="N8">
            <v>117079.09647129782</v>
          </cell>
          <cell r="O8">
            <v>120029.48970237414</v>
          </cell>
          <cell r="P8">
            <v>123078.23874081418</v>
          </cell>
          <cell r="Q8">
            <v>126155.19470933448</v>
          </cell>
          <cell r="R8">
            <v>129321.69009653879</v>
          </cell>
          <cell r="S8">
            <v>132554.7323489525</v>
          </cell>
          <cell r="T8">
            <v>135842.08971120632</v>
          </cell>
          <cell r="U8">
            <v>139251.72616295784</v>
          </cell>
          <cell r="V8">
            <v>142746.94448964807</v>
          </cell>
          <cell r="W8" t="str">
            <v>Edwardsport 8</v>
          </cell>
          <cell r="X8" t="str">
            <v>Fixed O&amp;M inc Env</v>
          </cell>
          <cell r="Y8">
            <v>2363805.8050231603</v>
          </cell>
          <cell r="Z8">
            <v>2410357.3889528327</v>
          </cell>
          <cell r="AA8">
            <v>2480954.0331547414</v>
          </cell>
          <cell r="AB8">
            <v>2557285.0362478769</v>
          </cell>
          <cell r="AC8">
            <v>2616958.8401317177</v>
          </cell>
          <cell r="AD8">
            <v>2679268.5551066911</v>
          </cell>
          <cell r="AE8">
            <v>2746405.8333685189</v>
          </cell>
          <cell r="AF8">
            <v>2808450.0466088192</v>
          </cell>
          <cell r="AG8">
            <v>2878965.7793092537</v>
          </cell>
          <cell r="AH8">
            <v>2950092.010919462</v>
          </cell>
          <cell r="AI8">
            <v>3025293.0638339487</v>
          </cell>
          <cell r="AJ8">
            <v>3098525.8722397611</v>
          </cell>
          <cell r="AK8">
            <v>3176612.9710183814</v>
          </cell>
          <cell r="AL8">
            <v>3257290.2309458288</v>
          </cell>
          <cell r="AM8">
            <v>3338724.7186994567</v>
          </cell>
          <cell r="AN8">
            <v>3422524.4212197019</v>
          </cell>
          <cell r="AO8">
            <v>3508082.8412151029</v>
          </cell>
          <cell r="AP8">
            <v>3595090.5059456835</v>
          </cell>
          <cell r="AQ8">
            <v>3685327.2776739402</v>
          </cell>
          <cell r="AR8">
            <v>3777828.9923893139</v>
          </cell>
          <cell r="AS8" t="str">
            <v>Edwardsport 8</v>
          </cell>
          <cell r="AT8" t="str">
            <v>A&amp;G</v>
          </cell>
          <cell r="AU8">
            <v>284385.39895286213</v>
          </cell>
          <cell r="AV8">
            <v>289985.9397162341</v>
          </cell>
          <cell r="AW8">
            <v>296104.64304424828</v>
          </cell>
          <cell r="AX8">
            <v>302589.33472691762</v>
          </cell>
          <cell r="AY8">
            <v>309427.85369174375</v>
          </cell>
          <cell r="AZ8">
            <v>316792.23660960788</v>
          </cell>
          <cell r="BA8">
            <v>324731.08190673764</v>
          </cell>
          <cell r="BB8">
            <v>332785.31739713997</v>
          </cell>
          <cell r="BC8">
            <v>341208.80150601437</v>
          </cell>
          <cell r="BD8">
            <v>349636.65890321339</v>
          </cell>
          <cell r="BE8">
            <v>358552.393705244</v>
          </cell>
          <cell r="BF8">
            <v>367229.36163291271</v>
          </cell>
          <cell r="BG8">
            <v>376483.54154606094</v>
          </cell>
          <cell r="BH8">
            <v>386046.22350133007</v>
          </cell>
          <cell r="BI8">
            <v>395697.37908886315</v>
          </cell>
          <cell r="BJ8">
            <v>405629.38330399367</v>
          </cell>
          <cell r="BK8">
            <v>415770.11788659426</v>
          </cell>
          <cell r="BL8">
            <v>426081.2168101811</v>
          </cell>
          <cell r="BM8">
            <v>436775.85535211745</v>
          </cell>
          <cell r="BN8">
            <v>447738.92932145554</v>
          </cell>
          <cell r="BO8" t="str">
            <v>Edwardsport 8</v>
          </cell>
          <cell r="BP8" t="str">
            <v>Depreciation</v>
          </cell>
          <cell r="BQ8">
            <v>760568.55506147014</v>
          </cell>
          <cell r="BR8">
            <v>743288.90714333788</v>
          </cell>
          <cell r="BS8">
            <v>743473.61394337541</v>
          </cell>
          <cell r="BT8">
            <v>752176.64437781414</v>
          </cell>
          <cell r="BU8">
            <v>765810.93288396823</v>
          </cell>
          <cell r="BV8">
            <v>783460.59953370003</v>
          </cell>
          <cell r="BW8">
            <v>805938.74951232038</v>
          </cell>
          <cell r="BX8">
            <v>815638.54742552002</v>
          </cell>
          <cell r="BY8">
            <v>779146.07670974988</v>
          </cell>
          <cell r="BZ8">
            <v>938451.17668232881</v>
          </cell>
          <cell r="CA8">
            <v>969350.32240370126</v>
          </cell>
          <cell r="CB8">
            <v>1001422.9705687664</v>
          </cell>
          <cell r="CC8">
            <v>1036995.4258376276</v>
          </cell>
          <cell r="CD8">
            <v>1076455.1429944641</v>
          </cell>
          <cell r="CE8">
            <v>476663.16166765813</v>
          </cell>
          <cell r="CF8">
            <v>525100.12075008987</v>
          </cell>
          <cell r="CG8">
            <v>578764.8228273408</v>
          </cell>
          <cell r="CH8">
            <v>638206.16053585801</v>
          </cell>
          <cell r="CI8">
            <v>669854.35060770763</v>
          </cell>
          <cell r="CJ8">
            <v>669854.35060770763</v>
          </cell>
          <cell r="CK8" t="str">
            <v>Edwardsport 8</v>
          </cell>
          <cell r="CL8" t="str">
            <v>Cap Ads exc Env Cap Adds</v>
          </cell>
          <cell r="CM8">
            <v>549498.21054634824</v>
          </cell>
          <cell r="CN8">
            <v>560319.74758339871</v>
          </cell>
          <cell r="CO8">
            <v>572142.49425741157</v>
          </cell>
          <cell r="CP8">
            <v>584672.41488164954</v>
          </cell>
          <cell r="CQ8">
            <v>597886.01145797048</v>
          </cell>
          <cell r="CR8">
            <v>612115.69853067142</v>
          </cell>
          <cell r="CS8">
            <v>627455.37947294151</v>
          </cell>
          <cell r="CT8">
            <v>643018.02089402429</v>
          </cell>
          <cell r="CU8">
            <v>659294.13584730751</v>
          </cell>
          <cell r="CV8">
            <v>675578.70100273693</v>
          </cell>
          <cell r="CW8">
            <v>692265.49491750542</v>
          </cell>
          <cell r="CX8">
            <v>709918.26503789925</v>
          </cell>
          <cell r="CY8">
            <v>728021.18079636304</v>
          </cell>
          <cell r="CZ8">
            <v>746585.72090666753</v>
          </cell>
          <cell r="DA8">
            <v>765623.65678978467</v>
          </cell>
          <cell r="DB8">
            <v>785147.0600379213</v>
          </cell>
          <cell r="DC8">
            <v>805168.31006888533</v>
          </cell>
          <cell r="DD8">
            <v>825700.10197563889</v>
          </cell>
          <cell r="DE8">
            <v>846755.45457601454</v>
          </cell>
          <cell r="DF8">
            <v>868347.71866769984</v>
          </cell>
          <cell r="DG8" t="str">
            <v>Edwardsport 8</v>
          </cell>
          <cell r="DH8" t="str">
            <v>Env Cap Adds</v>
          </cell>
          <cell r="DI8">
            <v>0</v>
          </cell>
          <cell r="DJ8">
            <v>848847.18720310414</v>
          </cell>
          <cell r="DK8">
            <v>867351.59108415851</v>
          </cell>
          <cell r="DL8">
            <v>0</v>
          </cell>
          <cell r="DM8">
            <v>0</v>
          </cell>
          <cell r="DN8">
            <v>0</v>
          </cell>
          <cell r="DO8">
            <v>45769.044263760217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</row>
        <row r="9">
          <cell r="A9" t="str">
            <v>Gallagher 1</v>
          </cell>
          <cell r="B9" t="str">
            <v>Property Taxes</v>
          </cell>
          <cell r="C9">
            <v>381460.6460508366</v>
          </cell>
          <cell r="D9">
            <v>388972.93713784858</v>
          </cell>
          <cell r="E9">
            <v>397180.26611145935</v>
          </cell>
          <cell r="F9">
            <v>405878.51393930078</v>
          </cell>
          <cell r="G9">
            <v>415051.36835432594</v>
          </cell>
          <cell r="H9">
            <v>424929.59092115978</v>
          </cell>
          <cell r="I9">
            <v>435578.36918857961</v>
          </cell>
          <cell r="J9">
            <v>446381.92620988685</v>
          </cell>
          <cell r="K9">
            <v>457680.77524363348</v>
          </cell>
          <cell r="L9">
            <v>468985.49039215181</v>
          </cell>
          <cell r="M9">
            <v>480944.62039714993</v>
          </cell>
          <cell r="N9">
            <v>492583.48021076334</v>
          </cell>
          <cell r="O9">
            <v>504996.58391207299</v>
          </cell>
          <cell r="P9">
            <v>517823.49714343855</v>
          </cell>
          <cell r="Q9">
            <v>530769.08457202429</v>
          </cell>
          <cell r="R9">
            <v>544091.38859478221</v>
          </cell>
          <cell r="S9">
            <v>557693.67330965272</v>
          </cell>
          <cell r="T9">
            <v>571524.47640773118</v>
          </cell>
          <cell r="U9">
            <v>585869.74076556636</v>
          </cell>
          <cell r="V9">
            <v>600575.07125878194</v>
          </cell>
          <cell r="W9" t="str">
            <v>Gallagher 1</v>
          </cell>
          <cell r="X9" t="str">
            <v>Fixed O&amp;M inc Env</v>
          </cell>
          <cell r="Y9">
            <v>2141287.189055589</v>
          </cell>
          <cell r="Z9">
            <v>2183456.6050401977</v>
          </cell>
          <cell r="AA9">
            <v>2281578.3874863717</v>
          </cell>
          <cell r="AB9">
            <v>2336346.5755428742</v>
          </cell>
          <cell r="AC9">
            <v>2389180.0259431978</v>
          </cell>
          <cell r="AD9">
            <v>2435264.7882975135</v>
          </cell>
          <cell r="AE9">
            <v>2552456.0570172551</v>
          </cell>
          <cell r="AF9">
            <v>2621051.1469542668</v>
          </cell>
          <cell r="AG9">
            <v>2687362.8635418741</v>
          </cell>
          <cell r="AH9">
            <v>2741848.5801997492</v>
          </cell>
          <cell r="AI9">
            <v>2810602.1696431767</v>
          </cell>
          <cell r="AJ9">
            <v>2878669.7692834656</v>
          </cell>
          <cell r="AK9">
            <v>2951222.7079450586</v>
          </cell>
          <cell r="AL9">
            <v>3026162.3118841271</v>
          </cell>
          <cell r="AM9">
            <v>3101821.8673694292</v>
          </cell>
          <cell r="AN9">
            <v>3179671.9607660719</v>
          </cell>
          <cell r="AO9">
            <v>3259152.2063216455</v>
          </cell>
          <cell r="AP9">
            <v>3339996.9409682001</v>
          </cell>
          <cell r="AQ9">
            <v>3423830.8642579722</v>
          </cell>
          <cell r="AR9">
            <v>3509769.0190635575</v>
          </cell>
          <cell r="AS9" t="str">
            <v>Gallagher 1</v>
          </cell>
          <cell r="AT9" t="str">
            <v>A&amp;G</v>
          </cell>
          <cell r="AU9">
            <v>349989.55297728541</v>
          </cell>
          <cell r="AV9">
            <v>356882.06843490404</v>
          </cell>
          <cell r="AW9">
            <v>364412.28007888247</v>
          </cell>
          <cell r="AX9">
            <v>372392.90901261038</v>
          </cell>
          <cell r="AY9">
            <v>380808.98875629267</v>
          </cell>
          <cell r="AZ9">
            <v>389872.24268869316</v>
          </cell>
          <cell r="BA9">
            <v>399642.48028502916</v>
          </cell>
          <cell r="BB9">
            <v>409554.72714875423</v>
          </cell>
          <cell r="BC9">
            <v>419921.403668124</v>
          </cell>
          <cell r="BD9">
            <v>430293.4623387272</v>
          </cell>
          <cell r="BE9">
            <v>441265.94562836312</v>
          </cell>
          <cell r="BF9">
            <v>451944.58151257172</v>
          </cell>
          <cell r="BG9">
            <v>463333.58496668702</v>
          </cell>
          <cell r="BH9">
            <v>475102.25802483986</v>
          </cell>
          <cell r="BI9">
            <v>486979.81447546068</v>
          </cell>
          <cell r="BJ9">
            <v>499203.00781879481</v>
          </cell>
          <cell r="BK9">
            <v>511683.08301426558</v>
          </cell>
          <cell r="BL9">
            <v>524372.82347301859</v>
          </cell>
          <cell r="BM9">
            <v>537534.58134219237</v>
          </cell>
          <cell r="BN9">
            <v>551026.69933388126</v>
          </cell>
          <cell r="BO9" t="str">
            <v>Gallagher 1</v>
          </cell>
          <cell r="BP9" t="str">
            <v>Depreciation</v>
          </cell>
          <cell r="BQ9">
            <v>1454750.0190690593</v>
          </cell>
          <cell r="BR9">
            <v>1440661.3929646332</v>
          </cell>
          <cell r="BS9">
            <v>1459556.2133893231</v>
          </cell>
          <cell r="BT9">
            <v>1494758.1503515434</v>
          </cell>
          <cell r="BU9">
            <v>1539593.5143123844</v>
          </cell>
          <cell r="BV9">
            <v>1592385.606479472</v>
          </cell>
          <cell r="BW9">
            <v>1654688.2114790319</v>
          </cell>
          <cell r="BX9">
            <v>1693642.4654115301</v>
          </cell>
          <cell r="BY9">
            <v>1646898.8563018397</v>
          </cell>
          <cell r="BZ9">
            <v>1966172.0248485273</v>
          </cell>
          <cell r="CA9">
            <v>2046312.6218322082</v>
          </cell>
          <cell r="CB9">
            <v>2129496.8365018722</v>
          </cell>
          <cell r="CC9">
            <v>2221758.2157363789</v>
          </cell>
          <cell r="CD9">
            <v>2324101.6694445107</v>
          </cell>
          <cell r="CE9">
            <v>1236282.4098969388</v>
          </cell>
          <cell r="CF9">
            <v>1361909.4046347013</v>
          </cell>
          <cell r="CG9">
            <v>1501095.170487365</v>
          </cell>
          <cell r="CH9">
            <v>1655263.3255692131</v>
          </cell>
          <cell r="CI9">
            <v>1737346.6578620123</v>
          </cell>
          <cell r="CJ9">
            <v>1737346.6578620123</v>
          </cell>
          <cell r="CK9" t="str">
            <v>Gallagher 1</v>
          </cell>
          <cell r="CL9" t="str">
            <v>Cap Ads exc Env Cap Adds</v>
          </cell>
          <cell r="CM9">
            <v>1425188.7424897016</v>
          </cell>
          <cell r="CN9">
            <v>1453255.6814999406</v>
          </cell>
          <cell r="CO9">
            <v>1483919.3763795975</v>
          </cell>
          <cell r="CP9">
            <v>1516417.2107223123</v>
          </cell>
          <cell r="CQ9">
            <v>1550688.2396846253</v>
          </cell>
          <cell r="CR9">
            <v>1587594.6197891226</v>
          </cell>
          <cell r="CS9">
            <v>1627379.9005647788</v>
          </cell>
          <cell r="CT9">
            <v>1667743.4557703156</v>
          </cell>
          <cell r="CU9">
            <v>1709957.489151469</v>
          </cell>
          <cell r="CV9">
            <v>1752193.4391335123</v>
          </cell>
          <cell r="CW9">
            <v>1795472.6170801125</v>
          </cell>
          <cell r="CX9">
            <v>1841257.1688156486</v>
          </cell>
          <cell r="CY9">
            <v>1888209.2266204408</v>
          </cell>
          <cell r="CZ9">
            <v>1936358.561899255</v>
          </cell>
          <cell r="DA9">
            <v>1985735.7052276789</v>
          </cell>
          <cell r="DB9">
            <v>2036371.9657109773</v>
          </cell>
          <cell r="DC9">
            <v>2088299.4508365996</v>
          </cell>
          <cell r="DD9">
            <v>2141551.0868329247</v>
          </cell>
          <cell r="DE9">
            <v>2196160.6395471562</v>
          </cell>
          <cell r="DF9">
            <v>2252162.7358556003</v>
          </cell>
          <cell r="DG9" t="str">
            <v>Gallagher 1</v>
          </cell>
          <cell r="DH9" t="str">
            <v>Env Cap Adds</v>
          </cell>
          <cell r="DI9">
            <v>0</v>
          </cell>
          <cell r="DJ9">
            <v>1584514.7494457946</v>
          </cell>
          <cell r="DK9">
            <v>0</v>
          </cell>
          <cell r="DL9">
            <v>0</v>
          </cell>
          <cell r="DM9">
            <v>69846.65722105153</v>
          </cell>
          <cell r="DN9">
            <v>1735904.2776614144</v>
          </cell>
          <cell r="DO9">
            <v>0</v>
          </cell>
          <cell r="DP9">
            <v>0</v>
          </cell>
          <cell r="DQ9">
            <v>66819.317479823294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</row>
        <row r="10">
          <cell r="A10" t="str">
            <v>Gallagher 2</v>
          </cell>
          <cell r="B10" t="str">
            <v>Property Taxes</v>
          </cell>
          <cell r="C10">
            <v>381460.6460508366</v>
          </cell>
          <cell r="D10">
            <v>388972.93713784858</v>
          </cell>
          <cell r="E10">
            <v>397180.26611145935</v>
          </cell>
          <cell r="F10">
            <v>405878.51393930078</v>
          </cell>
          <cell r="G10">
            <v>415051.36835432594</v>
          </cell>
          <cell r="H10">
            <v>424929.59092115978</v>
          </cell>
          <cell r="I10">
            <v>435578.36918857961</v>
          </cell>
          <cell r="J10">
            <v>446381.92620988685</v>
          </cell>
          <cell r="K10">
            <v>457680.77524363348</v>
          </cell>
          <cell r="L10">
            <v>468985.49039215181</v>
          </cell>
          <cell r="M10">
            <v>480944.62039714993</v>
          </cell>
          <cell r="N10">
            <v>492583.48021076334</v>
          </cell>
          <cell r="O10">
            <v>504996.58391207299</v>
          </cell>
          <cell r="P10">
            <v>517823.49714343855</v>
          </cell>
          <cell r="Q10">
            <v>530769.08457202429</v>
          </cell>
          <cell r="R10">
            <v>544091.38859478221</v>
          </cell>
          <cell r="S10">
            <v>557693.67330965272</v>
          </cell>
          <cell r="T10">
            <v>571524.47640773118</v>
          </cell>
          <cell r="U10">
            <v>585869.74076556636</v>
          </cell>
          <cell r="V10">
            <v>600575.07125878194</v>
          </cell>
          <cell r="W10" t="str">
            <v>Gallagher 2</v>
          </cell>
          <cell r="X10" t="str">
            <v>Fixed O&amp;M inc Env</v>
          </cell>
          <cell r="Y10">
            <v>2141287.189055589</v>
          </cell>
          <cell r="Z10">
            <v>2183456.6050401977</v>
          </cell>
          <cell r="AA10">
            <v>2281578.3874863717</v>
          </cell>
          <cell r="AB10">
            <v>2336346.5755428742</v>
          </cell>
          <cell r="AC10">
            <v>2389180.0259431978</v>
          </cell>
          <cell r="AD10">
            <v>2435264.7882975135</v>
          </cell>
          <cell r="AE10">
            <v>2552456.0570172551</v>
          </cell>
          <cell r="AF10">
            <v>2621051.1469542668</v>
          </cell>
          <cell r="AG10">
            <v>2687362.8635418741</v>
          </cell>
          <cell r="AH10">
            <v>2741848.5801997492</v>
          </cell>
          <cell r="AI10">
            <v>2810602.1696431767</v>
          </cell>
          <cell r="AJ10">
            <v>2878669.7692834656</v>
          </cell>
          <cell r="AK10">
            <v>2951222.7079450586</v>
          </cell>
          <cell r="AL10">
            <v>3026162.3118841271</v>
          </cell>
          <cell r="AM10">
            <v>3101821.8673694292</v>
          </cell>
          <cell r="AN10">
            <v>3179671.9607660719</v>
          </cell>
          <cell r="AO10">
            <v>3259152.2063216455</v>
          </cell>
          <cell r="AP10">
            <v>3339996.9409682001</v>
          </cell>
          <cell r="AQ10">
            <v>3423830.8642579722</v>
          </cell>
          <cell r="AR10">
            <v>3509769.0190635575</v>
          </cell>
          <cell r="AS10" t="str">
            <v>Gallagher 2</v>
          </cell>
          <cell r="AT10" t="str">
            <v>A&amp;G</v>
          </cell>
          <cell r="AU10">
            <v>349989.55297728541</v>
          </cell>
          <cell r="AV10">
            <v>356882.06843490404</v>
          </cell>
          <cell r="AW10">
            <v>364412.28007888247</v>
          </cell>
          <cell r="AX10">
            <v>372392.90901261038</v>
          </cell>
          <cell r="AY10">
            <v>380808.98875629267</v>
          </cell>
          <cell r="AZ10">
            <v>389872.24268869316</v>
          </cell>
          <cell r="BA10">
            <v>399642.48028502916</v>
          </cell>
          <cell r="BB10">
            <v>409554.72714875423</v>
          </cell>
          <cell r="BC10">
            <v>419921.403668124</v>
          </cell>
          <cell r="BD10">
            <v>430293.4623387272</v>
          </cell>
          <cell r="BE10">
            <v>441265.94562836312</v>
          </cell>
          <cell r="BF10">
            <v>451944.58151257172</v>
          </cell>
          <cell r="BG10">
            <v>463333.58496668702</v>
          </cell>
          <cell r="BH10">
            <v>475102.25802483986</v>
          </cell>
          <cell r="BI10">
            <v>486979.81447546068</v>
          </cell>
          <cell r="BJ10">
            <v>499203.00781879481</v>
          </cell>
          <cell r="BK10">
            <v>511683.08301426558</v>
          </cell>
          <cell r="BL10">
            <v>524372.82347301859</v>
          </cell>
          <cell r="BM10">
            <v>537534.58134219237</v>
          </cell>
          <cell r="BN10">
            <v>551026.69933388126</v>
          </cell>
          <cell r="BO10" t="str">
            <v>Gallagher 2</v>
          </cell>
          <cell r="BP10" t="str">
            <v>Depreciation</v>
          </cell>
          <cell r="BQ10">
            <v>1454750.0190690593</v>
          </cell>
          <cell r="BR10">
            <v>1440661.3929646332</v>
          </cell>
          <cell r="BS10">
            <v>1459556.2133893231</v>
          </cell>
          <cell r="BT10">
            <v>1494758.1503515434</v>
          </cell>
          <cell r="BU10">
            <v>1539593.5143123844</v>
          </cell>
          <cell r="BV10">
            <v>1592385.606479472</v>
          </cell>
          <cell r="BW10">
            <v>1654688.2114790319</v>
          </cell>
          <cell r="BX10">
            <v>1693642.4654115301</v>
          </cell>
          <cell r="BY10">
            <v>1646898.8563018397</v>
          </cell>
          <cell r="BZ10">
            <v>1966172.0248485273</v>
          </cell>
          <cell r="CA10">
            <v>2046312.6218322082</v>
          </cell>
          <cell r="CB10">
            <v>2129496.8365018722</v>
          </cell>
          <cell r="CC10">
            <v>2221758.2157363789</v>
          </cell>
          <cell r="CD10">
            <v>2324101.6694445107</v>
          </cell>
          <cell r="CE10">
            <v>1236282.4098969388</v>
          </cell>
          <cell r="CF10">
            <v>1361909.4046347013</v>
          </cell>
          <cell r="CG10">
            <v>1501095.170487365</v>
          </cell>
          <cell r="CH10">
            <v>1655263.3255692131</v>
          </cell>
          <cell r="CI10">
            <v>1737346.6578620123</v>
          </cell>
          <cell r="CJ10">
            <v>1737346.6578620123</v>
          </cell>
          <cell r="CK10" t="str">
            <v>Gallagher 2</v>
          </cell>
          <cell r="CL10" t="str">
            <v>Cap Ads exc Env Cap Adds</v>
          </cell>
          <cell r="CM10">
            <v>1425188.7424897016</v>
          </cell>
          <cell r="CN10">
            <v>1453255.6814999406</v>
          </cell>
          <cell r="CO10">
            <v>1483919.3763795975</v>
          </cell>
          <cell r="CP10">
            <v>1516417.2107223123</v>
          </cell>
          <cell r="CQ10">
            <v>1550688.2396846253</v>
          </cell>
          <cell r="CR10">
            <v>1587594.6197891226</v>
          </cell>
          <cell r="CS10">
            <v>1627379.9005647788</v>
          </cell>
          <cell r="CT10">
            <v>1667743.4557703156</v>
          </cell>
          <cell r="CU10">
            <v>1709957.489151469</v>
          </cell>
          <cell r="CV10">
            <v>1752193.4391335123</v>
          </cell>
          <cell r="CW10">
            <v>1795472.6170801125</v>
          </cell>
          <cell r="CX10">
            <v>1841257.1688156486</v>
          </cell>
          <cell r="CY10">
            <v>1888209.2266204408</v>
          </cell>
          <cell r="CZ10">
            <v>1936358.561899255</v>
          </cell>
          <cell r="DA10">
            <v>1985735.7052276789</v>
          </cell>
          <cell r="DB10">
            <v>2036371.9657109773</v>
          </cell>
          <cell r="DC10">
            <v>2088299.4508365996</v>
          </cell>
          <cell r="DD10">
            <v>2141551.0868329247</v>
          </cell>
          <cell r="DE10">
            <v>2196160.6395471562</v>
          </cell>
          <cell r="DF10">
            <v>2252162.7358556003</v>
          </cell>
          <cell r="DG10" t="str">
            <v>Gallagher 2</v>
          </cell>
          <cell r="DH10" t="str">
            <v>Env Cap Adds</v>
          </cell>
          <cell r="DI10">
            <v>0</v>
          </cell>
          <cell r="DJ10">
            <v>1584514.7494457946</v>
          </cell>
          <cell r="DK10">
            <v>0</v>
          </cell>
          <cell r="DL10">
            <v>0</v>
          </cell>
          <cell r="DM10">
            <v>69846.65722105153</v>
          </cell>
          <cell r="DN10">
            <v>1735904.2776614144</v>
          </cell>
          <cell r="DO10">
            <v>0</v>
          </cell>
          <cell r="DP10">
            <v>0</v>
          </cell>
          <cell r="DQ10">
            <v>66819.317479823294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</row>
        <row r="11">
          <cell r="A11" t="str">
            <v>Gallagher 3</v>
          </cell>
          <cell r="B11" t="str">
            <v>Property Taxes</v>
          </cell>
          <cell r="C11">
            <v>381460.6460508366</v>
          </cell>
          <cell r="D11">
            <v>388972.93713784858</v>
          </cell>
          <cell r="E11">
            <v>397180.26611145935</v>
          </cell>
          <cell r="F11">
            <v>405878.51393930078</v>
          </cell>
          <cell r="G11">
            <v>415051.36835432594</v>
          </cell>
          <cell r="H11">
            <v>424929.59092115978</v>
          </cell>
          <cell r="I11">
            <v>435578.36918857961</v>
          </cell>
          <cell r="J11">
            <v>446381.92620988685</v>
          </cell>
          <cell r="K11">
            <v>457680.77524363348</v>
          </cell>
          <cell r="L11">
            <v>468985.49039215181</v>
          </cell>
          <cell r="M11">
            <v>480944.62039714993</v>
          </cell>
          <cell r="N11">
            <v>492583.48021076334</v>
          </cell>
          <cell r="O11">
            <v>504996.58391207299</v>
          </cell>
          <cell r="P11">
            <v>517823.49714343855</v>
          </cell>
          <cell r="Q11">
            <v>530769.08457202429</v>
          </cell>
          <cell r="R11">
            <v>544091.38859478221</v>
          </cell>
          <cell r="S11">
            <v>557693.67330965272</v>
          </cell>
          <cell r="T11">
            <v>571524.47640773118</v>
          </cell>
          <cell r="U11">
            <v>585869.74076556636</v>
          </cell>
          <cell r="V11">
            <v>600575.07125878194</v>
          </cell>
          <cell r="W11" t="str">
            <v>Gallagher 3</v>
          </cell>
          <cell r="X11" t="str">
            <v>Fixed O&amp;M inc Env</v>
          </cell>
          <cell r="Y11">
            <v>2141287.189055589</v>
          </cell>
          <cell r="Z11">
            <v>2183456.6050401977</v>
          </cell>
          <cell r="AA11">
            <v>2281578.3874863717</v>
          </cell>
          <cell r="AB11">
            <v>2336346.5755428742</v>
          </cell>
          <cell r="AC11">
            <v>2389180.0259431978</v>
          </cell>
          <cell r="AD11">
            <v>2435264.7882975135</v>
          </cell>
          <cell r="AE11">
            <v>2552456.0570172551</v>
          </cell>
          <cell r="AF11">
            <v>2621051.1469542668</v>
          </cell>
          <cell r="AG11">
            <v>2687362.8635418741</v>
          </cell>
          <cell r="AH11">
            <v>2741848.5801997492</v>
          </cell>
          <cell r="AI11">
            <v>2810602.1696431767</v>
          </cell>
          <cell r="AJ11">
            <v>2878669.7692834656</v>
          </cell>
          <cell r="AK11">
            <v>2951222.7079450586</v>
          </cell>
          <cell r="AL11">
            <v>3026162.3118841271</v>
          </cell>
          <cell r="AM11">
            <v>3101821.8673694292</v>
          </cell>
          <cell r="AN11">
            <v>3179671.9607660719</v>
          </cell>
          <cell r="AO11">
            <v>3259152.2063216455</v>
          </cell>
          <cell r="AP11">
            <v>3339996.9409682001</v>
          </cell>
          <cell r="AQ11">
            <v>3423830.8642579722</v>
          </cell>
          <cell r="AR11">
            <v>3509769.0190635575</v>
          </cell>
          <cell r="AS11" t="str">
            <v>Gallagher 3</v>
          </cell>
          <cell r="AT11" t="str">
            <v>A&amp;G</v>
          </cell>
          <cell r="AU11">
            <v>349989.55297728541</v>
          </cell>
          <cell r="AV11">
            <v>356882.06843490404</v>
          </cell>
          <cell r="AW11">
            <v>364412.28007888247</v>
          </cell>
          <cell r="AX11">
            <v>372392.90901261038</v>
          </cell>
          <cell r="AY11">
            <v>380808.98875629267</v>
          </cell>
          <cell r="AZ11">
            <v>389872.24268869316</v>
          </cell>
          <cell r="BA11">
            <v>399642.48028502916</v>
          </cell>
          <cell r="BB11">
            <v>409554.72714875423</v>
          </cell>
          <cell r="BC11">
            <v>419921.403668124</v>
          </cell>
          <cell r="BD11">
            <v>430293.4623387272</v>
          </cell>
          <cell r="BE11">
            <v>441265.94562836312</v>
          </cell>
          <cell r="BF11">
            <v>451944.58151257172</v>
          </cell>
          <cell r="BG11">
            <v>463333.58496668702</v>
          </cell>
          <cell r="BH11">
            <v>475102.25802483986</v>
          </cell>
          <cell r="BI11">
            <v>486979.81447546068</v>
          </cell>
          <cell r="BJ11">
            <v>499203.00781879481</v>
          </cell>
          <cell r="BK11">
            <v>511683.08301426558</v>
          </cell>
          <cell r="BL11">
            <v>524372.82347301859</v>
          </cell>
          <cell r="BM11">
            <v>537534.58134219237</v>
          </cell>
          <cell r="BN11">
            <v>551026.69933388126</v>
          </cell>
          <cell r="BO11" t="str">
            <v>Gallagher 3</v>
          </cell>
          <cell r="BP11" t="str">
            <v>Depreciation</v>
          </cell>
          <cell r="BQ11">
            <v>1454750.0190690593</v>
          </cell>
          <cell r="BR11">
            <v>1440661.3929646332</v>
          </cell>
          <cell r="BS11">
            <v>1459556.2133893231</v>
          </cell>
          <cell r="BT11">
            <v>1494758.1503515434</v>
          </cell>
          <cell r="BU11">
            <v>1539593.5143123844</v>
          </cell>
          <cell r="BV11">
            <v>1592385.606479472</v>
          </cell>
          <cell r="BW11">
            <v>1654688.2114790319</v>
          </cell>
          <cell r="BX11">
            <v>1693642.4654115301</v>
          </cell>
          <cell r="BY11">
            <v>1646898.8563018397</v>
          </cell>
          <cell r="BZ11">
            <v>1966172.0248485273</v>
          </cell>
          <cell r="CA11">
            <v>2046312.6218322082</v>
          </cell>
          <cell r="CB11">
            <v>2129496.8365018722</v>
          </cell>
          <cell r="CC11">
            <v>2221758.2157363789</v>
          </cell>
          <cell r="CD11">
            <v>2324101.6694445107</v>
          </cell>
          <cell r="CE11">
            <v>1236282.4098969388</v>
          </cell>
          <cell r="CF11">
            <v>1361909.4046347013</v>
          </cell>
          <cell r="CG11">
            <v>1501095.170487365</v>
          </cell>
          <cell r="CH11">
            <v>1655263.3255692131</v>
          </cell>
          <cell r="CI11">
            <v>1737346.6578620123</v>
          </cell>
          <cell r="CJ11">
            <v>1737346.6578620123</v>
          </cell>
          <cell r="CK11" t="str">
            <v>Gallagher 3</v>
          </cell>
          <cell r="CL11" t="str">
            <v>Cap Ads exc Env Cap Adds</v>
          </cell>
          <cell r="CM11">
            <v>1425188.7424897016</v>
          </cell>
          <cell r="CN11">
            <v>1453255.6814999406</v>
          </cell>
          <cell r="CO11">
            <v>1483919.3763795975</v>
          </cell>
          <cell r="CP11">
            <v>1516417.2107223123</v>
          </cell>
          <cell r="CQ11">
            <v>1550688.2396846253</v>
          </cell>
          <cell r="CR11">
            <v>1587594.6197891226</v>
          </cell>
          <cell r="CS11">
            <v>1627379.9005647788</v>
          </cell>
          <cell r="CT11">
            <v>1667743.4557703156</v>
          </cell>
          <cell r="CU11">
            <v>1709957.489151469</v>
          </cell>
          <cell r="CV11">
            <v>1752193.4391335123</v>
          </cell>
          <cell r="CW11">
            <v>1795472.6170801125</v>
          </cell>
          <cell r="CX11">
            <v>1841257.1688156486</v>
          </cell>
          <cell r="CY11">
            <v>1888209.2266204408</v>
          </cell>
          <cell r="CZ11">
            <v>1936358.561899255</v>
          </cell>
          <cell r="DA11">
            <v>1985735.7052276789</v>
          </cell>
          <cell r="DB11">
            <v>2036371.9657109773</v>
          </cell>
          <cell r="DC11">
            <v>2088299.4508365996</v>
          </cell>
          <cell r="DD11">
            <v>2141551.0868329247</v>
          </cell>
          <cell r="DE11">
            <v>2196160.6395471562</v>
          </cell>
          <cell r="DF11">
            <v>2252162.7358556003</v>
          </cell>
          <cell r="DG11" t="str">
            <v>Gallagher 3</v>
          </cell>
          <cell r="DH11" t="str">
            <v>Env Cap Adds</v>
          </cell>
          <cell r="DI11">
            <v>0</v>
          </cell>
          <cell r="DJ11">
            <v>1584514.7494457946</v>
          </cell>
          <cell r="DK11">
            <v>0</v>
          </cell>
          <cell r="DL11">
            <v>0</v>
          </cell>
          <cell r="DM11">
            <v>69846.65722105153</v>
          </cell>
          <cell r="DN11">
            <v>1735904.2776614144</v>
          </cell>
          <cell r="DO11">
            <v>0</v>
          </cell>
          <cell r="DP11">
            <v>0</v>
          </cell>
          <cell r="DQ11">
            <v>66819.317479823294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</row>
        <row r="12">
          <cell r="A12" t="str">
            <v>Gallagher 4</v>
          </cell>
          <cell r="B12" t="str">
            <v>Property Taxes</v>
          </cell>
          <cell r="C12">
            <v>381460.6460508366</v>
          </cell>
          <cell r="D12">
            <v>388972.93713784858</v>
          </cell>
          <cell r="E12">
            <v>397180.26611145935</v>
          </cell>
          <cell r="F12">
            <v>405878.51393930078</v>
          </cell>
          <cell r="G12">
            <v>415051.36835432594</v>
          </cell>
          <cell r="H12">
            <v>424929.59092115978</v>
          </cell>
          <cell r="I12">
            <v>435578.36918857961</v>
          </cell>
          <cell r="J12">
            <v>446381.92620988685</v>
          </cell>
          <cell r="K12">
            <v>457680.77524363348</v>
          </cell>
          <cell r="L12">
            <v>468985.49039215181</v>
          </cell>
          <cell r="M12">
            <v>480944.62039714993</v>
          </cell>
          <cell r="N12">
            <v>492583.48021076334</v>
          </cell>
          <cell r="O12">
            <v>504996.58391207299</v>
          </cell>
          <cell r="P12">
            <v>517823.49714343855</v>
          </cell>
          <cell r="Q12">
            <v>530769.08457202429</v>
          </cell>
          <cell r="R12">
            <v>544091.38859478221</v>
          </cell>
          <cell r="S12">
            <v>557693.67330965272</v>
          </cell>
          <cell r="T12">
            <v>571524.47640773118</v>
          </cell>
          <cell r="U12">
            <v>585869.74076556636</v>
          </cell>
          <cell r="V12">
            <v>600575.07125878194</v>
          </cell>
          <cell r="W12" t="str">
            <v>Gallagher 4</v>
          </cell>
          <cell r="X12" t="str">
            <v>Fixed O&amp;M inc Env</v>
          </cell>
          <cell r="Y12">
            <v>2141287.189055589</v>
          </cell>
          <cell r="Z12">
            <v>2183456.6050401977</v>
          </cell>
          <cell r="AA12">
            <v>2281578.3874863717</v>
          </cell>
          <cell r="AB12">
            <v>2336346.5755428742</v>
          </cell>
          <cell r="AC12">
            <v>2389180.0259431978</v>
          </cell>
          <cell r="AD12">
            <v>2435264.7882975135</v>
          </cell>
          <cell r="AE12">
            <v>2552456.0570172551</v>
          </cell>
          <cell r="AF12">
            <v>2621051.1469542668</v>
          </cell>
          <cell r="AG12">
            <v>2687362.8635418741</v>
          </cell>
          <cell r="AH12">
            <v>2741848.5801997492</v>
          </cell>
          <cell r="AI12">
            <v>2810602.1696431767</v>
          </cell>
          <cell r="AJ12">
            <v>2878669.7692834656</v>
          </cell>
          <cell r="AK12">
            <v>2951222.7079450586</v>
          </cell>
          <cell r="AL12">
            <v>3026162.3118841271</v>
          </cell>
          <cell r="AM12">
            <v>3101821.8673694292</v>
          </cell>
          <cell r="AN12">
            <v>3179671.9607660719</v>
          </cell>
          <cell r="AO12">
            <v>3259152.2063216455</v>
          </cell>
          <cell r="AP12">
            <v>3339996.9409682001</v>
          </cell>
          <cell r="AQ12">
            <v>3423830.8642579722</v>
          </cell>
          <cell r="AR12">
            <v>3509769.0190635575</v>
          </cell>
          <cell r="AS12" t="str">
            <v>Gallagher 4</v>
          </cell>
          <cell r="AT12" t="str">
            <v>A&amp;G</v>
          </cell>
          <cell r="AU12">
            <v>349989.55297728541</v>
          </cell>
          <cell r="AV12">
            <v>356882.06843490404</v>
          </cell>
          <cell r="AW12">
            <v>364412.28007888247</v>
          </cell>
          <cell r="AX12">
            <v>372392.90901261038</v>
          </cell>
          <cell r="AY12">
            <v>380808.98875629267</v>
          </cell>
          <cell r="AZ12">
            <v>389872.24268869316</v>
          </cell>
          <cell r="BA12">
            <v>399642.48028502916</v>
          </cell>
          <cell r="BB12">
            <v>409554.72714875423</v>
          </cell>
          <cell r="BC12">
            <v>419921.403668124</v>
          </cell>
          <cell r="BD12">
            <v>430293.4623387272</v>
          </cell>
          <cell r="BE12">
            <v>441265.94562836312</v>
          </cell>
          <cell r="BF12">
            <v>451944.58151257172</v>
          </cell>
          <cell r="BG12">
            <v>463333.58496668702</v>
          </cell>
          <cell r="BH12">
            <v>475102.25802483986</v>
          </cell>
          <cell r="BI12">
            <v>486979.81447546068</v>
          </cell>
          <cell r="BJ12">
            <v>499203.00781879481</v>
          </cell>
          <cell r="BK12">
            <v>511683.08301426558</v>
          </cell>
          <cell r="BL12">
            <v>524372.82347301859</v>
          </cell>
          <cell r="BM12">
            <v>537534.58134219237</v>
          </cell>
          <cell r="BN12">
            <v>551026.69933388126</v>
          </cell>
          <cell r="BO12" t="str">
            <v>Gallagher 4</v>
          </cell>
          <cell r="BP12" t="str">
            <v>Depreciation</v>
          </cell>
          <cell r="BQ12">
            <v>1454750.0190690593</v>
          </cell>
          <cell r="BR12">
            <v>1440661.3929646332</v>
          </cell>
          <cell r="BS12">
            <v>1459556.2133893231</v>
          </cell>
          <cell r="BT12">
            <v>1494758.1503515434</v>
          </cell>
          <cell r="BU12">
            <v>1539593.5143123844</v>
          </cell>
          <cell r="BV12">
            <v>1592385.606479472</v>
          </cell>
          <cell r="BW12">
            <v>1654688.2114790319</v>
          </cell>
          <cell r="BX12">
            <v>1693642.4654115301</v>
          </cell>
          <cell r="BY12">
            <v>1646898.8563018397</v>
          </cell>
          <cell r="BZ12">
            <v>1966172.0248485273</v>
          </cell>
          <cell r="CA12">
            <v>2046312.6218322082</v>
          </cell>
          <cell r="CB12">
            <v>2129496.8365018722</v>
          </cell>
          <cell r="CC12">
            <v>2221758.2157363789</v>
          </cell>
          <cell r="CD12">
            <v>2324101.6694445107</v>
          </cell>
          <cell r="CE12">
            <v>1236282.4098969388</v>
          </cell>
          <cell r="CF12">
            <v>1361909.4046347013</v>
          </cell>
          <cell r="CG12">
            <v>1501095.170487365</v>
          </cell>
          <cell r="CH12">
            <v>1655263.3255692131</v>
          </cell>
          <cell r="CI12">
            <v>1737346.6578620123</v>
          </cell>
          <cell r="CJ12">
            <v>1737346.6578620123</v>
          </cell>
          <cell r="CK12" t="str">
            <v>Gallagher 4</v>
          </cell>
          <cell r="CL12" t="str">
            <v>Cap Ads exc Env Cap Adds</v>
          </cell>
          <cell r="CM12">
            <v>1425188.7424897016</v>
          </cell>
          <cell r="CN12">
            <v>1453255.6814999406</v>
          </cell>
          <cell r="CO12">
            <v>1483919.3763795975</v>
          </cell>
          <cell r="CP12">
            <v>1516417.2107223123</v>
          </cell>
          <cell r="CQ12">
            <v>1550688.2396846253</v>
          </cell>
          <cell r="CR12">
            <v>1587594.6197891226</v>
          </cell>
          <cell r="CS12">
            <v>1627379.9005647788</v>
          </cell>
          <cell r="CT12">
            <v>1667743.4557703156</v>
          </cell>
          <cell r="CU12">
            <v>1709957.489151469</v>
          </cell>
          <cell r="CV12">
            <v>1752193.4391335123</v>
          </cell>
          <cell r="CW12">
            <v>1795472.6170801125</v>
          </cell>
          <cell r="CX12">
            <v>1841257.1688156486</v>
          </cell>
          <cell r="CY12">
            <v>1888209.2266204408</v>
          </cell>
          <cell r="CZ12">
            <v>1936358.561899255</v>
          </cell>
          <cell r="DA12">
            <v>1985735.7052276789</v>
          </cell>
          <cell r="DB12">
            <v>2036371.9657109773</v>
          </cell>
          <cell r="DC12">
            <v>2088299.4508365996</v>
          </cell>
          <cell r="DD12">
            <v>2141551.0868329247</v>
          </cell>
          <cell r="DE12">
            <v>2196160.6395471562</v>
          </cell>
          <cell r="DF12">
            <v>2252162.7358556003</v>
          </cell>
          <cell r="DG12" t="str">
            <v>Gallagher 4</v>
          </cell>
          <cell r="DH12" t="str">
            <v>Env Cap Adds</v>
          </cell>
          <cell r="DI12">
            <v>0</v>
          </cell>
          <cell r="DJ12">
            <v>1584514.7494457946</v>
          </cell>
          <cell r="DK12">
            <v>0</v>
          </cell>
          <cell r="DL12">
            <v>0</v>
          </cell>
          <cell r="DM12">
            <v>69846.65722105153</v>
          </cell>
          <cell r="DN12">
            <v>1735904.2776614144</v>
          </cell>
          <cell r="DO12">
            <v>0</v>
          </cell>
          <cell r="DP12">
            <v>0</v>
          </cell>
          <cell r="DQ12">
            <v>66819.317479823294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</row>
        <row r="13">
          <cell r="A13" t="str">
            <v>Gibson 1</v>
          </cell>
          <cell r="B13" t="str">
            <v>Property Taxes</v>
          </cell>
          <cell r="C13">
            <v>869328.99536424538</v>
          </cell>
          <cell r="D13">
            <v>886449.11648595496</v>
          </cell>
          <cell r="E13">
            <v>905153.19284381357</v>
          </cell>
          <cell r="F13">
            <v>924976.0477670941</v>
          </cell>
          <cell r="G13">
            <v>945880.50644662359</v>
          </cell>
          <cell r="H13">
            <v>968392.46250005509</v>
          </cell>
          <cell r="I13">
            <v>992660.47496454138</v>
          </cell>
          <cell r="J13">
            <v>1017281.2201683382</v>
          </cell>
          <cell r="K13">
            <v>1043030.7101379279</v>
          </cell>
          <cell r="L13">
            <v>1068793.5686783362</v>
          </cell>
          <cell r="M13">
            <v>1096047.8046796296</v>
          </cell>
          <cell r="N13">
            <v>1122572.1615528823</v>
          </cell>
          <cell r="O13">
            <v>1150860.9800240111</v>
          </cell>
          <cell r="P13">
            <v>1180092.8489166186</v>
          </cell>
          <cell r="Q13">
            <v>1209595.1701395335</v>
          </cell>
          <cell r="R13">
            <v>1239956.0089100359</v>
          </cell>
          <cell r="S13">
            <v>1270954.9091327891</v>
          </cell>
          <cell r="T13">
            <v>1302474.5908792804</v>
          </cell>
          <cell r="U13">
            <v>1335166.7031103526</v>
          </cell>
          <cell r="V13">
            <v>1368679.3873584224</v>
          </cell>
          <cell r="W13" t="str">
            <v>Gibson 1</v>
          </cell>
          <cell r="X13" t="str">
            <v>Fixed O&amp;M inc Env</v>
          </cell>
          <cell r="Y13">
            <v>3003765.543518398</v>
          </cell>
          <cell r="Z13">
            <v>3062920.1676025814</v>
          </cell>
          <cell r="AA13">
            <v>3127547.7831390128</v>
          </cell>
          <cell r="AB13">
            <v>3196041.0795897604</v>
          </cell>
          <cell r="AC13">
            <v>6956816.7516258918</v>
          </cell>
          <cell r="AD13">
            <v>7713145.3300380306</v>
          </cell>
          <cell r="AE13">
            <v>7964098.8268310213</v>
          </cell>
          <cell r="AF13">
            <v>8071195.739668115</v>
          </cell>
          <cell r="AG13">
            <v>8265491.6181033459</v>
          </cell>
          <cell r="AH13">
            <v>8471365.7859249804</v>
          </cell>
          <cell r="AI13">
            <v>8684524.8915540986</v>
          </cell>
          <cell r="AJ13">
            <v>8896944.3262123223</v>
          </cell>
          <cell r="AK13">
            <v>9121609.3755079545</v>
          </cell>
          <cell r="AL13">
            <v>9352350.6547876187</v>
          </cell>
          <cell r="AM13">
            <v>9586402.2609117664</v>
          </cell>
          <cell r="AN13">
            <v>9826772.031720724</v>
          </cell>
          <cell r="AO13">
            <v>10071931.001596808</v>
          </cell>
          <cell r="AP13">
            <v>10322499.36871729</v>
          </cell>
          <cell r="AQ13">
            <v>10581594.106028769</v>
          </cell>
          <cell r="AR13">
            <v>10847192.123068674</v>
          </cell>
          <cell r="AS13" t="str">
            <v>Gibson 1</v>
          </cell>
          <cell r="AT13" t="str">
            <v>A&amp;G</v>
          </cell>
          <cell r="AU13">
            <v>953026.63452259323</v>
          </cell>
          <cell r="AV13">
            <v>971795.05419138132</v>
          </cell>
          <cell r="AW13">
            <v>992299.92983482487</v>
          </cell>
          <cell r="AX13">
            <v>1014031.2982982085</v>
          </cell>
          <cell r="AY13">
            <v>1036948.4056397406</v>
          </cell>
          <cell r="AZ13">
            <v>1061627.7776939685</v>
          </cell>
          <cell r="BA13">
            <v>1088232.2765303282</v>
          </cell>
          <cell r="BB13">
            <v>1115223.468663729</v>
          </cell>
          <cell r="BC13">
            <v>1143452.0793476615</v>
          </cell>
          <cell r="BD13">
            <v>1171695.3457075502</v>
          </cell>
          <cell r="BE13">
            <v>1201573.5770230882</v>
          </cell>
          <cell r="BF13">
            <v>1230651.657587053</v>
          </cell>
          <cell r="BG13">
            <v>1261664.0793582427</v>
          </cell>
          <cell r="BH13">
            <v>1293710.3469739393</v>
          </cell>
          <cell r="BI13">
            <v>1326053.1056482873</v>
          </cell>
          <cell r="BJ13">
            <v>1359337.0386000595</v>
          </cell>
          <cell r="BK13">
            <v>1393320.4645650636</v>
          </cell>
          <cell r="BL13">
            <v>1427874.8120862748</v>
          </cell>
          <cell r="BM13">
            <v>1463714.469869643</v>
          </cell>
          <cell r="BN13">
            <v>1500453.7030633709</v>
          </cell>
          <cell r="BO13" t="str">
            <v>Gibson 1</v>
          </cell>
          <cell r="BP13" t="str">
            <v>Depreciation</v>
          </cell>
          <cell r="BQ13">
            <v>6383777.5337634282</v>
          </cell>
          <cell r="BR13">
            <v>5306023.387300224</v>
          </cell>
          <cell r="BS13">
            <v>4576137.6731578019</v>
          </cell>
          <cell r="BT13">
            <v>4616820.1591254482</v>
          </cell>
          <cell r="BU13">
            <v>4698167.7524387361</v>
          </cell>
          <cell r="BV13">
            <v>4797520.9113209629</v>
          </cell>
          <cell r="BW13">
            <v>4904963.0116818417</v>
          </cell>
          <cell r="BX13">
            <v>4998731.2252715062</v>
          </cell>
          <cell r="BY13">
            <v>5077244.4951153314</v>
          </cell>
          <cell r="BZ13">
            <v>6827321.0817615222</v>
          </cell>
          <cell r="CA13">
            <v>6980608.6514740381</v>
          </cell>
          <cell r="CB13">
            <v>7139717.8493722463</v>
          </cell>
          <cell r="CC13">
            <v>7316189.2400715463</v>
          </cell>
          <cell r="CD13">
            <v>7511944.9479819667</v>
          </cell>
          <cell r="CE13">
            <v>2364678.2432881519</v>
          </cell>
          <cell r="CF13">
            <v>2604969.1500000148</v>
          </cell>
          <cell r="CG13">
            <v>2871194.3665463137</v>
          </cell>
          <cell r="CH13">
            <v>3166076.8943664022</v>
          </cell>
          <cell r="CI13">
            <v>3323080.3981415266</v>
          </cell>
          <cell r="CJ13">
            <v>3323080.3981415266</v>
          </cell>
          <cell r="CK13" t="str">
            <v>Gibson 1</v>
          </cell>
          <cell r="CL13" t="str">
            <v>Cap Ads exc Env Cap Adds</v>
          </cell>
          <cell r="CM13">
            <v>2726005.6318568364</v>
          </cell>
          <cell r="CN13">
            <v>2779690.1941396086</v>
          </cell>
          <cell r="CO13">
            <v>2838341.6572359698</v>
          </cell>
          <cell r="CP13">
            <v>2900501.3395294403</v>
          </cell>
          <cell r="CQ13">
            <v>2966052.6698027845</v>
          </cell>
          <cell r="CR13">
            <v>3036644.7233440969</v>
          </cell>
          <cell r="CS13">
            <v>3112743.3453904521</v>
          </cell>
          <cell r="CT13">
            <v>3189948.0520595778</v>
          </cell>
          <cell r="CU13">
            <v>3270692.2295215661</v>
          </cell>
          <cell r="CV13">
            <v>3351478.3275907533</v>
          </cell>
          <cell r="CW13">
            <v>3434259.8422822491</v>
          </cell>
          <cell r="CX13">
            <v>3521833.468260434</v>
          </cell>
          <cell r="CY13">
            <v>3611640.2217010618</v>
          </cell>
          <cell r="CZ13">
            <v>3703737.0473544258</v>
          </cell>
          <cell r="DA13">
            <v>3798182.3420619494</v>
          </cell>
          <cell r="DB13">
            <v>3895035.9917845144</v>
          </cell>
          <cell r="DC13">
            <v>3994359.4095750046</v>
          </cell>
          <cell r="DD13">
            <v>4096215.5745191518</v>
          </cell>
          <cell r="DE13">
            <v>4200669.0716693746</v>
          </cell>
          <cell r="DF13">
            <v>4307786.1329969279</v>
          </cell>
          <cell r="DG13" t="str">
            <v>Gibson 1</v>
          </cell>
          <cell r="DH13" t="str">
            <v>Env Cap Adds</v>
          </cell>
          <cell r="DI13">
            <v>0</v>
          </cell>
          <cell r="DJ13">
            <v>0</v>
          </cell>
          <cell r="DK13">
            <v>0</v>
          </cell>
          <cell r="DL13">
            <v>76908717.205412194</v>
          </cell>
          <cell r="DM13">
            <v>5010173.111466432</v>
          </cell>
          <cell r="DN13">
            <v>1831332.5301420211</v>
          </cell>
          <cell r="DO13">
            <v>179907.80631778634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</row>
        <row r="14">
          <cell r="A14" t="str">
            <v>Gibson 2</v>
          </cell>
          <cell r="B14" t="str">
            <v>Property Taxes</v>
          </cell>
          <cell r="C14">
            <v>869328.99536424538</v>
          </cell>
          <cell r="D14">
            <v>886449.11648595496</v>
          </cell>
          <cell r="E14">
            <v>905153.19284381357</v>
          </cell>
          <cell r="F14">
            <v>924976.0477670941</v>
          </cell>
          <cell r="G14">
            <v>945880.50644662359</v>
          </cell>
          <cell r="H14">
            <v>968392.46250005509</v>
          </cell>
          <cell r="I14">
            <v>992660.47496454138</v>
          </cell>
          <cell r="J14">
            <v>1017281.2201683382</v>
          </cell>
          <cell r="K14">
            <v>1043030.7101379279</v>
          </cell>
          <cell r="L14">
            <v>1068793.5686783362</v>
          </cell>
          <cell r="M14">
            <v>1096047.8046796296</v>
          </cell>
          <cell r="N14">
            <v>1122572.1615528823</v>
          </cell>
          <cell r="O14">
            <v>1150860.9800240111</v>
          </cell>
          <cell r="P14">
            <v>1180092.8489166186</v>
          </cell>
          <cell r="Q14">
            <v>1209595.1701395335</v>
          </cell>
          <cell r="R14">
            <v>1239956.0089100359</v>
          </cell>
          <cell r="S14">
            <v>1270954.9091327891</v>
          </cell>
          <cell r="T14">
            <v>1302474.5908792804</v>
          </cell>
          <cell r="U14">
            <v>1335166.7031103526</v>
          </cell>
          <cell r="V14">
            <v>1368679.3873584224</v>
          </cell>
          <cell r="W14" t="str">
            <v>Gibson 2</v>
          </cell>
          <cell r="X14" t="str">
            <v>Fixed O&amp;M inc Env</v>
          </cell>
          <cell r="Y14">
            <v>3003765.543518398</v>
          </cell>
          <cell r="Z14">
            <v>3062920.1676025814</v>
          </cell>
          <cell r="AA14">
            <v>3127547.7831390128</v>
          </cell>
          <cell r="AB14">
            <v>3196041.0795897604</v>
          </cell>
          <cell r="AC14">
            <v>6916283.2885089973</v>
          </cell>
          <cell r="AD14">
            <v>7709416.9493865445</v>
          </cell>
          <cell r="AE14">
            <v>7964098.8268310213</v>
          </cell>
          <cell r="AF14">
            <v>8071195.739668115</v>
          </cell>
          <cell r="AG14">
            <v>8265491.6181033459</v>
          </cell>
          <cell r="AH14">
            <v>8471365.7859249804</v>
          </cell>
          <cell r="AI14">
            <v>8684524.8915540986</v>
          </cell>
          <cell r="AJ14">
            <v>8896944.3262123223</v>
          </cell>
          <cell r="AK14">
            <v>9121609.3755079545</v>
          </cell>
          <cell r="AL14">
            <v>9352350.6547876187</v>
          </cell>
          <cell r="AM14">
            <v>9586402.2609117664</v>
          </cell>
          <cell r="AN14">
            <v>9826772.031720724</v>
          </cell>
          <cell r="AO14">
            <v>10071931.001596808</v>
          </cell>
          <cell r="AP14">
            <v>10322499.36871729</v>
          </cell>
          <cell r="AQ14">
            <v>10581594.106028769</v>
          </cell>
          <cell r="AR14">
            <v>10847192.123068674</v>
          </cell>
          <cell r="AS14" t="str">
            <v>Gibson 2</v>
          </cell>
          <cell r="AT14" t="str">
            <v>A&amp;G</v>
          </cell>
          <cell r="AU14">
            <v>953026.63452259323</v>
          </cell>
          <cell r="AV14">
            <v>971795.05419138132</v>
          </cell>
          <cell r="AW14">
            <v>992299.92983482487</v>
          </cell>
          <cell r="AX14">
            <v>1014031.2982982085</v>
          </cell>
          <cell r="AY14">
            <v>1036948.4056397406</v>
          </cell>
          <cell r="AZ14">
            <v>1061627.7776939685</v>
          </cell>
          <cell r="BA14">
            <v>1088232.2765303282</v>
          </cell>
          <cell r="BB14">
            <v>1115223.468663729</v>
          </cell>
          <cell r="BC14">
            <v>1143452.0793476615</v>
          </cell>
          <cell r="BD14">
            <v>1171695.3457075502</v>
          </cell>
          <cell r="BE14">
            <v>1201573.5770230882</v>
          </cell>
          <cell r="BF14">
            <v>1230651.657587053</v>
          </cell>
          <cell r="BG14">
            <v>1261664.0793582427</v>
          </cell>
          <cell r="BH14">
            <v>1293710.3469739393</v>
          </cell>
          <cell r="BI14">
            <v>1326053.1056482873</v>
          </cell>
          <cell r="BJ14">
            <v>1359337.0386000595</v>
          </cell>
          <cell r="BK14">
            <v>1393320.4645650636</v>
          </cell>
          <cell r="BL14">
            <v>1427874.8120862748</v>
          </cell>
          <cell r="BM14">
            <v>1463714.469869643</v>
          </cell>
          <cell r="BN14">
            <v>1500453.7030633709</v>
          </cell>
          <cell r="BO14" t="str">
            <v>Gibson 2</v>
          </cell>
          <cell r="BP14" t="str">
            <v>Depreciation</v>
          </cell>
          <cell r="BQ14">
            <v>6383777.5337634282</v>
          </cell>
          <cell r="BR14">
            <v>5306023.387300224</v>
          </cell>
          <cell r="BS14">
            <v>4576137.6731578019</v>
          </cell>
          <cell r="BT14">
            <v>4616820.1591254482</v>
          </cell>
          <cell r="BU14">
            <v>4698167.7524387361</v>
          </cell>
          <cell r="BV14">
            <v>4797520.9113209629</v>
          </cell>
          <cell r="BW14">
            <v>4904963.0116818417</v>
          </cell>
          <cell r="BX14">
            <v>4998731.2252715062</v>
          </cell>
          <cell r="BY14">
            <v>5077244.4951153314</v>
          </cell>
          <cell r="BZ14">
            <v>6827321.0817615222</v>
          </cell>
          <cell r="CA14">
            <v>6980608.6514740381</v>
          </cell>
          <cell r="CB14">
            <v>7139717.8493722463</v>
          </cell>
          <cell r="CC14">
            <v>7316189.2400715463</v>
          </cell>
          <cell r="CD14">
            <v>7511944.9479819667</v>
          </cell>
          <cell r="CE14">
            <v>2364678.2432881519</v>
          </cell>
          <cell r="CF14">
            <v>2604969.1500000148</v>
          </cell>
          <cell r="CG14">
            <v>2871194.3665463137</v>
          </cell>
          <cell r="CH14">
            <v>3166076.8943664022</v>
          </cell>
          <cell r="CI14">
            <v>3323080.3981415266</v>
          </cell>
          <cell r="CJ14">
            <v>3323080.3981415266</v>
          </cell>
          <cell r="CK14" t="str">
            <v>Gibson 2</v>
          </cell>
          <cell r="CL14" t="str">
            <v>Cap Ads exc Env Cap Adds</v>
          </cell>
          <cell r="CM14">
            <v>2726005.6318568364</v>
          </cell>
          <cell r="CN14">
            <v>2779690.1941396086</v>
          </cell>
          <cell r="CO14">
            <v>2838341.6572359698</v>
          </cell>
          <cell r="CP14">
            <v>2900501.3395294403</v>
          </cell>
          <cell r="CQ14">
            <v>2966052.6698027845</v>
          </cell>
          <cell r="CR14">
            <v>3036644.7233440969</v>
          </cell>
          <cell r="CS14">
            <v>3112743.3453904521</v>
          </cell>
          <cell r="CT14">
            <v>3189948.0520595778</v>
          </cell>
          <cell r="CU14">
            <v>3270692.2295215661</v>
          </cell>
          <cell r="CV14">
            <v>3351478.3275907533</v>
          </cell>
          <cell r="CW14">
            <v>3434259.8422822491</v>
          </cell>
          <cell r="CX14">
            <v>3521833.468260434</v>
          </cell>
          <cell r="CY14">
            <v>3611640.2217010618</v>
          </cell>
          <cell r="CZ14">
            <v>3703737.0473544258</v>
          </cell>
          <cell r="DA14">
            <v>3798182.3420619494</v>
          </cell>
          <cell r="DB14">
            <v>3895035.9917845144</v>
          </cell>
          <cell r="DC14">
            <v>3994359.4095750046</v>
          </cell>
          <cell r="DD14">
            <v>4096215.5745191518</v>
          </cell>
          <cell r="DE14">
            <v>4200669.0716693746</v>
          </cell>
          <cell r="DF14">
            <v>4307786.1329969279</v>
          </cell>
          <cell r="DG14" t="str">
            <v>Gibson 2</v>
          </cell>
          <cell r="DH14" t="str">
            <v>Env Cap Adds</v>
          </cell>
          <cell r="DI14">
            <v>0</v>
          </cell>
          <cell r="DJ14">
            <v>0</v>
          </cell>
          <cell r="DK14">
            <v>0</v>
          </cell>
          <cell r="DL14">
            <v>76063566.466891184</v>
          </cell>
          <cell r="DM14">
            <v>5845201.9633775046</v>
          </cell>
          <cell r="DN14">
            <v>1831332.5301420211</v>
          </cell>
          <cell r="DO14">
            <v>179907.80631778634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</row>
        <row r="15">
          <cell r="A15" t="str">
            <v>Gibson 3</v>
          </cell>
          <cell r="B15" t="str">
            <v>Property Taxes</v>
          </cell>
          <cell r="C15">
            <v>869328.99536424538</v>
          </cell>
          <cell r="D15">
            <v>886449.11648595496</v>
          </cell>
          <cell r="E15">
            <v>905153.19284381357</v>
          </cell>
          <cell r="F15">
            <v>924976.0477670941</v>
          </cell>
          <cell r="G15">
            <v>945880.50644662359</v>
          </cell>
          <cell r="H15">
            <v>968392.46250005509</v>
          </cell>
          <cell r="I15">
            <v>992660.47496454138</v>
          </cell>
          <cell r="J15">
            <v>1017281.2201683382</v>
          </cell>
          <cell r="K15">
            <v>1043030.7101379279</v>
          </cell>
          <cell r="L15">
            <v>1068793.5686783362</v>
          </cell>
          <cell r="M15">
            <v>1096047.8046796296</v>
          </cell>
          <cell r="N15">
            <v>1122572.1615528823</v>
          </cell>
          <cell r="O15">
            <v>1150860.9800240111</v>
          </cell>
          <cell r="P15">
            <v>1180092.8489166186</v>
          </cell>
          <cell r="Q15">
            <v>1209595.1701395335</v>
          </cell>
          <cell r="R15">
            <v>1239956.0089100359</v>
          </cell>
          <cell r="S15">
            <v>1270954.9091327891</v>
          </cell>
          <cell r="T15">
            <v>1302474.5908792804</v>
          </cell>
          <cell r="U15">
            <v>1335166.7031103526</v>
          </cell>
          <cell r="V15">
            <v>1368679.3873584224</v>
          </cell>
          <cell r="W15" t="str">
            <v>Gibson 3</v>
          </cell>
          <cell r="X15" t="str">
            <v>Fixed O&amp;M inc Env</v>
          </cell>
          <cell r="Y15">
            <v>3003765.543518398</v>
          </cell>
          <cell r="Z15">
            <v>3062920.1676025814</v>
          </cell>
          <cell r="AA15">
            <v>3127547.7831390128</v>
          </cell>
          <cell r="AB15">
            <v>3196041.0795897604</v>
          </cell>
          <cell r="AC15">
            <v>7037883.6778596826</v>
          </cell>
          <cell r="AD15">
            <v>7762125.8667893969</v>
          </cell>
          <cell r="AE15">
            <v>7967920.6410819301</v>
          </cell>
          <cell r="AF15">
            <v>8071195.739668115</v>
          </cell>
          <cell r="AG15">
            <v>8265491.6181033459</v>
          </cell>
          <cell r="AH15">
            <v>8471365.7859249804</v>
          </cell>
          <cell r="AI15">
            <v>8684524.8915540986</v>
          </cell>
          <cell r="AJ15">
            <v>8896944.3262123223</v>
          </cell>
          <cell r="AK15">
            <v>9121609.3755079545</v>
          </cell>
          <cell r="AL15">
            <v>9352350.6547876187</v>
          </cell>
          <cell r="AM15">
            <v>9586402.2609117664</v>
          </cell>
          <cell r="AN15">
            <v>9826772.031720724</v>
          </cell>
          <cell r="AO15">
            <v>10071931.001596808</v>
          </cell>
          <cell r="AP15">
            <v>10322499.36871729</v>
          </cell>
          <cell r="AQ15">
            <v>10581594.106028769</v>
          </cell>
          <cell r="AR15">
            <v>10847192.123068674</v>
          </cell>
          <cell r="AS15" t="str">
            <v>Gibson 3</v>
          </cell>
          <cell r="AT15" t="str">
            <v>A&amp;G</v>
          </cell>
          <cell r="AU15">
            <v>953026.63452259323</v>
          </cell>
          <cell r="AV15">
            <v>971795.05419138132</v>
          </cell>
          <cell r="AW15">
            <v>992299.92983482487</v>
          </cell>
          <cell r="AX15">
            <v>1014031.2982982085</v>
          </cell>
          <cell r="AY15">
            <v>1036948.4056397406</v>
          </cell>
          <cell r="AZ15">
            <v>1061627.7776939685</v>
          </cell>
          <cell r="BA15">
            <v>1088232.2765303282</v>
          </cell>
          <cell r="BB15">
            <v>1115223.468663729</v>
          </cell>
          <cell r="BC15">
            <v>1143452.0793476615</v>
          </cell>
          <cell r="BD15">
            <v>1171695.3457075502</v>
          </cell>
          <cell r="BE15">
            <v>1201573.5770230882</v>
          </cell>
          <cell r="BF15">
            <v>1230651.657587053</v>
          </cell>
          <cell r="BG15">
            <v>1261664.0793582427</v>
          </cell>
          <cell r="BH15">
            <v>1293710.3469739393</v>
          </cell>
          <cell r="BI15">
            <v>1326053.1056482873</v>
          </cell>
          <cell r="BJ15">
            <v>1359337.0386000595</v>
          </cell>
          <cell r="BK15">
            <v>1393320.4645650636</v>
          </cell>
          <cell r="BL15">
            <v>1427874.8120862748</v>
          </cell>
          <cell r="BM15">
            <v>1463714.469869643</v>
          </cell>
          <cell r="BN15">
            <v>1500453.7030633709</v>
          </cell>
          <cell r="BO15" t="str">
            <v>Gibson 3</v>
          </cell>
          <cell r="BP15" t="str">
            <v>Depreciation</v>
          </cell>
          <cell r="BQ15">
            <v>6383777.5337634282</v>
          </cell>
          <cell r="BR15">
            <v>5306023.387300224</v>
          </cell>
          <cell r="BS15">
            <v>4576137.6731578019</v>
          </cell>
          <cell r="BT15">
            <v>4616820.1591254482</v>
          </cell>
          <cell r="BU15">
            <v>4698167.7524387361</v>
          </cell>
          <cell r="BV15">
            <v>4797520.9113209629</v>
          </cell>
          <cell r="BW15">
            <v>4904963.0116818417</v>
          </cell>
          <cell r="BX15">
            <v>4998731.2252715062</v>
          </cell>
          <cell r="BY15">
            <v>5077244.4951153314</v>
          </cell>
          <cell r="BZ15">
            <v>6827321.0817615222</v>
          </cell>
          <cell r="CA15">
            <v>6980608.6514740381</v>
          </cell>
          <cell r="CB15">
            <v>7139717.8493722463</v>
          </cell>
          <cell r="CC15">
            <v>7316189.2400715463</v>
          </cell>
          <cell r="CD15">
            <v>7511944.9479819667</v>
          </cell>
          <cell r="CE15">
            <v>2364678.2432881519</v>
          </cell>
          <cell r="CF15">
            <v>2604969.1500000148</v>
          </cell>
          <cell r="CG15">
            <v>2871194.3665463137</v>
          </cell>
          <cell r="CH15">
            <v>3166076.8943664022</v>
          </cell>
          <cell r="CI15">
            <v>3323080.3981415266</v>
          </cell>
          <cell r="CJ15">
            <v>3323080.3981415266</v>
          </cell>
          <cell r="CK15" t="str">
            <v>Gibson 3</v>
          </cell>
          <cell r="CL15" t="str">
            <v>Cap Ads exc Env Cap Adds</v>
          </cell>
          <cell r="CM15">
            <v>2726005.6318568364</v>
          </cell>
          <cell r="CN15">
            <v>2779690.1941396086</v>
          </cell>
          <cell r="CO15">
            <v>2838341.6572359698</v>
          </cell>
          <cell r="CP15">
            <v>2900501.3395294403</v>
          </cell>
          <cell r="CQ15">
            <v>2966052.6698027845</v>
          </cell>
          <cell r="CR15">
            <v>3036644.7233440969</v>
          </cell>
          <cell r="CS15">
            <v>3112743.3453904521</v>
          </cell>
          <cell r="CT15">
            <v>3189948.0520595778</v>
          </cell>
          <cell r="CU15">
            <v>3270692.2295215661</v>
          </cell>
          <cell r="CV15">
            <v>3351478.3275907533</v>
          </cell>
          <cell r="CW15">
            <v>3434259.8422822491</v>
          </cell>
          <cell r="CX15">
            <v>3521833.468260434</v>
          </cell>
          <cell r="CY15">
            <v>3611640.2217010618</v>
          </cell>
          <cell r="CZ15">
            <v>3703737.0473544258</v>
          </cell>
          <cell r="DA15">
            <v>3798182.3420619494</v>
          </cell>
          <cell r="DB15">
            <v>3895035.9917845144</v>
          </cell>
          <cell r="DC15">
            <v>3994359.4095750046</v>
          </cell>
          <cell r="DD15">
            <v>4096215.5745191518</v>
          </cell>
          <cell r="DE15">
            <v>4200669.0716693746</v>
          </cell>
          <cell r="DF15">
            <v>4307786.1329969279</v>
          </cell>
          <cell r="DG15" t="str">
            <v>Gibson 3</v>
          </cell>
          <cell r="DH15" t="str">
            <v>Env Cap Adds</v>
          </cell>
          <cell r="DI15">
            <v>0</v>
          </cell>
          <cell r="DJ15">
            <v>0</v>
          </cell>
          <cell r="DK15">
            <v>0</v>
          </cell>
          <cell r="DL15">
            <v>78599018.682454228</v>
          </cell>
          <cell r="DM15">
            <v>4175144.2595553603</v>
          </cell>
          <cell r="DN15">
            <v>1006558.670820755</v>
          </cell>
          <cell r="DO15">
            <v>179907.80631778634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</row>
        <row r="16">
          <cell r="A16" t="str">
            <v>Gibson 4</v>
          </cell>
          <cell r="B16" t="str">
            <v>Property Taxes</v>
          </cell>
          <cell r="C16">
            <v>858376.81904469582</v>
          </cell>
          <cell r="D16">
            <v>875281.2536010925</v>
          </cell>
          <cell r="E16">
            <v>893749.68805208046</v>
          </cell>
          <cell r="F16">
            <v>913322.80622042203</v>
          </cell>
          <cell r="G16">
            <v>933963.9016409968</v>
          </cell>
          <cell r="H16">
            <v>956192.24250005442</v>
          </cell>
          <cell r="I16">
            <v>980154.51622483064</v>
          </cell>
          <cell r="J16">
            <v>1004465.0788118867</v>
          </cell>
          <cell r="K16">
            <v>1029890.1657582375</v>
          </cell>
          <cell r="L16">
            <v>1055328.4528524673</v>
          </cell>
          <cell r="M16">
            <v>1082239.3284002012</v>
          </cell>
          <cell r="N16">
            <v>1108429.5201474915</v>
          </cell>
          <cell r="O16">
            <v>1136361.9440552047</v>
          </cell>
          <cell r="P16">
            <v>1165225.5374342045</v>
          </cell>
          <cell r="Q16">
            <v>1194356.1758700591</v>
          </cell>
          <cell r="R16">
            <v>1224334.5158843978</v>
          </cell>
          <cell r="S16">
            <v>1254942.8787815098</v>
          </cell>
          <cell r="T16">
            <v>1286065.4621752894</v>
          </cell>
          <cell r="U16">
            <v>1318345.7052758916</v>
          </cell>
          <cell r="V16">
            <v>1351436.1824783161</v>
          </cell>
          <cell r="W16" t="str">
            <v>Gibson 4</v>
          </cell>
          <cell r="X16" t="str">
            <v>Fixed O&amp;M inc Env</v>
          </cell>
          <cell r="Y16">
            <v>6992673.1739942217</v>
          </cell>
          <cell r="Z16">
            <v>7132987.6508813286</v>
          </cell>
          <cell r="AA16">
            <v>7285005.6654363796</v>
          </cell>
          <cell r="AB16">
            <v>7445898.8856879417</v>
          </cell>
          <cell r="AC16">
            <v>7616544.7920297682</v>
          </cell>
          <cell r="AD16">
            <v>7800363.8727633618</v>
          </cell>
          <cell r="AE16">
            <v>7995309.0914438982</v>
          </cell>
          <cell r="AF16">
            <v>8194695.4389185105</v>
          </cell>
          <cell r="AG16">
            <v>8304626.5588030443</v>
          </cell>
          <cell r="AH16">
            <v>8502646.1679393891</v>
          </cell>
          <cell r="AI16">
            <v>8716556.342564363</v>
          </cell>
          <cell r="AJ16">
            <v>8929787.6388096046</v>
          </cell>
          <cell r="AK16">
            <v>9155287.8631169852</v>
          </cell>
          <cell r="AL16">
            <v>9386869.1463586744</v>
          </cell>
          <cell r="AM16">
            <v>9621787.6688987967</v>
          </cell>
          <cell r="AN16">
            <v>9863041.5602209978</v>
          </cell>
          <cell r="AO16">
            <v>10109098.958660718</v>
          </cell>
          <cell r="AP16">
            <v>10360601.864669483</v>
          </cell>
          <cell r="AQ16">
            <v>10620652.974680763</v>
          </cell>
          <cell r="AR16">
            <v>10887231.36940489</v>
          </cell>
          <cell r="AS16" t="str">
            <v>Gibson 4</v>
          </cell>
          <cell r="AT16" t="str">
            <v>A&amp;G</v>
          </cell>
          <cell r="AU16">
            <v>941019.99975695426</v>
          </cell>
          <cell r="AV16">
            <v>959551.96689448203</v>
          </cell>
          <cell r="AW16">
            <v>979798.51339596091</v>
          </cell>
          <cell r="AX16">
            <v>1001256.1008393335</v>
          </cell>
          <cell r="AY16">
            <v>1023884.488718295</v>
          </cell>
          <cell r="AZ16">
            <v>1048252.9395497926</v>
          </cell>
          <cell r="BA16">
            <v>1074522.2635976626</v>
          </cell>
          <cell r="BB16">
            <v>1101173.409215997</v>
          </cell>
          <cell r="BC16">
            <v>1129046.3838598169</v>
          </cell>
          <cell r="BD16">
            <v>1156933.8295411558</v>
          </cell>
          <cell r="BE16">
            <v>1186435.6421944508</v>
          </cell>
          <cell r="BF16">
            <v>1215147.3847355626</v>
          </cell>
          <cell r="BG16">
            <v>1245769.0988308948</v>
          </cell>
          <cell r="BH16">
            <v>1277411.6339411968</v>
          </cell>
          <cell r="BI16">
            <v>1309346.9247897263</v>
          </cell>
          <cell r="BJ16">
            <v>1342211.5326019486</v>
          </cell>
          <cell r="BK16">
            <v>1375766.8209169998</v>
          </cell>
          <cell r="BL16">
            <v>1409885.8380757391</v>
          </cell>
          <cell r="BM16">
            <v>1445273.9726114429</v>
          </cell>
          <cell r="BN16">
            <v>1481550.3493239898</v>
          </cell>
          <cell r="BO16" t="str">
            <v>Gibson 4</v>
          </cell>
          <cell r="BP16" t="str">
            <v>Depreciation</v>
          </cell>
          <cell r="BQ16">
            <v>6303148.2675816938</v>
          </cell>
          <cell r="BR16">
            <v>5239011.9679145161</v>
          </cell>
          <cell r="BS16">
            <v>4518350.0597273763</v>
          </cell>
          <cell r="BT16">
            <v>4558522.9505091477</v>
          </cell>
          <cell r="BU16">
            <v>4638847.3810506724</v>
          </cell>
          <cell r="BV16">
            <v>4736950.0428196145</v>
          </cell>
          <cell r="BW16">
            <v>4843039.582488101</v>
          </cell>
          <cell r="BX16">
            <v>4935628.0723249419</v>
          </cell>
          <cell r="BY16">
            <v>5013154.4318351718</v>
          </cell>
          <cell r="BZ16">
            <v>6741129.7436010046</v>
          </cell>
          <cell r="CA16">
            <v>6892486.1313328901</v>
          </cell>
          <cell r="CB16">
            <v>7049590.8039032472</v>
          </cell>
          <cell r="CC16">
            <v>7223838.9329874385</v>
          </cell>
          <cell r="CD16">
            <v>7417128.4272548929</v>
          </cell>
          <cell r="CE16">
            <v>2334887.0213254667</v>
          </cell>
          <cell r="CF16">
            <v>2572150.6410236368</v>
          </cell>
          <cell r="CG16">
            <v>2835021.839093762</v>
          </cell>
          <cell r="CH16">
            <v>3126189.3114452506</v>
          </cell>
          <cell r="CI16">
            <v>3281214.8183224211</v>
          </cell>
          <cell r="CJ16">
            <v>3281214.8183224211</v>
          </cell>
          <cell r="CK16" t="str">
            <v>Gibson 4</v>
          </cell>
          <cell r="CL16" t="str">
            <v>Cap Ads exc Env Cap Adds</v>
          </cell>
          <cell r="CM16">
            <v>2691662.2538176957</v>
          </cell>
          <cell r="CN16">
            <v>2744670.4751583221</v>
          </cell>
          <cell r="CO16">
            <v>2802583.0221841782</v>
          </cell>
          <cell r="CP16">
            <v>2863959.5903700148</v>
          </cell>
          <cell r="CQ16">
            <v>2928685.0771123557</v>
          </cell>
          <cell r="CR16">
            <v>2998387.781947636</v>
          </cell>
          <cell r="CS16">
            <v>3073527.6811965569</v>
          </cell>
          <cell r="CT16">
            <v>3149759.730143867</v>
          </cell>
          <cell r="CU16">
            <v>3229486.6581260194</v>
          </cell>
          <cell r="CV16">
            <v>3309254.9785817363</v>
          </cell>
          <cell r="CW16">
            <v>3390993.57655271</v>
          </cell>
          <cell r="CX16">
            <v>3477463.9127547909</v>
          </cell>
          <cell r="CY16">
            <v>3566139.2425300246</v>
          </cell>
          <cell r="CZ16">
            <v>3657075.7932145265</v>
          </cell>
          <cell r="DA16">
            <v>3750331.2259414829</v>
          </cell>
          <cell r="DB16">
            <v>3845964.6722029764</v>
          </cell>
          <cell r="DC16">
            <v>3944036.7713441378</v>
          </cell>
          <cell r="DD16">
            <v>4044609.7090133987</v>
          </cell>
          <cell r="DE16">
            <v>4147747.2565932251</v>
          </cell>
          <cell r="DF16">
            <v>4253514.8116363371</v>
          </cell>
          <cell r="DG16" t="str">
            <v>Gibson 4</v>
          </cell>
          <cell r="DH16" t="str">
            <v>Env Cap Adds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176372.11913804658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</row>
        <row r="17">
          <cell r="A17" t="str">
            <v>Gibson 5</v>
          </cell>
          <cell r="B17" t="str">
            <v>Property Taxes</v>
          </cell>
          <cell r="C17">
            <v>428247.20686988666</v>
          </cell>
          <cell r="D17">
            <v>436680.8885838784</v>
          </cell>
          <cell r="E17">
            <v>445894.85533300065</v>
          </cell>
          <cell r="F17">
            <v>455659.95266479388</v>
          </cell>
          <cell r="G17">
            <v>465957.86759501486</v>
          </cell>
          <cell r="H17">
            <v>477047.66484377714</v>
          </cell>
          <cell r="I17">
            <v>489002.52728322143</v>
          </cell>
          <cell r="J17">
            <v>501131.15225812327</v>
          </cell>
          <cell r="K17">
            <v>513815.81734648912</v>
          </cell>
          <cell r="L17">
            <v>526507.06803494808</v>
          </cell>
          <cell r="M17">
            <v>539932.99826983723</v>
          </cell>
          <cell r="N17">
            <v>552999.37682797003</v>
          </cell>
          <cell r="O17">
            <v>566934.96112403309</v>
          </cell>
          <cell r="P17">
            <v>581335.10913658224</v>
          </cell>
          <cell r="Q17">
            <v>595868.48686499661</v>
          </cell>
          <cell r="R17">
            <v>610824.78588530805</v>
          </cell>
          <cell r="S17">
            <v>626095.40553244192</v>
          </cell>
          <cell r="T17">
            <v>641622.57158964546</v>
          </cell>
          <cell r="U17">
            <v>657727.29813654674</v>
          </cell>
          <cell r="V17">
            <v>674236.25331977394</v>
          </cell>
          <cell r="W17" t="str">
            <v>Gibson 5</v>
          </cell>
          <cell r="X17" t="str">
            <v>Fixed O&amp;M inc Env</v>
          </cell>
          <cell r="Y17">
            <v>3491825.4428083915</v>
          </cell>
          <cell r="Z17">
            <v>3561893.0267880391</v>
          </cell>
          <cell r="AA17">
            <v>3637804.4844678147</v>
          </cell>
          <cell r="AB17">
            <v>3718147.778166092</v>
          </cell>
          <cell r="AC17">
            <v>3803361.4731326019</v>
          </cell>
          <cell r="AD17">
            <v>3895153.3376964508</v>
          </cell>
          <cell r="AE17">
            <v>3992500.0964013934</v>
          </cell>
          <cell r="AF17">
            <v>4092065.0876269145</v>
          </cell>
          <cell r="AG17">
            <v>4147176.7534624939</v>
          </cell>
          <cell r="AH17">
            <v>4246084.9520664038</v>
          </cell>
          <cell r="AI17">
            <v>4352907.2092795847</v>
          </cell>
          <cell r="AJ17">
            <v>4459392.2952996707</v>
          </cell>
          <cell r="AK17">
            <v>4572003.6491583996</v>
          </cell>
          <cell r="AL17">
            <v>4687651.273477342</v>
          </cell>
          <cell r="AM17">
            <v>4804965.8892458379</v>
          </cell>
          <cell r="AN17">
            <v>4925444.1080705076</v>
          </cell>
          <cell r="AO17">
            <v>5048321.022903638</v>
          </cell>
          <cell r="AP17">
            <v>5173917.806642049</v>
          </cell>
          <cell r="AQ17">
            <v>5303783.1451919787</v>
          </cell>
          <cell r="AR17">
            <v>5436908.1046648342</v>
          </cell>
          <cell r="AS17" t="str">
            <v>Gibson 5</v>
          </cell>
          <cell r="AT17" t="str">
            <v>A&amp;G</v>
          </cell>
          <cell r="AU17">
            <v>469478.17970330507</v>
          </cell>
          <cell r="AV17">
            <v>478723.84313266375</v>
          </cell>
          <cell r="AW17">
            <v>488824.91622276558</v>
          </cell>
          <cell r="AX17">
            <v>499530.1818880447</v>
          </cell>
          <cell r="AY17">
            <v>510819.56399871083</v>
          </cell>
          <cell r="AZ17">
            <v>522977.06962188118</v>
          </cell>
          <cell r="BA17">
            <v>536082.92756243038</v>
          </cell>
          <cell r="BB17">
            <v>549379.27762420906</v>
          </cell>
          <cell r="BC17">
            <v>563285.20247392182</v>
          </cell>
          <cell r="BD17">
            <v>577198.3469750284</v>
          </cell>
          <cell r="BE17">
            <v>591916.90482288948</v>
          </cell>
          <cell r="BF17">
            <v>606241.29391960637</v>
          </cell>
          <cell r="BG17">
            <v>621518.57452637854</v>
          </cell>
          <cell r="BH17">
            <v>637305.1463193472</v>
          </cell>
          <cell r="BI17">
            <v>653237.77497733058</v>
          </cell>
          <cell r="BJ17">
            <v>669634.04312926158</v>
          </cell>
          <cell r="BK17">
            <v>686374.89420749445</v>
          </cell>
          <cell r="BL17">
            <v>703396.99158383918</v>
          </cell>
          <cell r="BM17">
            <v>721052.2560725949</v>
          </cell>
          <cell r="BN17">
            <v>739150.66770001687</v>
          </cell>
          <cell r="BO17" t="str">
            <v>Gibson 5</v>
          </cell>
          <cell r="BP17" t="str">
            <v>Depreciation</v>
          </cell>
          <cell r="BQ17">
            <v>3136543.651053091</v>
          </cell>
          <cell r="BR17">
            <v>2607230.1688571936</v>
          </cell>
          <cell r="BS17">
            <v>2248821.0812504832</v>
          </cell>
          <cell r="BT17">
            <v>2268980.6507176138</v>
          </cell>
          <cell r="BU17">
            <v>2309122.0961382976</v>
          </cell>
          <cell r="BV17">
            <v>2358113.5326352152</v>
          </cell>
          <cell r="BW17">
            <v>2411083.4470814676</v>
          </cell>
          <cell r="BX17">
            <v>2457340.257485237</v>
          </cell>
          <cell r="BY17">
            <v>2496107.4329530322</v>
          </cell>
          <cell r="BZ17">
            <v>3356085.4949278357</v>
          </cell>
          <cell r="CA17">
            <v>3431597.7278423184</v>
          </cell>
          <cell r="CB17">
            <v>3509977.8002321348</v>
          </cell>
          <cell r="CC17">
            <v>3596910.8032291816</v>
          </cell>
          <cell r="CD17">
            <v>3693343.6101279669</v>
          </cell>
          <cell r="CE17">
            <v>1164883.3275253151</v>
          </cell>
          <cell r="CF17">
            <v>1283254.9798966609</v>
          </cell>
          <cell r="CG17">
            <v>1414402.3429689272</v>
          </cell>
          <cell r="CH17">
            <v>1559666.8165653388</v>
          </cell>
          <cell r="CI17">
            <v>1637009.585895506</v>
          </cell>
          <cell r="CJ17">
            <v>1637009.585895506</v>
          </cell>
          <cell r="CK17" t="str">
            <v>Gibson 5</v>
          </cell>
          <cell r="CL17" t="str">
            <v>Cap Ads exc Env Cap Adds</v>
          </cell>
          <cell r="CM17">
            <v>1342879.7428586092</v>
          </cell>
          <cell r="CN17">
            <v>1369325.7304792069</v>
          </cell>
          <cell r="CO17">
            <v>1398218.5033923259</v>
          </cell>
          <cell r="CP17">
            <v>1428839.4886166193</v>
          </cell>
          <cell r="CQ17">
            <v>1461131.2610593443</v>
          </cell>
          <cell r="CR17">
            <v>1495906.1850725596</v>
          </cell>
          <cell r="CS17">
            <v>1533393.7444566158</v>
          </cell>
          <cell r="CT17">
            <v>1571426.1811573021</v>
          </cell>
          <cell r="CU17">
            <v>1611202.225271205</v>
          </cell>
          <cell r="CV17">
            <v>1650998.9202354057</v>
          </cell>
          <cell r="CW17">
            <v>1691778.5935652226</v>
          </cell>
          <cell r="CX17">
            <v>1734918.9477011294</v>
          </cell>
          <cell r="CY17">
            <v>1779159.3808675017</v>
          </cell>
          <cell r="CZ17">
            <v>1824527.9450796163</v>
          </cell>
          <cell r="DA17">
            <v>1871053.4076791396</v>
          </cell>
          <cell r="DB17">
            <v>1918765.2695749507</v>
          </cell>
          <cell r="DC17">
            <v>1967693.7839491046</v>
          </cell>
          <cell r="DD17">
            <v>2017869.9754397993</v>
          </cell>
          <cell r="DE17">
            <v>2069325.6598135065</v>
          </cell>
          <cell r="DF17">
            <v>2122093.464138743</v>
          </cell>
          <cell r="DG17" t="str">
            <v>Gibson 5</v>
          </cell>
          <cell r="DH17" t="str">
            <v>Env Cap Adds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88093.708131455001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</row>
        <row r="18">
          <cell r="A18" t="str">
            <v>J.M. Stuart 1</v>
          </cell>
          <cell r="B18" t="str">
            <v>Property Taxes</v>
          </cell>
          <cell r="C18">
            <v>384028.84392767324</v>
          </cell>
          <cell r="D18">
            <v>391591.71179165971</v>
          </cell>
          <cell r="E18">
            <v>399854.29691046587</v>
          </cell>
          <cell r="F18">
            <v>408611.10601280548</v>
          </cell>
          <cell r="G18">
            <v>417845.71700869192</v>
          </cell>
          <cell r="H18">
            <v>427790.44507349964</v>
          </cell>
          <cell r="I18">
            <v>438510.9166335839</v>
          </cell>
          <cell r="J18">
            <v>449387.20900122804</v>
          </cell>
          <cell r="K18">
            <v>460762.12795306341</v>
          </cell>
          <cell r="L18">
            <v>472142.95251350472</v>
          </cell>
          <cell r="M18">
            <v>484182.59780259727</v>
          </cell>
          <cell r="N18">
            <v>495899.81666942255</v>
          </cell>
          <cell r="O18">
            <v>508396.49204949039</v>
          </cell>
          <cell r="P18">
            <v>521309.76294754632</v>
          </cell>
          <cell r="Q18">
            <v>534342.50702123472</v>
          </cell>
          <cell r="R18">
            <v>547754.50394746778</v>
          </cell>
          <cell r="S18">
            <v>561448.36654615554</v>
          </cell>
          <cell r="T18">
            <v>575372.28603649931</v>
          </cell>
          <cell r="U18">
            <v>589814.13041601656</v>
          </cell>
          <cell r="V18">
            <v>604618.46508945839</v>
          </cell>
          <cell r="W18" t="str">
            <v>J.M. Stuart 1</v>
          </cell>
          <cell r="X18" t="str">
            <v>Fixed O&amp;M inc Env</v>
          </cell>
          <cell r="Y18">
            <v>2586719.8242832934</v>
          </cell>
          <cell r="Z18">
            <v>2637661.3630284751</v>
          </cell>
          <cell r="AA18">
            <v>2693316.0177883906</v>
          </cell>
          <cell r="AB18">
            <v>2752299.638577959</v>
          </cell>
          <cell r="AC18">
            <v>2814501.6104098009</v>
          </cell>
          <cell r="AD18">
            <v>2863866.8400430088</v>
          </cell>
          <cell r="AE18">
            <v>2934016.1838239473</v>
          </cell>
          <cell r="AF18">
            <v>3006783.3451307388</v>
          </cell>
          <cell r="AG18">
            <v>3082896.9307990591</v>
          </cell>
          <cell r="AH18">
            <v>3139585.9760260172</v>
          </cell>
          <cell r="AI18">
            <v>3217880.1716331835</v>
          </cell>
          <cell r="AJ18">
            <v>3295732.8748719594</v>
          </cell>
          <cell r="AK18">
            <v>3378781.2439852892</v>
          </cell>
          <cell r="AL18">
            <v>3464610.6946911621</v>
          </cell>
          <cell r="AM18">
            <v>3551223.8075811695</v>
          </cell>
          <cell r="AN18">
            <v>3640361.733625439</v>
          </cell>
          <cell r="AO18">
            <v>3731375.3046282153</v>
          </cell>
          <cell r="AP18">
            <v>3823906.4522820916</v>
          </cell>
          <cell r="AQ18">
            <v>3919886.5042063734</v>
          </cell>
          <cell r="AR18">
            <v>4018275.6554177827</v>
          </cell>
          <cell r="AS18" t="str">
            <v>J.M. Stuart 1</v>
          </cell>
          <cell r="AT18" t="str">
            <v>A&amp;G</v>
          </cell>
          <cell r="AU18">
            <v>525064.99203730642</v>
          </cell>
          <cell r="AV18">
            <v>535405.35375120712</v>
          </cell>
          <cell r="AW18">
            <v>546702.40671536059</v>
          </cell>
          <cell r="AX18">
            <v>558675.18942242756</v>
          </cell>
          <cell r="AY18">
            <v>571301.24870337034</v>
          </cell>
          <cell r="AZ18">
            <v>584898.21842251171</v>
          </cell>
          <cell r="BA18">
            <v>599555.8265770491</v>
          </cell>
          <cell r="BB18">
            <v>614426.48136174027</v>
          </cell>
          <cell r="BC18">
            <v>629978.88536292326</v>
          </cell>
          <cell r="BD18">
            <v>645539.3638313883</v>
          </cell>
          <cell r="BE18">
            <v>662000.61760908633</v>
          </cell>
          <cell r="BF18">
            <v>678021.0325552295</v>
          </cell>
          <cell r="BG18">
            <v>695107.16257561906</v>
          </cell>
          <cell r="BH18">
            <v>712762.88450503827</v>
          </cell>
          <cell r="BI18">
            <v>730581.95661766396</v>
          </cell>
          <cell r="BJ18">
            <v>748919.56372876745</v>
          </cell>
          <cell r="BK18">
            <v>767642.55282198801</v>
          </cell>
          <cell r="BL18">
            <v>786680.08813197201</v>
          </cell>
          <cell r="BM18">
            <v>806425.758344086</v>
          </cell>
          <cell r="BN18">
            <v>826667.04487852252</v>
          </cell>
          <cell r="BO18" t="str">
            <v>J.M. Stuart 1</v>
          </cell>
          <cell r="BP18" t="str">
            <v>Depreciation</v>
          </cell>
          <cell r="BQ18">
            <v>1616208.2382091</v>
          </cell>
          <cell r="BR18">
            <v>1542992.1534192886</v>
          </cell>
          <cell r="BS18">
            <v>1536601.2389356738</v>
          </cell>
          <cell r="BT18">
            <v>1395763.4201362296</v>
          </cell>
          <cell r="BU18">
            <v>1323479.3733425424</v>
          </cell>
          <cell r="BV18">
            <v>1346098.9538620505</v>
          </cell>
          <cell r="BW18">
            <v>1398618.8885666309</v>
          </cell>
          <cell r="BX18">
            <v>1433066.5036766501</v>
          </cell>
          <cell r="BY18">
            <v>1469131.8298847307</v>
          </cell>
          <cell r="BZ18">
            <v>1372446.3024419027</v>
          </cell>
          <cell r="CA18">
            <v>1277548.6077476176</v>
          </cell>
          <cell r="CB18">
            <v>1337324.426469916</v>
          </cell>
          <cell r="CC18">
            <v>1287004.6680446672</v>
          </cell>
          <cell r="CD18">
            <v>1249044.2056553059</v>
          </cell>
          <cell r="CE18">
            <v>1268803.7021326364</v>
          </cell>
          <cell r="CF18">
            <v>1297987.2493075873</v>
          </cell>
          <cell r="CG18">
            <v>1287262.3800125858</v>
          </cell>
          <cell r="CH18">
            <v>1288143.9693876759</v>
          </cell>
          <cell r="CI18">
            <v>1352022.1136363281</v>
          </cell>
          <cell r="CJ18">
            <v>1352022.1136363281</v>
          </cell>
          <cell r="CK18" t="str">
            <v>J.M. Stuart 1</v>
          </cell>
          <cell r="CL18" t="str">
            <v>Cap Ads exc Env Cap Adds</v>
          </cell>
          <cell r="CM18">
            <v>1109097.4200410084</v>
          </cell>
          <cell r="CN18">
            <v>1130939.418028113</v>
          </cell>
          <cell r="CO18">
            <v>1154802.2397485126</v>
          </cell>
          <cell r="CP18">
            <v>1180092.4087990061</v>
          </cell>
          <cell r="CQ18">
            <v>1206762.4972378551</v>
          </cell>
          <cell r="CR18">
            <v>1235483.4446721184</v>
          </cell>
          <cell r="CS18">
            <v>1266444.7840009732</v>
          </cell>
          <cell r="CT18">
            <v>1297856.1427968184</v>
          </cell>
          <cell r="CU18">
            <v>1330707.5638870329</v>
          </cell>
          <cell r="CV18">
            <v>1363576.0407150444</v>
          </cell>
          <cell r="CW18">
            <v>1397256.3689207076</v>
          </cell>
          <cell r="CX18">
            <v>1432886.4063281803</v>
          </cell>
          <cell r="CY18">
            <v>1469425.0096895436</v>
          </cell>
          <cell r="CZ18">
            <v>1506895.3474366213</v>
          </cell>
          <cell r="DA18">
            <v>1545321.1787962494</v>
          </cell>
          <cell r="DB18">
            <v>1584726.8688555481</v>
          </cell>
          <cell r="DC18">
            <v>1625137.4040113585</v>
          </cell>
          <cell r="DD18">
            <v>1666578.4078136419</v>
          </cell>
          <cell r="DE18">
            <v>1709076.1572128835</v>
          </cell>
          <cell r="DF18">
            <v>1752657.5992218056</v>
          </cell>
          <cell r="DG18" t="str">
            <v>J.M. Stuart 1</v>
          </cell>
          <cell r="DH18" t="str">
            <v>Env Cap Adds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68102.784283124493</v>
          </cell>
          <cell r="DN18">
            <v>0</v>
          </cell>
          <cell r="DO18">
            <v>0</v>
          </cell>
          <cell r="DP18">
            <v>0</v>
          </cell>
          <cell r="DQ18">
            <v>65151.028629362751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</row>
        <row r="19">
          <cell r="A19" t="str">
            <v>J.M. Stuart 2</v>
          </cell>
          <cell r="B19" t="str">
            <v>Property Taxes</v>
          </cell>
          <cell r="C19">
            <v>384028.84392767324</v>
          </cell>
          <cell r="D19">
            <v>391591.71179165971</v>
          </cell>
          <cell r="E19">
            <v>399854.29691046587</v>
          </cell>
          <cell r="F19">
            <v>408611.10601280548</v>
          </cell>
          <cell r="G19">
            <v>417845.71700869192</v>
          </cell>
          <cell r="H19">
            <v>427790.44507349964</v>
          </cell>
          <cell r="I19">
            <v>438510.9166335839</v>
          </cell>
          <cell r="J19">
            <v>449387.20900122804</v>
          </cell>
          <cell r="K19">
            <v>460762.12795306341</v>
          </cell>
          <cell r="L19">
            <v>472142.95251350472</v>
          </cell>
          <cell r="M19">
            <v>484182.59780259727</v>
          </cell>
          <cell r="N19">
            <v>495899.81666942255</v>
          </cell>
          <cell r="O19">
            <v>508396.49204949039</v>
          </cell>
          <cell r="P19">
            <v>521309.76294754632</v>
          </cell>
          <cell r="Q19">
            <v>534342.50702123472</v>
          </cell>
          <cell r="R19">
            <v>547754.50394746778</v>
          </cell>
          <cell r="S19">
            <v>561448.36654615554</v>
          </cell>
          <cell r="T19">
            <v>575372.28603649931</v>
          </cell>
          <cell r="U19">
            <v>589814.13041601656</v>
          </cell>
          <cell r="V19">
            <v>604618.46508945839</v>
          </cell>
          <cell r="W19" t="str">
            <v>J.M. Stuart 2</v>
          </cell>
          <cell r="X19" t="str">
            <v>Fixed O&amp;M inc Env</v>
          </cell>
          <cell r="Y19">
            <v>2586719.8242832934</v>
          </cell>
          <cell r="Z19">
            <v>2637661.3630284751</v>
          </cell>
          <cell r="AA19">
            <v>2693316.0177883906</v>
          </cell>
          <cell r="AB19">
            <v>2752299.638577959</v>
          </cell>
          <cell r="AC19">
            <v>2814501.6104098009</v>
          </cell>
          <cell r="AD19">
            <v>2863866.8400430088</v>
          </cell>
          <cell r="AE19">
            <v>2934016.1838239473</v>
          </cell>
          <cell r="AF19">
            <v>3006783.3451307388</v>
          </cell>
          <cell r="AG19">
            <v>3082896.9307990591</v>
          </cell>
          <cell r="AH19">
            <v>3139585.9760260172</v>
          </cell>
          <cell r="AI19">
            <v>3217880.1716331835</v>
          </cell>
          <cell r="AJ19">
            <v>3295732.8748719594</v>
          </cell>
          <cell r="AK19">
            <v>3378781.2439852892</v>
          </cell>
          <cell r="AL19">
            <v>3464610.6946911621</v>
          </cell>
          <cell r="AM19">
            <v>3551223.8075811695</v>
          </cell>
          <cell r="AN19">
            <v>3640361.733625439</v>
          </cell>
          <cell r="AO19">
            <v>3731375.3046282153</v>
          </cell>
          <cell r="AP19">
            <v>3823906.4522820916</v>
          </cell>
          <cell r="AQ19">
            <v>3919886.5042063734</v>
          </cell>
          <cell r="AR19">
            <v>4018275.6554177827</v>
          </cell>
          <cell r="AS19" t="str">
            <v>J.M. Stuart 2</v>
          </cell>
          <cell r="AT19" t="str">
            <v>A&amp;G</v>
          </cell>
          <cell r="AU19">
            <v>525064.99203730642</v>
          </cell>
          <cell r="AV19">
            <v>535405.35375120712</v>
          </cell>
          <cell r="AW19">
            <v>546702.40671536059</v>
          </cell>
          <cell r="AX19">
            <v>558675.18942242756</v>
          </cell>
          <cell r="AY19">
            <v>571301.24870337034</v>
          </cell>
          <cell r="AZ19">
            <v>584898.21842251171</v>
          </cell>
          <cell r="BA19">
            <v>599555.8265770491</v>
          </cell>
          <cell r="BB19">
            <v>614426.48136174027</v>
          </cell>
          <cell r="BC19">
            <v>629978.88536292326</v>
          </cell>
          <cell r="BD19">
            <v>645539.3638313883</v>
          </cell>
          <cell r="BE19">
            <v>662000.61760908633</v>
          </cell>
          <cell r="BF19">
            <v>678021.0325552295</v>
          </cell>
          <cell r="BG19">
            <v>695107.16257561906</v>
          </cell>
          <cell r="BH19">
            <v>712762.88450503827</v>
          </cell>
          <cell r="BI19">
            <v>730581.95661766396</v>
          </cell>
          <cell r="BJ19">
            <v>748919.56372876745</v>
          </cell>
          <cell r="BK19">
            <v>767642.55282198801</v>
          </cell>
          <cell r="BL19">
            <v>786680.08813197201</v>
          </cell>
          <cell r="BM19">
            <v>806425.758344086</v>
          </cell>
          <cell r="BN19">
            <v>826667.04487852252</v>
          </cell>
          <cell r="BO19" t="str">
            <v>J.M. Stuart 2</v>
          </cell>
          <cell r="BP19" t="str">
            <v>Depreciation</v>
          </cell>
          <cell r="BQ19">
            <v>1616208.2382091</v>
          </cell>
          <cell r="BR19">
            <v>1542992.1534192886</v>
          </cell>
          <cell r="BS19">
            <v>1536601.2389356738</v>
          </cell>
          <cell r="BT19">
            <v>1395763.4201362296</v>
          </cell>
          <cell r="BU19">
            <v>1323479.3733425424</v>
          </cell>
          <cell r="BV19">
            <v>1346098.9538620505</v>
          </cell>
          <cell r="BW19">
            <v>1398618.8885666309</v>
          </cell>
          <cell r="BX19">
            <v>1433066.5036766501</v>
          </cell>
          <cell r="BY19">
            <v>1469131.8298847307</v>
          </cell>
          <cell r="BZ19">
            <v>1372446.3024419027</v>
          </cell>
          <cell r="CA19">
            <v>1277548.6077476176</v>
          </cell>
          <cell r="CB19">
            <v>1337324.426469916</v>
          </cell>
          <cell r="CC19">
            <v>1287004.6680446672</v>
          </cell>
          <cell r="CD19">
            <v>1249044.2056553059</v>
          </cell>
          <cell r="CE19">
            <v>1268803.7021326364</v>
          </cell>
          <cell r="CF19">
            <v>1297987.2493075873</v>
          </cell>
          <cell r="CG19">
            <v>1287262.3800125858</v>
          </cell>
          <cell r="CH19">
            <v>1288143.9693876759</v>
          </cell>
          <cell r="CI19">
            <v>1352022.1136363281</v>
          </cell>
          <cell r="CJ19">
            <v>1352022.1136363281</v>
          </cell>
          <cell r="CK19" t="str">
            <v>J.M. Stuart 2</v>
          </cell>
          <cell r="CL19" t="str">
            <v>Cap Ads exc Env Cap Adds</v>
          </cell>
          <cell r="CM19">
            <v>1109097.4200410084</v>
          </cell>
          <cell r="CN19">
            <v>1130939.418028113</v>
          </cell>
          <cell r="CO19">
            <v>1154802.2397485126</v>
          </cell>
          <cell r="CP19">
            <v>1180092.4087990061</v>
          </cell>
          <cell r="CQ19">
            <v>1206762.4972378551</v>
          </cell>
          <cell r="CR19">
            <v>1235483.4446721184</v>
          </cell>
          <cell r="CS19">
            <v>1266444.7840009732</v>
          </cell>
          <cell r="CT19">
            <v>1297856.1427968184</v>
          </cell>
          <cell r="CU19">
            <v>1330707.5638870329</v>
          </cell>
          <cell r="CV19">
            <v>1363576.0407150444</v>
          </cell>
          <cell r="CW19">
            <v>1397256.3689207076</v>
          </cell>
          <cell r="CX19">
            <v>1432886.4063281803</v>
          </cell>
          <cell r="CY19">
            <v>1469425.0096895436</v>
          </cell>
          <cell r="CZ19">
            <v>1506895.3474366213</v>
          </cell>
          <cell r="DA19">
            <v>1545321.1787962494</v>
          </cell>
          <cell r="DB19">
            <v>1584726.8688555481</v>
          </cell>
          <cell r="DC19">
            <v>1625137.4040113585</v>
          </cell>
          <cell r="DD19">
            <v>1666578.4078136419</v>
          </cell>
          <cell r="DE19">
            <v>1709076.1572128835</v>
          </cell>
          <cell r="DF19">
            <v>1752657.5992218056</v>
          </cell>
          <cell r="DG19" t="str">
            <v>J.M. Stuart 2</v>
          </cell>
          <cell r="DH19" t="str">
            <v>Env Cap Adds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68102.784283124493</v>
          </cell>
          <cell r="DN19">
            <v>0</v>
          </cell>
          <cell r="DO19">
            <v>0</v>
          </cell>
          <cell r="DP19">
            <v>0</v>
          </cell>
          <cell r="DQ19">
            <v>65151.028629362751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</row>
        <row r="20">
          <cell r="A20" t="str">
            <v>J.M. Stuart 3</v>
          </cell>
          <cell r="B20" t="str">
            <v>Property Taxes</v>
          </cell>
          <cell r="C20">
            <v>384028.84392767324</v>
          </cell>
          <cell r="D20">
            <v>391591.71179165971</v>
          </cell>
          <cell r="E20">
            <v>399854.29691046587</v>
          </cell>
          <cell r="F20">
            <v>408611.10601280548</v>
          </cell>
          <cell r="G20">
            <v>417845.71700869192</v>
          </cell>
          <cell r="H20">
            <v>427790.44507349964</v>
          </cell>
          <cell r="I20">
            <v>438510.9166335839</v>
          </cell>
          <cell r="J20">
            <v>449387.20900122804</v>
          </cell>
          <cell r="K20">
            <v>460762.12795306341</v>
          </cell>
          <cell r="L20">
            <v>472142.95251350472</v>
          </cell>
          <cell r="M20">
            <v>484182.59780259727</v>
          </cell>
          <cell r="N20">
            <v>495899.81666942255</v>
          </cell>
          <cell r="O20">
            <v>508396.49204949039</v>
          </cell>
          <cell r="P20">
            <v>521309.76294754632</v>
          </cell>
          <cell r="Q20">
            <v>534342.50702123472</v>
          </cell>
          <cell r="R20">
            <v>547754.50394746778</v>
          </cell>
          <cell r="S20">
            <v>561448.36654615554</v>
          </cell>
          <cell r="T20">
            <v>575372.28603649931</v>
          </cell>
          <cell r="U20">
            <v>589814.13041601656</v>
          </cell>
          <cell r="V20">
            <v>604618.46508945839</v>
          </cell>
          <cell r="W20" t="str">
            <v>J.M. Stuart 3</v>
          </cell>
          <cell r="X20" t="str">
            <v>Fixed O&amp;M inc Env</v>
          </cell>
          <cell r="Y20">
            <v>2586719.8242832934</v>
          </cell>
          <cell r="Z20">
            <v>2637661.3630284751</v>
          </cell>
          <cell r="AA20">
            <v>2693316.0177883906</v>
          </cell>
          <cell r="AB20">
            <v>2752299.638577959</v>
          </cell>
          <cell r="AC20">
            <v>2814501.6104098009</v>
          </cell>
          <cell r="AD20">
            <v>2863866.8400430088</v>
          </cell>
          <cell r="AE20">
            <v>2934016.1838239473</v>
          </cell>
          <cell r="AF20">
            <v>3006783.3451307388</v>
          </cell>
          <cell r="AG20">
            <v>3082896.9307990591</v>
          </cell>
          <cell r="AH20">
            <v>3139585.9760260172</v>
          </cell>
          <cell r="AI20">
            <v>3217880.1716331835</v>
          </cell>
          <cell r="AJ20">
            <v>3295732.8748719594</v>
          </cell>
          <cell r="AK20">
            <v>3378781.2439852892</v>
          </cell>
          <cell r="AL20">
            <v>3464610.6946911621</v>
          </cell>
          <cell r="AM20">
            <v>3551223.8075811695</v>
          </cell>
          <cell r="AN20">
            <v>3640361.733625439</v>
          </cell>
          <cell r="AO20">
            <v>3731375.3046282153</v>
          </cell>
          <cell r="AP20">
            <v>3823906.4522820916</v>
          </cell>
          <cell r="AQ20">
            <v>3919886.5042063734</v>
          </cell>
          <cell r="AR20">
            <v>4018275.6554177827</v>
          </cell>
          <cell r="AS20" t="str">
            <v>J.M. Stuart 3</v>
          </cell>
          <cell r="AT20" t="str">
            <v>A&amp;G</v>
          </cell>
          <cell r="AU20">
            <v>525064.99203730642</v>
          </cell>
          <cell r="AV20">
            <v>535405.35375120712</v>
          </cell>
          <cell r="AW20">
            <v>546702.40671536059</v>
          </cell>
          <cell r="AX20">
            <v>558675.18942242756</v>
          </cell>
          <cell r="AY20">
            <v>571301.24870337034</v>
          </cell>
          <cell r="AZ20">
            <v>584898.21842251171</v>
          </cell>
          <cell r="BA20">
            <v>599555.8265770491</v>
          </cell>
          <cell r="BB20">
            <v>614426.48136174027</v>
          </cell>
          <cell r="BC20">
            <v>629978.88536292326</v>
          </cell>
          <cell r="BD20">
            <v>645539.3638313883</v>
          </cell>
          <cell r="BE20">
            <v>662000.61760908633</v>
          </cell>
          <cell r="BF20">
            <v>678021.0325552295</v>
          </cell>
          <cell r="BG20">
            <v>695107.16257561906</v>
          </cell>
          <cell r="BH20">
            <v>712762.88450503827</v>
          </cell>
          <cell r="BI20">
            <v>730581.95661766396</v>
          </cell>
          <cell r="BJ20">
            <v>748919.56372876745</v>
          </cell>
          <cell r="BK20">
            <v>767642.55282198801</v>
          </cell>
          <cell r="BL20">
            <v>786680.08813197201</v>
          </cell>
          <cell r="BM20">
            <v>806425.758344086</v>
          </cell>
          <cell r="BN20">
            <v>826667.04487852252</v>
          </cell>
          <cell r="BO20" t="str">
            <v>J.M. Stuart 3</v>
          </cell>
          <cell r="BP20" t="str">
            <v>Depreciation</v>
          </cell>
          <cell r="BQ20">
            <v>1616208.2382091</v>
          </cell>
          <cell r="BR20">
            <v>1542992.1534192886</v>
          </cell>
          <cell r="BS20">
            <v>1536601.2389356738</v>
          </cell>
          <cell r="BT20">
            <v>1395763.4201362296</v>
          </cell>
          <cell r="BU20">
            <v>1323479.3733425424</v>
          </cell>
          <cell r="BV20">
            <v>1346098.9538620505</v>
          </cell>
          <cell r="BW20">
            <v>1398618.8885666309</v>
          </cell>
          <cell r="BX20">
            <v>1433066.5036766501</v>
          </cell>
          <cell r="BY20">
            <v>1469131.8298847307</v>
          </cell>
          <cell r="BZ20">
            <v>1372446.3024419027</v>
          </cell>
          <cell r="CA20">
            <v>1277548.6077476176</v>
          </cell>
          <cell r="CB20">
            <v>1337324.426469916</v>
          </cell>
          <cell r="CC20">
            <v>1287004.6680446672</v>
          </cell>
          <cell r="CD20">
            <v>1249044.2056553059</v>
          </cell>
          <cell r="CE20">
            <v>1268803.7021326364</v>
          </cell>
          <cell r="CF20">
            <v>1297987.2493075873</v>
          </cell>
          <cell r="CG20">
            <v>1287262.3800125858</v>
          </cell>
          <cell r="CH20">
            <v>1288143.9693876759</v>
          </cell>
          <cell r="CI20">
            <v>1352022.1136363281</v>
          </cell>
          <cell r="CJ20">
            <v>1352022.1136363281</v>
          </cell>
          <cell r="CK20" t="str">
            <v>J.M. Stuart 3</v>
          </cell>
          <cell r="CL20" t="str">
            <v>Cap Ads exc Env Cap Adds</v>
          </cell>
          <cell r="CM20">
            <v>1109097.4200410084</v>
          </cell>
          <cell r="CN20">
            <v>1130939.418028113</v>
          </cell>
          <cell r="CO20">
            <v>1154802.2397485126</v>
          </cell>
          <cell r="CP20">
            <v>1180092.4087990061</v>
          </cell>
          <cell r="CQ20">
            <v>1206762.4972378551</v>
          </cell>
          <cell r="CR20">
            <v>1235483.4446721184</v>
          </cell>
          <cell r="CS20">
            <v>1266444.7840009732</v>
          </cell>
          <cell r="CT20">
            <v>1297856.1427968184</v>
          </cell>
          <cell r="CU20">
            <v>1330707.5638870329</v>
          </cell>
          <cell r="CV20">
            <v>1363576.0407150444</v>
          </cell>
          <cell r="CW20">
            <v>1397256.3689207076</v>
          </cell>
          <cell r="CX20">
            <v>1432886.4063281803</v>
          </cell>
          <cell r="CY20">
            <v>1469425.0096895436</v>
          </cell>
          <cell r="CZ20">
            <v>1506895.3474366213</v>
          </cell>
          <cell r="DA20">
            <v>1545321.1787962494</v>
          </cell>
          <cell r="DB20">
            <v>1584726.8688555481</v>
          </cell>
          <cell r="DC20">
            <v>1625137.4040113585</v>
          </cell>
          <cell r="DD20">
            <v>1666578.4078136419</v>
          </cell>
          <cell r="DE20">
            <v>1709076.1572128835</v>
          </cell>
          <cell r="DF20">
            <v>1752657.5992218056</v>
          </cell>
          <cell r="DG20" t="str">
            <v>J.M. Stuart 3</v>
          </cell>
          <cell r="DH20" t="str">
            <v>Env Cap Adds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68102.784283124493</v>
          </cell>
          <cell r="DN20">
            <v>0</v>
          </cell>
          <cell r="DO20">
            <v>0</v>
          </cell>
          <cell r="DP20">
            <v>0</v>
          </cell>
          <cell r="DQ20">
            <v>65151.028629362751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</row>
        <row r="21">
          <cell r="A21" t="str">
            <v>J.M. Stuart 4</v>
          </cell>
          <cell r="B21" t="str">
            <v>Property Taxes</v>
          </cell>
          <cell r="C21">
            <v>384028.84392767324</v>
          </cell>
          <cell r="D21">
            <v>391591.71179165971</v>
          </cell>
          <cell r="E21">
            <v>399854.29691046587</v>
          </cell>
          <cell r="F21">
            <v>408611.10601280548</v>
          </cell>
          <cell r="G21">
            <v>417845.71700869192</v>
          </cell>
          <cell r="H21">
            <v>427790.44507349964</v>
          </cell>
          <cell r="I21">
            <v>438510.9166335839</v>
          </cell>
          <cell r="J21">
            <v>449387.20900122804</v>
          </cell>
          <cell r="K21">
            <v>460762.12795306341</v>
          </cell>
          <cell r="L21">
            <v>472142.95251350472</v>
          </cell>
          <cell r="M21">
            <v>484182.59780259727</v>
          </cell>
          <cell r="N21">
            <v>495899.81666942255</v>
          </cell>
          <cell r="O21">
            <v>508396.49204949039</v>
          </cell>
          <cell r="P21">
            <v>521309.76294754632</v>
          </cell>
          <cell r="Q21">
            <v>534342.50702123472</v>
          </cell>
          <cell r="R21">
            <v>547754.50394746778</v>
          </cell>
          <cell r="S21">
            <v>561448.36654615554</v>
          </cell>
          <cell r="T21">
            <v>575372.28603649931</v>
          </cell>
          <cell r="U21">
            <v>589814.13041601656</v>
          </cell>
          <cell r="V21">
            <v>604618.46508945839</v>
          </cell>
          <cell r="W21" t="str">
            <v>J.M. Stuart 4</v>
          </cell>
          <cell r="X21" t="str">
            <v>Fixed O&amp;M inc Env</v>
          </cell>
          <cell r="Y21">
            <v>2586719.8242832934</v>
          </cell>
          <cell r="Z21">
            <v>2637661.3630284751</v>
          </cell>
          <cell r="AA21">
            <v>2693316.0177883906</v>
          </cell>
          <cell r="AB21">
            <v>2752299.638577959</v>
          </cell>
          <cell r="AC21">
            <v>2814501.6104098009</v>
          </cell>
          <cell r="AD21">
            <v>2863866.8400430088</v>
          </cell>
          <cell r="AE21">
            <v>2934016.1838239473</v>
          </cell>
          <cell r="AF21">
            <v>3006783.3451307388</v>
          </cell>
          <cell r="AG21">
            <v>3082896.9307990591</v>
          </cell>
          <cell r="AH21">
            <v>3139585.9760260172</v>
          </cell>
          <cell r="AI21">
            <v>3217880.1716331835</v>
          </cell>
          <cell r="AJ21">
            <v>3295732.8748719594</v>
          </cell>
          <cell r="AK21">
            <v>3378781.2439852892</v>
          </cell>
          <cell r="AL21">
            <v>3464610.6946911621</v>
          </cell>
          <cell r="AM21">
            <v>3551223.8075811695</v>
          </cell>
          <cell r="AN21">
            <v>3640361.733625439</v>
          </cell>
          <cell r="AO21">
            <v>3731375.3046282153</v>
          </cell>
          <cell r="AP21">
            <v>3823906.4522820916</v>
          </cell>
          <cell r="AQ21">
            <v>3919886.5042063734</v>
          </cell>
          <cell r="AR21">
            <v>4018275.6554177827</v>
          </cell>
          <cell r="AS21" t="str">
            <v>J.M. Stuart 4</v>
          </cell>
          <cell r="AT21" t="str">
            <v>A&amp;G</v>
          </cell>
          <cell r="AU21">
            <v>525064.99203730642</v>
          </cell>
          <cell r="AV21">
            <v>535405.35375120712</v>
          </cell>
          <cell r="AW21">
            <v>546702.40671536059</v>
          </cell>
          <cell r="AX21">
            <v>558675.18942242756</v>
          </cell>
          <cell r="AY21">
            <v>571301.24870337034</v>
          </cell>
          <cell r="AZ21">
            <v>584898.21842251171</v>
          </cell>
          <cell r="BA21">
            <v>599555.8265770491</v>
          </cell>
          <cell r="BB21">
            <v>614426.48136174027</v>
          </cell>
          <cell r="BC21">
            <v>629978.88536292326</v>
          </cell>
          <cell r="BD21">
            <v>645539.3638313883</v>
          </cell>
          <cell r="BE21">
            <v>662000.61760908633</v>
          </cell>
          <cell r="BF21">
            <v>678021.0325552295</v>
          </cell>
          <cell r="BG21">
            <v>695107.16257561906</v>
          </cell>
          <cell r="BH21">
            <v>712762.88450503827</v>
          </cell>
          <cell r="BI21">
            <v>730581.95661766396</v>
          </cell>
          <cell r="BJ21">
            <v>748919.56372876745</v>
          </cell>
          <cell r="BK21">
            <v>767642.55282198801</v>
          </cell>
          <cell r="BL21">
            <v>786680.08813197201</v>
          </cell>
          <cell r="BM21">
            <v>806425.758344086</v>
          </cell>
          <cell r="BN21">
            <v>826667.04487852252</v>
          </cell>
          <cell r="BO21" t="str">
            <v>J.M. Stuart 4</v>
          </cell>
          <cell r="BP21" t="str">
            <v>Depreciation</v>
          </cell>
          <cell r="BQ21">
            <v>1616208.2382091</v>
          </cell>
          <cell r="BR21">
            <v>1542992.1534192886</v>
          </cell>
          <cell r="BS21">
            <v>1536601.2389356738</v>
          </cell>
          <cell r="BT21">
            <v>1395763.4201362296</v>
          </cell>
          <cell r="BU21">
            <v>1323479.3733425424</v>
          </cell>
          <cell r="BV21">
            <v>1346098.9538620505</v>
          </cell>
          <cell r="BW21">
            <v>1398618.8885666309</v>
          </cell>
          <cell r="BX21">
            <v>1433066.5036766501</v>
          </cell>
          <cell r="BY21">
            <v>1469131.8298847307</v>
          </cell>
          <cell r="BZ21">
            <v>1372446.3024419027</v>
          </cell>
          <cell r="CA21">
            <v>1277548.6077476176</v>
          </cell>
          <cell r="CB21">
            <v>1337324.426469916</v>
          </cell>
          <cell r="CC21">
            <v>1287004.6680446672</v>
          </cell>
          <cell r="CD21">
            <v>1249044.2056553059</v>
          </cell>
          <cell r="CE21">
            <v>1268803.7021326364</v>
          </cell>
          <cell r="CF21">
            <v>1297987.2493075873</v>
          </cell>
          <cell r="CG21">
            <v>1287262.3800125858</v>
          </cell>
          <cell r="CH21">
            <v>1288143.9693876759</v>
          </cell>
          <cell r="CI21">
            <v>1352022.1136363281</v>
          </cell>
          <cell r="CJ21">
            <v>1352022.1136363281</v>
          </cell>
          <cell r="CK21" t="str">
            <v>J.M. Stuart 4</v>
          </cell>
          <cell r="CL21" t="str">
            <v>Cap Ads exc Env Cap Adds</v>
          </cell>
          <cell r="CM21">
            <v>1109097.4200410084</v>
          </cell>
          <cell r="CN21">
            <v>1130939.418028113</v>
          </cell>
          <cell r="CO21">
            <v>1154802.2397485126</v>
          </cell>
          <cell r="CP21">
            <v>1180092.4087990061</v>
          </cell>
          <cell r="CQ21">
            <v>1206762.4972378551</v>
          </cell>
          <cell r="CR21">
            <v>1235483.4446721184</v>
          </cell>
          <cell r="CS21">
            <v>1266444.7840009732</v>
          </cell>
          <cell r="CT21">
            <v>1297856.1427968184</v>
          </cell>
          <cell r="CU21">
            <v>1330707.5638870329</v>
          </cell>
          <cell r="CV21">
            <v>1363576.0407150444</v>
          </cell>
          <cell r="CW21">
            <v>1397256.3689207076</v>
          </cell>
          <cell r="CX21">
            <v>1432886.4063281803</v>
          </cell>
          <cell r="CY21">
            <v>1469425.0096895436</v>
          </cell>
          <cell r="CZ21">
            <v>1506895.3474366213</v>
          </cell>
          <cell r="DA21">
            <v>1545321.1787962494</v>
          </cell>
          <cell r="DB21">
            <v>1584726.8688555481</v>
          </cell>
          <cell r="DC21">
            <v>1625137.4040113585</v>
          </cell>
          <cell r="DD21">
            <v>1666578.4078136419</v>
          </cell>
          <cell r="DE21">
            <v>1709076.1572128835</v>
          </cell>
          <cell r="DF21">
            <v>1752657.5992218056</v>
          </cell>
          <cell r="DG21" t="str">
            <v>J.M. Stuart 4</v>
          </cell>
          <cell r="DH21" t="str">
            <v>Env Cap Adds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68102.784283124493</v>
          </cell>
          <cell r="DN21">
            <v>0</v>
          </cell>
          <cell r="DO21">
            <v>0</v>
          </cell>
          <cell r="DP21">
            <v>0</v>
          </cell>
          <cell r="DQ21">
            <v>65151.028629362751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</row>
        <row r="22">
          <cell r="A22" t="str">
            <v>Killen 2</v>
          </cell>
          <cell r="B22" t="str">
            <v>Property Taxes</v>
          </cell>
          <cell r="C22">
            <v>796509.52528499602</v>
          </cell>
          <cell r="D22">
            <v>812195.57696415449</v>
          </cell>
          <cell r="E22">
            <v>829332.9036381027</v>
          </cell>
          <cell r="F22">
            <v>847495.29422777798</v>
          </cell>
          <cell r="G22">
            <v>866648.68787731952</v>
          </cell>
          <cell r="H22">
            <v>887274.92664880154</v>
          </cell>
          <cell r="I22">
            <v>909510.12550996372</v>
          </cell>
          <cell r="J22">
            <v>932068.51040108572</v>
          </cell>
          <cell r="K22">
            <v>955661.09058807825</v>
          </cell>
          <cell r="L22">
            <v>979265.91952560504</v>
          </cell>
          <cell r="M22">
            <v>1004237.2004735044</v>
          </cell>
          <cell r="N22">
            <v>1028539.7407249681</v>
          </cell>
          <cell r="O22">
            <v>1054458.9421912341</v>
          </cell>
          <cell r="P22">
            <v>1081242.1993228891</v>
          </cell>
          <cell r="Q22">
            <v>1108273.2543059608</v>
          </cell>
          <cell r="R22">
            <v>1136090.9129890406</v>
          </cell>
          <cell r="S22">
            <v>1164493.1858137688</v>
          </cell>
          <cell r="T22">
            <v>1193372.6168219482</v>
          </cell>
          <cell r="U22">
            <v>1223326.2695041816</v>
          </cell>
          <cell r="V22">
            <v>1254031.7588687362</v>
          </cell>
          <cell r="W22" t="str">
            <v>Killen 2</v>
          </cell>
          <cell r="X22" t="str">
            <v>Fixed O&amp;M inc Env</v>
          </cell>
          <cell r="Y22">
            <v>1955532.5058664542</v>
          </cell>
          <cell r="Z22">
            <v>1994043.7640165938</v>
          </cell>
          <cell r="AA22">
            <v>2036118.087437355</v>
          </cell>
          <cell r="AB22">
            <v>2080709.0735522353</v>
          </cell>
          <cell r="AC22">
            <v>2127733.0986145004</v>
          </cell>
          <cell r="AD22">
            <v>2163081.7068633004</v>
          </cell>
          <cell r="AE22">
            <v>2215883.3145354381</v>
          </cell>
          <cell r="AF22">
            <v>2270839.3897769745</v>
          </cell>
          <cell r="AG22">
            <v>2328323.9617192326</v>
          </cell>
          <cell r="AH22">
            <v>2368946.4946504971</v>
          </cell>
          <cell r="AI22">
            <v>2427822.6606706758</v>
          </cell>
          <cell r="AJ22">
            <v>2486558.6147344694</v>
          </cell>
          <cell r="AK22">
            <v>2549216.3342188457</v>
          </cell>
          <cell r="AL22">
            <v>2613973.725218073</v>
          </cell>
          <cell r="AM22">
            <v>2679321.1985852122</v>
          </cell>
          <cell r="AN22">
            <v>2746574.0772940647</v>
          </cell>
          <cell r="AO22">
            <v>2815242.3585584508</v>
          </cell>
          <cell r="AP22">
            <v>2885054.3289000154</v>
          </cell>
          <cell r="AQ22">
            <v>2957469.1925311065</v>
          </cell>
          <cell r="AR22">
            <v>3031701.6692253035</v>
          </cell>
          <cell r="AS22" t="str">
            <v>Killen 2</v>
          </cell>
          <cell r="AT22" t="str">
            <v>A&amp;G</v>
          </cell>
          <cell r="AU22">
            <v>458960.66413905297</v>
          </cell>
          <cell r="AV22">
            <v>467999.200989959</v>
          </cell>
          <cell r="AW22">
            <v>477873.98413084977</v>
          </cell>
          <cell r="AX22">
            <v>488339.4243833159</v>
          </cell>
          <cell r="AY22">
            <v>499375.89537437522</v>
          </cell>
          <cell r="AZ22">
            <v>511261.04168428638</v>
          </cell>
          <cell r="BA22">
            <v>524073.29478688608</v>
          </cell>
          <cell r="BB22">
            <v>537071.77249853581</v>
          </cell>
          <cell r="BC22">
            <v>550666.1689591452</v>
          </cell>
          <cell r="BD22">
            <v>564267.62333243678</v>
          </cell>
          <cell r="BE22">
            <v>578656.44772741175</v>
          </cell>
          <cell r="BF22">
            <v>592659.93376241811</v>
          </cell>
          <cell r="BG22">
            <v>607594.96409322903</v>
          </cell>
          <cell r="BH22">
            <v>623027.87618119572</v>
          </cell>
          <cell r="BI22">
            <v>638603.57308572531</v>
          </cell>
          <cell r="BJ22">
            <v>654632.52277017711</v>
          </cell>
          <cell r="BK22">
            <v>670998.33583943278</v>
          </cell>
          <cell r="BL22">
            <v>687639.09456824965</v>
          </cell>
          <cell r="BM22">
            <v>704898.83584191406</v>
          </cell>
          <cell r="BN22">
            <v>722591.79662154592</v>
          </cell>
          <cell r="BO22" t="str">
            <v>Killen 2</v>
          </cell>
          <cell r="BP22" t="str">
            <v>Depreciation</v>
          </cell>
          <cell r="BQ22">
            <v>291864.63428542437</v>
          </cell>
          <cell r="BR22">
            <v>292840.58443258621</v>
          </cell>
          <cell r="BS22">
            <v>294461.55565963843</v>
          </cell>
          <cell r="BT22">
            <v>298549.4385121825</v>
          </cell>
          <cell r="BU22">
            <v>303440.2200167501</v>
          </cell>
          <cell r="BV22">
            <v>310081.82098666782</v>
          </cell>
          <cell r="BW22">
            <v>317048.77416486427</v>
          </cell>
          <cell r="BX22">
            <v>327718.65985359333</v>
          </cell>
          <cell r="BY22">
            <v>338717.59732081322</v>
          </cell>
          <cell r="BZ22">
            <v>349929.25144459901</v>
          </cell>
          <cell r="CA22">
            <v>286254.78314256028</v>
          </cell>
          <cell r="CB22">
            <v>218821.96097748532</v>
          </cell>
          <cell r="CC22">
            <v>227903.87730548813</v>
          </cell>
          <cell r="CD22">
            <v>242581.10818873357</v>
          </cell>
          <cell r="CE22">
            <v>258816.69673346679</v>
          </cell>
          <cell r="CF22">
            <v>236404.86687900114</v>
          </cell>
          <cell r="CG22">
            <v>215917.32885092249</v>
          </cell>
          <cell r="CH22">
            <v>238092.85568866445</v>
          </cell>
          <cell r="CI22">
            <v>249899.71124339229</v>
          </cell>
          <cell r="CJ22">
            <v>249899.71124339229</v>
          </cell>
          <cell r="CK22" t="str">
            <v>Killen 2</v>
          </cell>
          <cell r="CL22" t="str">
            <v>Cap Ads exc Env Cap Adds</v>
          </cell>
          <cell r="CM22">
            <v>204998.95838507841</v>
          </cell>
          <cell r="CN22">
            <v>209036.10314395803</v>
          </cell>
          <cell r="CO22">
            <v>213446.7649202967</v>
          </cell>
          <cell r="CP22">
            <v>218121.24907205143</v>
          </cell>
          <cell r="CQ22">
            <v>223050.78930107818</v>
          </cell>
          <cell r="CR22">
            <v>228359.3980864443</v>
          </cell>
          <cell r="CS22">
            <v>234082.10755987134</v>
          </cell>
          <cell r="CT22">
            <v>239887.9959500636</v>
          </cell>
          <cell r="CU22">
            <v>245960.05687390428</v>
          </cell>
          <cell r="CV22">
            <v>252035.27027869003</v>
          </cell>
          <cell r="CW22">
            <v>258260.54145457404</v>
          </cell>
          <cell r="CX22">
            <v>264846.18526166468</v>
          </cell>
          <cell r="CY22">
            <v>271599.76298583613</v>
          </cell>
          <cell r="CZ22">
            <v>278525.55694197392</v>
          </cell>
          <cell r="DA22">
            <v>285627.95864399319</v>
          </cell>
          <cell r="DB22">
            <v>292911.47158941394</v>
          </cell>
          <cell r="DC22">
            <v>300380.71411494288</v>
          </cell>
          <cell r="DD22">
            <v>308040.42232487281</v>
          </cell>
          <cell r="DE22">
            <v>315895.45309415594</v>
          </cell>
          <cell r="DF22">
            <v>323950.78714805574</v>
          </cell>
          <cell r="DG22" t="str">
            <v>Killen 2</v>
          </cell>
          <cell r="DH22" t="str">
            <v>Env Cap Adds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58567.95530526404</v>
          </cell>
          <cell r="DN22">
            <v>0</v>
          </cell>
          <cell r="DO22">
            <v>0</v>
          </cell>
          <cell r="DP22">
            <v>0</v>
          </cell>
          <cell r="DQ22">
            <v>56029.464478180271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</row>
        <row r="23">
          <cell r="A23" t="str">
            <v>Miami Fort 5</v>
          </cell>
          <cell r="B23" t="str">
            <v>Property Taxes</v>
          </cell>
          <cell r="C23">
            <v>198549.22166626915</v>
          </cell>
          <cell r="D23">
            <v>202459.34860517728</v>
          </cell>
          <cell r="E23">
            <v>206731.24086074764</v>
          </cell>
          <cell r="F23">
            <v>211258.65503559823</v>
          </cell>
          <cell r="G23">
            <v>216033.10063940121</v>
          </cell>
          <cell r="H23">
            <v>221174.6884346194</v>
          </cell>
          <cell r="I23">
            <v>226717.34836187994</v>
          </cell>
          <cell r="J23">
            <v>232340.57020668813</v>
          </cell>
          <cell r="K23">
            <v>238221.59018764863</v>
          </cell>
          <cell r="L23">
            <v>244105.66346528387</v>
          </cell>
          <cell r="M23">
            <v>250330.35788364767</v>
          </cell>
          <cell r="N23">
            <v>256388.3525444332</v>
          </cell>
          <cell r="O23">
            <v>262849.33902855212</v>
          </cell>
          <cell r="P23">
            <v>269525.71223987674</v>
          </cell>
          <cell r="Q23">
            <v>276263.85504587356</v>
          </cell>
          <cell r="R23">
            <v>283198.077807525</v>
          </cell>
          <cell r="S23">
            <v>290278.02975271369</v>
          </cell>
          <cell r="T23">
            <v>297476.92489058047</v>
          </cell>
          <cell r="U23">
            <v>304943.59570533462</v>
          </cell>
          <cell r="V23">
            <v>312597.67995753849</v>
          </cell>
          <cell r="W23" t="str">
            <v>Miami Fort 5</v>
          </cell>
          <cell r="X23" t="str">
            <v>Fixed O&amp;M inc Env</v>
          </cell>
          <cell r="Y23">
            <v>1517123.0723313761</v>
          </cell>
          <cell r="Z23">
            <v>1547000.5190671433</v>
          </cell>
          <cell r="AA23">
            <v>1606664.4729433628</v>
          </cell>
          <cell r="AB23">
            <v>1671966.7059389527</v>
          </cell>
          <cell r="AC23">
            <v>1712325.8005730573</v>
          </cell>
          <cell r="AD23">
            <v>1753114.8791370385</v>
          </cell>
          <cell r="AE23">
            <v>1850061.9675624918</v>
          </cell>
          <cell r="AF23">
            <v>1900856.7977566849</v>
          </cell>
          <cell r="AG23">
            <v>1948936.0332340065</v>
          </cell>
          <cell r="AH23">
            <v>1997122.1353058096</v>
          </cell>
          <cell r="AI23">
            <v>2047969.7838903009</v>
          </cell>
          <cell r="AJ23">
            <v>2097592.8690238865</v>
          </cell>
          <cell r="AK23">
            <v>2150464.9635717105</v>
          </cell>
          <cell r="AL23">
            <v>2205060.6166250268</v>
          </cell>
          <cell r="AM23">
            <v>2260193.8352617449</v>
          </cell>
          <cell r="AN23">
            <v>2316917.8293058528</v>
          </cell>
          <cell r="AO23">
            <v>2374826.6881317915</v>
          </cell>
          <cell r="AP23">
            <v>2433744.0443240777</v>
          </cell>
          <cell r="AQ23">
            <v>2494831.0199237508</v>
          </cell>
          <cell r="AR23">
            <v>2557451.2786612632</v>
          </cell>
          <cell r="AS23" t="str">
            <v>Miami Fort 5</v>
          </cell>
          <cell r="AT23" t="str">
            <v>A&amp;G</v>
          </cell>
          <cell r="AU23">
            <v>220056.50441778993</v>
          </cell>
          <cell r="AV23">
            <v>224390.18479580843</v>
          </cell>
          <cell r="AW23">
            <v>229124.81769500126</v>
          </cell>
          <cell r="AX23">
            <v>234142.65120252201</v>
          </cell>
          <cell r="AY23">
            <v>239434.2751196973</v>
          </cell>
          <cell r="AZ23">
            <v>245132.81086754656</v>
          </cell>
          <cell r="BA23">
            <v>251275.8637515294</v>
          </cell>
          <cell r="BB23">
            <v>257508.20519487269</v>
          </cell>
          <cell r="BC23">
            <v>264026.27002816944</v>
          </cell>
          <cell r="BD23">
            <v>270547.71889786556</v>
          </cell>
          <cell r="BE23">
            <v>277446.68572976009</v>
          </cell>
          <cell r="BF23">
            <v>284160.89552442171</v>
          </cell>
          <cell r="BG23">
            <v>291321.7500916362</v>
          </cell>
          <cell r="BH23">
            <v>298721.32254396309</v>
          </cell>
          <cell r="BI23">
            <v>306189.35560756206</v>
          </cell>
          <cell r="BJ23">
            <v>313874.7084333119</v>
          </cell>
          <cell r="BK23">
            <v>321721.57614414528</v>
          </cell>
          <cell r="BL23">
            <v>329700.27123251959</v>
          </cell>
          <cell r="BM23">
            <v>337975.74804045644</v>
          </cell>
          <cell r="BN23">
            <v>346458.93931627186</v>
          </cell>
          <cell r="BO23" t="str">
            <v>Miami Fort 5</v>
          </cell>
          <cell r="BP23" t="str">
            <v>Depreciation</v>
          </cell>
          <cell r="BQ23">
            <v>855077.46244407119</v>
          </cell>
          <cell r="BR23">
            <v>805814.90644309996</v>
          </cell>
          <cell r="BS23">
            <v>823308.9042891569</v>
          </cell>
          <cell r="BT23">
            <v>857688.50588821829</v>
          </cell>
          <cell r="BU23">
            <v>895754.08609266614</v>
          </cell>
          <cell r="BV23">
            <v>935518.51336665545</v>
          </cell>
          <cell r="BW23">
            <v>976572.20075875754</v>
          </cell>
          <cell r="BX23">
            <v>1020647.7639753991</v>
          </cell>
          <cell r="BY23">
            <v>1065852.5284903143</v>
          </cell>
          <cell r="BZ23">
            <v>1112349.6061280353</v>
          </cell>
          <cell r="CA23">
            <v>1099434.1475304193</v>
          </cell>
          <cell r="CB23">
            <v>1086839.3130941442</v>
          </cell>
          <cell r="CC23">
            <v>1139826.5746373665</v>
          </cell>
          <cell r="CD23">
            <v>1047640.5345887711</v>
          </cell>
          <cell r="CE23">
            <v>961868.03072101611</v>
          </cell>
          <cell r="CF23">
            <v>922668.7137804504</v>
          </cell>
          <cell r="CG23">
            <v>891467.33112341992</v>
          </cell>
          <cell r="CH23">
            <v>983024.39989369304</v>
          </cell>
          <cell r="CI23">
            <v>1031771.8814707743</v>
          </cell>
          <cell r="CJ23">
            <v>1031771.8814707743</v>
          </cell>
          <cell r="CK23" t="str">
            <v>Miami Fort 5</v>
          </cell>
          <cell r="CL23" t="str">
            <v>Cap Ads exc Env Cap Adds</v>
          </cell>
          <cell r="CM23">
            <v>846388.176841537</v>
          </cell>
          <cell r="CN23">
            <v>863056.51320300705</v>
          </cell>
          <cell r="CO23">
            <v>881267.00563159527</v>
          </cell>
          <cell r="CP23">
            <v>900566.75305492815</v>
          </cell>
          <cell r="CQ23">
            <v>920919.56167396298</v>
          </cell>
          <cell r="CR23">
            <v>942837.44724180514</v>
          </cell>
          <cell r="CS23">
            <v>966465.04845482809</v>
          </cell>
          <cell r="CT23">
            <v>990436.07410408789</v>
          </cell>
          <cell r="CU23">
            <v>1015506.057949305</v>
          </cell>
          <cell r="CV23">
            <v>1040589.0575806542</v>
          </cell>
          <cell r="CW23">
            <v>1066291.6073028976</v>
          </cell>
          <cell r="CX23">
            <v>1093482.0432891175</v>
          </cell>
          <cell r="CY23">
            <v>1121365.8353929857</v>
          </cell>
          <cell r="CZ23">
            <v>1149960.6641955026</v>
          </cell>
          <cell r="DA23">
            <v>1179284.6611324835</v>
          </cell>
          <cell r="DB23">
            <v>1209356.4199913575</v>
          </cell>
          <cell r="DC23">
            <v>1240195.0087011324</v>
          </cell>
          <cell r="DD23">
            <v>1271819.9814230066</v>
          </cell>
          <cell r="DE23">
            <v>1304251.3909492886</v>
          </cell>
          <cell r="DF23">
            <v>1337509.8014184905</v>
          </cell>
          <cell r="DG23" t="str">
            <v>Miami Fort 5</v>
          </cell>
          <cell r="DH23" t="str">
            <v>Env Cap Adds</v>
          </cell>
          <cell r="DI23">
            <v>0</v>
          </cell>
          <cell r="DJ23">
            <v>905436.99968331133</v>
          </cell>
          <cell r="DK23">
            <v>925175.03048976918</v>
          </cell>
          <cell r="DL23">
            <v>0</v>
          </cell>
          <cell r="DM23">
            <v>0</v>
          </cell>
          <cell r="DN23">
            <v>2032089.8494555033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</row>
        <row r="24">
          <cell r="A24" t="str">
            <v>Miami Fort 6</v>
          </cell>
          <cell r="B24" t="str">
            <v>Property Taxes</v>
          </cell>
          <cell r="C24">
            <v>404544.03914502339</v>
          </cell>
          <cell r="D24">
            <v>412510.92278304877</v>
          </cell>
          <cell r="E24">
            <v>421214.9032537734</v>
          </cell>
          <cell r="F24">
            <v>430439.50963503146</v>
          </cell>
          <cell r="G24">
            <v>440167.44255277998</v>
          </cell>
          <cell r="H24">
            <v>450643.42768553708</v>
          </cell>
          <cell r="I24">
            <v>461936.59728733043</v>
          </cell>
          <cell r="J24">
            <v>473393.9117961271</v>
          </cell>
          <cell r="K24">
            <v>485376.49000733416</v>
          </cell>
          <cell r="L24">
            <v>497365.28931051592</v>
          </cell>
          <cell r="M24">
            <v>510048.10418793221</v>
          </cell>
          <cell r="N24">
            <v>522391.26830928272</v>
          </cell>
          <cell r="O24">
            <v>535555.52827067499</v>
          </cell>
          <cell r="P24">
            <v>549158.63868874894</v>
          </cell>
          <cell r="Q24">
            <v>562887.60465596744</v>
          </cell>
          <cell r="R24">
            <v>577016.08353283221</v>
          </cell>
          <cell r="S24">
            <v>591441.48562115419</v>
          </cell>
          <cell r="T24">
            <v>606109.23446455784</v>
          </cell>
          <cell r="U24">
            <v>621322.57624961936</v>
          </cell>
          <cell r="V24">
            <v>636917.77291348472</v>
          </cell>
          <cell r="W24" t="str">
            <v>Miami Fort 6</v>
          </cell>
          <cell r="X24" t="str">
            <v>Fixed O&amp;M inc Env</v>
          </cell>
          <cell r="Y24">
            <v>3091138.2598751793</v>
          </cell>
          <cell r="Z24">
            <v>3152013.5575993047</v>
          </cell>
          <cell r="AA24">
            <v>3273578.8636354888</v>
          </cell>
          <cell r="AB24">
            <v>3350349.2512694057</v>
          </cell>
          <cell r="AC24">
            <v>3426101.011805601</v>
          </cell>
          <cell r="AD24">
            <v>3495090.2029678039</v>
          </cell>
          <cell r="AE24">
            <v>3641979.5008303476</v>
          </cell>
          <cell r="AF24">
            <v>3737902.9392805593</v>
          </cell>
          <cell r="AG24">
            <v>3832482.9766154168</v>
          </cell>
          <cell r="AH24">
            <v>3913294.3156855116</v>
          </cell>
          <cell r="AI24">
            <v>4011737.174171824</v>
          </cell>
          <cell r="AJ24">
            <v>4108873.8817264372</v>
          </cell>
          <cell r="AK24">
            <v>4212428.3003837606</v>
          </cell>
          <cell r="AL24">
            <v>4319401.8365431745</v>
          </cell>
          <cell r="AM24">
            <v>4427392.5569260474</v>
          </cell>
          <cell r="AN24">
            <v>4538514.2934188806</v>
          </cell>
          <cell r="AO24">
            <v>4651965.225782996</v>
          </cell>
          <cell r="AP24">
            <v>4767352.2943921993</v>
          </cell>
          <cell r="AQ24">
            <v>4887012.8370552147</v>
          </cell>
          <cell r="AR24">
            <v>5009676.8593816357</v>
          </cell>
          <cell r="AS24" t="str">
            <v>Miami Fort 6</v>
          </cell>
          <cell r="AT24" t="str">
            <v>A&amp;G</v>
          </cell>
          <cell r="AU24">
            <v>448365.12775124691</v>
          </cell>
          <cell r="AV24">
            <v>457195.00152145966</v>
          </cell>
          <cell r="AW24">
            <v>466841.81605356501</v>
          </cell>
          <cell r="AX24">
            <v>477065.65182513854</v>
          </cell>
          <cell r="AY24">
            <v>487847.33555638319</v>
          </cell>
          <cell r="AZ24">
            <v>499458.10214262607</v>
          </cell>
          <cell r="BA24">
            <v>511974.57239374105</v>
          </cell>
          <cell r="BB24">
            <v>524672.96808455302</v>
          </cell>
          <cell r="BC24">
            <v>537953.52518239513</v>
          </cell>
          <cell r="BD24">
            <v>551240.97725440096</v>
          </cell>
          <cell r="BE24">
            <v>565297.62217438617</v>
          </cell>
          <cell r="BF24">
            <v>578977.82463100913</v>
          </cell>
          <cell r="BG24">
            <v>593568.06581170869</v>
          </cell>
          <cell r="BH24">
            <v>608644.69468332478</v>
          </cell>
          <cell r="BI24">
            <v>623860.81205040764</v>
          </cell>
          <cell r="BJ24">
            <v>639519.71843287291</v>
          </cell>
          <cell r="BK24">
            <v>655507.71139369602</v>
          </cell>
          <cell r="BL24">
            <v>671764.30263625854</v>
          </cell>
          <cell r="BM24">
            <v>688625.58663242997</v>
          </cell>
          <cell r="BN24">
            <v>705910.08885690384</v>
          </cell>
          <cell r="BO24" t="str">
            <v>Miami Fort 6</v>
          </cell>
          <cell r="BP24" t="str">
            <v>Depreciation</v>
          </cell>
          <cell r="BQ24">
            <v>1742220.329729795</v>
          </cell>
          <cell r="BR24">
            <v>1641847.871877816</v>
          </cell>
          <cell r="BS24">
            <v>1677491.8924891574</v>
          </cell>
          <cell r="BT24">
            <v>1747540.3307472446</v>
          </cell>
          <cell r="BU24">
            <v>1825098.9504138073</v>
          </cell>
          <cell r="BV24">
            <v>1906118.9709845602</v>
          </cell>
          <cell r="BW24">
            <v>1989765.8590459684</v>
          </cell>
          <cell r="BX24">
            <v>2079569.8190998756</v>
          </cell>
          <cell r="BY24">
            <v>2171674.5267990152</v>
          </cell>
          <cell r="BZ24">
            <v>2266412.3224858721</v>
          </cell>
          <cell r="CA24">
            <v>2240097.0755932289</v>
          </cell>
          <cell r="CB24">
            <v>2214435.1004293188</v>
          </cell>
          <cell r="CC24">
            <v>2322396.6458236338</v>
          </cell>
          <cell r="CD24">
            <v>2134567.5892246207</v>
          </cell>
          <cell r="CE24">
            <v>1959806.1125940699</v>
          </cell>
          <cell r="CF24">
            <v>1879937.5043276674</v>
          </cell>
          <cell r="CG24">
            <v>1816364.6871639679</v>
          </cell>
          <cell r="CH24">
            <v>2002912.2147833994</v>
          </cell>
          <cell r="CI24">
            <v>2102235.2084967024</v>
          </cell>
          <cell r="CJ24">
            <v>2102235.2084967024</v>
          </cell>
          <cell r="CK24" t="str">
            <v>Miami Fort 6</v>
          </cell>
          <cell r="CL24" t="str">
            <v>Cap Ads exc Env Cap Adds</v>
          </cell>
          <cell r="CM24">
            <v>1724515.9103146316</v>
          </cell>
          <cell r="CN24">
            <v>1758477.6456511267</v>
          </cell>
          <cell r="CO24">
            <v>1795581.5239743753</v>
          </cell>
          <cell r="CP24">
            <v>1834904.759349416</v>
          </cell>
          <cell r="CQ24">
            <v>1876373.6069106993</v>
          </cell>
          <cell r="CR24">
            <v>1921031.2987551778</v>
          </cell>
          <cell r="CS24">
            <v>1969172.5362267119</v>
          </cell>
          <cell r="CT24">
            <v>2018013.5009870788</v>
          </cell>
          <cell r="CU24">
            <v>2069093.5930717089</v>
          </cell>
          <cell r="CV24">
            <v>2120200.2048205826</v>
          </cell>
          <cell r="CW24">
            <v>2172569.1498796539</v>
          </cell>
          <cell r="CX24">
            <v>2227969.6632015766</v>
          </cell>
          <cell r="CY24">
            <v>2284782.8896132084</v>
          </cell>
          <cell r="CZ24">
            <v>2343044.8532983367</v>
          </cell>
          <cell r="DA24">
            <v>2402792.4970574356</v>
          </cell>
          <cell r="DB24">
            <v>2464063.7057323912</v>
          </cell>
          <cell r="DC24">
            <v>2526897.3302285578</v>
          </cell>
          <cell r="DD24">
            <v>2591333.2121493765</v>
          </cell>
          <cell r="DE24">
            <v>2657412.2090591756</v>
          </cell>
          <cell r="DF24">
            <v>2725176.2203901745</v>
          </cell>
          <cell r="DG24" t="str">
            <v>Miami Fort 6</v>
          </cell>
          <cell r="DH24" t="str">
            <v>Env Cap Adds</v>
          </cell>
          <cell r="DI24">
            <v>0</v>
          </cell>
          <cell r="DJ24">
            <v>1844827.8868547468</v>
          </cell>
          <cell r="DK24">
            <v>0</v>
          </cell>
          <cell r="DL24">
            <v>0</v>
          </cell>
          <cell r="DM24">
            <v>76997.497769218957</v>
          </cell>
          <cell r="DN24">
            <v>2021088.551848647</v>
          </cell>
          <cell r="DO24">
            <v>0</v>
          </cell>
          <cell r="DP24">
            <v>0</v>
          </cell>
          <cell r="DQ24">
            <v>73660.221595297291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</row>
        <row r="25">
          <cell r="A25" t="str">
            <v>Miami Fort 7</v>
          </cell>
          <cell r="B25" t="str">
            <v>Property Taxes</v>
          </cell>
          <cell r="C25">
            <v>692880.85317679949</v>
          </cell>
          <cell r="D25">
            <v>706526.09472810652</v>
          </cell>
          <cell r="E25">
            <v>721433.79532687354</v>
          </cell>
          <cell r="F25">
            <v>737233.1954445329</v>
          </cell>
          <cell r="G25">
            <v>753894.66566157388</v>
          </cell>
          <cell r="H25">
            <v>771837.35870432085</v>
          </cell>
          <cell r="I25">
            <v>791179.68050764815</v>
          </cell>
          <cell r="J25">
            <v>810803.1407092805</v>
          </cell>
          <cell r="K25">
            <v>831326.24378548854</v>
          </cell>
          <cell r="L25">
            <v>851860.00200699118</v>
          </cell>
          <cell r="M25">
            <v>873582.43205816625</v>
          </cell>
          <cell r="N25">
            <v>894723.12691397825</v>
          </cell>
          <cell r="O25">
            <v>917270.14971220761</v>
          </cell>
          <cell r="P25">
            <v>940568.81151489564</v>
          </cell>
          <cell r="Q25">
            <v>964083.03180276765</v>
          </cell>
          <cell r="R25">
            <v>988281.51590101724</v>
          </cell>
          <cell r="S25">
            <v>1012988.5537985446</v>
          </cell>
          <cell r="T25">
            <v>1038110.6699327468</v>
          </cell>
          <cell r="U25">
            <v>1064167.2477480606</v>
          </cell>
          <cell r="V25">
            <v>1090877.8456665368</v>
          </cell>
          <cell r="W25" t="str">
            <v>Miami Fort 7</v>
          </cell>
          <cell r="X25" t="str">
            <v>Fixed O&amp;M inc Env</v>
          </cell>
          <cell r="Y25">
            <v>2739348.4364465526</v>
          </cell>
          <cell r="Z25">
            <v>2793295.7651064927</v>
          </cell>
          <cell r="AA25">
            <v>2852234.3057502555</v>
          </cell>
          <cell r="AB25">
            <v>2914698.2370461891</v>
          </cell>
          <cell r="AC25">
            <v>2980570.4172034115</v>
          </cell>
          <cell r="AD25">
            <v>3026794.5555599625</v>
          </cell>
          <cell r="AE25">
            <v>3100374.9174956768</v>
          </cell>
          <cell r="AF25">
            <v>3177266.381382301</v>
          </cell>
          <cell r="AG25">
            <v>3257697.5339015648</v>
          </cell>
          <cell r="AH25">
            <v>3310870.4303857796</v>
          </cell>
          <cell r="AI25">
            <v>3392821.7159066256</v>
          </cell>
          <cell r="AJ25">
            <v>3474899.9540385334</v>
          </cell>
          <cell r="AK25">
            <v>3562461.6832125373</v>
          </cell>
          <cell r="AL25">
            <v>3652960.0016591772</v>
          </cell>
          <cell r="AM25">
            <v>3744280.97986096</v>
          </cell>
          <cell r="AN25">
            <v>3838265.5300301984</v>
          </cell>
          <cell r="AO25">
            <v>3934228.5187165635</v>
          </cell>
          <cell r="AP25">
            <v>4031787.6241210424</v>
          </cell>
          <cell r="AQ25">
            <v>4132985.4934472074</v>
          </cell>
          <cell r="AR25">
            <v>4236723.4292707788</v>
          </cell>
          <cell r="AS25" t="str">
            <v>Miami Fort 7</v>
          </cell>
          <cell r="AT25" t="str">
            <v>A&amp;G</v>
          </cell>
          <cell r="AU25">
            <v>644322.73189878289</v>
          </cell>
          <cell r="AV25">
            <v>657011.69461646618</v>
          </cell>
          <cell r="AW25">
            <v>670874.64137287729</v>
          </cell>
          <cell r="AX25">
            <v>685566.79601894401</v>
          </cell>
          <cell r="AY25">
            <v>701060.60560896713</v>
          </cell>
          <cell r="AZ25">
            <v>717745.84802246199</v>
          </cell>
          <cell r="BA25">
            <v>735732.63113018509</v>
          </cell>
          <cell r="BB25">
            <v>753980.8500388934</v>
          </cell>
          <cell r="BC25">
            <v>773065.66351075377</v>
          </cell>
          <cell r="BD25">
            <v>792160.38539947034</v>
          </cell>
          <cell r="BE25">
            <v>812360.47522715386</v>
          </cell>
          <cell r="BF25">
            <v>832019.59872765501</v>
          </cell>
          <cell r="BG25">
            <v>852986.49261558929</v>
          </cell>
          <cell r="BH25">
            <v>874652.34952802339</v>
          </cell>
          <cell r="BI25">
            <v>896518.6582662235</v>
          </cell>
          <cell r="BJ25">
            <v>919021.27658870595</v>
          </cell>
          <cell r="BK25">
            <v>941996.80850342533</v>
          </cell>
          <cell r="BL25">
            <v>965358.32935430866</v>
          </cell>
          <cell r="BM25">
            <v>989588.82342110365</v>
          </cell>
          <cell r="BN25">
            <v>1014427.5028889732</v>
          </cell>
          <cell r="BO25" t="str">
            <v>Miami Fort 7</v>
          </cell>
          <cell r="BP25" t="str">
            <v>Depreciation</v>
          </cell>
          <cell r="BQ25">
            <v>1360894.5249104204</v>
          </cell>
          <cell r="BR25">
            <v>1317624.0197780998</v>
          </cell>
          <cell r="BS25">
            <v>1404580.4999802723</v>
          </cell>
          <cell r="BT25">
            <v>1495136.8472382571</v>
          </cell>
          <cell r="BU25">
            <v>1589530.5152960797</v>
          </cell>
          <cell r="BV25">
            <v>1690839.4124070788</v>
          </cell>
          <cell r="BW25">
            <v>1812648.0482867761</v>
          </cell>
          <cell r="BX25">
            <v>1946322.035624858</v>
          </cell>
          <cell r="BY25">
            <v>2083804.5357163926</v>
          </cell>
          <cell r="BZ25">
            <v>2224258.0340963509</v>
          </cell>
          <cell r="CA25">
            <v>2239251.0840036143</v>
          </cell>
          <cell r="CB25">
            <v>2252618.0368795348</v>
          </cell>
          <cell r="CC25">
            <v>2412073.320071042</v>
          </cell>
          <cell r="CD25">
            <v>2596058.9659933425</v>
          </cell>
          <cell r="CE25">
            <v>2636543.9783904888</v>
          </cell>
          <cell r="CF25">
            <v>2698901.6120665446</v>
          </cell>
          <cell r="CG25">
            <v>2949486.5527267316</v>
          </cell>
          <cell r="CH25">
            <v>3226928.2624712526</v>
          </cell>
          <cell r="CI25">
            <v>3250943.8485390032</v>
          </cell>
          <cell r="CJ25">
            <v>3127162.3485390032</v>
          </cell>
          <cell r="CK25" t="str">
            <v>Miami Fort 7</v>
          </cell>
          <cell r="CL25" t="str">
            <v>Cap Ads exc Env Cap Adds</v>
          </cell>
          <cell r="CM25">
            <v>2565289.1752530267</v>
          </cell>
          <cell r="CN25">
            <v>2615808.6697444539</v>
          </cell>
          <cell r="CO25">
            <v>2671002.2326760767</v>
          </cell>
          <cell r="CP25">
            <v>2729497.1815716857</v>
          </cell>
          <cell r="CQ25">
            <v>2791183.8178751855</v>
          </cell>
          <cell r="CR25">
            <v>2857613.9927406204</v>
          </cell>
          <cell r="CS25">
            <v>2929226.0866797715</v>
          </cell>
          <cell r="CT25">
            <v>3001879.054077344</v>
          </cell>
          <cell r="CU25">
            <v>3077862.8165418622</v>
          </cell>
          <cell r="CV25">
            <v>3153886.0281104501</v>
          </cell>
          <cell r="CW25">
            <v>3231787.0130047821</v>
          </cell>
          <cell r="CX25">
            <v>3314197.5818363917</v>
          </cell>
          <cell r="CY25">
            <v>3398709.6201732075</v>
          </cell>
          <cell r="CZ25">
            <v>3485376.7154876115</v>
          </cell>
          <cell r="DA25">
            <v>3574253.8217325322</v>
          </cell>
          <cell r="DB25">
            <v>3665397.2941866983</v>
          </cell>
          <cell r="DC25">
            <v>3758864.925188445</v>
          </cell>
          <cell r="DD25">
            <v>3854715.9807807365</v>
          </cell>
          <cell r="DE25">
            <v>3953011.2382906307</v>
          </cell>
          <cell r="DF25">
            <v>4053813.0248670266</v>
          </cell>
          <cell r="DG25" t="str">
            <v>Miami Fort 7</v>
          </cell>
          <cell r="DH25" t="str">
            <v>Env Cap Adds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101061.732688358</v>
          </cell>
          <cell r="DN25">
            <v>0</v>
          </cell>
          <cell r="DO25">
            <v>0</v>
          </cell>
          <cell r="DP25">
            <v>0</v>
          </cell>
          <cell r="DQ25">
            <v>96681.44862241362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</row>
        <row r="26">
          <cell r="A26" t="str">
            <v>Miami Fort 8</v>
          </cell>
          <cell r="B26" t="str">
            <v>Property Taxes</v>
          </cell>
          <cell r="C26">
            <v>692880.85317679949</v>
          </cell>
          <cell r="D26">
            <v>706526.09472810652</v>
          </cell>
          <cell r="E26">
            <v>721433.79532687354</v>
          </cell>
          <cell r="F26">
            <v>737233.1954445329</v>
          </cell>
          <cell r="G26">
            <v>753894.66566157388</v>
          </cell>
          <cell r="H26">
            <v>771837.35870432085</v>
          </cell>
          <cell r="I26">
            <v>791179.68050764815</v>
          </cell>
          <cell r="J26">
            <v>810803.1407092805</v>
          </cell>
          <cell r="K26">
            <v>831326.24378548854</v>
          </cell>
          <cell r="L26">
            <v>851860.00200699118</v>
          </cell>
          <cell r="M26">
            <v>873582.43205816625</v>
          </cell>
          <cell r="N26">
            <v>894723.12691397825</v>
          </cell>
          <cell r="O26">
            <v>917270.14971220761</v>
          </cell>
          <cell r="P26">
            <v>940568.81151489564</v>
          </cell>
          <cell r="Q26">
            <v>964083.03180276765</v>
          </cell>
          <cell r="R26">
            <v>988281.51590101724</v>
          </cell>
          <cell r="S26">
            <v>1012988.5537985446</v>
          </cell>
          <cell r="T26">
            <v>1038110.6699327468</v>
          </cell>
          <cell r="U26">
            <v>1064167.2477480606</v>
          </cell>
          <cell r="V26">
            <v>1090877.8456665368</v>
          </cell>
          <cell r="W26" t="str">
            <v>Miami Fort 8</v>
          </cell>
          <cell r="X26" t="str">
            <v>Fixed O&amp;M inc Env</v>
          </cell>
          <cell r="Y26">
            <v>2739348.4364465526</v>
          </cell>
          <cell r="Z26">
            <v>2793295.7651064927</v>
          </cell>
          <cell r="AA26">
            <v>2852234.3057502555</v>
          </cell>
          <cell r="AB26">
            <v>2914698.2370461891</v>
          </cell>
          <cell r="AC26">
            <v>2980570.4172034115</v>
          </cell>
          <cell r="AD26">
            <v>3026794.5555599625</v>
          </cell>
          <cell r="AE26">
            <v>3100374.9174956768</v>
          </cell>
          <cell r="AF26">
            <v>3177266.381382301</v>
          </cell>
          <cell r="AG26">
            <v>3257697.5339015648</v>
          </cell>
          <cell r="AH26">
            <v>3310870.4303857796</v>
          </cell>
          <cell r="AI26">
            <v>3392821.7159066256</v>
          </cell>
          <cell r="AJ26">
            <v>3474899.9540385334</v>
          </cell>
          <cell r="AK26">
            <v>3562461.6832125373</v>
          </cell>
          <cell r="AL26">
            <v>3652960.0016591772</v>
          </cell>
          <cell r="AM26">
            <v>3744280.97986096</v>
          </cell>
          <cell r="AN26">
            <v>3838265.5300301984</v>
          </cell>
          <cell r="AO26">
            <v>3934228.5187165635</v>
          </cell>
          <cell r="AP26">
            <v>4031787.6241210424</v>
          </cell>
          <cell r="AQ26">
            <v>4132985.4934472074</v>
          </cell>
          <cell r="AR26">
            <v>4236723.4292707788</v>
          </cell>
          <cell r="AS26" t="str">
            <v>Miami Fort 8</v>
          </cell>
          <cell r="AT26" t="str">
            <v>A&amp;G</v>
          </cell>
          <cell r="AU26">
            <v>644322.73189878289</v>
          </cell>
          <cell r="AV26">
            <v>657011.69461646618</v>
          </cell>
          <cell r="AW26">
            <v>670874.64137287729</v>
          </cell>
          <cell r="AX26">
            <v>685566.79601894401</v>
          </cell>
          <cell r="AY26">
            <v>701060.60560896713</v>
          </cell>
          <cell r="AZ26">
            <v>717745.84802246199</v>
          </cell>
          <cell r="BA26">
            <v>735732.63113018509</v>
          </cell>
          <cell r="BB26">
            <v>753980.8500388934</v>
          </cell>
          <cell r="BC26">
            <v>773065.66351075377</v>
          </cell>
          <cell r="BD26">
            <v>792160.38539947034</v>
          </cell>
          <cell r="BE26">
            <v>812360.47522715386</v>
          </cell>
          <cell r="BF26">
            <v>832019.59872765501</v>
          </cell>
          <cell r="BG26">
            <v>852986.49261558929</v>
          </cell>
          <cell r="BH26">
            <v>874652.34952802339</v>
          </cell>
          <cell r="BI26">
            <v>896518.6582662235</v>
          </cell>
          <cell r="BJ26">
            <v>919021.27658870595</v>
          </cell>
          <cell r="BK26">
            <v>941996.80850342533</v>
          </cell>
          <cell r="BL26">
            <v>965358.32935430866</v>
          </cell>
          <cell r="BM26">
            <v>989588.82342110365</v>
          </cell>
          <cell r="BN26">
            <v>1014427.5028889732</v>
          </cell>
          <cell r="BO26" t="str">
            <v>Miami Fort 8</v>
          </cell>
          <cell r="BP26" t="str">
            <v>Depreciation</v>
          </cell>
          <cell r="BQ26">
            <v>1360894.5249104204</v>
          </cell>
          <cell r="BR26">
            <v>1317624.0197780998</v>
          </cell>
          <cell r="BS26">
            <v>1404580.4999802723</v>
          </cell>
          <cell r="BT26">
            <v>1495136.8472382571</v>
          </cell>
          <cell r="BU26">
            <v>1589530.5152960797</v>
          </cell>
          <cell r="BV26">
            <v>1690839.4124070788</v>
          </cell>
          <cell r="BW26">
            <v>1812648.0482867761</v>
          </cell>
          <cell r="BX26">
            <v>1946322.035624858</v>
          </cell>
          <cell r="BY26">
            <v>2083804.5357163926</v>
          </cell>
          <cell r="BZ26">
            <v>2224258.0340963509</v>
          </cell>
          <cell r="CA26">
            <v>2239251.0840036143</v>
          </cell>
          <cell r="CB26">
            <v>2252618.0368795348</v>
          </cell>
          <cell r="CC26">
            <v>2412073.320071042</v>
          </cell>
          <cell r="CD26">
            <v>2596058.9659933425</v>
          </cell>
          <cell r="CE26">
            <v>2636543.9783904888</v>
          </cell>
          <cell r="CF26">
            <v>2698901.6120665446</v>
          </cell>
          <cell r="CG26">
            <v>2949486.5527267316</v>
          </cell>
          <cell r="CH26">
            <v>3226928.2624712526</v>
          </cell>
          <cell r="CI26">
            <v>3250943.8485390032</v>
          </cell>
          <cell r="CJ26">
            <v>3127162.3485390032</v>
          </cell>
          <cell r="CK26" t="str">
            <v>Miami Fort 8</v>
          </cell>
          <cell r="CL26" t="str">
            <v>Cap Ads exc Env Cap Adds</v>
          </cell>
          <cell r="CM26">
            <v>2565289.1752530267</v>
          </cell>
          <cell r="CN26">
            <v>2615808.6697444539</v>
          </cell>
          <cell r="CO26">
            <v>2671002.2326760767</v>
          </cell>
          <cell r="CP26">
            <v>2729497.1815716857</v>
          </cell>
          <cell r="CQ26">
            <v>2791183.8178751855</v>
          </cell>
          <cell r="CR26">
            <v>2857613.9927406204</v>
          </cell>
          <cell r="CS26">
            <v>2929226.0866797715</v>
          </cell>
          <cell r="CT26">
            <v>3001879.054077344</v>
          </cell>
          <cell r="CU26">
            <v>3077862.8165418622</v>
          </cell>
          <cell r="CV26">
            <v>3153886.0281104501</v>
          </cell>
          <cell r="CW26">
            <v>3231787.0130047821</v>
          </cell>
          <cell r="CX26">
            <v>3314197.5818363917</v>
          </cell>
          <cell r="CY26">
            <v>3398709.6201732075</v>
          </cell>
          <cell r="CZ26">
            <v>3485376.7154876115</v>
          </cell>
          <cell r="DA26">
            <v>3574253.8217325322</v>
          </cell>
          <cell r="DB26">
            <v>3665397.2941866983</v>
          </cell>
          <cell r="DC26">
            <v>3758864.925188445</v>
          </cell>
          <cell r="DD26">
            <v>3854715.9807807365</v>
          </cell>
          <cell r="DE26">
            <v>3953011.2382906307</v>
          </cell>
          <cell r="DF26">
            <v>4053813.0248670266</v>
          </cell>
          <cell r="DG26" t="str">
            <v>Miami Fort 8</v>
          </cell>
          <cell r="DH26" t="str">
            <v>Env Cap Adds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101061.732688358</v>
          </cell>
          <cell r="DN26">
            <v>0</v>
          </cell>
          <cell r="DO26">
            <v>0</v>
          </cell>
          <cell r="DP26">
            <v>0</v>
          </cell>
          <cell r="DQ26">
            <v>96681.44862241362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</row>
        <row r="27">
          <cell r="A27" t="str">
            <v>Noblesville 1</v>
          </cell>
          <cell r="B27" t="str">
            <v>Property Taxes</v>
          </cell>
          <cell r="C27">
            <v>161973.90264905797</v>
          </cell>
          <cell r="D27">
            <v>165163.73394042769</v>
          </cell>
          <cell r="E27">
            <v>168648.68872657162</v>
          </cell>
          <cell r="F27">
            <v>172342.09500968372</v>
          </cell>
          <cell r="G27">
            <v>176237.0263569013</v>
          </cell>
          <cell r="H27">
            <v>180431.46758419593</v>
          </cell>
          <cell r="I27">
            <v>184953.09830095561</v>
          </cell>
          <cell r="J27">
            <v>189540.45039441262</v>
          </cell>
          <cell r="K27">
            <v>194338.11089330085</v>
          </cell>
          <cell r="L27">
            <v>199138.26223236564</v>
          </cell>
          <cell r="M27">
            <v>204216.28791929019</v>
          </cell>
          <cell r="N27">
            <v>209158.32208693805</v>
          </cell>
          <cell r="O27">
            <v>214429.11180352821</v>
          </cell>
          <cell r="P27">
            <v>219875.61124333736</v>
          </cell>
          <cell r="Q27">
            <v>225372.50152442069</v>
          </cell>
          <cell r="R27">
            <v>231029.35131268369</v>
          </cell>
          <cell r="S27">
            <v>236805.08509550121</v>
          </cell>
          <cell r="T27">
            <v>242677.85120586926</v>
          </cell>
          <cell r="U27">
            <v>248769.06527113705</v>
          </cell>
          <cell r="V27">
            <v>255013.16880944255</v>
          </cell>
          <cell r="W27" t="str">
            <v>Noblesville 1</v>
          </cell>
          <cell r="X27" t="str">
            <v>Fixed O&amp;M inc Env</v>
          </cell>
          <cell r="Y27">
            <v>1345020.847681548</v>
          </cell>
          <cell r="Z27">
            <v>1371509.0011267054</v>
          </cell>
          <cell r="AA27">
            <v>1410132.0741517521</v>
          </cell>
          <cell r="AB27">
            <v>1451807.0412489334</v>
          </cell>
          <cell r="AC27">
            <v>1485539.8658017954</v>
          </cell>
          <cell r="AD27">
            <v>1520908.5175601204</v>
          </cell>
          <cell r="AE27">
            <v>1580291.1490152089</v>
          </cell>
          <cell r="AF27">
            <v>1617803.9516089808</v>
          </cell>
          <cell r="AG27">
            <v>1658405.5438485844</v>
          </cell>
          <cell r="AH27">
            <v>1699384.5965631634</v>
          </cell>
          <cell r="AI27">
            <v>1742691.5122698243</v>
          </cell>
          <cell r="AJ27">
            <v>1784886.2283419464</v>
          </cell>
          <cell r="AK27">
            <v>1829869.7854617755</v>
          </cell>
          <cell r="AL27">
            <v>1876339.4047224992</v>
          </cell>
          <cell r="AM27">
            <v>1923250.2150391373</v>
          </cell>
          <cell r="AN27">
            <v>1971521.4119626188</v>
          </cell>
          <cell r="AO27">
            <v>2020804.5608264988</v>
          </cell>
          <cell r="AP27">
            <v>2070928.0253401413</v>
          </cell>
          <cell r="AQ27">
            <v>2122908.318806408</v>
          </cell>
          <cell r="AR27">
            <v>2176193.3176561184</v>
          </cell>
          <cell r="AS27" t="str">
            <v>Noblesville 1</v>
          </cell>
          <cell r="AT27" t="str">
            <v>A&amp;G</v>
          </cell>
          <cell r="AU27">
            <v>166863.88844841631</v>
          </cell>
          <cell r="AV27">
            <v>170150.0206219778</v>
          </cell>
          <cell r="AW27">
            <v>173740.18605710246</v>
          </cell>
          <cell r="AX27">
            <v>177545.09613175321</v>
          </cell>
          <cell r="AY27">
            <v>181557.61530432952</v>
          </cell>
          <cell r="AZ27">
            <v>185878.68654857294</v>
          </cell>
          <cell r="BA27">
            <v>190536.82512019863</v>
          </cell>
          <cell r="BB27">
            <v>195262.66919431911</v>
          </cell>
          <cell r="BC27">
            <v>200205.17087642275</v>
          </cell>
          <cell r="BD27">
            <v>205150.23859707065</v>
          </cell>
          <cell r="BE27">
            <v>210381.56968129516</v>
          </cell>
          <cell r="BF27">
            <v>215472.80366758356</v>
          </cell>
          <cell r="BG27">
            <v>220902.71832000598</v>
          </cell>
          <cell r="BH27">
            <v>226513.64736533366</v>
          </cell>
          <cell r="BI27">
            <v>232176.48854946689</v>
          </cell>
          <cell r="BJ27">
            <v>238004.11841205854</v>
          </cell>
          <cell r="BK27">
            <v>243954.22137236045</v>
          </cell>
          <cell r="BL27">
            <v>250004.28606239459</v>
          </cell>
          <cell r="BM27">
            <v>256279.39364256116</v>
          </cell>
          <cell r="BN27">
            <v>262712.00642298942</v>
          </cell>
          <cell r="BO27" t="str">
            <v>Noblesville 1</v>
          </cell>
          <cell r="BP27" t="str">
            <v>Depreciation</v>
          </cell>
          <cell r="BQ27">
            <v>457818.96099672373</v>
          </cell>
          <cell r="BR27">
            <v>448217.75450282224</v>
          </cell>
          <cell r="BS27">
            <v>449111.33572544483</v>
          </cell>
          <cell r="BT27">
            <v>455133.05351013114</v>
          </cell>
          <cell r="BU27">
            <v>464131.60386708949</v>
          </cell>
          <cell r="BV27">
            <v>475558.84896882228</v>
          </cell>
          <cell r="BW27">
            <v>489904.17052658205</v>
          </cell>
          <cell r="BX27">
            <v>496603.77233952016</v>
          </cell>
          <cell r="BY27">
            <v>475610.28058386495</v>
          </cell>
          <cell r="BZ27">
            <v>572117.61041086237</v>
          </cell>
          <cell r="CA27">
            <v>591604.93656814378</v>
          </cell>
          <cell r="CB27">
            <v>611832.36166126048</v>
          </cell>
          <cell r="CC27">
            <v>634267.02844106464</v>
          </cell>
          <cell r="CD27">
            <v>659153.29504672904</v>
          </cell>
          <cell r="CE27">
            <v>300619.65409463219</v>
          </cell>
          <cell r="CF27">
            <v>331167.64491022803</v>
          </cell>
          <cell r="CG27">
            <v>365012.64379605086</v>
          </cell>
          <cell r="CH27">
            <v>402500.82374756888</v>
          </cell>
          <cell r="CI27">
            <v>422460.55363068928</v>
          </cell>
          <cell r="CJ27">
            <v>422460.55363068928</v>
          </cell>
          <cell r="CK27" t="str">
            <v>Noblesville 1</v>
          </cell>
          <cell r="CL27" t="str">
            <v>Cap Ads exc Env Cap Adds</v>
          </cell>
          <cell r="CM27">
            <v>346554.91605881072</v>
          </cell>
          <cell r="CN27">
            <v>353379.79153160547</v>
          </cell>
          <cell r="CO27">
            <v>360836.10513292433</v>
          </cell>
          <cell r="CP27">
            <v>368738.41583533573</v>
          </cell>
          <cell r="CQ27">
            <v>377071.90403321158</v>
          </cell>
          <cell r="CR27">
            <v>386046.2153492028</v>
          </cell>
          <cell r="CS27">
            <v>395720.57231577375</v>
          </cell>
          <cell r="CT27">
            <v>405535.54493592907</v>
          </cell>
          <cell r="CU27">
            <v>415800.48764755391</v>
          </cell>
          <cell r="CV27">
            <v>426070.75969244901</v>
          </cell>
          <cell r="CW27">
            <v>436594.70745685307</v>
          </cell>
          <cell r="CX27">
            <v>447727.87249700114</v>
          </cell>
          <cell r="CY27">
            <v>459144.93324567296</v>
          </cell>
          <cell r="CZ27">
            <v>470853.12904343591</v>
          </cell>
          <cell r="DA27">
            <v>482859.88383404177</v>
          </cell>
          <cell r="DB27">
            <v>495172.81087180797</v>
          </cell>
          <cell r="DC27">
            <v>507799.71754903719</v>
          </cell>
          <cell r="DD27">
            <v>520748.61034653574</v>
          </cell>
          <cell r="DE27">
            <v>534027.6999103704</v>
          </cell>
          <cell r="DF27">
            <v>547645.40625808283</v>
          </cell>
          <cell r="DG27" t="str">
            <v>Noblesville 1</v>
          </cell>
          <cell r="DH27" t="str">
            <v>Env Cap Adds</v>
          </cell>
          <cell r="DI27">
            <v>0</v>
          </cell>
          <cell r="DJ27">
            <v>509308.3123218625</v>
          </cell>
          <cell r="DK27">
            <v>520410.95465049514</v>
          </cell>
          <cell r="DL27">
            <v>0</v>
          </cell>
          <cell r="DM27">
            <v>0</v>
          </cell>
          <cell r="DN27">
            <v>1115938.4642109096</v>
          </cell>
          <cell r="DO27">
            <v>32992.18934727896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</row>
        <row r="28">
          <cell r="A28" t="str">
            <v>Noblesville 2</v>
          </cell>
          <cell r="B28" t="str">
            <v>Property Taxes</v>
          </cell>
          <cell r="C28">
            <v>161973.90264905797</v>
          </cell>
          <cell r="D28">
            <v>165163.73394042769</v>
          </cell>
          <cell r="E28">
            <v>168648.68872657162</v>
          </cell>
          <cell r="F28">
            <v>172342.09500968372</v>
          </cell>
          <cell r="G28">
            <v>176237.0263569013</v>
          </cell>
          <cell r="H28">
            <v>180431.46758419593</v>
          </cell>
          <cell r="I28">
            <v>184953.09830095561</v>
          </cell>
          <cell r="J28">
            <v>189540.45039441262</v>
          </cell>
          <cell r="K28">
            <v>194338.11089330085</v>
          </cell>
          <cell r="L28">
            <v>199138.26223236564</v>
          </cell>
          <cell r="M28">
            <v>204216.28791929019</v>
          </cell>
          <cell r="N28">
            <v>209158.32208693805</v>
          </cell>
          <cell r="O28">
            <v>214429.11180352821</v>
          </cell>
          <cell r="P28">
            <v>219875.61124333736</v>
          </cell>
          <cell r="Q28">
            <v>225372.50152442069</v>
          </cell>
          <cell r="R28">
            <v>231029.35131268369</v>
          </cell>
          <cell r="S28">
            <v>236805.08509550121</v>
          </cell>
          <cell r="T28">
            <v>242677.85120586926</v>
          </cell>
          <cell r="U28">
            <v>248769.06527113705</v>
          </cell>
          <cell r="V28">
            <v>255013.16880944255</v>
          </cell>
          <cell r="W28" t="str">
            <v>Noblesville 2</v>
          </cell>
          <cell r="X28" t="str">
            <v>Fixed O&amp;M inc Env</v>
          </cell>
          <cell r="Y28">
            <v>1345020.847681548</v>
          </cell>
          <cell r="Z28">
            <v>1371509.0011267054</v>
          </cell>
          <cell r="AA28">
            <v>1410132.0741517521</v>
          </cell>
          <cell r="AB28">
            <v>1451807.0412489334</v>
          </cell>
          <cell r="AC28">
            <v>1485539.8658017954</v>
          </cell>
          <cell r="AD28">
            <v>1520908.5175601204</v>
          </cell>
          <cell r="AE28">
            <v>1580291.1490152089</v>
          </cell>
          <cell r="AF28">
            <v>1617803.9516089808</v>
          </cell>
          <cell r="AG28">
            <v>1658405.5438485844</v>
          </cell>
          <cell r="AH28">
            <v>1699384.5965631634</v>
          </cell>
          <cell r="AI28">
            <v>1742691.5122698243</v>
          </cell>
          <cell r="AJ28">
            <v>1784886.2283419464</v>
          </cell>
          <cell r="AK28">
            <v>1829869.7854617755</v>
          </cell>
          <cell r="AL28">
            <v>1876339.4047224992</v>
          </cell>
          <cell r="AM28">
            <v>1923250.2150391373</v>
          </cell>
          <cell r="AN28">
            <v>1971521.4119626188</v>
          </cell>
          <cell r="AO28">
            <v>2020804.5608264988</v>
          </cell>
          <cell r="AP28">
            <v>2070928.0253401413</v>
          </cell>
          <cell r="AQ28">
            <v>2122908.318806408</v>
          </cell>
          <cell r="AR28">
            <v>2176193.3176561184</v>
          </cell>
          <cell r="AS28" t="str">
            <v>Noblesville 2</v>
          </cell>
          <cell r="AT28" t="str">
            <v>A&amp;G</v>
          </cell>
          <cell r="AU28">
            <v>166863.88844841631</v>
          </cell>
          <cell r="AV28">
            <v>170150.0206219778</v>
          </cell>
          <cell r="AW28">
            <v>173740.18605710246</v>
          </cell>
          <cell r="AX28">
            <v>177545.09613175321</v>
          </cell>
          <cell r="AY28">
            <v>181557.61530432952</v>
          </cell>
          <cell r="AZ28">
            <v>185878.68654857294</v>
          </cell>
          <cell r="BA28">
            <v>190536.82512019863</v>
          </cell>
          <cell r="BB28">
            <v>195262.66919431911</v>
          </cell>
          <cell r="BC28">
            <v>200205.17087642275</v>
          </cell>
          <cell r="BD28">
            <v>205150.23859707065</v>
          </cell>
          <cell r="BE28">
            <v>210381.56968129516</v>
          </cell>
          <cell r="BF28">
            <v>215472.80366758356</v>
          </cell>
          <cell r="BG28">
            <v>220902.71832000598</v>
          </cell>
          <cell r="BH28">
            <v>226513.64736533366</v>
          </cell>
          <cell r="BI28">
            <v>232176.48854946689</v>
          </cell>
          <cell r="BJ28">
            <v>238004.11841205854</v>
          </cell>
          <cell r="BK28">
            <v>243954.22137236045</v>
          </cell>
          <cell r="BL28">
            <v>250004.28606239459</v>
          </cell>
          <cell r="BM28">
            <v>256279.39364256116</v>
          </cell>
          <cell r="BN28">
            <v>262712.00642298942</v>
          </cell>
          <cell r="BO28" t="str">
            <v>Noblesville 2</v>
          </cell>
          <cell r="BP28" t="str">
            <v>Depreciation</v>
          </cell>
          <cell r="BQ28">
            <v>457818.96099672373</v>
          </cell>
          <cell r="BR28">
            <v>448217.75450282224</v>
          </cell>
          <cell r="BS28">
            <v>449111.33572544483</v>
          </cell>
          <cell r="BT28">
            <v>455133.05351013114</v>
          </cell>
          <cell r="BU28">
            <v>464131.60386708949</v>
          </cell>
          <cell r="BV28">
            <v>475558.84896882228</v>
          </cell>
          <cell r="BW28">
            <v>489904.17052658205</v>
          </cell>
          <cell r="BX28">
            <v>496603.77233952016</v>
          </cell>
          <cell r="BY28">
            <v>475610.28058386495</v>
          </cell>
          <cell r="BZ28">
            <v>572117.61041086237</v>
          </cell>
          <cell r="CA28">
            <v>591604.93656814378</v>
          </cell>
          <cell r="CB28">
            <v>611832.36166126048</v>
          </cell>
          <cell r="CC28">
            <v>634267.02844106464</v>
          </cell>
          <cell r="CD28">
            <v>659153.29504672904</v>
          </cell>
          <cell r="CE28">
            <v>300619.65409463219</v>
          </cell>
          <cell r="CF28">
            <v>331167.64491022803</v>
          </cell>
          <cell r="CG28">
            <v>365012.64379605086</v>
          </cell>
          <cell r="CH28">
            <v>402500.82374756888</v>
          </cell>
          <cell r="CI28">
            <v>422460.55363068928</v>
          </cell>
          <cell r="CJ28">
            <v>422460.55363068928</v>
          </cell>
          <cell r="CK28" t="str">
            <v>Noblesville 2</v>
          </cell>
          <cell r="CL28" t="str">
            <v>Cap Ads exc Env Cap Adds</v>
          </cell>
          <cell r="CM28">
            <v>346554.91605881072</v>
          </cell>
          <cell r="CN28">
            <v>353379.79153160547</v>
          </cell>
          <cell r="CO28">
            <v>360836.10513292433</v>
          </cell>
          <cell r="CP28">
            <v>368738.41583533573</v>
          </cell>
          <cell r="CQ28">
            <v>377071.90403321158</v>
          </cell>
          <cell r="CR28">
            <v>386046.2153492028</v>
          </cell>
          <cell r="CS28">
            <v>395720.57231577375</v>
          </cell>
          <cell r="CT28">
            <v>405535.54493592907</v>
          </cell>
          <cell r="CU28">
            <v>415800.48764755391</v>
          </cell>
          <cell r="CV28">
            <v>426070.75969244901</v>
          </cell>
          <cell r="CW28">
            <v>436594.70745685307</v>
          </cell>
          <cell r="CX28">
            <v>447727.87249700114</v>
          </cell>
          <cell r="CY28">
            <v>459144.93324567296</v>
          </cell>
          <cell r="CZ28">
            <v>470853.12904343591</v>
          </cell>
          <cell r="DA28">
            <v>482859.88383404177</v>
          </cell>
          <cell r="DB28">
            <v>495172.81087180797</v>
          </cell>
          <cell r="DC28">
            <v>507799.71754903719</v>
          </cell>
          <cell r="DD28">
            <v>520748.61034653574</v>
          </cell>
          <cell r="DE28">
            <v>534027.6999103704</v>
          </cell>
          <cell r="DF28">
            <v>547645.40625808283</v>
          </cell>
          <cell r="DG28" t="str">
            <v>Noblesville 2</v>
          </cell>
          <cell r="DH28" t="str">
            <v>Env Cap Adds</v>
          </cell>
          <cell r="DI28">
            <v>0</v>
          </cell>
          <cell r="DJ28">
            <v>509308.3123218625</v>
          </cell>
          <cell r="DK28">
            <v>520410.95465049514</v>
          </cell>
          <cell r="DL28">
            <v>0</v>
          </cell>
          <cell r="DM28">
            <v>0</v>
          </cell>
          <cell r="DN28">
            <v>1115938.4642109096</v>
          </cell>
          <cell r="DO28">
            <v>32992.18934727896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</row>
        <row r="29">
          <cell r="A29" t="str">
            <v>Wabash River 1</v>
          </cell>
          <cell r="B29" t="str">
            <v>Property Taxes</v>
          </cell>
          <cell r="C29">
            <v>843893.09459698212</v>
          </cell>
          <cell r="D29">
            <v>860512.29408338736</v>
          </cell>
          <cell r="E29">
            <v>878669.10348855157</v>
          </cell>
          <cell r="F29">
            <v>897911.9568549518</v>
          </cell>
          <cell r="G29">
            <v>918204.76707986707</v>
          </cell>
          <cell r="H29">
            <v>940058.04053636978</v>
          </cell>
          <cell r="I29">
            <v>963615.98953793582</v>
          </cell>
          <cell r="J29">
            <v>987516.35058894416</v>
          </cell>
          <cell r="K29">
            <v>1012512.4301981678</v>
          </cell>
          <cell r="L29">
            <v>1037521.4872240638</v>
          </cell>
          <cell r="M29">
            <v>1063978.2851482735</v>
          </cell>
          <cell r="N29">
            <v>1089726.5596488672</v>
          </cell>
          <cell r="O29">
            <v>1117187.668952015</v>
          </cell>
          <cell r="P29">
            <v>1145564.2357433939</v>
          </cell>
          <cell r="Q29">
            <v>1174203.3416369781</v>
          </cell>
          <cell r="R29">
            <v>1203675.8455120665</v>
          </cell>
          <cell r="S29">
            <v>1233767.7416498703</v>
          </cell>
          <cell r="T29">
            <v>1264365.1816427852</v>
          </cell>
          <cell r="U29">
            <v>1296100.7477020214</v>
          </cell>
          <cell r="V29">
            <v>1328632.876469342</v>
          </cell>
          <cell r="W29" t="str">
            <v>Wabash River 1</v>
          </cell>
          <cell r="X29" t="str">
            <v>Fixed O&amp;M inc Env</v>
          </cell>
          <cell r="Y29">
            <v>5177166.139970406</v>
          </cell>
          <cell r="Z29">
            <v>5279122.6050787279</v>
          </cell>
          <cell r="AA29">
            <v>5390512.0920459181</v>
          </cell>
          <cell r="AB29">
            <v>5508564.3068617294</v>
          </cell>
          <cell r="AC29">
            <v>5633057.8601967636</v>
          </cell>
          <cell r="AD29">
            <v>5767124.6372694587</v>
          </cell>
          <cell r="AE29">
            <v>5911649.3604588369</v>
          </cell>
          <cell r="AF29">
            <v>6058274.7336945795</v>
          </cell>
          <cell r="AG29">
            <v>6211622.1870786827</v>
          </cell>
          <cell r="AH29">
            <v>6365049.2550995341</v>
          </cell>
          <cell r="AI29">
            <v>6527358.0111045483</v>
          </cell>
          <cell r="AJ29">
            <v>6685320.0749733113</v>
          </cell>
          <cell r="AK29">
            <v>6853790.1408626167</v>
          </cell>
          <cell r="AL29">
            <v>7027876.410440512</v>
          </cell>
          <cell r="AM29">
            <v>7203573.3207015218</v>
          </cell>
          <cell r="AN29">
            <v>7384383.0110511314</v>
          </cell>
          <cell r="AO29">
            <v>7568992.5863274233</v>
          </cell>
          <cell r="AP29">
            <v>7756703.6024683313</v>
          </cell>
          <cell r="AQ29">
            <v>7951396.8628903013</v>
          </cell>
          <cell r="AR29">
            <v>8150976.9241488464</v>
          </cell>
          <cell r="AS29" t="str">
            <v>Wabash River 1</v>
          </cell>
          <cell r="AT29" t="str">
            <v>A&amp;G</v>
          </cell>
          <cell r="AU29">
            <v>906518.27063584293</v>
          </cell>
          <cell r="AV29">
            <v>924370.77834591374</v>
          </cell>
          <cell r="AW29">
            <v>943875.00176901766</v>
          </cell>
          <cell r="AX29">
            <v>964545.86430776014</v>
          </cell>
          <cell r="AY29">
            <v>986344.60084110848</v>
          </cell>
          <cell r="AZ29">
            <v>1009819.6023411289</v>
          </cell>
          <cell r="BA29">
            <v>1035125.7830947773</v>
          </cell>
          <cell r="BB29">
            <v>1060799.786243102</v>
          </cell>
          <cell r="BC29">
            <v>1087650.8210543902</v>
          </cell>
          <cell r="BD29">
            <v>1114515.796334435</v>
          </cell>
          <cell r="BE29">
            <v>1142935.9491409587</v>
          </cell>
          <cell r="BF29">
            <v>1170594.9991101758</v>
          </cell>
          <cell r="BG29">
            <v>1200093.9930877483</v>
          </cell>
          <cell r="BH29">
            <v>1230576.3805121745</v>
          </cell>
          <cell r="BI29">
            <v>1261340.7900249783</v>
          </cell>
          <cell r="BJ29">
            <v>1293000.4438546055</v>
          </cell>
          <cell r="BK29">
            <v>1325325.4549509732</v>
          </cell>
          <cell r="BL29">
            <v>1358193.5262337551</v>
          </cell>
          <cell r="BM29">
            <v>1392284.1837422249</v>
          </cell>
          <cell r="BN29">
            <v>1427230.5167541546</v>
          </cell>
          <cell r="BO29" t="str">
            <v>Wabash River 1</v>
          </cell>
          <cell r="BP29" t="str">
            <v>Depreciation</v>
          </cell>
          <cell r="BQ29">
            <v>7004586.2846037559</v>
          </cell>
          <cell r="BR29">
            <v>6531947.2846037559</v>
          </cell>
          <cell r="BS29">
            <v>6418782.2846037559</v>
          </cell>
          <cell r="BT29">
            <v>6368501.2846037559</v>
          </cell>
          <cell r="BU29">
            <v>6320217.2846037559</v>
          </cell>
          <cell r="BV29">
            <v>6273207.2846037559</v>
          </cell>
          <cell r="BW29">
            <v>6200870.2846037559</v>
          </cell>
          <cell r="BX29">
            <v>6129127.2846037559</v>
          </cell>
          <cell r="BY29">
            <v>6060396.2846037559</v>
          </cell>
          <cell r="BZ29">
            <v>2675554.4</v>
          </cell>
          <cell r="CA29">
            <v>2675554.4</v>
          </cell>
          <cell r="CB29">
            <v>2675554.4</v>
          </cell>
          <cell r="CC29">
            <v>2675554.4</v>
          </cell>
          <cell r="CD29">
            <v>2675554.3999999757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 t="str">
            <v>Wabash River 1</v>
          </cell>
          <cell r="CL29" t="str">
            <v>Cap Ads exc Env Cap Adds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 t="str">
            <v>Wabash River 1</v>
          </cell>
          <cell r="DH29" t="str">
            <v>Env Cap Adds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</row>
        <row r="30">
          <cell r="A30" t="str">
            <v>Wabash River 2</v>
          </cell>
          <cell r="B30" t="str">
            <v>Property Taxes</v>
          </cell>
          <cell r="C30">
            <v>206942.42063559275</v>
          </cell>
          <cell r="D30">
            <v>211017.8389471799</v>
          </cell>
          <cell r="E30">
            <v>215470.3153489666</v>
          </cell>
          <cell r="F30">
            <v>220189.11525510918</v>
          </cell>
          <cell r="G30">
            <v>225165.38925987302</v>
          </cell>
          <cell r="H30">
            <v>230524.32552425846</v>
          </cell>
          <cell r="I30">
            <v>236301.28829692118</v>
          </cell>
          <cell r="J30">
            <v>242162.21855174497</v>
          </cell>
          <cell r="K30">
            <v>248291.84474948398</v>
          </cell>
          <cell r="L30">
            <v>254424.65331479657</v>
          </cell>
          <cell r="M30">
            <v>260912.4819743229</v>
          </cell>
          <cell r="N30">
            <v>267226.56403810286</v>
          </cell>
          <cell r="O30">
            <v>273960.67345186218</v>
          </cell>
          <cell r="P30">
            <v>280919.27455753885</v>
          </cell>
          <cell r="Q30">
            <v>287942.25642147718</v>
          </cell>
          <cell r="R30">
            <v>295169.60705765634</v>
          </cell>
          <cell r="S30">
            <v>302548.8472340983</v>
          </cell>
          <cell r="T30">
            <v>310052.05864550342</v>
          </cell>
          <cell r="U30">
            <v>317834.36531750613</v>
          </cell>
          <cell r="V30">
            <v>325812.00788697554</v>
          </cell>
          <cell r="W30" t="str">
            <v>Wabash River 2</v>
          </cell>
          <cell r="X30" t="str">
            <v>Fixed O&amp;M inc Env</v>
          </cell>
          <cell r="Y30">
            <v>1979928.439347717</v>
          </cell>
          <cell r="Z30">
            <v>2018920.1385487171</v>
          </cell>
          <cell r="AA30">
            <v>2086398.054958991</v>
          </cell>
          <cell r="AB30">
            <v>2159817.4771593488</v>
          </cell>
          <cell r="AC30">
            <v>2210997.923801383</v>
          </cell>
          <cell r="AD30">
            <v>2257088.0581934494</v>
          </cell>
          <cell r="AE30">
            <v>2367686.1675333772</v>
          </cell>
          <cell r="AF30">
            <v>2431466.4801122649</v>
          </cell>
          <cell r="AG30">
            <v>2485910.4164271243</v>
          </cell>
          <cell r="AH30">
            <v>2546702.2806973248</v>
          </cell>
          <cell r="AI30">
            <v>2611575.8459287346</v>
          </cell>
          <cell r="AJ30">
            <v>2674829.0401736391</v>
          </cell>
          <cell r="AK30">
            <v>2742245.6089440947</v>
          </cell>
          <cell r="AL30">
            <v>2811876.3404264948</v>
          </cell>
          <cell r="AM30">
            <v>2882178.9655150711</v>
          </cell>
          <cell r="AN30">
            <v>2954515.797699518</v>
          </cell>
          <cell r="AO30">
            <v>3028366.6791788302</v>
          </cell>
          <cell r="AP30">
            <v>3103488.6398614561</v>
          </cell>
          <cell r="AQ30">
            <v>3181386.2047962938</v>
          </cell>
          <cell r="AR30">
            <v>3261238.9986538789</v>
          </cell>
          <cell r="AS30" t="str">
            <v>Wabash River 2</v>
          </cell>
          <cell r="AT30" t="str">
            <v>A&amp;G</v>
          </cell>
          <cell r="AU30">
            <v>282410.14849619288</v>
          </cell>
          <cell r="AV30">
            <v>287971.78968616494</v>
          </cell>
          <cell r="AW30">
            <v>294047.99444854463</v>
          </cell>
          <cell r="AX30">
            <v>300487.64552696806</v>
          </cell>
          <cell r="AY30">
            <v>307278.66631587531</v>
          </cell>
          <cell r="AZ30">
            <v>314591.89857419376</v>
          </cell>
          <cell r="BA30">
            <v>322475.60317895212</v>
          </cell>
          <cell r="BB30">
            <v>330473.8965134311</v>
          </cell>
          <cell r="BC30">
            <v>338838.87378301611</v>
          </cell>
          <cell r="BD30">
            <v>347208.19396545703</v>
          </cell>
          <cell r="BE30">
            <v>356062.00291157491</v>
          </cell>
          <cell r="BF30">
            <v>364678.70338203677</v>
          </cell>
          <cell r="BG30">
            <v>373868.60670726292</v>
          </cell>
          <cell r="BH30">
            <v>383364.86931762658</v>
          </cell>
          <cell r="BI30">
            <v>392948.99105056707</v>
          </cell>
          <cell r="BJ30">
            <v>402812.01072593639</v>
          </cell>
          <cell r="BK30">
            <v>412882.31099408551</v>
          </cell>
          <cell r="BL30">
            <v>423121.79230673821</v>
          </cell>
          <cell r="BM30">
            <v>433742.14929363813</v>
          </cell>
          <cell r="BN30">
            <v>444629.07724090834</v>
          </cell>
          <cell r="BO30" t="str">
            <v>Wabash River 2</v>
          </cell>
          <cell r="BP30" t="str">
            <v>Depreciation</v>
          </cell>
          <cell r="BQ30">
            <v>896378.81125027302</v>
          </cell>
          <cell r="BR30">
            <v>894639.83461010375</v>
          </cell>
          <cell r="BS30">
            <v>913070.3148906352</v>
          </cell>
          <cell r="BT30">
            <v>941553.93838552129</v>
          </cell>
          <cell r="BU30">
            <v>976047.13729980821</v>
          </cell>
          <cell r="BV30">
            <v>1015544.2740356707</v>
          </cell>
          <cell r="BW30">
            <v>1061002.2180182515</v>
          </cell>
          <cell r="BX30">
            <v>1092473.6564713155</v>
          </cell>
          <cell r="BY30">
            <v>1072112.2061022504</v>
          </cell>
          <cell r="BZ30">
            <v>1274173.2872527686</v>
          </cell>
          <cell r="CA30">
            <v>1331256.2604320501</v>
          </cell>
          <cell r="CB30">
            <v>1390507.157900345</v>
          </cell>
          <cell r="CC30">
            <v>1456223.5867085715</v>
          </cell>
          <cell r="CD30">
            <v>1529121.3294629201</v>
          </cell>
          <cell r="CE30">
            <v>880585.84914877324</v>
          </cell>
          <cell r="CF30">
            <v>970068.11707684584</v>
          </cell>
          <cell r="CG30">
            <v>1069208.0990353432</v>
          </cell>
          <cell r="CH30">
            <v>1179019.8173511981</v>
          </cell>
          <cell r="CI30">
            <v>1237486.5724302751</v>
          </cell>
          <cell r="CJ30">
            <v>1237486.5724302751</v>
          </cell>
          <cell r="CK30" t="str">
            <v>Wabash River 2</v>
          </cell>
          <cell r="CL30" t="str">
            <v>Cap Ads exc Env Cap Adds</v>
          </cell>
          <cell r="CM30">
            <v>1015141.0623946253</v>
          </cell>
          <cell r="CN30">
            <v>1035132.7318736066</v>
          </cell>
          <cell r="CO30">
            <v>1056974.0325161454</v>
          </cell>
          <cell r="CP30">
            <v>1080121.7638282501</v>
          </cell>
          <cell r="CQ30">
            <v>1104532.5156907607</v>
          </cell>
          <cell r="CR30">
            <v>1130820.3895642031</v>
          </cell>
          <cell r="CS30">
            <v>1159158.8622100884</v>
          </cell>
          <cell r="CT30">
            <v>1187909.2312607116</v>
          </cell>
          <cell r="CU30">
            <v>1217977.6688064958</v>
          </cell>
          <cell r="CV30">
            <v>1248061.7172260177</v>
          </cell>
          <cell r="CW30">
            <v>1278888.841641502</v>
          </cell>
          <cell r="CX30">
            <v>1311500.5071033556</v>
          </cell>
          <cell r="CY30">
            <v>1344943.7700344862</v>
          </cell>
          <cell r="CZ30">
            <v>1379239.8361703604</v>
          </cell>
          <cell r="DA30">
            <v>1414410.4519926994</v>
          </cell>
          <cell r="DB30">
            <v>1450477.9185185079</v>
          </cell>
          <cell r="DC30">
            <v>1487465.1054407242</v>
          </cell>
          <cell r="DD30">
            <v>1525395.465629457</v>
          </cell>
          <cell r="DE30">
            <v>1564293.0500030024</v>
          </cell>
          <cell r="DF30">
            <v>1604182.5227780731</v>
          </cell>
          <cell r="DG30" t="str">
            <v>Wabash River 2</v>
          </cell>
          <cell r="DH30" t="str">
            <v>Env Cap Adds</v>
          </cell>
          <cell r="DI30">
            <v>0</v>
          </cell>
          <cell r="DJ30">
            <v>962026.81216351804</v>
          </cell>
          <cell r="DK30">
            <v>982998.4698953795</v>
          </cell>
          <cell r="DL30">
            <v>0</v>
          </cell>
          <cell r="DM30">
            <v>50731.582041413501</v>
          </cell>
          <cell r="DN30">
            <v>2107883.7657317175</v>
          </cell>
          <cell r="DO30">
            <v>0</v>
          </cell>
          <cell r="DP30">
            <v>49013.137557959737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</row>
        <row r="31">
          <cell r="A31" t="str">
            <v>Wabash River 3</v>
          </cell>
          <cell r="B31" t="str">
            <v>Property Taxes</v>
          </cell>
          <cell r="C31">
            <v>206942.42063559275</v>
          </cell>
          <cell r="D31">
            <v>211017.8389471799</v>
          </cell>
          <cell r="E31">
            <v>215470.3153489666</v>
          </cell>
          <cell r="F31">
            <v>220189.11525510918</v>
          </cell>
          <cell r="G31">
            <v>225165.38925987302</v>
          </cell>
          <cell r="H31">
            <v>230524.32552425846</v>
          </cell>
          <cell r="I31">
            <v>236301.28829692118</v>
          </cell>
          <cell r="J31">
            <v>242162.21855174497</v>
          </cell>
          <cell r="K31">
            <v>248291.84474948398</v>
          </cell>
          <cell r="L31">
            <v>254424.65331479657</v>
          </cell>
          <cell r="M31">
            <v>260912.4819743229</v>
          </cell>
          <cell r="N31">
            <v>267226.56403810286</v>
          </cell>
          <cell r="O31">
            <v>273960.67345186218</v>
          </cell>
          <cell r="P31">
            <v>280919.27455753885</v>
          </cell>
          <cell r="Q31">
            <v>287942.25642147718</v>
          </cell>
          <cell r="R31">
            <v>295169.60705765634</v>
          </cell>
          <cell r="S31">
            <v>302548.8472340983</v>
          </cell>
          <cell r="T31">
            <v>310052.05864550342</v>
          </cell>
          <cell r="U31">
            <v>317834.36531750613</v>
          </cell>
          <cell r="V31">
            <v>325812.00788697554</v>
          </cell>
          <cell r="W31" t="str">
            <v>Wabash River 3</v>
          </cell>
          <cell r="X31" t="str">
            <v>Fixed O&amp;M inc Env</v>
          </cell>
          <cell r="Y31">
            <v>1979928.439347717</v>
          </cell>
          <cell r="Z31">
            <v>2018920.1385487171</v>
          </cell>
          <cell r="AA31">
            <v>2086398.054958991</v>
          </cell>
          <cell r="AB31">
            <v>2159817.4771593488</v>
          </cell>
          <cell r="AC31">
            <v>2210997.923801383</v>
          </cell>
          <cell r="AD31">
            <v>2257088.0581934494</v>
          </cell>
          <cell r="AE31">
            <v>2367686.1675333772</v>
          </cell>
          <cell r="AF31">
            <v>2431466.4801122649</v>
          </cell>
          <cell r="AG31">
            <v>2485910.4164271243</v>
          </cell>
          <cell r="AH31">
            <v>2546702.2806973248</v>
          </cell>
          <cell r="AI31">
            <v>2611575.8459287346</v>
          </cell>
          <cell r="AJ31">
            <v>2674829.0401736391</v>
          </cell>
          <cell r="AK31">
            <v>2742245.6089440947</v>
          </cell>
          <cell r="AL31">
            <v>2811876.3404264948</v>
          </cell>
          <cell r="AM31">
            <v>2882178.9655150711</v>
          </cell>
          <cell r="AN31">
            <v>2954515.797699518</v>
          </cell>
          <cell r="AO31">
            <v>3028366.6791788302</v>
          </cell>
          <cell r="AP31">
            <v>3103488.6398614561</v>
          </cell>
          <cell r="AQ31">
            <v>3181386.2047962938</v>
          </cell>
          <cell r="AR31">
            <v>3261238.9986538789</v>
          </cell>
          <cell r="AS31" t="str">
            <v>Wabash River 3</v>
          </cell>
          <cell r="AT31" t="str">
            <v>A&amp;G</v>
          </cell>
          <cell r="AU31">
            <v>282410.14849619288</v>
          </cell>
          <cell r="AV31">
            <v>287971.78968616494</v>
          </cell>
          <cell r="AW31">
            <v>294047.99444854463</v>
          </cell>
          <cell r="AX31">
            <v>300487.64552696806</v>
          </cell>
          <cell r="AY31">
            <v>307278.66631587531</v>
          </cell>
          <cell r="AZ31">
            <v>314591.89857419376</v>
          </cell>
          <cell r="BA31">
            <v>322475.60317895212</v>
          </cell>
          <cell r="BB31">
            <v>330473.8965134311</v>
          </cell>
          <cell r="BC31">
            <v>338838.87378301611</v>
          </cell>
          <cell r="BD31">
            <v>347208.19396545703</v>
          </cell>
          <cell r="BE31">
            <v>356062.00291157491</v>
          </cell>
          <cell r="BF31">
            <v>364678.70338203677</v>
          </cell>
          <cell r="BG31">
            <v>373868.60670726292</v>
          </cell>
          <cell r="BH31">
            <v>383364.86931762658</v>
          </cell>
          <cell r="BI31">
            <v>392948.99105056707</v>
          </cell>
          <cell r="BJ31">
            <v>402812.01072593639</v>
          </cell>
          <cell r="BK31">
            <v>412882.31099408551</v>
          </cell>
          <cell r="BL31">
            <v>423121.79230673821</v>
          </cell>
          <cell r="BM31">
            <v>433742.14929363813</v>
          </cell>
          <cell r="BN31">
            <v>444629.07724090834</v>
          </cell>
          <cell r="BO31" t="str">
            <v>Wabash River 3</v>
          </cell>
          <cell r="BP31" t="str">
            <v>Depreciation</v>
          </cell>
          <cell r="BQ31">
            <v>896378.81125027302</v>
          </cell>
          <cell r="BR31">
            <v>894639.83461010375</v>
          </cell>
          <cell r="BS31">
            <v>913070.3148906352</v>
          </cell>
          <cell r="BT31">
            <v>941553.93838552129</v>
          </cell>
          <cell r="BU31">
            <v>976047.13729980821</v>
          </cell>
          <cell r="BV31">
            <v>1015544.2740356707</v>
          </cell>
          <cell r="BW31">
            <v>1061002.2180182515</v>
          </cell>
          <cell r="BX31">
            <v>1092473.6564713155</v>
          </cell>
          <cell r="BY31">
            <v>1072112.2061022504</v>
          </cell>
          <cell r="BZ31">
            <v>1274173.2872527686</v>
          </cell>
          <cell r="CA31">
            <v>1331256.2604320501</v>
          </cell>
          <cell r="CB31">
            <v>1390507.157900345</v>
          </cell>
          <cell r="CC31">
            <v>1456223.5867085715</v>
          </cell>
          <cell r="CD31">
            <v>1529121.3294629201</v>
          </cell>
          <cell r="CE31">
            <v>880585.84914877324</v>
          </cell>
          <cell r="CF31">
            <v>970068.11707684584</v>
          </cell>
          <cell r="CG31">
            <v>1069208.0990353432</v>
          </cell>
          <cell r="CH31">
            <v>1179019.8173511981</v>
          </cell>
          <cell r="CI31">
            <v>1237486.5724302751</v>
          </cell>
          <cell r="CJ31">
            <v>1237486.5724302751</v>
          </cell>
          <cell r="CK31" t="str">
            <v>Wabash River 3</v>
          </cell>
          <cell r="CL31" t="str">
            <v>Cap Ads exc Env Cap Adds</v>
          </cell>
          <cell r="CM31">
            <v>1015141.0623946253</v>
          </cell>
          <cell r="CN31">
            <v>1035132.7318736066</v>
          </cell>
          <cell r="CO31">
            <v>1056974.0325161454</v>
          </cell>
          <cell r="CP31">
            <v>1080121.7638282501</v>
          </cell>
          <cell r="CQ31">
            <v>1104532.5156907607</v>
          </cell>
          <cell r="CR31">
            <v>1130820.3895642031</v>
          </cell>
          <cell r="CS31">
            <v>1159158.8622100884</v>
          </cell>
          <cell r="CT31">
            <v>1187909.2312607116</v>
          </cell>
          <cell r="CU31">
            <v>1217977.6688064958</v>
          </cell>
          <cell r="CV31">
            <v>1248061.7172260177</v>
          </cell>
          <cell r="CW31">
            <v>1278888.841641502</v>
          </cell>
          <cell r="CX31">
            <v>1311500.5071033556</v>
          </cell>
          <cell r="CY31">
            <v>1344943.7700344862</v>
          </cell>
          <cell r="CZ31">
            <v>1379239.8361703604</v>
          </cell>
          <cell r="DA31">
            <v>1414410.4519926994</v>
          </cell>
          <cell r="DB31">
            <v>1450477.9185185079</v>
          </cell>
          <cell r="DC31">
            <v>1487465.1054407242</v>
          </cell>
          <cell r="DD31">
            <v>1525395.465629457</v>
          </cell>
          <cell r="DE31">
            <v>1564293.0500030024</v>
          </cell>
          <cell r="DF31">
            <v>1604182.5227780731</v>
          </cell>
          <cell r="DG31" t="str">
            <v>Wabash River 3</v>
          </cell>
          <cell r="DH31" t="str">
            <v>Env Cap Adds</v>
          </cell>
          <cell r="DI31">
            <v>0</v>
          </cell>
          <cell r="DJ31">
            <v>962026.81216351804</v>
          </cell>
          <cell r="DK31">
            <v>982998.4698953795</v>
          </cell>
          <cell r="DL31">
            <v>0</v>
          </cell>
          <cell r="DM31">
            <v>50731.582041413501</v>
          </cell>
          <cell r="DN31">
            <v>2107883.7657317175</v>
          </cell>
          <cell r="DO31">
            <v>0</v>
          </cell>
          <cell r="DP31">
            <v>49013.137557959737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</row>
        <row r="32">
          <cell r="A32" t="str">
            <v>Wabash River 4</v>
          </cell>
          <cell r="B32" t="str">
            <v>Property Taxes</v>
          </cell>
          <cell r="C32">
            <v>206942.42063559275</v>
          </cell>
          <cell r="D32">
            <v>211017.8389471799</v>
          </cell>
          <cell r="E32">
            <v>215470.3153489666</v>
          </cell>
          <cell r="F32">
            <v>220189.11525510918</v>
          </cell>
          <cell r="G32">
            <v>225165.38925987302</v>
          </cell>
          <cell r="H32">
            <v>230524.32552425846</v>
          </cell>
          <cell r="I32">
            <v>236301.28829692118</v>
          </cell>
          <cell r="J32">
            <v>242162.21855174497</v>
          </cell>
          <cell r="K32">
            <v>248291.84474948398</v>
          </cell>
          <cell r="L32">
            <v>254424.65331479657</v>
          </cell>
          <cell r="M32">
            <v>260912.4819743229</v>
          </cell>
          <cell r="N32">
            <v>267226.56403810286</v>
          </cell>
          <cell r="O32">
            <v>273960.67345186218</v>
          </cell>
          <cell r="P32">
            <v>280919.27455753885</v>
          </cell>
          <cell r="Q32">
            <v>287942.25642147718</v>
          </cell>
          <cell r="R32">
            <v>295169.60705765634</v>
          </cell>
          <cell r="S32">
            <v>302548.8472340983</v>
          </cell>
          <cell r="T32">
            <v>310052.05864550342</v>
          </cell>
          <cell r="U32">
            <v>317834.36531750613</v>
          </cell>
          <cell r="V32">
            <v>325812.00788697554</v>
          </cell>
          <cell r="W32" t="str">
            <v>Wabash River 4</v>
          </cell>
          <cell r="X32" t="str">
            <v>Fixed O&amp;M inc Env</v>
          </cell>
          <cell r="Y32">
            <v>1979928.439347717</v>
          </cell>
          <cell r="Z32">
            <v>2018920.1385487171</v>
          </cell>
          <cell r="AA32">
            <v>2086398.054958991</v>
          </cell>
          <cell r="AB32">
            <v>2159817.4771593488</v>
          </cell>
          <cell r="AC32">
            <v>2210997.923801383</v>
          </cell>
          <cell r="AD32">
            <v>2257088.0581934494</v>
          </cell>
          <cell r="AE32">
            <v>2367686.1675333772</v>
          </cell>
          <cell r="AF32">
            <v>2431466.4801122649</v>
          </cell>
          <cell r="AG32">
            <v>2485910.4164271243</v>
          </cell>
          <cell r="AH32">
            <v>2546702.2806973248</v>
          </cell>
          <cell r="AI32">
            <v>2611575.8459287346</v>
          </cell>
          <cell r="AJ32">
            <v>2674829.0401736391</v>
          </cell>
          <cell r="AK32">
            <v>2742245.6089440947</v>
          </cell>
          <cell r="AL32">
            <v>2811876.3404264948</v>
          </cell>
          <cell r="AM32">
            <v>2882178.9655150711</v>
          </cell>
          <cell r="AN32">
            <v>2954515.797699518</v>
          </cell>
          <cell r="AO32">
            <v>3028366.6791788302</v>
          </cell>
          <cell r="AP32">
            <v>3103488.6398614561</v>
          </cell>
          <cell r="AQ32">
            <v>3181386.2047962938</v>
          </cell>
          <cell r="AR32">
            <v>3261238.9986538789</v>
          </cell>
          <cell r="AS32" t="str">
            <v>Wabash River 4</v>
          </cell>
          <cell r="AT32" t="str">
            <v>A&amp;G</v>
          </cell>
          <cell r="AU32">
            <v>282410.14849619288</v>
          </cell>
          <cell r="AV32">
            <v>287971.78968616494</v>
          </cell>
          <cell r="AW32">
            <v>294047.99444854463</v>
          </cell>
          <cell r="AX32">
            <v>300487.64552696806</v>
          </cell>
          <cell r="AY32">
            <v>307278.66631587531</v>
          </cell>
          <cell r="AZ32">
            <v>314591.89857419376</v>
          </cell>
          <cell r="BA32">
            <v>322475.60317895212</v>
          </cell>
          <cell r="BB32">
            <v>330473.8965134311</v>
          </cell>
          <cell r="BC32">
            <v>338838.87378301611</v>
          </cell>
          <cell r="BD32">
            <v>347208.19396545703</v>
          </cell>
          <cell r="BE32">
            <v>356062.00291157491</v>
          </cell>
          <cell r="BF32">
            <v>364678.70338203677</v>
          </cell>
          <cell r="BG32">
            <v>373868.60670726292</v>
          </cell>
          <cell r="BH32">
            <v>383364.86931762658</v>
          </cell>
          <cell r="BI32">
            <v>392948.99105056707</v>
          </cell>
          <cell r="BJ32">
            <v>402812.01072593639</v>
          </cell>
          <cell r="BK32">
            <v>412882.31099408551</v>
          </cell>
          <cell r="BL32">
            <v>423121.79230673821</v>
          </cell>
          <cell r="BM32">
            <v>433742.14929363813</v>
          </cell>
          <cell r="BN32">
            <v>444629.07724090834</v>
          </cell>
          <cell r="BO32" t="str">
            <v>Wabash River 4</v>
          </cell>
          <cell r="BP32" t="str">
            <v>Depreciation</v>
          </cell>
          <cell r="BQ32">
            <v>896378.81125027302</v>
          </cell>
          <cell r="BR32">
            <v>894639.83461010375</v>
          </cell>
          <cell r="BS32">
            <v>913070.3148906352</v>
          </cell>
          <cell r="BT32">
            <v>941553.93838552129</v>
          </cell>
          <cell r="BU32">
            <v>976047.13729980821</v>
          </cell>
          <cell r="BV32">
            <v>1015544.2740356707</v>
          </cell>
          <cell r="BW32">
            <v>1061002.2180182515</v>
          </cell>
          <cell r="BX32">
            <v>1092473.6564713155</v>
          </cell>
          <cell r="BY32">
            <v>1072112.2061022504</v>
          </cell>
          <cell r="BZ32">
            <v>1274173.2872527686</v>
          </cell>
          <cell r="CA32">
            <v>1331256.2604320501</v>
          </cell>
          <cell r="CB32">
            <v>1390507.157900345</v>
          </cell>
          <cell r="CC32">
            <v>1456223.5867085715</v>
          </cell>
          <cell r="CD32">
            <v>1529121.3294629201</v>
          </cell>
          <cell r="CE32">
            <v>880585.84914877324</v>
          </cell>
          <cell r="CF32">
            <v>970068.11707684584</v>
          </cell>
          <cell r="CG32">
            <v>1069208.0990353432</v>
          </cell>
          <cell r="CH32">
            <v>1179019.8173511981</v>
          </cell>
          <cell r="CI32">
            <v>1237486.5724302751</v>
          </cell>
          <cell r="CJ32">
            <v>1237486.5724302751</v>
          </cell>
          <cell r="CK32" t="str">
            <v>Wabash River 4</v>
          </cell>
          <cell r="CL32" t="str">
            <v>Cap Ads exc Env Cap Adds</v>
          </cell>
          <cell r="CM32">
            <v>1015141.0623946253</v>
          </cell>
          <cell r="CN32">
            <v>1035132.7318736066</v>
          </cell>
          <cell r="CO32">
            <v>1056974.0325161454</v>
          </cell>
          <cell r="CP32">
            <v>1080121.7638282501</v>
          </cell>
          <cell r="CQ32">
            <v>1104532.5156907607</v>
          </cell>
          <cell r="CR32">
            <v>1130820.3895642031</v>
          </cell>
          <cell r="CS32">
            <v>1159158.8622100884</v>
          </cell>
          <cell r="CT32">
            <v>1187909.2312607116</v>
          </cell>
          <cell r="CU32">
            <v>1217977.6688064958</v>
          </cell>
          <cell r="CV32">
            <v>1248061.7172260177</v>
          </cell>
          <cell r="CW32">
            <v>1278888.841641502</v>
          </cell>
          <cell r="CX32">
            <v>1311500.5071033556</v>
          </cell>
          <cell r="CY32">
            <v>1344943.7700344862</v>
          </cell>
          <cell r="CZ32">
            <v>1379239.8361703604</v>
          </cell>
          <cell r="DA32">
            <v>1414410.4519926994</v>
          </cell>
          <cell r="DB32">
            <v>1450477.9185185079</v>
          </cell>
          <cell r="DC32">
            <v>1487465.1054407242</v>
          </cell>
          <cell r="DD32">
            <v>1525395.465629457</v>
          </cell>
          <cell r="DE32">
            <v>1564293.0500030024</v>
          </cell>
          <cell r="DF32">
            <v>1604182.5227780731</v>
          </cell>
          <cell r="DG32" t="str">
            <v>Wabash River 4</v>
          </cell>
          <cell r="DH32" t="str">
            <v>Env Cap Adds</v>
          </cell>
          <cell r="DI32">
            <v>0</v>
          </cell>
          <cell r="DJ32">
            <v>962026.81216351804</v>
          </cell>
          <cell r="DK32">
            <v>982998.4698953795</v>
          </cell>
          <cell r="DL32">
            <v>0</v>
          </cell>
          <cell r="DM32">
            <v>50731.582041413501</v>
          </cell>
          <cell r="DN32">
            <v>2107883.7657317175</v>
          </cell>
          <cell r="DO32">
            <v>0</v>
          </cell>
          <cell r="DP32">
            <v>49013.137557959737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</row>
        <row r="33">
          <cell r="A33" t="str">
            <v>Wabash River 5</v>
          </cell>
          <cell r="B33" t="str">
            <v>Property Taxes</v>
          </cell>
          <cell r="C33">
            <v>231288.58776919189</v>
          </cell>
          <cell r="D33">
            <v>235843.46705861285</v>
          </cell>
          <cell r="E33">
            <v>240819.76421355086</v>
          </cell>
          <cell r="F33">
            <v>246093.71704982792</v>
          </cell>
          <cell r="G33">
            <v>251655.43505515219</v>
          </cell>
          <cell r="H33">
            <v>257644.83440946534</v>
          </cell>
          <cell r="I33">
            <v>264101.43986126484</v>
          </cell>
          <cell r="J33">
            <v>270651.89132253849</v>
          </cell>
          <cell r="K33">
            <v>277502.65001412912</v>
          </cell>
          <cell r="L33">
            <v>284356.96546947851</v>
          </cell>
          <cell r="M33">
            <v>291608.06808894913</v>
          </cell>
          <cell r="N33">
            <v>298664.98333670315</v>
          </cell>
          <cell r="O33">
            <v>306191.3409167871</v>
          </cell>
          <cell r="P33">
            <v>313968.60097607283</v>
          </cell>
          <cell r="Q33">
            <v>321817.8160004745</v>
          </cell>
          <cell r="R33">
            <v>329895.44318208646</v>
          </cell>
          <cell r="S33">
            <v>338142.82926163927</v>
          </cell>
          <cell r="T33">
            <v>346528.77142732736</v>
          </cell>
          <cell r="U33">
            <v>355226.64359015395</v>
          </cell>
          <cell r="V33">
            <v>364142.83234426676</v>
          </cell>
          <cell r="W33" t="str">
            <v>Wabash River 5</v>
          </cell>
          <cell r="X33" t="str">
            <v>Fixed O&amp;M inc Env</v>
          </cell>
          <cell r="Y33">
            <v>2212861.1969180368</v>
          </cell>
          <cell r="Z33">
            <v>2256440.1548485663</v>
          </cell>
          <cell r="AA33">
            <v>2331856.6496549407</v>
          </cell>
          <cell r="AB33">
            <v>2413913.6509318887</v>
          </cell>
          <cell r="AC33">
            <v>2471115.3265899001</v>
          </cell>
          <cell r="AD33">
            <v>2522627.8297336907</v>
          </cell>
          <cell r="AE33">
            <v>2646237.4813373866</v>
          </cell>
          <cell r="AF33">
            <v>2717521.3601004058</v>
          </cell>
          <cell r="AG33">
            <v>2778370.4653928564</v>
          </cell>
          <cell r="AH33">
            <v>2846314.3136942019</v>
          </cell>
          <cell r="AI33">
            <v>2918820.0630698269</v>
          </cell>
          <cell r="AJ33">
            <v>2989514.8095781724</v>
          </cell>
          <cell r="AK33">
            <v>3064862.7393797468</v>
          </cell>
          <cell r="AL33">
            <v>3142685.3216240667</v>
          </cell>
          <cell r="AM33">
            <v>3221258.8437811593</v>
          </cell>
          <cell r="AN33">
            <v>3302105.8915159712</v>
          </cell>
          <cell r="AO33">
            <v>3384645.1119920881</v>
          </cell>
          <cell r="AP33">
            <v>3468604.9504013015</v>
          </cell>
          <cell r="AQ33">
            <v>3555666.9347394323</v>
          </cell>
          <cell r="AR33">
            <v>3644914.1749323783</v>
          </cell>
          <cell r="AS33" t="str">
            <v>Wabash River 5</v>
          </cell>
          <cell r="AT33" t="str">
            <v>A&amp;G</v>
          </cell>
          <cell r="AU33">
            <v>315634.87184868613</v>
          </cell>
          <cell r="AV33">
            <v>321850.82376689016</v>
          </cell>
          <cell r="AW33">
            <v>328641.87614837335</v>
          </cell>
          <cell r="AX33">
            <v>335839.13323602307</v>
          </cell>
          <cell r="AY33">
            <v>343429.0976471547</v>
          </cell>
          <cell r="AZ33">
            <v>351602.71017115767</v>
          </cell>
          <cell r="BA33">
            <v>360413.90943529934</v>
          </cell>
          <cell r="BB33">
            <v>369353.17845618766</v>
          </cell>
          <cell r="BC33">
            <v>378702.270698665</v>
          </cell>
          <cell r="BD33">
            <v>388056.21678492252</v>
          </cell>
          <cell r="BE33">
            <v>397951.65031293657</v>
          </cell>
          <cell r="BF33">
            <v>407582.08025051164</v>
          </cell>
          <cell r="BG33">
            <v>417853.14867282321</v>
          </cell>
          <cell r="BH33">
            <v>428466.618649112</v>
          </cell>
          <cell r="BI33">
            <v>439178.28411533963</v>
          </cell>
          <cell r="BJ33">
            <v>450201.65904663468</v>
          </cell>
          <cell r="BK33">
            <v>461456.70052280143</v>
          </cell>
          <cell r="BL33">
            <v>472900.82669576613</v>
          </cell>
          <cell r="BM33">
            <v>484770.63744583074</v>
          </cell>
          <cell r="BN33">
            <v>496938.38044572104</v>
          </cell>
          <cell r="BO33" t="str">
            <v>Wabash River 5</v>
          </cell>
          <cell r="BP33" t="str">
            <v>Depreciation</v>
          </cell>
          <cell r="BQ33">
            <v>1001835.1419855993</v>
          </cell>
          <cell r="BR33">
            <v>999891.57985835127</v>
          </cell>
          <cell r="BS33">
            <v>1020490.3519365921</v>
          </cell>
          <cell r="BT33">
            <v>1052324.9899602884</v>
          </cell>
          <cell r="BU33">
            <v>1090876.2122762562</v>
          </cell>
          <cell r="BV33">
            <v>1135020.0709810439</v>
          </cell>
          <cell r="BW33">
            <v>1185826.0083733399</v>
          </cell>
          <cell r="BX33">
            <v>1220999.9689973525</v>
          </cell>
          <cell r="BY33">
            <v>1198243.0538789856</v>
          </cell>
          <cell r="BZ33">
            <v>1424076.026929565</v>
          </cell>
          <cell r="CA33">
            <v>1487874.6440122912</v>
          </cell>
          <cell r="CB33">
            <v>1554096.2353003856</v>
          </cell>
          <cell r="CC33">
            <v>1627544.0086742858</v>
          </cell>
          <cell r="CD33">
            <v>1709017.9564585579</v>
          </cell>
          <cell r="CE33">
            <v>984184.18434274662</v>
          </cell>
          <cell r="CF33">
            <v>1084193.777909416</v>
          </cell>
          <cell r="CG33">
            <v>1194997.2871571484</v>
          </cell>
          <cell r="CH33">
            <v>1317728.0311572214</v>
          </cell>
          <cell r="CI33">
            <v>1383073.2280103075</v>
          </cell>
          <cell r="CJ33">
            <v>1383073.2280103075</v>
          </cell>
          <cell r="CK33" t="str">
            <v>Wabash River 5</v>
          </cell>
          <cell r="CL33" t="str">
            <v>Cap Ads exc Env Cap Adds</v>
          </cell>
          <cell r="CM33">
            <v>1134569.422676346</v>
          </cell>
          <cell r="CN33">
            <v>1156913.0532705016</v>
          </cell>
          <cell r="CO33">
            <v>1181323.9186945157</v>
          </cell>
          <cell r="CP33">
            <v>1207194.9125139269</v>
          </cell>
          <cell r="CQ33">
            <v>1234477.5175367326</v>
          </cell>
          <cell r="CR33">
            <v>1263858.0824541093</v>
          </cell>
          <cell r="CS33">
            <v>1295530.4930583341</v>
          </cell>
          <cell r="CT33">
            <v>1327663.2584678545</v>
          </cell>
          <cell r="CU33">
            <v>1361269.159254319</v>
          </cell>
          <cell r="CV33">
            <v>1394892.5074879024</v>
          </cell>
          <cell r="CW33">
            <v>1429346.3524228553</v>
          </cell>
          <cell r="CX33">
            <v>1465794.6844096328</v>
          </cell>
          <cell r="CY33">
            <v>1503172.448862073</v>
          </cell>
          <cell r="CZ33">
            <v>1541503.3463080502</v>
          </cell>
          <cell r="DA33">
            <v>1580811.6816388997</v>
          </cell>
          <cell r="DB33">
            <v>1621122.3795206856</v>
          </cell>
          <cell r="DC33">
            <v>1662461.0001984572</v>
          </cell>
          <cell r="DD33">
            <v>1704853.7557035116</v>
          </cell>
          <cell r="DE33">
            <v>1748327.526473945</v>
          </cell>
          <cell r="DF33">
            <v>1792909.8783990243</v>
          </cell>
          <cell r="DG33" t="str">
            <v>Wabash River 5</v>
          </cell>
          <cell r="DH33" t="str">
            <v>Env Cap Adds</v>
          </cell>
          <cell r="DI33">
            <v>0</v>
          </cell>
          <cell r="DJ33">
            <v>1075206.4371239319</v>
          </cell>
          <cell r="DK33">
            <v>1098645.3487066007</v>
          </cell>
          <cell r="DL33">
            <v>0</v>
          </cell>
          <cell r="DM33">
            <v>54479.365208440227</v>
          </cell>
          <cell r="DN33">
            <v>2355870.0911119198</v>
          </cell>
          <cell r="DO33">
            <v>0</v>
          </cell>
          <cell r="DP33">
            <v>52633.971060706324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</row>
        <row r="34">
          <cell r="A34" t="str">
            <v>Wabash River 6</v>
          </cell>
          <cell r="B34" t="str">
            <v>Property Taxes</v>
          </cell>
          <cell r="C34">
            <v>774208.11484845297</v>
          </cell>
          <cell r="D34">
            <v>789454.97394356725</v>
          </cell>
          <cell r="E34">
            <v>806112.47389378096</v>
          </cell>
          <cell r="F34">
            <v>823766.33707205555</v>
          </cell>
          <cell r="G34">
            <v>842383.456289878</v>
          </cell>
          <cell r="H34">
            <v>862432.18254957872</v>
          </cell>
          <cell r="I34">
            <v>884044.81974612875</v>
          </cell>
          <cell r="J34">
            <v>905971.59411123418</v>
          </cell>
          <cell r="K34">
            <v>928903.60741571663</v>
          </cell>
          <cell r="L34">
            <v>951847.52651888598</v>
          </cell>
          <cell r="M34">
            <v>976119.63844511402</v>
          </cell>
          <cell r="N34">
            <v>999741.73369549064</v>
          </cell>
          <cell r="O34">
            <v>1024935.2253846137</v>
          </cell>
          <cell r="P34">
            <v>1050968.5801093807</v>
          </cell>
          <cell r="Q34">
            <v>1077242.7946121148</v>
          </cell>
          <cell r="R34">
            <v>1104281.5887568791</v>
          </cell>
          <cell r="S34">
            <v>1131888.628475803</v>
          </cell>
          <cell r="T34">
            <v>1159959.4664620012</v>
          </cell>
          <cell r="U34">
            <v>1189074.4490701996</v>
          </cell>
          <cell r="V34">
            <v>1218920.2177418615</v>
          </cell>
          <cell r="W34" t="str">
            <v>Wabash River 6</v>
          </cell>
          <cell r="X34" t="str">
            <v>Fixed O&amp;M inc Env</v>
          </cell>
          <cell r="Y34">
            <v>7407261.6907361643</v>
          </cell>
          <cell r="Z34">
            <v>7553136.5183351999</v>
          </cell>
          <cell r="AA34">
            <v>7712507.6988721145</v>
          </cell>
          <cell r="AB34">
            <v>7857981.9616433354</v>
          </cell>
          <cell r="AC34">
            <v>8033404.3899754714</v>
          </cell>
          <cell r="AD34">
            <v>8200025.2854982605</v>
          </cell>
          <cell r="AE34">
            <v>8378093.4382276088</v>
          </cell>
          <cell r="AF34">
            <v>8557755.7444197014</v>
          </cell>
          <cell r="AG34">
            <v>8719132.4708560556</v>
          </cell>
          <cell r="AH34">
            <v>8929563.8612961806</v>
          </cell>
          <cell r="AI34">
            <v>9157373.8667073604</v>
          </cell>
          <cell r="AJ34">
            <v>9378898.6979911961</v>
          </cell>
          <cell r="AK34">
            <v>9615229.8039835468</v>
          </cell>
          <cell r="AL34">
            <v>9859491.7949896101</v>
          </cell>
          <cell r="AM34">
            <v>10105970.081004754</v>
          </cell>
          <cell r="AN34">
            <v>10359639.164682634</v>
          </cell>
          <cell r="AO34">
            <v>10618649.076035859</v>
          </cell>
          <cell r="AP34">
            <v>10881962.470577344</v>
          </cell>
          <cell r="AQ34">
            <v>11155099.728471752</v>
          </cell>
          <cell r="AR34">
            <v>11435092.731471695</v>
          </cell>
          <cell r="AS34" t="str">
            <v>Wabash River 6</v>
          </cell>
          <cell r="AT34" t="str">
            <v>A&amp;G</v>
          </cell>
          <cell r="AU34">
            <v>1056546.2026092862</v>
          </cell>
          <cell r="AV34">
            <v>1077353.2837670639</v>
          </cell>
          <cell r="AW34">
            <v>1100085.4380545551</v>
          </cell>
          <cell r="AX34">
            <v>1124177.309147951</v>
          </cell>
          <cell r="AY34">
            <v>1149583.7163346864</v>
          </cell>
          <cell r="AZ34">
            <v>1176943.8087834541</v>
          </cell>
          <cell r="BA34">
            <v>1206438.1389518443</v>
          </cell>
          <cell r="BB34">
            <v>1236361.1657796598</v>
          </cell>
          <cell r="BC34">
            <v>1267656.0219176365</v>
          </cell>
          <cell r="BD34">
            <v>1298967.1256590039</v>
          </cell>
          <cell r="BE34">
            <v>1332090.7873633036</v>
          </cell>
          <cell r="BF34">
            <v>1364327.3844175022</v>
          </cell>
          <cell r="BG34">
            <v>1398708.4345048189</v>
          </cell>
          <cell r="BH34">
            <v>1434235.6287412383</v>
          </cell>
          <cell r="BI34">
            <v>1470091.5194597684</v>
          </cell>
          <cell r="BJ34">
            <v>1506990.8165982089</v>
          </cell>
          <cell r="BK34">
            <v>1544665.5870131669</v>
          </cell>
          <cell r="BL34">
            <v>1582973.293571091</v>
          </cell>
          <cell r="BM34">
            <v>1622705.9232397284</v>
          </cell>
          <cell r="BN34">
            <v>1663435.8419130452</v>
          </cell>
          <cell r="BO34" t="str">
            <v>Wabash River 6</v>
          </cell>
          <cell r="BP34" t="str">
            <v>Depreciation</v>
          </cell>
          <cell r="BQ34">
            <v>3353511.317383375</v>
          </cell>
          <cell r="BR34">
            <v>3347005.498894271</v>
          </cell>
          <cell r="BS34">
            <v>3415957.1780614355</v>
          </cell>
          <cell r="BT34">
            <v>3522519.4400775973</v>
          </cell>
          <cell r="BU34">
            <v>3651564.5842510471</v>
          </cell>
          <cell r="BV34">
            <v>3799330.3428628622</v>
          </cell>
          <cell r="BW34">
            <v>3969396.5332918116</v>
          </cell>
          <cell r="BX34">
            <v>4087136.7383279805</v>
          </cell>
          <cell r="BY34">
            <v>4010960.9593001837</v>
          </cell>
          <cell r="BZ34">
            <v>4766907.1217221227</v>
          </cell>
          <cell r="CA34">
            <v>4980464.5978516694</v>
          </cell>
          <cell r="CB34">
            <v>5202132.6613212898</v>
          </cell>
          <cell r="CC34">
            <v>5447989.4185097143</v>
          </cell>
          <cell r="CD34">
            <v>5720712.7384612765</v>
          </cell>
          <cell r="CE34">
            <v>3294427.0591683513</v>
          </cell>
          <cell r="CF34">
            <v>3629196.0144757289</v>
          </cell>
          <cell r="CG34">
            <v>4000096.1822734014</v>
          </cell>
          <cell r="CH34">
            <v>4410921.1990315411</v>
          </cell>
          <cell r="CI34">
            <v>4629655.6474450296</v>
          </cell>
          <cell r="CJ34">
            <v>4629655.6474450296</v>
          </cell>
          <cell r="CK34" t="str">
            <v>Wabash River 6</v>
          </cell>
          <cell r="CL34" t="str">
            <v>Cap Ads exc Env Cap Adds</v>
          </cell>
          <cell r="CM34">
            <v>3797821.8569587152</v>
          </cell>
          <cell r="CN34">
            <v>3872614.2204212574</v>
          </cell>
          <cell r="CO34">
            <v>3954326.3804721674</v>
          </cell>
          <cell r="CP34">
            <v>4040926.1282045119</v>
          </cell>
          <cell r="CQ34">
            <v>4132251.0587019045</v>
          </cell>
          <cell r="CR34">
            <v>4230598.6338990182</v>
          </cell>
          <cell r="CS34">
            <v>4336617.8609742122</v>
          </cell>
          <cell r="CT34">
            <v>4444178.0651871329</v>
          </cell>
          <cell r="CU34">
            <v>4556669.3962407717</v>
          </cell>
          <cell r="CV34">
            <v>4669219.1303279251</v>
          </cell>
          <cell r="CW34">
            <v>4784548.8428470306</v>
          </cell>
          <cell r="CX34">
            <v>4906554.8383396119</v>
          </cell>
          <cell r="CY34">
            <v>5031671.986717253</v>
          </cell>
          <cell r="CZ34">
            <v>5159979.6223785235</v>
          </cell>
          <cell r="DA34">
            <v>5291559.1027491568</v>
          </cell>
          <cell r="DB34">
            <v>5426493.8598692399</v>
          </cell>
          <cell r="DC34">
            <v>5564869.4532958847</v>
          </cell>
          <cell r="DD34">
            <v>5706773.6243549092</v>
          </cell>
          <cell r="DE34">
            <v>5852296.3517759377</v>
          </cell>
          <cell r="DF34">
            <v>6001529.9087462015</v>
          </cell>
          <cell r="DG34" t="str">
            <v>Wabash River 6</v>
          </cell>
          <cell r="DH34" t="str">
            <v>Env Cap Adds</v>
          </cell>
          <cell r="DI34">
            <v>0</v>
          </cell>
          <cell r="DJ34">
            <v>0</v>
          </cell>
          <cell r="DK34">
            <v>121129.44323851141</v>
          </cell>
          <cell r="DL34">
            <v>0</v>
          </cell>
          <cell r="DM34">
            <v>118157.71297263438</v>
          </cell>
          <cell r="DN34">
            <v>116706.61763839575</v>
          </cell>
          <cell r="DO34">
            <v>115501.57237504683</v>
          </cell>
          <cell r="DP34">
            <v>228310.65014822845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</row>
        <row r="35">
          <cell r="A35" t="str">
            <v>W.C. Beckjord 1</v>
          </cell>
          <cell r="B35" t="str">
            <v>Property Taxes</v>
          </cell>
          <cell r="C35">
            <v>244485.09948899064</v>
          </cell>
          <cell r="D35">
            <v>249299.86413853621</v>
          </cell>
          <cell r="E35">
            <v>254560.0912718607</v>
          </cell>
          <cell r="F35">
            <v>260134.95727071475</v>
          </cell>
          <cell r="G35">
            <v>266014.00730503094</v>
          </cell>
          <cell r="H35">
            <v>272345.14067889127</v>
          </cell>
          <cell r="I35">
            <v>279170.13728365081</v>
          </cell>
          <cell r="J35">
            <v>286094.33442045655</v>
          </cell>
          <cell r="K35">
            <v>293335.97325981013</v>
          </cell>
          <cell r="L35">
            <v>300581.37179932778</v>
          </cell>
          <cell r="M35">
            <v>308246.19678020955</v>
          </cell>
          <cell r="N35">
            <v>315705.75474229216</v>
          </cell>
          <cell r="O35">
            <v>323661.53976179688</v>
          </cell>
          <cell r="P35">
            <v>331882.54287174583</v>
          </cell>
          <cell r="Q35">
            <v>340179.60644353932</v>
          </cell>
          <cell r="R35">
            <v>348718.11456527218</v>
          </cell>
          <cell r="S35">
            <v>357436.06742940465</v>
          </cell>
          <cell r="T35">
            <v>366300.48190165329</v>
          </cell>
          <cell r="U35">
            <v>375494.6239973855</v>
          </cell>
          <cell r="V35">
            <v>384919.53905971983</v>
          </cell>
          <cell r="W35" t="str">
            <v>W.C. Beckjord 1</v>
          </cell>
          <cell r="X35" t="str">
            <v>Fixed O&amp;M inc Env</v>
          </cell>
          <cell r="Y35">
            <v>1926079.2330103582</v>
          </cell>
          <cell r="Z35">
            <v>1964010.4534516255</v>
          </cell>
          <cell r="AA35">
            <v>2032963.99095813</v>
          </cell>
          <cell r="AB35">
            <v>2108149.0394297196</v>
          </cell>
          <cell r="AC35">
            <v>2158412.5693193711</v>
          </cell>
          <cell r="AD35">
            <v>2209819.1616706317</v>
          </cell>
          <cell r="AE35">
            <v>2318180.7549101692</v>
          </cell>
          <cell r="AF35">
            <v>2380583.7037381572</v>
          </cell>
          <cell r="AG35">
            <v>2440805.4888698342</v>
          </cell>
          <cell r="AH35">
            <v>2501141.208098162</v>
          </cell>
          <cell r="AI35">
            <v>2564840.6070743129</v>
          </cell>
          <cell r="AJ35">
            <v>2626972.5459875683</v>
          </cell>
          <cell r="AK35">
            <v>2693185.127264902</v>
          </cell>
          <cell r="AL35">
            <v>2761565.6286916989</v>
          </cell>
          <cell r="AM35">
            <v>2830611.5351043316</v>
          </cell>
          <cell r="AN35">
            <v>2901652.9493744764</v>
          </cell>
          <cell r="AO35">
            <v>2974180.0549116842</v>
          </cell>
          <cell r="AP35">
            <v>3047961.5764191682</v>
          </cell>
          <cell r="AQ35">
            <v>3124465.4120752411</v>
          </cell>
          <cell r="AR35">
            <v>3202889.4940570365</v>
          </cell>
          <cell r="AS35" t="str">
            <v>W.C. Beckjord 1</v>
          </cell>
          <cell r="AT35" t="str">
            <v>A&amp;G</v>
          </cell>
          <cell r="AU35">
            <v>301131.63936755096</v>
          </cell>
          <cell r="AV35">
            <v>307061.97203451942</v>
          </cell>
          <cell r="AW35">
            <v>313540.97964444949</v>
          </cell>
          <cell r="AX35">
            <v>320407.52709866327</v>
          </cell>
          <cell r="AY35">
            <v>327648.73721109069</v>
          </cell>
          <cell r="AZ35">
            <v>335446.77715671528</v>
          </cell>
          <cell r="BA35">
            <v>343853.10711533006</v>
          </cell>
          <cell r="BB35">
            <v>352381.62210241344</v>
          </cell>
          <cell r="BC35">
            <v>361301.12918059615</v>
          </cell>
          <cell r="BD35">
            <v>370225.26707135735</v>
          </cell>
          <cell r="BE35">
            <v>379666.01138167555</v>
          </cell>
          <cell r="BF35">
            <v>388853.92885711405</v>
          </cell>
          <cell r="BG35">
            <v>398653.04786431202</v>
          </cell>
          <cell r="BH35">
            <v>408778.83528006467</v>
          </cell>
          <cell r="BI35">
            <v>418998.30616206612</v>
          </cell>
          <cell r="BJ35">
            <v>429515.16364673403</v>
          </cell>
          <cell r="BK35">
            <v>440253.04273790319</v>
          </cell>
          <cell r="BL35">
            <v>451171.31819780247</v>
          </cell>
          <cell r="BM35">
            <v>462495.71828456817</v>
          </cell>
          <cell r="BN35">
            <v>474104.36081351078</v>
          </cell>
          <cell r="BO35" t="str">
            <v>W.C. Beckjord 1</v>
          </cell>
          <cell r="BP35" t="str">
            <v>Depreciation</v>
          </cell>
          <cell r="BQ35">
            <v>892985.62849905388</v>
          </cell>
          <cell r="BR35">
            <v>784195.84897906915</v>
          </cell>
          <cell r="BS35">
            <v>808174.39904397971</v>
          </cell>
          <cell r="BT35">
            <v>831588.95673875592</v>
          </cell>
          <cell r="BU35">
            <v>864977.60410856153</v>
          </cell>
          <cell r="BV35">
            <v>900622.91000065953</v>
          </cell>
          <cell r="BW35">
            <v>938657.50883865217</v>
          </cell>
          <cell r="BX35">
            <v>918287.28890683188</v>
          </cell>
          <cell r="BY35">
            <v>833126.56945114722</v>
          </cell>
          <cell r="BZ35">
            <v>759475.47083456418</v>
          </cell>
          <cell r="CA35">
            <v>752863.45780082908</v>
          </cell>
          <cell r="CB35">
            <v>762857.86842629011</v>
          </cell>
          <cell r="CC35">
            <v>750269.27367696469</v>
          </cell>
          <cell r="CD35">
            <v>778514.99899306241</v>
          </cell>
          <cell r="CE35">
            <v>789325.81150919024</v>
          </cell>
          <cell r="CF35">
            <v>806783.37517575454</v>
          </cell>
          <cell r="CG35">
            <v>851730.42411229282</v>
          </cell>
          <cell r="CH35">
            <v>904854.28538003319</v>
          </cell>
          <cell r="CI35">
            <v>949725.36651624541</v>
          </cell>
          <cell r="CJ35">
            <v>949725.36651624541</v>
          </cell>
          <cell r="CK35" t="str">
            <v>W.C. Beckjord 1</v>
          </cell>
          <cell r="CL35" t="str">
            <v>Cap Ads exc Env Cap Adds</v>
          </cell>
          <cell r="CM35">
            <v>779083.37676346616</v>
          </cell>
          <cell r="CN35">
            <v>794426.24677611596</v>
          </cell>
          <cell r="CO35">
            <v>811188.64058309642</v>
          </cell>
          <cell r="CP35">
            <v>828953.67181186704</v>
          </cell>
          <cell r="CQ35">
            <v>847688.02479480917</v>
          </cell>
          <cell r="CR35">
            <v>867862.99978492735</v>
          </cell>
          <cell r="CS35">
            <v>889611.73380736494</v>
          </cell>
          <cell r="CT35">
            <v>911676.58314989705</v>
          </cell>
          <cell r="CU35">
            <v>934753.00151673122</v>
          </cell>
          <cell r="CV35">
            <v>957841.40065419581</v>
          </cell>
          <cell r="CW35">
            <v>981500.08325035567</v>
          </cell>
          <cell r="CX35">
            <v>1006528.3353732361</v>
          </cell>
          <cell r="CY35">
            <v>1032194.8079252497</v>
          </cell>
          <cell r="CZ35">
            <v>1058515.7755273397</v>
          </cell>
          <cell r="DA35">
            <v>1085507.9278032829</v>
          </cell>
          <cell r="DB35">
            <v>1113188.3799622625</v>
          </cell>
          <cell r="DC35">
            <v>1141574.683651296</v>
          </cell>
          <cell r="DD35">
            <v>1170684.8380843997</v>
          </cell>
          <cell r="DE35">
            <v>1200537.3014555473</v>
          </cell>
          <cell r="DF35">
            <v>1231151.0026426592</v>
          </cell>
          <cell r="DG35" t="str">
            <v>W.C. Beckjord 1</v>
          </cell>
          <cell r="DH35" t="str">
            <v>Env Cap Adds</v>
          </cell>
          <cell r="DI35">
            <v>0</v>
          </cell>
          <cell r="DJ35">
            <v>1063888.4746278906</v>
          </cell>
          <cell r="DK35">
            <v>1087080.6608254788</v>
          </cell>
          <cell r="DL35">
            <v>0</v>
          </cell>
          <cell r="DM35">
            <v>0</v>
          </cell>
          <cell r="DN35">
            <v>2384518.1111122016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</row>
        <row r="36">
          <cell r="A36" t="str">
            <v>W.C. Beckjord 2</v>
          </cell>
          <cell r="B36" t="str">
            <v>Property Taxes</v>
          </cell>
          <cell r="C36">
            <v>244485.09948899064</v>
          </cell>
          <cell r="D36">
            <v>249299.86413853621</v>
          </cell>
          <cell r="E36">
            <v>254560.0912718607</v>
          </cell>
          <cell r="F36">
            <v>260134.95727071475</v>
          </cell>
          <cell r="G36">
            <v>266014.00730503094</v>
          </cell>
          <cell r="H36">
            <v>272345.14067889127</v>
          </cell>
          <cell r="I36">
            <v>279170.13728365081</v>
          </cell>
          <cell r="J36">
            <v>286094.33442045655</v>
          </cell>
          <cell r="K36">
            <v>293335.97325981013</v>
          </cell>
          <cell r="L36">
            <v>300581.37179932778</v>
          </cell>
          <cell r="M36">
            <v>308246.19678020955</v>
          </cell>
          <cell r="N36">
            <v>315705.75474229216</v>
          </cell>
          <cell r="O36">
            <v>323661.53976179688</v>
          </cell>
          <cell r="P36">
            <v>331882.54287174583</v>
          </cell>
          <cell r="Q36">
            <v>340179.60644353932</v>
          </cell>
          <cell r="R36">
            <v>348718.11456527218</v>
          </cell>
          <cell r="S36">
            <v>357436.06742940465</v>
          </cell>
          <cell r="T36">
            <v>366300.48190165329</v>
          </cell>
          <cell r="U36">
            <v>375494.6239973855</v>
          </cell>
          <cell r="V36">
            <v>384919.53905971983</v>
          </cell>
          <cell r="W36" t="str">
            <v>W.C. Beckjord 2</v>
          </cell>
          <cell r="X36" t="str">
            <v>Fixed O&amp;M inc Env</v>
          </cell>
          <cell r="Y36">
            <v>1926079.2330103582</v>
          </cell>
          <cell r="Z36">
            <v>1964010.4534516255</v>
          </cell>
          <cell r="AA36">
            <v>2032963.99095813</v>
          </cell>
          <cell r="AB36">
            <v>2108149.0394297196</v>
          </cell>
          <cell r="AC36">
            <v>2158412.5693193711</v>
          </cell>
          <cell r="AD36">
            <v>2202559.5893835933</v>
          </cell>
          <cell r="AE36">
            <v>2317512.5898282975</v>
          </cell>
          <cell r="AF36">
            <v>2380583.7037381572</v>
          </cell>
          <cell r="AG36">
            <v>2440805.4888698342</v>
          </cell>
          <cell r="AH36">
            <v>2501141.208098162</v>
          </cell>
          <cell r="AI36">
            <v>2564840.6070743129</v>
          </cell>
          <cell r="AJ36">
            <v>2626972.5459875683</v>
          </cell>
          <cell r="AK36">
            <v>2693185.127264902</v>
          </cell>
          <cell r="AL36">
            <v>2761565.6286916989</v>
          </cell>
          <cell r="AM36">
            <v>2830611.5351043316</v>
          </cell>
          <cell r="AN36">
            <v>2901652.9493744764</v>
          </cell>
          <cell r="AO36">
            <v>2974180.0549116842</v>
          </cell>
          <cell r="AP36">
            <v>3047961.5764191682</v>
          </cell>
          <cell r="AQ36">
            <v>3124465.4120752411</v>
          </cell>
          <cell r="AR36">
            <v>3202889.4940570365</v>
          </cell>
          <cell r="AS36" t="str">
            <v>W.C. Beckjord 2</v>
          </cell>
          <cell r="AT36" t="str">
            <v>A&amp;G</v>
          </cell>
          <cell r="AU36">
            <v>301131.63936755096</v>
          </cell>
          <cell r="AV36">
            <v>307061.97203451942</v>
          </cell>
          <cell r="AW36">
            <v>313540.97964444949</v>
          </cell>
          <cell r="AX36">
            <v>320407.52709866327</v>
          </cell>
          <cell r="AY36">
            <v>327648.73721109069</v>
          </cell>
          <cell r="AZ36">
            <v>335446.77715671528</v>
          </cell>
          <cell r="BA36">
            <v>343853.10711533006</v>
          </cell>
          <cell r="BB36">
            <v>352381.62210241344</v>
          </cell>
          <cell r="BC36">
            <v>361301.12918059615</v>
          </cell>
          <cell r="BD36">
            <v>370225.26707135735</v>
          </cell>
          <cell r="BE36">
            <v>379666.01138167555</v>
          </cell>
          <cell r="BF36">
            <v>388853.92885711405</v>
          </cell>
          <cell r="BG36">
            <v>398653.04786431202</v>
          </cell>
          <cell r="BH36">
            <v>408778.83528006467</v>
          </cell>
          <cell r="BI36">
            <v>418998.30616206612</v>
          </cell>
          <cell r="BJ36">
            <v>429515.16364673403</v>
          </cell>
          <cell r="BK36">
            <v>440253.04273790319</v>
          </cell>
          <cell r="BL36">
            <v>451171.31819780247</v>
          </cell>
          <cell r="BM36">
            <v>462495.71828456817</v>
          </cell>
          <cell r="BN36">
            <v>474104.36081351078</v>
          </cell>
          <cell r="BO36" t="str">
            <v>W.C. Beckjord 2</v>
          </cell>
          <cell r="BP36" t="str">
            <v>Depreciation</v>
          </cell>
          <cell r="BQ36">
            <v>892985.62849905388</v>
          </cell>
          <cell r="BR36">
            <v>784195.84897906915</v>
          </cell>
          <cell r="BS36">
            <v>808174.39904397971</v>
          </cell>
          <cell r="BT36">
            <v>831588.95673875592</v>
          </cell>
          <cell r="BU36">
            <v>864977.60410856153</v>
          </cell>
          <cell r="BV36">
            <v>900622.91000065953</v>
          </cell>
          <cell r="BW36">
            <v>938657.50883865217</v>
          </cell>
          <cell r="BX36">
            <v>918287.28890683188</v>
          </cell>
          <cell r="BY36">
            <v>833126.56945114722</v>
          </cell>
          <cell r="BZ36">
            <v>759475.47083456418</v>
          </cell>
          <cell r="CA36">
            <v>752863.45780082908</v>
          </cell>
          <cell r="CB36">
            <v>762857.86842629011</v>
          </cell>
          <cell r="CC36">
            <v>750269.27367696469</v>
          </cell>
          <cell r="CD36">
            <v>778514.99899306241</v>
          </cell>
          <cell r="CE36">
            <v>789325.81150919024</v>
          </cell>
          <cell r="CF36">
            <v>806783.37517575454</v>
          </cell>
          <cell r="CG36">
            <v>851730.42411229282</v>
          </cell>
          <cell r="CH36">
            <v>904854.28538003319</v>
          </cell>
          <cell r="CI36">
            <v>949725.36651624541</v>
          </cell>
          <cell r="CJ36">
            <v>949725.36651624541</v>
          </cell>
          <cell r="CK36" t="str">
            <v>W.C. Beckjord 2</v>
          </cell>
          <cell r="CL36" t="str">
            <v>Cap Ads exc Env Cap Adds</v>
          </cell>
          <cell r="CM36">
            <v>779083.37676346616</v>
          </cell>
          <cell r="CN36">
            <v>794426.24677611596</v>
          </cell>
          <cell r="CO36">
            <v>811188.64058309642</v>
          </cell>
          <cell r="CP36">
            <v>828953.67181186704</v>
          </cell>
          <cell r="CQ36">
            <v>847688.02479480917</v>
          </cell>
          <cell r="CR36">
            <v>867862.99978492735</v>
          </cell>
          <cell r="CS36">
            <v>889611.73380736494</v>
          </cell>
          <cell r="CT36">
            <v>911676.58314989705</v>
          </cell>
          <cell r="CU36">
            <v>934753.00151673122</v>
          </cell>
          <cell r="CV36">
            <v>957841.40065419581</v>
          </cell>
          <cell r="CW36">
            <v>981500.08325035567</v>
          </cell>
          <cell r="CX36">
            <v>1006528.3353732361</v>
          </cell>
          <cell r="CY36">
            <v>1032194.8079252497</v>
          </cell>
          <cell r="CZ36">
            <v>1058515.7755273397</v>
          </cell>
          <cell r="DA36">
            <v>1085507.9278032829</v>
          </cell>
          <cell r="DB36">
            <v>1113188.3799622625</v>
          </cell>
          <cell r="DC36">
            <v>1141574.683651296</v>
          </cell>
          <cell r="DD36">
            <v>1170684.8380843997</v>
          </cell>
          <cell r="DE36">
            <v>1200537.3014555473</v>
          </cell>
          <cell r="DF36">
            <v>1231151.0026426592</v>
          </cell>
          <cell r="DG36" t="str">
            <v>W.C. Beckjord 2</v>
          </cell>
          <cell r="DH36" t="str">
            <v>Env Cap Adds</v>
          </cell>
          <cell r="DI36">
            <v>0</v>
          </cell>
          <cell r="DJ36">
            <v>1063888.4746278906</v>
          </cell>
          <cell r="DK36">
            <v>1087080.6608254788</v>
          </cell>
          <cell r="DL36">
            <v>0</v>
          </cell>
          <cell r="DM36">
            <v>54111.192302184711</v>
          </cell>
          <cell r="DN36">
            <v>2331071.4585739002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</row>
        <row r="37">
          <cell r="A37" t="str">
            <v>W.C. Beckjord 3</v>
          </cell>
          <cell r="B37" t="str">
            <v>Property Taxes</v>
          </cell>
          <cell r="C37">
            <v>332915.88015522133</v>
          </cell>
          <cell r="D37">
            <v>339472.15542268765</v>
          </cell>
          <cell r="E37">
            <v>346635.0179021082</v>
          </cell>
          <cell r="F37">
            <v>354226.32479416474</v>
          </cell>
          <cell r="G37">
            <v>362231.83973451029</v>
          </cell>
          <cell r="H37">
            <v>370852.95752019237</v>
          </cell>
          <cell r="I37">
            <v>380146.56991816277</v>
          </cell>
          <cell r="J37">
            <v>389575.26389168558</v>
          </cell>
          <cell r="K37">
            <v>399436.21890697547</v>
          </cell>
          <cell r="L37">
            <v>409302.29351397831</v>
          </cell>
          <cell r="M37">
            <v>419739.5019985832</v>
          </cell>
          <cell r="N37">
            <v>429897.19794695103</v>
          </cell>
          <cell r="O37">
            <v>440730.60733521282</v>
          </cell>
          <cell r="P37">
            <v>451925.16476152622</v>
          </cell>
          <cell r="Q37">
            <v>463223.29388056416</v>
          </cell>
          <cell r="R37">
            <v>474850.19855696638</v>
          </cell>
          <cell r="S37">
            <v>486721.45352089143</v>
          </cell>
          <cell r="T37">
            <v>498792.14556820877</v>
          </cell>
          <cell r="U37">
            <v>511311.82842197176</v>
          </cell>
          <cell r="V37">
            <v>524145.75531536317</v>
          </cell>
          <cell r="W37" t="str">
            <v>W.C. Beckjord 3</v>
          </cell>
          <cell r="X37" t="str">
            <v>Fixed O&amp;M inc Env</v>
          </cell>
          <cell r="Y37">
            <v>2622746.1896311264</v>
          </cell>
          <cell r="Z37">
            <v>2674397.2132107243</v>
          </cell>
          <cell r="AA37">
            <v>2768291.3919448336</v>
          </cell>
          <cell r="AB37">
            <v>2870671.0324188848</v>
          </cell>
          <cell r="AC37">
            <v>2939114.9880135693</v>
          </cell>
          <cell r="AD37">
            <v>2999230.079164953</v>
          </cell>
          <cell r="AE37">
            <v>3155761.8244555243</v>
          </cell>
          <cell r="AF37">
            <v>3241645.8944610255</v>
          </cell>
          <cell r="AG37">
            <v>3323650.0274065146</v>
          </cell>
          <cell r="AH37">
            <v>3405809.3046538322</v>
          </cell>
          <cell r="AI37">
            <v>3492548.911770531</v>
          </cell>
          <cell r="AJ37">
            <v>3577154.1051845662</v>
          </cell>
          <cell r="AK37">
            <v>3667315.9179879976</v>
          </cell>
          <cell r="AL37">
            <v>3760429.792271554</v>
          </cell>
          <cell r="AM37">
            <v>3854449.7499400824</v>
          </cell>
          <cell r="AN37">
            <v>3951186.9949039547</v>
          </cell>
          <cell r="AO37">
            <v>4049947.3088272368</v>
          </cell>
          <cell r="AP37">
            <v>4150415.7636462199</v>
          </cell>
          <cell r="AQ37">
            <v>4254591.1994335046</v>
          </cell>
          <cell r="AR37">
            <v>4361381.438728163</v>
          </cell>
          <cell r="AS37" t="str">
            <v>W.C. Beckjord 3</v>
          </cell>
          <cell r="AT37" t="str">
            <v>A&amp;G</v>
          </cell>
          <cell r="AU37">
            <v>410051.59403240983</v>
          </cell>
          <cell r="AV37">
            <v>418126.94064274983</v>
          </cell>
          <cell r="AW37">
            <v>426949.41909031419</v>
          </cell>
          <cell r="AX37">
            <v>436299.61136839254</v>
          </cell>
          <cell r="AY37">
            <v>446159.98258531501</v>
          </cell>
          <cell r="AZ37">
            <v>456778.59017084638</v>
          </cell>
          <cell r="BA37">
            <v>468225.50756130053</v>
          </cell>
          <cell r="BB37">
            <v>479838.80456498853</v>
          </cell>
          <cell r="BC37">
            <v>491984.51633102458</v>
          </cell>
          <cell r="BD37">
            <v>504136.53388440155</v>
          </cell>
          <cell r="BE37">
            <v>516992.01549845183</v>
          </cell>
          <cell r="BF37">
            <v>529503.22227351693</v>
          </cell>
          <cell r="BG37">
            <v>542846.7034748079</v>
          </cell>
          <cell r="BH37">
            <v>556635.00974306685</v>
          </cell>
          <cell r="BI37">
            <v>570550.88498664321</v>
          </cell>
          <cell r="BJ37">
            <v>584871.7121998081</v>
          </cell>
          <cell r="BK37">
            <v>599493.50500480435</v>
          </cell>
          <cell r="BL37">
            <v>614360.94392892253</v>
          </cell>
          <cell r="BM37">
            <v>629781.40362153971</v>
          </cell>
          <cell r="BN37">
            <v>645588.91685244022</v>
          </cell>
          <cell r="BO37" t="str">
            <v>W.C. Beckjord 3</v>
          </cell>
          <cell r="BP37" t="str">
            <v>Depreciation</v>
          </cell>
          <cell r="BQ37">
            <v>1215980.430296584</v>
          </cell>
          <cell r="BR37">
            <v>1067841.1560566048</v>
          </cell>
          <cell r="BS37">
            <v>1100492.798698185</v>
          </cell>
          <cell r="BT37">
            <v>1132376.4517293698</v>
          </cell>
          <cell r="BU37">
            <v>1177841.8438925094</v>
          </cell>
          <cell r="BV37">
            <v>1226380.1327668554</v>
          </cell>
          <cell r="BW37">
            <v>1278171.9269292285</v>
          </cell>
          <cell r="BX37">
            <v>1250433.7551071753</v>
          </cell>
          <cell r="BY37">
            <v>1134470.2222313497</v>
          </cell>
          <cell r="BZ37">
            <v>1034179.3645406833</v>
          </cell>
          <cell r="CA37">
            <v>1025175.7723245333</v>
          </cell>
          <cell r="CB37">
            <v>1038785.1825379271</v>
          </cell>
          <cell r="CC37">
            <v>1021643.2662835266</v>
          </cell>
          <cell r="CD37">
            <v>1060105.5305437446</v>
          </cell>
          <cell r="CE37">
            <v>1074826.6369486849</v>
          </cell>
          <cell r="CF37">
            <v>1098598.6385371978</v>
          </cell>
          <cell r="CG37">
            <v>1159803.1307061012</v>
          </cell>
          <cell r="CH37">
            <v>1232142.0056238752</v>
          </cell>
          <cell r="CI37">
            <v>1293243.0522774407</v>
          </cell>
          <cell r="CJ37">
            <v>1293243.0522774407</v>
          </cell>
          <cell r="CK37" t="str">
            <v>W.C. Beckjord 3</v>
          </cell>
          <cell r="CL37" t="str">
            <v>Cap Ads exc Env Cap Adds</v>
          </cell>
          <cell r="CM37">
            <v>1060879.4917630178</v>
          </cell>
          <cell r="CN37">
            <v>1081771.9105036473</v>
          </cell>
          <cell r="CO37">
            <v>1104597.2978152803</v>
          </cell>
          <cell r="CP37">
            <v>1128787.9786374359</v>
          </cell>
          <cell r="CQ37">
            <v>1154298.5869546337</v>
          </cell>
          <cell r="CR37">
            <v>1181770.8933241563</v>
          </cell>
          <cell r="CS37">
            <v>1211386.1907164119</v>
          </cell>
          <cell r="CT37">
            <v>1241431.9430126259</v>
          </cell>
          <cell r="CU37">
            <v>1272855.1510015065</v>
          </cell>
          <cell r="CV37">
            <v>1304294.6732312453</v>
          </cell>
          <cell r="CW37">
            <v>1336510.7516600587</v>
          </cell>
          <cell r="CX37">
            <v>1370591.775827385</v>
          </cell>
          <cell r="CY37">
            <v>1405541.8661109782</v>
          </cell>
          <cell r="CZ37">
            <v>1441383.1836968029</v>
          </cell>
          <cell r="DA37">
            <v>1478138.454881066</v>
          </cell>
          <cell r="DB37">
            <v>1515830.9854805276</v>
          </cell>
          <cell r="DC37">
            <v>1554484.6756102755</v>
          </cell>
          <cell r="DD37">
            <v>1594124.0348383316</v>
          </cell>
          <cell r="DE37">
            <v>1634774.197726703</v>
          </cell>
          <cell r="DF37">
            <v>1676460.9397687279</v>
          </cell>
          <cell r="DG37" t="str">
            <v>W.C. Beckjord 3</v>
          </cell>
          <cell r="DH37" t="str">
            <v>Env Cap Adds</v>
          </cell>
          <cell r="DI37">
            <v>0</v>
          </cell>
          <cell r="DJ37">
            <v>1448699.1994932983</v>
          </cell>
          <cell r="DK37">
            <v>1480280.0487836308</v>
          </cell>
          <cell r="DL37">
            <v>0</v>
          </cell>
          <cell r="DM37">
            <v>65948.81058664358</v>
          </cell>
          <cell r="DN37">
            <v>3174224.964866587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</row>
        <row r="38">
          <cell r="A38" t="str">
            <v>W.C. Beckjord 4</v>
          </cell>
          <cell r="B38" t="str">
            <v>Property Taxes</v>
          </cell>
          <cell r="C38">
            <v>390135.79705689999</v>
          </cell>
          <cell r="D38">
            <v>397818.93213596207</v>
          </cell>
          <cell r="E38">
            <v>406212.91160403308</v>
          </cell>
          <cell r="F38">
            <v>415108.97436816181</v>
          </cell>
          <cell r="G38">
            <v>424490.43718887924</v>
          </cell>
          <cell r="H38">
            <v>434593.30959397543</v>
          </cell>
          <cell r="I38">
            <v>445484.26162284706</v>
          </cell>
          <cell r="J38">
            <v>456533.51237306901</v>
          </cell>
          <cell r="K38">
            <v>468089.3190316119</v>
          </cell>
          <cell r="L38">
            <v>479651.12521169335</v>
          </cell>
          <cell r="M38">
            <v>491882.22890458966</v>
          </cell>
          <cell r="N38">
            <v>503785.77884408325</v>
          </cell>
          <cell r="O38">
            <v>516481.18047095247</v>
          </cell>
          <cell r="P38">
            <v>529599.8024549135</v>
          </cell>
          <cell r="Q38">
            <v>542839.79751628614</v>
          </cell>
          <cell r="R38">
            <v>556465.07643394498</v>
          </cell>
          <cell r="S38">
            <v>570376.70334479469</v>
          </cell>
          <cell r="T38">
            <v>584522.04558774468</v>
          </cell>
          <cell r="U38">
            <v>599193.5489319982</v>
          </cell>
          <cell r="V38">
            <v>614233.30701019126</v>
          </cell>
          <cell r="W38" t="str">
            <v>W.C. Beckjord 4</v>
          </cell>
          <cell r="X38" t="str">
            <v>Fixed O&amp;M inc Env</v>
          </cell>
          <cell r="Y38">
            <v>3073530.6909739757</v>
          </cell>
          <cell r="Z38">
            <v>3134059.2342313174</v>
          </cell>
          <cell r="AA38">
            <v>3244091.4749333914</v>
          </cell>
          <cell r="AB38">
            <v>3364067.6161116934</v>
          </cell>
          <cell r="AC38">
            <v>3444275.3765739328</v>
          </cell>
          <cell r="AD38">
            <v>3514722.7490168517</v>
          </cell>
          <cell r="AE38">
            <v>3698158.3880248209</v>
          </cell>
          <cell r="AF38">
            <v>3798803.7825618968</v>
          </cell>
          <cell r="AG38">
            <v>3894902.3758571511</v>
          </cell>
          <cell r="AH38">
            <v>3991182.7788811037</v>
          </cell>
          <cell r="AI38">
            <v>4092830.7559707332</v>
          </cell>
          <cell r="AJ38">
            <v>4191977.4670025506</v>
          </cell>
          <cell r="AK38">
            <v>4297635.841381303</v>
          </cell>
          <cell r="AL38">
            <v>4406753.6628070716</v>
          </cell>
          <cell r="AM38">
            <v>4516933.3006995991</v>
          </cell>
          <cell r="AN38">
            <v>4630297.2596413493</v>
          </cell>
          <cell r="AO38">
            <v>4746032.0025199037</v>
          </cell>
          <cell r="AP38">
            <v>4863768.4730106005</v>
          </cell>
          <cell r="AQ38">
            <v>4985849.0618235162</v>
          </cell>
          <cell r="AR38">
            <v>5110993.8734966265</v>
          </cell>
          <cell r="AS38" t="str">
            <v>W.C. Beckjord 4</v>
          </cell>
          <cell r="AT38" t="str">
            <v>A&amp;G</v>
          </cell>
          <cell r="AU38">
            <v>480529.21175673034</v>
          </cell>
          <cell r="AV38">
            <v>489992.5085657225</v>
          </cell>
          <cell r="AW38">
            <v>500331.35049646202</v>
          </cell>
          <cell r="AX38">
            <v>511288.60707233503</v>
          </cell>
          <cell r="AY38">
            <v>522843.72959216603</v>
          </cell>
          <cell r="AZ38">
            <v>535287.41035646072</v>
          </cell>
          <cell r="BA38">
            <v>548701.76667339914</v>
          </cell>
          <cell r="BB38">
            <v>562311.09909959603</v>
          </cell>
          <cell r="BC38">
            <v>576544.35507541953</v>
          </cell>
          <cell r="BD38">
            <v>590785.00064578315</v>
          </cell>
          <cell r="BE38">
            <v>605850.01816224831</v>
          </cell>
          <cell r="BF38">
            <v>620511.5886017778</v>
          </cell>
          <cell r="BG38">
            <v>636148.48063454055</v>
          </cell>
          <cell r="BH38">
            <v>652306.65204265655</v>
          </cell>
          <cell r="BI38">
            <v>668614.31834372261</v>
          </cell>
          <cell r="BJ38">
            <v>685396.53773415019</v>
          </cell>
          <cell r="BK38">
            <v>702531.45117750519</v>
          </cell>
          <cell r="BL38">
            <v>719954.23116670619</v>
          </cell>
          <cell r="BM38">
            <v>738025.08236899192</v>
          </cell>
          <cell r="BN38">
            <v>756549.5119364534</v>
          </cell>
          <cell r="BO38" t="str">
            <v>W.C. Beckjord 4</v>
          </cell>
          <cell r="BP38" t="str">
            <v>Depreciation</v>
          </cell>
          <cell r="BQ38">
            <v>1424977.0667538096</v>
          </cell>
          <cell r="BR38">
            <v>1251376.354753834</v>
          </cell>
          <cell r="BS38">
            <v>1289639.9984744354</v>
          </cell>
          <cell r="BT38">
            <v>1327003.6543703552</v>
          </cell>
          <cell r="BU38">
            <v>1380283.4108115346</v>
          </cell>
          <cell r="BV38">
            <v>1437164.2180861589</v>
          </cell>
          <cell r="BW38">
            <v>1497857.7268701897</v>
          </cell>
          <cell r="BX38">
            <v>1465352.0567662213</v>
          </cell>
          <cell r="BY38">
            <v>1329457.291677363</v>
          </cell>
          <cell r="BZ38">
            <v>1211928.9428211134</v>
          </cell>
          <cell r="CA38">
            <v>1201377.8581928127</v>
          </cell>
          <cell r="CB38">
            <v>1217326.3857866335</v>
          </cell>
          <cell r="CC38">
            <v>1197238.2026760078</v>
          </cell>
          <cell r="CD38">
            <v>1242311.1686059511</v>
          </cell>
          <cell r="CE38">
            <v>1259562.4651742403</v>
          </cell>
          <cell r="CF38">
            <v>1287420.279535779</v>
          </cell>
          <cell r="CG38">
            <v>1359144.2937962126</v>
          </cell>
          <cell r="CH38">
            <v>1443916.4128404791</v>
          </cell>
          <cell r="CI38">
            <v>1515519.2018876262</v>
          </cell>
          <cell r="CJ38">
            <v>1515519.2018876262</v>
          </cell>
          <cell r="CK38" t="str">
            <v>W.C. Beckjord 4</v>
          </cell>
          <cell r="CL38" t="str">
            <v>Cap Ads exc Env Cap Adds</v>
          </cell>
          <cell r="CM38">
            <v>1243218.1544097867</v>
          </cell>
          <cell r="CN38">
            <v>1267701.4576214617</v>
          </cell>
          <cell r="CO38">
            <v>1294449.9583772817</v>
          </cell>
          <cell r="CP38">
            <v>1322798.4124657456</v>
          </cell>
          <cell r="CQ38">
            <v>1352693.6565874615</v>
          </cell>
          <cell r="CR38">
            <v>1384887.765614246</v>
          </cell>
          <cell r="CS38">
            <v>1419593.1922457954</v>
          </cell>
          <cell r="CT38">
            <v>1454803.0582179211</v>
          </cell>
          <cell r="CU38">
            <v>1491627.1300798906</v>
          </cell>
          <cell r="CV38">
            <v>1528470.3201928658</v>
          </cell>
          <cell r="CW38">
            <v>1566223.5371016318</v>
          </cell>
          <cell r="CX38">
            <v>1606162.2372977172</v>
          </cell>
          <cell r="CY38">
            <v>1647119.374348803</v>
          </cell>
          <cell r="CZ38">
            <v>1689120.9183946913</v>
          </cell>
          <cell r="DA38">
            <v>1732193.5018137495</v>
          </cell>
          <cell r="DB38">
            <v>1776364.4361099936</v>
          </cell>
          <cell r="DC38">
            <v>1821661.7292307918</v>
          </cell>
          <cell r="DD38">
            <v>1868114.10332617</v>
          </cell>
          <cell r="DE38">
            <v>1915751.0129609804</v>
          </cell>
          <cell r="DF38">
            <v>1964602.6637914781</v>
          </cell>
          <cell r="DG38" t="str">
            <v>W.C. Beckjord 4</v>
          </cell>
          <cell r="DH38" t="str">
            <v>Env Cap Adds</v>
          </cell>
          <cell r="DI38">
            <v>0</v>
          </cell>
          <cell r="DJ38">
            <v>1697694.3744062083</v>
          </cell>
          <cell r="DK38">
            <v>1734703.182168317</v>
          </cell>
          <cell r="DL38">
            <v>0</v>
          </cell>
          <cell r="DM38">
            <v>73003.89924155442</v>
          </cell>
          <cell r="DN38">
            <v>3719794.8807030316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</row>
        <row r="39">
          <cell r="A39" t="str">
            <v>W.C. Beckjord 5</v>
          </cell>
          <cell r="B39" t="str">
            <v>Property Taxes</v>
          </cell>
          <cell r="C39">
            <v>619015.46466361464</v>
          </cell>
          <cell r="D39">
            <v>631206.03898905986</v>
          </cell>
          <cell r="E39">
            <v>644524.48641173251</v>
          </cell>
          <cell r="F39">
            <v>658639.57266415015</v>
          </cell>
          <cell r="G39">
            <v>673524.82700635504</v>
          </cell>
          <cell r="H39">
            <v>689554.71788910765</v>
          </cell>
          <cell r="I39">
            <v>706835.02844158397</v>
          </cell>
          <cell r="J39">
            <v>724366.50629860279</v>
          </cell>
          <cell r="K39">
            <v>742701.71953015751</v>
          </cell>
          <cell r="L39">
            <v>761046.45200255339</v>
          </cell>
          <cell r="M39">
            <v>780453.13652861561</v>
          </cell>
          <cell r="N39">
            <v>799340.1024326121</v>
          </cell>
          <cell r="O39">
            <v>819483.47301391128</v>
          </cell>
          <cell r="P39">
            <v>840298.35322846286</v>
          </cell>
          <cell r="Q39">
            <v>861305.81205917406</v>
          </cell>
          <cell r="R39">
            <v>882924.58794185938</v>
          </cell>
          <cell r="S39">
            <v>904997.7026404076</v>
          </cell>
          <cell r="T39">
            <v>927441.64566588821</v>
          </cell>
          <cell r="U39">
            <v>950720.43097210373</v>
          </cell>
          <cell r="V39">
            <v>974583.51378950349</v>
          </cell>
          <cell r="W39" t="str">
            <v>W.C. Beckjord 5</v>
          </cell>
          <cell r="X39" t="str">
            <v>Fixed O&amp;M inc Env</v>
          </cell>
          <cell r="Y39">
            <v>4876668.6963453749</v>
          </cell>
          <cell r="Z39">
            <v>4972707.3183136908</v>
          </cell>
          <cell r="AA39">
            <v>5147291.8068876257</v>
          </cell>
          <cell r="AB39">
            <v>5337653.9508829284</v>
          </cell>
          <cell r="AC39">
            <v>5464916.9308153894</v>
          </cell>
          <cell r="AD39">
            <v>5576693.4284244478</v>
          </cell>
          <cell r="AE39">
            <v>5867744.6423020093</v>
          </cell>
          <cell r="AF39">
            <v>6027435.3349653808</v>
          </cell>
          <cell r="AG39">
            <v>6179911.7696596971</v>
          </cell>
          <cell r="AH39">
            <v>6312386.021050455</v>
          </cell>
          <cell r="AI39">
            <v>6471295.3698783237</v>
          </cell>
          <cell r="AJ39">
            <v>6628049.2823949624</v>
          </cell>
          <cell r="AK39">
            <v>6795106.5797939394</v>
          </cell>
          <cell r="AL39">
            <v>6967639.8273633299</v>
          </cell>
          <cell r="AM39">
            <v>7141846.8294655709</v>
          </cell>
          <cell r="AN39">
            <v>7321090.77730521</v>
          </cell>
          <cell r="AO39">
            <v>7504084.4090409493</v>
          </cell>
          <cell r="AP39">
            <v>7690237.4100943375</v>
          </cell>
          <cell r="AQ39">
            <v>7883262.3692957861</v>
          </cell>
          <cell r="AR39">
            <v>8081132.2550932644</v>
          </cell>
          <cell r="AS39" t="str">
            <v>W.C. Beckjord 5</v>
          </cell>
          <cell r="AT39" t="str">
            <v>A&amp;G</v>
          </cell>
          <cell r="AU39">
            <v>762439.68265401199</v>
          </cell>
          <cell r="AV39">
            <v>777454.78025761293</v>
          </cell>
          <cell r="AW39">
            <v>793859.07612105284</v>
          </cell>
          <cell r="AX39">
            <v>811244.58988810482</v>
          </cell>
          <cell r="AY39">
            <v>829578.71761956997</v>
          </cell>
          <cell r="AZ39">
            <v>849322.69109891739</v>
          </cell>
          <cell r="BA39">
            <v>870606.80312179308</v>
          </cell>
          <cell r="BB39">
            <v>892200.27723802545</v>
          </cell>
          <cell r="BC39">
            <v>914783.71005299874</v>
          </cell>
          <cell r="BD39">
            <v>937378.86769130896</v>
          </cell>
          <cell r="BE39">
            <v>961282.02881743386</v>
          </cell>
          <cell r="BF39">
            <v>984545.05391482054</v>
          </cell>
          <cell r="BG39">
            <v>1009355.5892734708</v>
          </cell>
          <cell r="BH39">
            <v>1034993.2212410148</v>
          </cell>
          <cell r="BI39">
            <v>1060868.0517720396</v>
          </cell>
          <cell r="BJ39">
            <v>1087495.8398715181</v>
          </cell>
          <cell r="BK39">
            <v>1114683.235868308</v>
          </cell>
          <cell r="BL39">
            <v>1142327.3801178404</v>
          </cell>
          <cell r="BM39">
            <v>1170999.7973588002</v>
          </cell>
          <cell r="BN39">
            <v>1200391.8922725059</v>
          </cell>
          <cell r="BO39" t="str">
            <v>W.C. Beckjord 5</v>
          </cell>
          <cell r="BP39" t="str">
            <v>Depreciation</v>
          </cell>
          <cell r="BQ39">
            <v>2260963.6125827115</v>
          </cell>
          <cell r="BR39">
            <v>1985517.1495427499</v>
          </cell>
          <cell r="BS39">
            <v>2046228.7975794377</v>
          </cell>
          <cell r="BT39">
            <v>2105512.4649342969</v>
          </cell>
          <cell r="BU39">
            <v>2190049.6784876343</v>
          </cell>
          <cell r="BV39">
            <v>2280300.5593633722</v>
          </cell>
          <cell r="BW39">
            <v>2376600.9266340341</v>
          </cell>
          <cell r="BX39">
            <v>2325025.2634024043</v>
          </cell>
          <cell r="BY39">
            <v>2109405.569461416</v>
          </cell>
          <cell r="BZ39">
            <v>1922927.2559428331</v>
          </cell>
          <cell r="CA39">
            <v>1906186.2016659291</v>
          </cell>
          <cell r="CB39">
            <v>1931491.1987814582</v>
          </cell>
          <cell r="CC39">
            <v>1899617.9482459323</v>
          </cell>
          <cell r="CD39">
            <v>1971133.7208547755</v>
          </cell>
          <cell r="CE39">
            <v>1998505.7780764611</v>
          </cell>
          <cell r="CF39">
            <v>2042706.8435301026</v>
          </cell>
          <cell r="CG39">
            <v>2156508.9461566573</v>
          </cell>
          <cell r="CH39">
            <v>2291014.0417068936</v>
          </cell>
          <cell r="CI39">
            <v>2404623.8003283669</v>
          </cell>
          <cell r="CJ39">
            <v>2404623.8003283669</v>
          </cell>
          <cell r="CK39" t="str">
            <v>W.C. Beckjord 5</v>
          </cell>
          <cell r="CL39" t="str">
            <v>Cap Ads exc Env Cap Adds</v>
          </cell>
          <cell r="CM39">
            <v>1972572.8049968614</v>
          </cell>
          <cell r="CN39">
            <v>2011419.6460927192</v>
          </cell>
          <cell r="CO39">
            <v>2053860.6006252868</v>
          </cell>
          <cell r="CP39">
            <v>2098840.1477789828</v>
          </cell>
          <cell r="CQ39">
            <v>2146273.9351187721</v>
          </cell>
          <cell r="CR39">
            <v>2197355.2547746035</v>
          </cell>
          <cell r="CS39">
            <v>2252421.1983633284</v>
          </cell>
          <cell r="CT39">
            <v>2308287.5190391014</v>
          </cell>
          <cell r="CU39">
            <v>2366715.0463934261</v>
          </cell>
          <cell r="CV39">
            <v>2425172.9080393468</v>
          </cell>
          <cell r="CW39">
            <v>2485074.6788679217</v>
          </cell>
          <cell r="CX39">
            <v>2548444.0831790441</v>
          </cell>
          <cell r="CY39">
            <v>2613429.4073001002</v>
          </cell>
          <cell r="CZ39">
            <v>2680071.8571862429</v>
          </cell>
          <cell r="DA39">
            <v>2748413.6895444817</v>
          </cell>
          <cell r="DB39">
            <v>2818498.2386278557</v>
          </cell>
          <cell r="DC39">
            <v>2890369.9437128552</v>
          </cell>
          <cell r="DD39">
            <v>2964074.3772775219</v>
          </cell>
          <cell r="DE39">
            <v>3039658.2738980874</v>
          </cell>
          <cell r="DF39">
            <v>3117169.5598824774</v>
          </cell>
          <cell r="DG39" t="str">
            <v>W.C. Beckjord 5</v>
          </cell>
          <cell r="DH39" t="str">
            <v>Env Cap Adds</v>
          </cell>
          <cell r="DI39">
            <v>0</v>
          </cell>
          <cell r="DJ39">
            <v>2693675.074057851</v>
          </cell>
          <cell r="DK39">
            <v>2752395.7157070632</v>
          </cell>
          <cell r="DL39">
            <v>0</v>
          </cell>
          <cell r="DM39">
            <v>98133.502258894776</v>
          </cell>
          <cell r="DN39">
            <v>5902074.5440488113</v>
          </cell>
          <cell r="DO39">
            <v>0</v>
          </cell>
          <cell r="DP39">
            <v>0</v>
          </cell>
          <cell r="DQ39">
            <v>93880.135481526333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</row>
        <row r="40">
          <cell r="A40" t="str">
            <v>W.C. Beckjord 6</v>
          </cell>
          <cell r="B40" t="str">
            <v>Property Taxes</v>
          </cell>
          <cell r="C40">
            <v>257736.50330566656</v>
          </cell>
          <cell r="D40">
            <v>262812.23433225002</v>
          </cell>
          <cell r="E40">
            <v>268357.57247666194</v>
          </cell>
          <cell r="F40">
            <v>274234.60331390111</v>
          </cell>
          <cell r="G40">
            <v>280432.30534879328</v>
          </cell>
          <cell r="H40">
            <v>287106.59421609511</v>
          </cell>
          <cell r="I40">
            <v>294301.51433049247</v>
          </cell>
          <cell r="J40">
            <v>301601.01177213422</v>
          </cell>
          <cell r="K40">
            <v>309235.15666095819</v>
          </cell>
          <cell r="L40">
            <v>316873.26503048424</v>
          </cell>
          <cell r="M40">
            <v>324953.5332887604</v>
          </cell>
          <cell r="N40">
            <v>332817.40879435005</v>
          </cell>
          <cell r="O40">
            <v>341204.40749596659</v>
          </cell>
          <cell r="P40">
            <v>349870.99944636336</v>
          </cell>
          <cell r="Q40">
            <v>358617.7744325223</v>
          </cell>
          <cell r="R40">
            <v>367619.08057077863</v>
          </cell>
          <cell r="S40">
            <v>376809.55758504884</v>
          </cell>
          <cell r="T40">
            <v>386154.43461315741</v>
          </cell>
          <cell r="U40">
            <v>395846.91092194838</v>
          </cell>
          <cell r="V40">
            <v>405782.66838608927</v>
          </cell>
          <cell r="W40" t="str">
            <v>W.C. Beckjord 6</v>
          </cell>
          <cell r="X40" t="str">
            <v>Fixed O&amp;M inc Env</v>
          </cell>
          <cell r="Y40">
            <v>1786738.9631382294</v>
          </cell>
          <cell r="Z40">
            <v>1821926.0874892208</v>
          </cell>
          <cell r="AA40">
            <v>1860368.7279352536</v>
          </cell>
          <cell r="AB40">
            <v>1901110.8030770377</v>
          </cell>
          <cell r="AC40">
            <v>1944075.9072265646</v>
          </cell>
          <cell r="AD40">
            <v>1978355.0351210854</v>
          </cell>
          <cell r="AE40">
            <v>2026830.8205312609</v>
          </cell>
          <cell r="AF40">
            <v>2077098.7317725965</v>
          </cell>
          <cell r="AG40">
            <v>2129678.2619580328</v>
          </cell>
          <cell r="AH40">
            <v>2169040.3178045233</v>
          </cell>
          <cell r="AI40">
            <v>2223149.6424773424</v>
          </cell>
          <cell r="AJ40">
            <v>2276936.2564572711</v>
          </cell>
          <cell r="AK40">
            <v>2334312.2606327399</v>
          </cell>
          <cell r="AL40">
            <v>2393609.5128663876</v>
          </cell>
          <cell r="AM40">
            <v>2453448.2846236313</v>
          </cell>
          <cell r="AN40">
            <v>2515031.3393754237</v>
          </cell>
          <cell r="AO40">
            <v>2577910.2038133373</v>
          </cell>
          <cell r="AP40">
            <v>2641837.6408406659</v>
          </cell>
          <cell r="AQ40">
            <v>2708147.7656067144</v>
          </cell>
          <cell r="AR40">
            <v>2776122.2744933856</v>
          </cell>
          <cell r="AS40" t="str">
            <v>W.C. Beckjord 6</v>
          </cell>
          <cell r="AT40" t="str">
            <v>A&amp;G</v>
          </cell>
          <cell r="AU40">
            <v>351945.34172846284</v>
          </cell>
          <cell r="AV40">
            <v>358876.37349059578</v>
          </cell>
          <cell r="AW40">
            <v>366448.66497124935</v>
          </cell>
          <cell r="AX40">
            <v>374473.8907341201</v>
          </cell>
          <cell r="AY40">
            <v>382937.0006647085</v>
          </cell>
          <cell r="AZ40">
            <v>392050.90128052933</v>
          </cell>
          <cell r="BA40">
            <v>401875.73628020118</v>
          </cell>
          <cell r="BB40">
            <v>411843.37411417108</v>
          </cell>
          <cell r="BC40">
            <v>422267.98101789429</v>
          </cell>
          <cell r="BD40">
            <v>432698.00014903682</v>
          </cell>
          <cell r="BE40">
            <v>443731.79915283562</v>
          </cell>
          <cell r="BF40">
            <v>454470.10869233648</v>
          </cell>
          <cell r="BG40">
            <v>465922.75543138187</v>
          </cell>
          <cell r="BH40">
            <v>477757.19341933797</v>
          </cell>
          <cell r="BI40">
            <v>489701.12325482117</v>
          </cell>
          <cell r="BJ40">
            <v>501992.62144851725</v>
          </cell>
          <cell r="BK40">
            <v>514542.43698473118</v>
          </cell>
          <cell r="BL40">
            <v>527303.08942195168</v>
          </cell>
          <cell r="BM40">
            <v>540538.39696644363</v>
          </cell>
          <cell r="BN40">
            <v>554105.91073030129</v>
          </cell>
          <cell r="BO40" t="str">
            <v>W.C. Beckjord 6</v>
          </cell>
          <cell r="BP40" t="str">
            <v>Depreciation</v>
          </cell>
          <cell r="BQ40">
            <v>612661.7453150393</v>
          </cell>
          <cell r="BR40">
            <v>621957.2327006869</v>
          </cell>
          <cell r="BS40">
            <v>670444.69370850665</v>
          </cell>
          <cell r="BT40">
            <v>720476.22001609579</v>
          </cell>
          <cell r="BU40">
            <v>771271.27666990436</v>
          </cell>
          <cell r="BV40">
            <v>824603.40042202314</v>
          </cell>
          <cell r="BW40">
            <v>879365.85316324572</v>
          </cell>
          <cell r="BX40">
            <v>938317.89498254075</v>
          </cell>
          <cell r="BY40">
            <v>998776.70756469504</v>
          </cell>
          <cell r="BZ40">
            <v>944728.28446599562</v>
          </cell>
          <cell r="CA40">
            <v>892324.84368616319</v>
          </cell>
          <cell r="CB40">
            <v>954895.33439598465</v>
          </cell>
          <cell r="CC40">
            <v>1024768.1084946437</v>
          </cell>
          <cell r="CD40">
            <v>1105794.7885606715</v>
          </cell>
          <cell r="CE40">
            <v>1087829.4399957003</v>
          </cell>
          <cell r="CF40">
            <v>1079533.1190917208</v>
          </cell>
          <cell r="CG40">
            <v>1189860.3137147715</v>
          </cell>
          <cell r="CH40">
            <v>1312063.471100827</v>
          </cell>
          <cell r="CI40">
            <v>1377127.7664452414</v>
          </cell>
          <cell r="CJ40">
            <v>1377127.7664452414</v>
          </cell>
          <cell r="CK40" t="str">
            <v>W.C. Beckjord 6</v>
          </cell>
          <cell r="CL40" t="str">
            <v>Cap Ads exc Env Cap Adds</v>
          </cell>
          <cell r="CM40">
            <v>1129692.2124471192</v>
          </cell>
          <cell r="CN40">
            <v>1151939.7937546344</v>
          </cell>
          <cell r="CO40">
            <v>1176245.7234028636</v>
          </cell>
          <cell r="CP40">
            <v>1202005.5047453877</v>
          </cell>
          <cell r="CQ40">
            <v>1229170.8291526246</v>
          </cell>
          <cell r="CR40">
            <v>1258425.0948864594</v>
          </cell>
          <cell r="CS40">
            <v>1289961.354276051</v>
          </cell>
          <cell r="CT40">
            <v>1321955.9895288646</v>
          </cell>
          <cell r="CU40">
            <v>1355417.4275439887</v>
          </cell>
          <cell r="CV40">
            <v>1388896.2380043271</v>
          </cell>
          <cell r="CW40">
            <v>1423201.9750830359</v>
          </cell>
          <cell r="CX40">
            <v>1459493.6254476479</v>
          </cell>
          <cell r="CY40">
            <v>1496710.7128965573</v>
          </cell>
          <cell r="CZ40">
            <v>1534876.836075414</v>
          </cell>
          <cell r="DA40">
            <v>1574016.1953953311</v>
          </cell>
          <cell r="DB40">
            <v>1614153.608377906</v>
          </cell>
          <cell r="DC40">
            <v>1655314.5253915365</v>
          </cell>
          <cell r="DD40">
            <v>1697525.0457890143</v>
          </cell>
          <cell r="DE40">
            <v>1740811.9344566278</v>
          </cell>
          <cell r="DF40">
            <v>1785202.6387852654</v>
          </cell>
          <cell r="DG40" t="str">
            <v>W.C. Beckjord 6</v>
          </cell>
          <cell r="DH40" t="str">
            <v>Env Cap Adds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53036.888309120834</v>
          </cell>
          <cell r="DN40">
            <v>0</v>
          </cell>
          <cell r="DO40">
            <v>0</v>
          </cell>
          <cell r="DP40">
            <v>0</v>
          </cell>
          <cell r="DQ40">
            <v>50738.128624442725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</row>
        <row r="41">
          <cell r="A41" t="str">
            <v>W.H. Zimmer 1</v>
          </cell>
          <cell r="B41" t="str">
            <v>Property Taxes</v>
          </cell>
          <cell r="C41">
            <v>3913420.9707065257</v>
          </cell>
          <cell r="D41">
            <v>3990489.8840592457</v>
          </cell>
          <cell r="E41">
            <v>4074689.220612918</v>
          </cell>
          <cell r="F41">
            <v>4163924.9145443453</v>
          </cell>
          <cell r="G41">
            <v>4258029.6176130166</v>
          </cell>
          <cell r="H41">
            <v>4359370.7225122154</v>
          </cell>
          <cell r="I41">
            <v>4468616.9910737462</v>
          </cell>
          <cell r="J41">
            <v>4579451.141445769</v>
          </cell>
          <cell r="K41">
            <v>4695366.5136113642</v>
          </cell>
          <cell r="L41">
            <v>4811342.0664975718</v>
          </cell>
          <cell r="M41">
            <v>4934031.2891932409</v>
          </cell>
          <cell r="N41">
            <v>5053434.8463917421</v>
          </cell>
          <cell r="O41">
            <v>5180781.4045207975</v>
          </cell>
          <cell r="P41">
            <v>5312373.2521956153</v>
          </cell>
          <cell r="Q41">
            <v>5445182.5835005026</v>
          </cell>
          <cell r="R41">
            <v>5581856.6663463665</v>
          </cell>
          <cell r="S41">
            <v>5721403.0830050362</v>
          </cell>
          <cell r="T41">
            <v>5863293.8794635516</v>
          </cell>
          <cell r="U41">
            <v>6010462.5558380978</v>
          </cell>
          <cell r="V41">
            <v>6161325.1659896327</v>
          </cell>
          <cell r="W41" t="str">
            <v>W.H. Zimmer 1</v>
          </cell>
          <cell r="X41" t="str">
            <v>Fixed O&amp;M inc Env</v>
          </cell>
          <cell r="Y41">
            <v>6669848.6051386222</v>
          </cell>
          <cell r="Z41">
            <v>6802384.6461552791</v>
          </cell>
          <cell r="AA41">
            <v>6946602.0247065378</v>
          </cell>
          <cell r="AB41">
            <v>7099346.7931434382</v>
          </cell>
          <cell r="AC41">
            <v>7260868.3515899349</v>
          </cell>
          <cell r="AD41">
            <v>7434833.6447393876</v>
          </cell>
          <cell r="AE41">
            <v>7620909.2642271435</v>
          </cell>
          <cell r="AF41">
            <v>7741673.7894705292</v>
          </cell>
          <cell r="AG41">
            <v>7930719.5644389708</v>
          </cell>
          <cell r="AH41">
            <v>8127390.3093746528</v>
          </cell>
          <cell r="AI41">
            <v>8333335.545736528</v>
          </cell>
          <cell r="AJ41">
            <v>8536029.0563453026</v>
          </cell>
          <cell r="AK41">
            <v>8751347.4788469616</v>
          </cell>
          <cell r="AL41">
            <v>8973200.0212936774</v>
          </cell>
          <cell r="AM41">
            <v>9197640.6487206426</v>
          </cell>
          <cell r="AN41">
            <v>9428388.0295159277</v>
          </cell>
          <cell r="AO41">
            <v>9663865.2463893704</v>
          </cell>
          <cell r="AP41">
            <v>9903886.4776008427</v>
          </cell>
          <cell r="AQ41">
            <v>10152474.029626669</v>
          </cell>
          <cell r="AR41">
            <v>10407301.130038323</v>
          </cell>
          <cell r="AS41" t="str">
            <v>W.H. Zimmer 1</v>
          </cell>
          <cell r="AT41" t="str">
            <v>A&amp;G</v>
          </cell>
          <cell r="AU41">
            <v>1289139.7592218912</v>
          </cell>
          <cell r="AV41">
            <v>1314527.4190588242</v>
          </cell>
          <cell r="AW41">
            <v>1342263.9476009726</v>
          </cell>
          <cell r="AX41">
            <v>1371659.5280534355</v>
          </cell>
          <cell r="AY41">
            <v>1402659.033387433</v>
          </cell>
          <cell r="AZ41">
            <v>1436042.3183820567</v>
          </cell>
          <cell r="BA41">
            <v>1472029.6832486265</v>
          </cell>
          <cell r="BB41">
            <v>1508540.1202789564</v>
          </cell>
          <cell r="BC41">
            <v>1546724.3882333168</v>
          </cell>
          <cell r="BD41">
            <v>1584928.4806226818</v>
          </cell>
          <cell r="BE41">
            <v>1625344.1568785543</v>
          </cell>
          <cell r="BF41">
            <v>1664677.4854750235</v>
          </cell>
          <cell r="BG41">
            <v>1706627.3581089887</v>
          </cell>
          <cell r="BH41">
            <v>1749975.6930049532</v>
          </cell>
          <cell r="BI41">
            <v>1793725.0853300763</v>
          </cell>
          <cell r="BJ41">
            <v>1838747.5849718614</v>
          </cell>
          <cell r="BK41">
            <v>1884716.2745961614</v>
          </cell>
          <cell r="BL41">
            <v>1931457.2382061433</v>
          </cell>
          <cell r="BM41">
            <v>1979936.8148851211</v>
          </cell>
          <cell r="BN41">
            <v>2029633.2289387372</v>
          </cell>
          <cell r="BO41" t="str">
            <v>W.H. Zimmer 1</v>
          </cell>
          <cell r="BP41" t="str">
            <v>Depreciation</v>
          </cell>
          <cell r="BQ41">
            <v>44832949.926949441</v>
          </cell>
          <cell r="BR41">
            <v>44919133.492381826</v>
          </cell>
          <cell r="BS41">
            <v>45013552.579443395</v>
          </cell>
          <cell r="BT41">
            <v>45102958.070534445</v>
          </cell>
          <cell r="BU41">
            <v>45213023.687132642</v>
          </cell>
          <cell r="BV41">
            <v>2835904.8201711299</v>
          </cell>
          <cell r="BW41">
            <v>1636538.2784853172</v>
          </cell>
          <cell r="BX41">
            <v>1775750.0553901331</v>
          </cell>
          <cell r="BY41">
            <v>1918556.6696994188</v>
          </cell>
          <cell r="BZ41">
            <v>2064819.5292295194</v>
          </cell>
          <cell r="CA41">
            <v>2214883.1979146805</v>
          </cell>
          <cell r="CB41">
            <v>2357840.5983517105</v>
          </cell>
          <cell r="CC41">
            <v>2517818.0463409014</v>
          </cell>
          <cell r="CD41">
            <v>2548873.0510573774</v>
          </cell>
          <cell r="CE41">
            <v>2600733.4434524388</v>
          </cell>
          <cell r="CF41">
            <v>2835851.5886355098</v>
          </cell>
          <cell r="CG41">
            <v>2953315.6611385019</v>
          </cell>
          <cell r="CH41">
            <v>3098763.7693860615</v>
          </cell>
          <cell r="CI41">
            <v>3252429.2631176612</v>
          </cell>
          <cell r="CJ41">
            <v>3252429.2631176612</v>
          </cell>
          <cell r="CK41" t="str">
            <v>W.H. Zimmer 1</v>
          </cell>
          <cell r="CL41" t="str">
            <v>Cap Ads exc Env Cap Adds</v>
          </cell>
          <cell r="CM41">
            <v>2668048.7458062181</v>
          </cell>
          <cell r="CN41">
            <v>2720591.9347834694</v>
          </cell>
          <cell r="CO41">
            <v>2777996.4246074157</v>
          </cell>
          <cell r="CP41">
            <v>2838834.5463063214</v>
          </cell>
          <cell r="CQ41">
            <v>2902992.2070528232</v>
          </cell>
          <cell r="CR41">
            <v>2972083.4215806862</v>
          </cell>
          <cell r="CS41">
            <v>3046564.1309143868</v>
          </cell>
          <cell r="CT41">
            <v>3122127.4086977085</v>
          </cell>
          <cell r="CU41">
            <v>3201154.9055198161</v>
          </cell>
          <cell r="CV41">
            <v>3280223.4316861597</v>
          </cell>
          <cell r="CW41">
            <v>3361244.9504488125</v>
          </cell>
          <cell r="CX41">
            <v>3446956.6966852443</v>
          </cell>
          <cell r="CY41">
            <v>3534854.0924507049</v>
          </cell>
          <cell r="CZ41">
            <v>3624992.8718081848</v>
          </cell>
          <cell r="DA41">
            <v>3717430.1900392799</v>
          </cell>
          <cell r="DB41">
            <v>3812224.6598852677</v>
          </cell>
          <cell r="DC41">
            <v>3909436.3887123279</v>
          </cell>
          <cell r="DD41">
            <v>4009127.0166244772</v>
          </cell>
          <cell r="DE41">
            <v>4111359.7555483864</v>
          </cell>
          <cell r="DF41">
            <v>4216199.4293148546</v>
          </cell>
          <cell r="DG41" t="str">
            <v>W.H. Zimmer 1</v>
          </cell>
          <cell r="DH41" t="str">
            <v>Env Cap Adds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132403.80205538138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</row>
        <row r="42">
          <cell r="A42" t="str">
            <v>Cayuga Diesel 3A-D</v>
          </cell>
          <cell r="B42" t="str">
            <v>Property Taxes</v>
          </cell>
          <cell r="C42">
            <v>6635.0561249860721</v>
          </cell>
          <cell r="D42">
            <v>6765.7235306688972</v>
          </cell>
          <cell r="E42">
            <v>6908.4802971660483</v>
          </cell>
          <cell r="F42">
            <v>7059.7760156739923</v>
          </cell>
          <cell r="G42">
            <v>7219.3269536281732</v>
          </cell>
          <cell r="H42">
            <v>7391.1469351245378</v>
          </cell>
          <cell r="I42">
            <v>7576.3698203640461</v>
          </cell>
          <cell r="J42">
            <v>7764.2848987029729</v>
          </cell>
          <cell r="K42">
            <v>7960.8149949600393</v>
          </cell>
          <cell r="L42">
            <v>8157.4471253355632</v>
          </cell>
          <cell r="M42">
            <v>8365.4620270315881</v>
          </cell>
          <cell r="N42">
            <v>8567.9062080857948</v>
          </cell>
          <cell r="O42">
            <v>8783.8174445295299</v>
          </cell>
          <cell r="P42">
            <v>9006.92640762056</v>
          </cell>
          <cell r="Q42">
            <v>9232.0995678110703</v>
          </cell>
          <cell r="R42">
            <v>9463.8252669631293</v>
          </cell>
          <cell r="S42">
            <v>9700.420898637225</v>
          </cell>
          <cell r="T42">
            <v>9940.9913369234127</v>
          </cell>
          <cell r="U42">
            <v>10190.510219480209</v>
          </cell>
          <cell r="V42">
            <v>10446.292025989162</v>
          </cell>
          <cell r="W42" t="str">
            <v>Cayuga Diesel 3A-D</v>
          </cell>
          <cell r="X42" t="str">
            <v>Fixed O&amp;M inc Env</v>
          </cell>
          <cell r="Y42">
            <v>24032.405221742625</v>
          </cell>
          <cell r="Z42">
            <v>24505.687132775452</v>
          </cell>
          <cell r="AA42">
            <v>25022.757131277151</v>
          </cell>
          <cell r="AB42">
            <v>25570.75551245215</v>
          </cell>
          <cell r="AC42">
            <v>26148.654587033379</v>
          </cell>
          <cell r="AD42">
            <v>26770.992566204826</v>
          </cell>
          <cell r="AE42">
            <v>27441.876331249921</v>
          </cell>
          <cell r="AF42">
            <v>28122.511313810239</v>
          </cell>
          <cell r="AG42">
            <v>28834.350192419246</v>
          </cell>
          <cell r="AH42">
            <v>29546.558642172036</v>
          </cell>
          <cell r="AI42">
            <v>30299.995887547313</v>
          </cell>
          <cell r="AJ42">
            <v>31033.255788026108</v>
          </cell>
          <cell r="AK42">
            <v>31815.293833884269</v>
          </cell>
          <cell r="AL42">
            <v>32623.402297264856</v>
          </cell>
          <cell r="AM42">
            <v>33438.987354696466</v>
          </cell>
          <cell r="AN42">
            <v>34278.305937299352</v>
          </cell>
          <cell r="AO42">
            <v>35135.263585731896</v>
          </cell>
          <cell r="AP42">
            <v>36006.618122657994</v>
          </cell>
          <cell r="AQ42">
            <v>36910.384237536775</v>
          </cell>
          <cell r="AR42">
            <v>37836.834881898947</v>
          </cell>
          <cell r="AS42" t="str">
            <v>Cayuga Diesel 3A-D</v>
          </cell>
          <cell r="AT42" t="str">
            <v>A&amp;G</v>
          </cell>
          <cell r="AU42">
            <v>785.64916788439723</v>
          </cell>
          <cell r="AV42">
            <v>801.12134123312535</v>
          </cell>
          <cell r="AW42">
            <v>818.02500153314872</v>
          </cell>
          <cell r="AX42">
            <v>835.93974906672554</v>
          </cell>
          <cell r="AY42">
            <v>854.83198739562738</v>
          </cell>
          <cell r="AZ42">
            <v>875.17698869564504</v>
          </cell>
          <cell r="BA42">
            <v>897.1090120154737</v>
          </cell>
          <cell r="BB42">
            <v>919.35981474402172</v>
          </cell>
          <cell r="BC42">
            <v>942.63071158047148</v>
          </cell>
          <cell r="BD42">
            <v>965.91369015651037</v>
          </cell>
          <cell r="BE42">
            <v>990.54448925549775</v>
          </cell>
          <cell r="BF42">
            <v>1014.5156658954858</v>
          </cell>
          <cell r="BG42">
            <v>1040.0814606760487</v>
          </cell>
          <cell r="BH42">
            <v>1066.499529777218</v>
          </cell>
          <cell r="BI42">
            <v>1093.162018021648</v>
          </cell>
          <cell r="BJ42">
            <v>1120.6003846739916</v>
          </cell>
          <cell r="BK42">
            <v>1148.6153942908434</v>
          </cell>
          <cell r="BL42">
            <v>1177.1010560692546</v>
          </cell>
          <cell r="BM42">
            <v>1206.646292576595</v>
          </cell>
          <cell r="BN42">
            <v>1236.9331145202673</v>
          </cell>
          <cell r="BO42" t="str">
            <v>Cayuga Diesel 3A-D</v>
          </cell>
          <cell r="BP42" t="str">
            <v>Depreciation</v>
          </cell>
          <cell r="BQ42">
            <v>101565.70981894122</v>
          </cell>
          <cell r="BR42">
            <v>99642.954060485106</v>
          </cell>
          <cell r="BS42">
            <v>98450.474292898463</v>
          </cell>
          <cell r="BT42">
            <v>97439.774977687848</v>
          </cell>
          <cell r="BU42">
            <v>96589.540489204752</v>
          </cell>
          <cell r="BV42">
            <v>95819.754226494653</v>
          </cell>
          <cell r="BW42">
            <v>95037.484045959267</v>
          </cell>
          <cell r="BX42">
            <v>94134.159704809645</v>
          </cell>
          <cell r="BY42">
            <v>45612.823327967984</v>
          </cell>
          <cell r="BZ42">
            <v>15041.726499273707</v>
          </cell>
          <cell r="CA42">
            <v>15041.726499273707</v>
          </cell>
          <cell r="CB42">
            <v>15041.726499273707</v>
          </cell>
          <cell r="CC42">
            <v>15041.726499273707</v>
          </cell>
          <cell r="CD42">
            <v>15041.726499273707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 t="str">
            <v>Cayuga Diesel 3A-D</v>
          </cell>
          <cell r="CL42" t="str">
            <v>Cap Ads exc Env Cap Adds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 t="str">
            <v>Cayuga Diesel 3A-D</v>
          </cell>
          <cell r="DH42" t="str">
            <v>Env Cap Adds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</row>
        <row r="43">
          <cell r="A43" t="str">
            <v>Cayuga CT 4</v>
          </cell>
          <cell r="B43" t="str">
            <v>Property Taxes</v>
          </cell>
          <cell r="C43">
            <v>301257.81364026375</v>
          </cell>
          <cell r="D43">
            <v>307190.63111890049</v>
          </cell>
          <cell r="E43">
            <v>313672.353435511</v>
          </cell>
          <cell r="F43">
            <v>320541.77797574905</v>
          </cell>
          <cell r="G43">
            <v>327786.02215799858</v>
          </cell>
          <cell r="H43">
            <v>335587.3294853596</v>
          </cell>
          <cell r="I43">
            <v>343997.1816994602</v>
          </cell>
          <cell r="J43">
            <v>352529.27013760328</v>
          </cell>
          <cell r="K43">
            <v>361452.5144926823</v>
          </cell>
          <cell r="L43">
            <v>370380.39160065202</v>
          </cell>
          <cell r="M43">
            <v>379825.09158646723</v>
          </cell>
          <cell r="N43">
            <v>389016.85880286165</v>
          </cell>
          <cell r="O43">
            <v>398820.08364469249</v>
          </cell>
          <cell r="P43">
            <v>408950.11376926681</v>
          </cell>
          <cell r="Q43">
            <v>419173.86661349831</v>
          </cell>
          <cell r="R43">
            <v>429695.13066549716</v>
          </cell>
          <cell r="S43">
            <v>440437.50893213542</v>
          </cell>
          <cell r="T43">
            <v>451360.35915365163</v>
          </cell>
          <cell r="U43">
            <v>462689.50416840916</v>
          </cell>
          <cell r="V43">
            <v>474303.01072303613</v>
          </cell>
          <cell r="W43" t="str">
            <v>Cayuga CT 4</v>
          </cell>
          <cell r="X43" t="str">
            <v>Fixed O&amp;M inc Env</v>
          </cell>
          <cell r="Y43">
            <v>240324.05221742624</v>
          </cell>
          <cell r="Z43">
            <v>245056.87132775455</v>
          </cell>
          <cell r="AA43">
            <v>250227.57131277153</v>
          </cell>
          <cell r="AB43">
            <v>255707.55512452149</v>
          </cell>
          <cell r="AC43">
            <v>261486.54587033379</v>
          </cell>
          <cell r="AD43">
            <v>267709.92566204828</v>
          </cell>
          <cell r="AE43">
            <v>274418.76331249921</v>
          </cell>
          <cell r="AF43">
            <v>281225.1131381024</v>
          </cell>
          <cell r="AG43">
            <v>288343.50192419242</v>
          </cell>
          <cell r="AH43">
            <v>295465.58642172039</v>
          </cell>
          <cell r="AI43">
            <v>302999.95887547312</v>
          </cell>
          <cell r="AJ43">
            <v>310332.5578802611</v>
          </cell>
          <cell r="AK43">
            <v>318152.93833884265</v>
          </cell>
          <cell r="AL43">
            <v>326234.02297264856</v>
          </cell>
          <cell r="AM43">
            <v>334389.87354696466</v>
          </cell>
          <cell r="AN43">
            <v>342783.05937299348</v>
          </cell>
          <cell r="AO43">
            <v>351352.63585731899</v>
          </cell>
          <cell r="AP43">
            <v>360066.18122657994</v>
          </cell>
          <cell r="AQ43">
            <v>369103.84237536776</v>
          </cell>
          <cell r="AR43">
            <v>378368.34881898941</v>
          </cell>
          <cell r="AS43" t="str">
            <v>Cayuga CT 4</v>
          </cell>
          <cell r="AT43" t="str">
            <v>A&amp;G</v>
          </cell>
          <cell r="AU43">
            <v>120869.10275144572</v>
          </cell>
          <cell r="AV43">
            <v>123249.43711278851</v>
          </cell>
          <cell r="AW43">
            <v>125850.00023586903</v>
          </cell>
          <cell r="AX43">
            <v>128606.1152410347</v>
          </cell>
          <cell r="AY43">
            <v>131512.61344548114</v>
          </cell>
          <cell r="AZ43">
            <v>134642.61364548386</v>
          </cell>
          <cell r="BA43">
            <v>138016.77107930364</v>
          </cell>
          <cell r="BB43">
            <v>141439.97149908027</v>
          </cell>
          <cell r="BC43">
            <v>145020.10947391868</v>
          </cell>
          <cell r="BD43">
            <v>148602.10617792467</v>
          </cell>
          <cell r="BE43">
            <v>152391.4598854612</v>
          </cell>
          <cell r="BF43">
            <v>156079.33321469012</v>
          </cell>
          <cell r="BG43">
            <v>160012.53241169979</v>
          </cell>
          <cell r="BH43">
            <v>164076.85073495662</v>
          </cell>
          <cell r="BI43">
            <v>168178.77200333046</v>
          </cell>
          <cell r="BJ43">
            <v>172400.05918061407</v>
          </cell>
          <cell r="BK43">
            <v>176710.06066012976</v>
          </cell>
          <cell r="BL43">
            <v>181092.4701645007</v>
          </cell>
          <cell r="BM43">
            <v>185637.89116562999</v>
          </cell>
          <cell r="BN43">
            <v>190297.40223388729</v>
          </cell>
          <cell r="BO43" t="str">
            <v>Cayuga CT 4</v>
          </cell>
          <cell r="BP43" t="str">
            <v>Depreciation</v>
          </cell>
          <cell r="BQ43">
            <v>1065805.1674125146</v>
          </cell>
          <cell r="BR43">
            <v>1045628.2491722157</v>
          </cell>
          <cell r="BS43">
            <v>1033114.6646111036</v>
          </cell>
          <cell r="BT43">
            <v>1022508.638672112</v>
          </cell>
          <cell r="BU43">
            <v>1013586.4905085926</v>
          </cell>
          <cell r="BV43">
            <v>1005508.5459142785</v>
          </cell>
          <cell r="BW43">
            <v>997299.59820728528</v>
          </cell>
          <cell r="BX43">
            <v>987820.33840234636</v>
          </cell>
          <cell r="BY43">
            <v>478649.56479786406</v>
          </cell>
          <cell r="BZ43">
            <v>157844.1174517535</v>
          </cell>
          <cell r="CA43">
            <v>157844.1174517535</v>
          </cell>
          <cell r="CB43">
            <v>157844.1174517535</v>
          </cell>
          <cell r="CC43">
            <v>157844.1174517535</v>
          </cell>
          <cell r="CD43">
            <v>157844.1174517535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 t="str">
            <v>Cayuga CT 4</v>
          </cell>
          <cell r="CL43" t="str">
            <v>Cap Ads exc Env Cap Adds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 t="str">
            <v>Cayuga CT 4</v>
          </cell>
          <cell r="DH43" t="str">
            <v>Env Cap Adds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</row>
        <row r="44">
          <cell r="A44" t="str">
            <v>Connersville CT 1</v>
          </cell>
          <cell r="B44" t="str">
            <v>Property Taxes</v>
          </cell>
          <cell r="C44">
            <v>29687.941513046295</v>
          </cell>
          <cell r="D44">
            <v>30272.600666563456</v>
          </cell>
          <cell r="E44">
            <v>30911.352540628111</v>
          </cell>
          <cell r="F44">
            <v>31588.311161267902</v>
          </cell>
          <cell r="G44">
            <v>32302.206993512322</v>
          </cell>
          <cell r="H44">
            <v>33070.999519957986</v>
          </cell>
          <cell r="I44">
            <v>33899.762092615158</v>
          </cell>
          <cell r="J44">
            <v>34740.570632898198</v>
          </cell>
          <cell r="K44">
            <v>35619.926269584001</v>
          </cell>
          <cell r="L44">
            <v>36499.738448442768</v>
          </cell>
          <cell r="M44">
            <v>37430.481778877918</v>
          </cell>
          <cell r="N44">
            <v>38336.299437926951</v>
          </cell>
          <cell r="O44">
            <v>39302.374183762586</v>
          </cell>
          <cell r="P44">
            <v>40300.654488030072</v>
          </cell>
          <cell r="Q44">
            <v>41308.170850230803</v>
          </cell>
          <cell r="R44">
            <v>42345.005938571609</v>
          </cell>
          <cell r="S44">
            <v>43403.631087035974</v>
          </cell>
          <cell r="T44">
            <v>44480.041137994398</v>
          </cell>
          <cell r="U44">
            <v>45596.490170558143</v>
          </cell>
          <cell r="V44">
            <v>46740.962073839146</v>
          </cell>
          <cell r="W44" t="str">
            <v>Connersville CT 1</v>
          </cell>
          <cell r="X44" t="str">
            <v>Fixed O&amp;M inc Env</v>
          </cell>
          <cell r="Y44">
            <v>100499.14910910552</v>
          </cell>
          <cell r="Z44">
            <v>102478.32800978827</v>
          </cell>
          <cell r="AA44">
            <v>104640.62073079536</v>
          </cell>
          <cell r="AB44">
            <v>106932.2503247999</v>
          </cell>
          <cell r="AC44">
            <v>109348.91918213958</v>
          </cell>
          <cell r="AD44">
            <v>111951.42345867473</v>
          </cell>
          <cell r="AE44">
            <v>114756.93738522695</v>
          </cell>
          <cell r="AF44">
            <v>117603.22913047919</v>
          </cell>
          <cell r="AG44">
            <v>120580.00989557139</v>
          </cell>
          <cell r="AH44">
            <v>123558.33613999216</v>
          </cell>
          <cell r="AI44">
            <v>126709.07371156149</v>
          </cell>
          <cell r="AJ44">
            <v>129775.43329538191</v>
          </cell>
          <cell r="AK44">
            <v>133045.77421442512</v>
          </cell>
          <cell r="AL44">
            <v>136425.13687947122</v>
          </cell>
          <cell r="AM44">
            <v>139835.76530145793</v>
          </cell>
          <cell r="AN44">
            <v>143345.64301052457</v>
          </cell>
          <cell r="AO44">
            <v>146929.28408578795</v>
          </cell>
          <cell r="AP44">
            <v>150573.13033111524</v>
          </cell>
          <cell r="AQ44">
            <v>154352.51590242653</v>
          </cell>
          <cell r="AR44">
            <v>158226.7640515774</v>
          </cell>
          <cell r="AS44" t="str">
            <v>Connersville CT 1</v>
          </cell>
          <cell r="AT44" t="str">
            <v>A&amp;G</v>
          </cell>
          <cell r="AU44">
            <v>6043.4551375722867</v>
          </cell>
          <cell r="AV44">
            <v>6162.4718556394255</v>
          </cell>
          <cell r="AW44">
            <v>6292.5000117934514</v>
          </cell>
          <cell r="AX44">
            <v>6430.3057620517347</v>
          </cell>
          <cell r="AY44">
            <v>6575.6306722740565</v>
          </cell>
          <cell r="AZ44">
            <v>6732.1306822741926</v>
          </cell>
          <cell r="BA44">
            <v>6900.8385539651817</v>
          </cell>
          <cell r="BB44">
            <v>7071.9985749540137</v>
          </cell>
          <cell r="BC44">
            <v>7251.0054736959346</v>
          </cell>
          <cell r="BD44">
            <v>7430.1053088962335</v>
          </cell>
          <cell r="BE44">
            <v>7619.5729942730595</v>
          </cell>
          <cell r="BF44">
            <v>7803.9666607345052</v>
          </cell>
          <cell r="BG44">
            <v>8000.6266205849897</v>
          </cell>
          <cell r="BH44">
            <v>8203.8425367478303</v>
          </cell>
          <cell r="BI44">
            <v>8408.9386001665225</v>
          </cell>
          <cell r="BJ44">
            <v>8620.002959030704</v>
          </cell>
          <cell r="BK44">
            <v>8835.5030330064874</v>
          </cell>
          <cell r="BL44">
            <v>9054.623508225035</v>
          </cell>
          <cell r="BM44">
            <v>9281.8945582814995</v>
          </cell>
          <cell r="BN44">
            <v>9514.8701116943648</v>
          </cell>
          <cell r="BO44" t="str">
            <v>Connersville CT 1</v>
          </cell>
          <cell r="BP44" t="str">
            <v>Depreciation</v>
          </cell>
          <cell r="BQ44">
            <v>434828.1951623421</v>
          </cell>
          <cell r="BR44">
            <v>426596.39707145182</v>
          </cell>
          <cell r="BS44">
            <v>421491.09306647151</v>
          </cell>
          <cell r="BT44">
            <v>417164.03662322607</v>
          </cell>
          <cell r="BU44">
            <v>413523.97021940781</v>
          </cell>
          <cell r="BV44">
            <v>410228.32278218021</v>
          </cell>
          <cell r="BW44">
            <v>406879.22857176309</v>
          </cell>
          <cell r="BX44">
            <v>403011.87123621628</v>
          </cell>
          <cell r="BY44">
            <v>195279.89987286294</v>
          </cell>
          <cell r="BZ44">
            <v>64397.391575015565</v>
          </cell>
          <cell r="CA44">
            <v>64397.391575015565</v>
          </cell>
          <cell r="CB44">
            <v>64397.391575015565</v>
          </cell>
          <cell r="CC44">
            <v>64397.391575015565</v>
          </cell>
          <cell r="CD44">
            <v>64397.391575015565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 t="str">
            <v>Connersville CT 1</v>
          </cell>
          <cell r="CL44" t="str">
            <v>Cap Ads exc Env Cap Adds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 t="str">
            <v>Connersville CT 1</v>
          </cell>
          <cell r="DH44" t="str">
            <v>Env Cap Adds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</row>
        <row r="45">
          <cell r="A45" t="str">
            <v>Connersville CT 2</v>
          </cell>
          <cell r="B45" t="str">
            <v>Property Taxes</v>
          </cell>
          <cell r="C45">
            <v>29687.941513046295</v>
          </cell>
          <cell r="D45">
            <v>30272.600666563456</v>
          </cell>
          <cell r="E45">
            <v>30911.352540628111</v>
          </cell>
          <cell r="F45">
            <v>31588.311161267902</v>
          </cell>
          <cell r="G45">
            <v>32302.206993512322</v>
          </cell>
          <cell r="H45">
            <v>33070.999519957986</v>
          </cell>
          <cell r="I45">
            <v>33899.762092615158</v>
          </cell>
          <cell r="J45">
            <v>34740.570632898198</v>
          </cell>
          <cell r="K45">
            <v>35619.926269584001</v>
          </cell>
          <cell r="L45">
            <v>36499.738448442768</v>
          </cell>
          <cell r="M45">
            <v>37430.481778877918</v>
          </cell>
          <cell r="N45">
            <v>38336.299437926951</v>
          </cell>
          <cell r="O45">
            <v>39302.374183762586</v>
          </cell>
          <cell r="P45">
            <v>40300.654488030072</v>
          </cell>
          <cell r="Q45">
            <v>41308.170850230803</v>
          </cell>
          <cell r="R45">
            <v>42345.005938571609</v>
          </cell>
          <cell r="S45">
            <v>43403.631087035974</v>
          </cell>
          <cell r="T45">
            <v>44480.041137994398</v>
          </cell>
          <cell r="U45">
            <v>45596.490170558143</v>
          </cell>
          <cell r="V45">
            <v>46740.962073839146</v>
          </cell>
          <cell r="W45" t="str">
            <v>Connersville CT 2</v>
          </cell>
          <cell r="X45" t="str">
            <v>Fixed O&amp;M inc Env</v>
          </cell>
          <cell r="Y45">
            <v>100499.14910910552</v>
          </cell>
          <cell r="Z45">
            <v>102478.32800978827</v>
          </cell>
          <cell r="AA45">
            <v>104640.62073079536</v>
          </cell>
          <cell r="AB45">
            <v>106932.2503247999</v>
          </cell>
          <cell r="AC45">
            <v>109348.91918213958</v>
          </cell>
          <cell r="AD45">
            <v>111951.42345867473</v>
          </cell>
          <cell r="AE45">
            <v>114756.93738522695</v>
          </cell>
          <cell r="AF45">
            <v>117603.22913047919</v>
          </cell>
          <cell r="AG45">
            <v>120580.00989557139</v>
          </cell>
          <cell r="AH45">
            <v>123558.33613999216</v>
          </cell>
          <cell r="AI45">
            <v>126709.07371156149</v>
          </cell>
          <cell r="AJ45">
            <v>129775.43329538191</v>
          </cell>
          <cell r="AK45">
            <v>133045.77421442512</v>
          </cell>
          <cell r="AL45">
            <v>136425.13687947122</v>
          </cell>
          <cell r="AM45">
            <v>139835.76530145793</v>
          </cell>
          <cell r="AN45">
            <v>143345.64301052457</v>
          </cell>
          <cell r="AO45">
            <v>146929.28408578795</v>
          </cell>
          <cell r="AP45">
            <v>150573.13033111524</v>
          </cell>
          <cell r="AQ45">
            <v>154352.51590242653</v>
          </cell>
          <cell r="AR45">
            <v>158226.7640515774</v>
          </cell>
          <cell r="AS45" t="str">
            <v>Connersville CT 2</v>
          </cell>
          <cell r="AT45" t="str">
            <v>A&amp;G</v>
          </cell>
          <cell r="AU45">
            <v>6043.4551375722867</v>
          </cell>
          <cell r="AV45">
            <v>6162.4718556394255</v>
          </cell>
          <cell r="AW45">
            <v>6292.5000117934514</v>
          </cell>
          <cell r="AX45">
            <v>6430.3057620517347</v>
          </cell>
          <cell r="AY45">
            <v>6575.6306722740565</v>
          </cell>
          <cell r="AZ45">
            <v>6732.1306822741926</v>
          </cell>
          <cell r="BA45">
            <v>6900.8385539651817</v>
          </cell>
          <cell r="BB45">
            <v>7071.9985749540137</v>
          </cell>
          <cell r="BC45">
            <v>7251.0054736959346</v>
          </cell>
          <cell r="BD45">
            <v>7430.1053088962335</v>
          </cell>
          <cell r="BE45">
            <v>7619.5729942730595</v>
          </cell>
          <cell r="BF45">
            <v>7803.9666607345052</v>
          </cell>
          <cell r="BG45">
            <v>8000.6266205849897</v>
          </cell>
          <cell r="BH45">
            <v>8203.8425367478303</v>
          </cell>
          <cell r="BI45">
            <v>8408.9386001665225</v>
          </cell>
          <cell r="BJ45">
            <v>8620.002959030704</v>
          </cell>
          <cell r="BK45">
            <v>8835.5030330064874</v>
          </cell>
          <cell r="BL45">
            <v>9054.623508225035</v>
          </cell>
          <cell r="BM45">
            <v>9281.8945582814995</v>
          </cell>
          <cell r="BN45">
            <v>9514.8701116943648</v>
          </cell>
          <cell r="BO45" t="str">
            <v>Connersville CT 2</v>
          </cell>
          <cell r="BP45" t="str">
            <v>Depreciation</v>
          </cell>
          <cell r="BQ45">
            <v>438002.12359418406</v>
          </cell>
          <cell r="BR45">
            <v>429710.23938584205</v>
          </cell>
          <cell r="BS45">
            <v>424567.67038812471</v>
          </cell>
          <cell r="BT45">
            <v>420209.02959127887</v>
          </cell>
          <cell r="BU45">
            <v>416542.39335969556</v>
          </cell>
          <cell r="BV45">
            <v>413222.69010175823</v>
          </cell>
          <cell r="BW45">
            <v>409849.1499481994</v>
          </cell>
          <cell r="BX45">
            <v>405953.56372699165</v>
          </cell>
          <cell r="BY45">
            <v>196705.30060186196</v>
          </cell>
          <cell r="BZ45">
            <v>64867.445528117867</v>
          </cell>
          <cell r="CA45">
            <v>64867.445528117867</v>
          </cell>
          <cell r="CB45">
            <v>64867.445528117867</v>
          </cell>
          <cell r="CC45">
            <v>64867.445528117867</v>
          </cell>
          <cell r="CD45">
            <v>64867.445528117867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 t="str">
            <v>Connersville CT 2</v>
          </cell>
          <cell r="CL45" t="str">
            <v>Cap Ads exc Env Cap Adds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 t="str">
            <v>Connersville CT 2</v>
          </cell>
          <cell r="DH45" t="str">
            <v>Env Cap Adds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</row>
        <row r="46">
          <cell r="A46" t="str">
            <v>Dicks Creek CT 1</v>
          </cell>
          <cell r="B46" t="str">
            <v>Property Taxes</v>
          </cell>
          <cell r="C46">
            <v>73927.312292491886</v>
          </cell>
          <cell r="D46">
            <v>75383.199013628575</v>
          </cell>
          <cell r="E46">
            <v>76973.784512816565</v>
          </cell>
          <cell r="F46">
            <v>78659.510393647332</v>
          </cell>
          <cell r="G46">
            <v>80437.21532854317</v>
          </cell>
          <cell r="H46">
            <v>82351.621053362673</v>
          </cell>
          <cell r="I46">
            <v>84415.360955916418</v>
          </cell>
          <cell r="J46">
            <v>86509.097077984145</v>
          </cell>
          <cell r="K46">
            <v>88698.821102496455</v>
          </cell>
          <cell r="L46">
            <v>90889.681983728238</v>
          </cell>
          <cell r="M46">
            <v>93207.368874312961</v>
          </cell>
          <cell r="N46">
            <v>95462.98720107181</v>
          </cell>
          <cell r="O46">
            <v>97868.654478538505</v>
          </cell>
          <cell r="P46">
            <v>100354.51830229317</v>
          </cell>
          <cell r="Q46">
            <v>102863.38125985046</v>
          </cell>
          <cell r="R46">
            <v>105445.25212947272</v>
          </cell>
          <cell r="S46">
            <v>108081.38343270973</v>
          </cell>
          <cell r="T46">
            <v>110761.80174184075</v>
          </cell>
          <cell r="U46">
            <v>113541.92296556117</v>
          </cell>
          <cell r="V46">
            <v>116391.82523199674</v>
          </cell>
          <cell r="W46" t="str">
            <v>Dicks Creek CT 1</v>
          </cell>
          <cell r="X46" t="str">
            <v>Fixed O&amp;M inc Env</v>
          </cell>
          <cell r="Y46">
            <v>220661.17521781864</v>
          </cell>
          <cell r="Z46">
            <v>225006.76367366553</v>
          </cell>
          <cell r="AA46">
            <v>229754.40638718114</v>
          </cell>
          <cell r="AB46">
            <v>234786.02788706063</v>
          </cell>
          <cell r="AC46">
            <v>240092.19211730646</v>
          </cell>
          <cell r="AD46">
            <v>245806.38628969886</v>
          </cell>
          <cell r="AE46">
            <v>251966.31904147656</v>
          </cell>
          <cell r="AF46">
            <v>258215.78569953039</v>
          </cell>
          <cell r="AG46">
            <v>264751.7608576676</v>
          </cell>
          <cell r="AH46">
            <v>271291.12935085234</v>
          </cell>
          <cell r="AI46">
            <v>278209.05314929807</v>
          </cell>
          <cell r="AJ46">
            <v>284941.71223551244</v>
          </cell>
          <cell r="AK46">
            <v>292122.24338384648</v>
          </cell>
          <cell r="AL46">
            <v>299542.1483657955</v>
          </cell>
          <cell r="AM46">
            <v>307030.70207494026</v>
          </cell>
          <cell r="AN46">
            <v>314737.17269702133</v>
          </cell>
          <cell r="AO46">
            <v>322605.60201444745</v>
          </cell>
          <cell r="AP46">
            <v>330606.22094440518</v>
          </cell>
          <cell r="AQ46">
            <v>338904.43709011038</v>
          </cell>
          <cell r="AR46">
            <v>347410.9384610721</v>
          </cell>
          <cell r="AS46" t="str">
            <v>Dicks Creek CT 1</v>
          </cell>
          <cell r="AT46" t="str">
            <v>A&amp;G</v>
          </cell>
          <cell r="AU46">
            <v>14636.149533175065</v>
          </cell>
          <cell r="AV46">
            <v>14924.386384930391</v>
          </cell>
          <cell r="AW46">
            <v>15239.290937652506</v>
          </cell>
          <cell r="AX46">
            <v>15573.031409187111</v>
          </cell>
          <cell r="AY46">
            <v>15924.981919034624</v>
          </cell>
          <cell r="AZ46">
            <v>16303.996488707682</v>
          </cell>
          <cell r="BA46">
            <v>16712.576279784767</v>
          </cell>
          <cell r="BB46">
            <v>17127.094730615903</v>
          </cell>
          <cell r="BC46">
            <v>17560.616892659971</v>
          </cell>
          <cell r="BD46">
            <v>17994.364129908696</v>
          </cell>
          <cell r="BE46">
            <v>18453.220415221302</v>
          </cell>
          <cell r="BF46">
            <v>18899.788349269747</v>
          </cell>
          <cell r="BG46">
            <v>19376.063015671287</v>
          </cell>
          <cell r="BH46">
            <v>19868.215016269292</v>
          </cell>
          <cell r="BI46">
            <v>20364.920391676016</v>
          </cell>
          <cell r="BJ46">
            <v>20876.079893507089</v>
          </cell>
          <cell r="BK46">
            <v>21397.981890844803</v>
          </cell>
          <cell r="BL46">
            <v>21928.651841737719</v>
          </cell>
          <cell r="BM46">
            <v>22479.06100296538</v>
          </cell>
          <cell r="BN46">
            <v>23043.285434139805</v>
          </cell>
          <cell r="BO46" t="str">
            <v>Dicks Creek CT 1</v>
          </cell>
          <cell r="BP46" t="str">
            <v>Depreciation</v>
          </cell>
          <cell r="BQ46">
            <v>14017.37440779839</v>
          </cell>
          <cell r="BR46">
            <v>13453.172057500788</v>
          </cell>
          <cell r="BS46">
            <v>12796.287192209404</v>
          </cell>
          <cell r="BT46">
            <v>10491.995220173983</v>
          </cell>
          <cell r="BU46">
            <v>7904.6181821724176</v>
          </cell>
          <cell r="BV46">
            <v>6104.8654212708752</v>
          </cell>
          <cell r="BW46">
            <v>4325.5775893700829</v>
          </cell>
          <cell r="BX46">
            <v>4318.3755085871262</v>
          </cell>
          <cell r="BY46">
            <v>4325.5775893700829</v>
          </cell>
          <cell r="BZ46">
            <v>4318.3755085871262</v>
          </cell>
          <cell r="CA46">
            <v>4325.5775893700829</v>
          </cell>
          <cell r="CB46">
            <v>2190.7903273466445</v>
          </cell>
          <cell r="CC46">
            <v>63.185468289815915</v>
          </cell>
          <cell r="CD46">
            <v>31.641928685775145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 t="str">
            <v>Dicks Creek CT 1</v>
          </cell>
          <cell r="CL46" t="str">
            <v>Cap Ads exc Env Cap Adds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 t="str">
            <v>Dicks Creek CT 1</v>
          </cell>
          <cell r="DH46" t="str">
            <v>Env Cap Adds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</row>
        <row r="47">
          <cell r="A47" t="str">
            <v>Dicks Creek CT 3</v>
          </cell>
          <cell r="B47" t="str">
            <v>Property Taxes</v>
          </cell>
          <cell r="C47">
            <v>11711.257392870004</v>
          </cell>
          <cell r="D47">
            <v>11941.892913050075</v>
          </cell>
          <cell r="E47">
            <v>12193.866853515499</v>
          </cell>
          <cell r="F47">
            <v>12460.912537607501</v>
          </cell>
          <cell r="G47">
            <v>12742.529160957338</v>
          </cell>
          <cell r="H47">
            <v>13045.801354988149</v>
          </cell>
          <cell r="I47">
            <v>13372.730448462013</v>
          </cell>
          <cell r="J47">
            <v>13704.411418294521</v>
          </cell>
          <cell r="K47">
            <v>14051.298392474691</v>
          </cell>
          <cell r="L47">
            <v>14398.365462768834</v>
          </cell>
          <cell r="M47">
            <v>14765.523782069386</v>
          </cell>
          <cell r="N47">
            <v>15122.849457595539</v>
          </cell>
          <cell r="O47">
            <v>15503.945263926897</v>
          </cell>
          <cell r="P47">
            <v>15897.745473630606</v>
          </cell>
          <cell r="Q47">
            <v>16295.189110471363</v>
          </cell>
          <cell r="R47">
            <v>16704.198357144196</v>
          </cell>
          <cell r="S47">
            <v>17121.803316072834</v>
          </cell>
          <cell r="T47">
            <v>17546.424038311412</v>
          </cell>
          <cell r="U47">
            <v>17986.839281673063</v>
          </cell>
          <cell r="V47">
            <v>18438.308947643054</v>
          </cell>
          <cell r="W47" t="str">
            <v>Dicks Creek CT 3</v>
          </cell>
          <cell r="X47" t="str">
            <v>Fixed O&amp;M inc Env</v>
          </cell>
          <cell r="Y47">
            <v>33317.65269377955</v>
          </cell>
          <cell r="Z47">
            <v>33973.793524984154</v>
          </cell>
          <cell r="AA47">
            <v>34690.640568361508</v>
          </cell>
          <cell r="AB47">
            <v>35450.36559680866</v>
          </cell>
          <cell r="AC47">
            <v>36251.543859296275</v>
          </cell>
          <cell r="AD47">
            <v>37114.330603147602</v>
          </cell>
          <cell r="AE47">
            <v>38044.419459232849</v>
          </cell>
          <cell r="AF47">
            <v>38988.027048691467</v>
          </cell>
          <cell r="AG47">
            <v>39974.894584944865</v>
          </cell>
          <cell r="AH47">
            <v>40962.274481193053</v>
          </cell>
          <cell r="AI47">
            <v>42006.812480463319</v>
          </cell>
          <cell r="AJ47">
            <v>43023.377342490741</v>
          </cell>
          <cell r="AK47">
            <v>44107.566451521372</v>
          </cell>
          <cell r="AL47">
            <v>45227.898639389918</v>
          </cell>
          <cell r="AM47">
            <v>46358.596105374643</v>
          </cell>
          <cell r="AN47">
            <v>47522.196867619554</v>
          </cell>
          <cell r="AO47">
            <v>48710.251789310132</v>
          </cell>
          <cell r="AP47">
            <v>49918.266033684944</v>
          </cell>
          <cell r="AQ47">
            <v>51171.214511130529</v>
          </cell>
          <cell r="AR47">
            <v>52455.611995359897</v>
          </cell>
          <cell r="AS47" t="str">
            <v>Dicks Creek CT 3</v>
          </cell>
          <cell r="AT47" t="str">
            <v>A&amp;G</v>
          </cell>
          <cell r="AU47">
            <v>813.11941850972573</v>
          </cell>
          <cell r="AV47">
            <v>829.13257694057711</v>
          </cell>
          <cell r="AW47">
            <v>846.62727431402789</v>
          </cell>
          <cell r="AX47">
            <v>865.16841162150604</v>
          </cell>
          <cell r="AY47">
            <v>884.72121772414573</v>
          </cell>
          <cell r="AZ47">
            <v>905.77758270598213</v>
          </cell>
          <cell r="BA47">
            <v>928.47645998804262</v>
          </cell>
          <cell r="BB47">
            <v>951.5052628119945</v>
          </cell>
          <cell r="BC47">
            <v>975.58982736999837</v>
          </cell>
          <cell r="BD47">
            <v>999.6868961060386</v>
          </cell>
          <cell r="BE47">
            <v>1025.1789119567388</v>
          </cell>
          <cell r="BF47">
            <v>1049.9882416260971</v>
          </cell>
          <cell r="BG47">
            <v>1076.4479453150711</v>
          </cell>
          <cell r="BH47">
            <v>1103.7897231260717</v>
          </cell>
          <cell r="BI47">
            <v>1131.3844662042229</v>
          </cell>
          <cell r="BJ47">
            <v>1159.7822163059491</v>
          </cell>
          <cell r="BK47">
            <v>1188.7767717136001</v>
          </cell>
          <cell r="BL47">
            <v>1218.2584356520954</v>
          </cell>
          <cell r="BM47">
            <v>1248.8367223869652</v>
          </cell>
          <cell r="BN47">
            <v>1280.1825241188778</v>
          </cell>
          <cell r="BO47" t="str">
            <v>Dicks Creek CT 3</v>
          </cell>
          <cell r="BP47" t="str">
            <v>Depreciation</v>
          </cell>
          <cell r="BQ47">
            <v>2264.5230272664394</v>
          </cell>
          <cell r="BR47">
            <v>2173.375485856975</v>
          </cell>
          <cell r="BS47">
            <v>2067.2549770912551</v>
          </cell>
          <cell r="BT47">
            <v>1694.9939472855328</v>
          </cell>
          <cell r="BU47">
            <v>1277.0001980770292</v>
          </cell>
          <cell r="BV47">
            <v>986.24806063105393</v>
          </cell>
          <cell r="BW47">
            <v>698.80205610450673</v>
          </cell>
          <cell r="BX47">
            <v>697.6385516347849</v>
          </cell>
          <cell r="BY47">
            <v>698.80205610450673</v>
          </cell>
          <cell r="BZ47">
            <v>697.6385516347849</v>
          </cell>
          <cell r="CA47">
            <v>698.80205610450673</v>
          </cell>
          <cell r="CB47">
            <v>353.92470799874008</v>
          </cell>
          <cell r="CC47">
            <v>10.207685388734287</v>
          </cell>
          <cell r="CD47">
            <v>5.1117901292696155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 t="str">
            <v>Dicks Creek CT 3</v>
          </cell>
          <cell r="CL47" t="str">
            <v>Cap Ads exc Env Cap Adds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 t="str">
            <v>Dicks Creek CT 3</v>
          </cell>
          <cell r="DH47" t="str">
            <v>Env Cap Adds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</row>
        <row r="48">
          <cell r="A48" t="str">
            <v>Dicks Creek CT 4-5</v>
          </cell>
          <cell r="B48" t="str">
            <v>Property Taxes</v>
          </cell>
          <cell r="C48">
            <v>26350.329133957504</v>
          </cell>
          <cell r="D48">
            <v>26869.259054362665</v>
          </cell>
          <cell r="E48">
            <v>27436.200420409867</v>
          </cell>
          <cell r="F48">
            <v>28037.053209616872</v>
          </cell>
          <cell r="G48">
            <v>28670.690612154005</v>
          </cell>
          <cell r="H48">
            <v>29353.05304872333</v>
          </cell>
          <cell r="I48">
            <v>30088.643509039521</v>
          </cell>
          <cell r="J48">
            <v>30834.925691162669</v>
          </cell>
          <cell r="K48">
            <v>31615.421383068049</v>
          </cell>
          <cell r="L48">
            <v>32396.32229122987</v>
          </cell>
          <cell r="M48">
            <v>33222.428509656107</v>
          </cell>
          <cell r="N48">
            <v>34026.411279589956</v>
          </cell>
          <cell r="O48">
            <v>34883.876843835511</v>
          </cell>
          <cell r="P48">
            <v>35769.927315668858</v>
          </cell>
          <cell r="Q48">
            <v>36664.175498560566</v>
          </cell>
          <cell r="R48">
            <v>37584.446303574441</v>
          </cell>
          <cell r="S48">
            <v>38524.057461163866</v>
          </cell>
          <cell r="T48">
            <v>39479.454086200669</v>
          </cell>
          <cell r="U48">
            <v>40470.388383764381</v>
          </cell>
          <cell r="V48">
            <v>41486.195132196859</v>
          </cell>
          <cell r="W48" t="str">
            <v>Dicks Creek CT 4-5</v>
          </cell>
          <cell r="X48" t="str">
            <v>Fixed O&amp;M inc Env</v>
          </cell>
          <cell r="Y48">
            <v>78651.507998430403</v>
          </cell>
          <cell r="Z48">
            <v>80200.430616356025</v>
          </cell>
          <cell r="AA48">
            <v>81892.65970236159</v>
          </cell>
          <cell r="AB48">
            <v>83686.108949843401</v>
          </cell>
          <cell r="AC48">
            <v>85577.415012109239</v>
          </cell>
          <cell r="AD48">
            <v>87614.157489397607</v>
          </cell>
          <cell r="AE48">
            <v>89809.77708409066</v>
          </cell>
          <cell r="AF48">
            <v>92037.309754288057</v>
          </cell>
          <cell r="AG48">
            <v>94366.964266099341</v>
          </cell>
          <cell r="AH48">
            <v>96697.828283472118</v>
          </cell>
          <cell r="AI48">
            <v>99163.6229047003</v>
          </cell>
          <cell r="AJ48">
            <v>101563.38257899454</v>
          </cell>
          <cell r="AK48">
            <v>104122.77981998488</v>
          </cell>
          <cell r="AL48">
            <v>106767.49842741227</v>
          </cell>
          <cell r="AM48">
            <v>109436.68588809752</v>
          </cell>
          <cell r="AN48">
            <v>112183.54670388879</v>
          </cell>
          <cell r="AO48">
            <v>114988.13537148622</v>
          </cell>
          <cell r="AP48">
            <v>117839.84112869888</v>
          </cell>
          <cell r="AQ48">
            <v>120797.62114102945</v>
          </cell>
          <cell r="AR48">
            <v>123829.64143166927</v>
          </cell>
          <cell r="AS48" t="str">
            <v>Dicks Creek CT 4-5</v>
          </cell>
          <cell r="AT48" t="str">
            <v>A&amp;G</v>
          </cell>
          <cell r="AU48">
            <v>813.11941850972573</v>
          </cell>
          <cell r="AV48">
            <v>829.13257694057711</v>
          </cell>
          <cell r="AW48">
            <v>846.62727431402789</v>
          </cell>
          <cell r="AX48">
            <v>865.16841162150604</v>
          </cell>
          <cell r="AY48">
            <v>884.72121772414573</v>
          </cell>
          <cell r="AZ48">
            <v>905.77758270598213</v>
          </cell>
          <cell r="BA48">
            <v>928.47645998804262</v>
          </cell>
          <cell r="BB48">
            <v>951.5052628119945</v>
          </cell>
          <cell r="BC48">
            <v>975.58982736999837</v>
          </cell>
          <cell r="BD48">
            <v>999.6868961060386</v>
          </cell>
          <cell r="BE48">
            <v>1025.1789119567388</v>
          </cell>
          <cell r="BF48">
            <v>1049.9882416260971</v>
          </cell>
          <cell r="BG48">
            <v>1076.4479453150711</v>
          </cell>
          <cell r="BH48">
            <v>1103.7897231260717</v>
          </cell>
          <cell r="BI48">
            <v>1131.3844662042229</v>
          </cell>
          <cell r="BJ48">
            <v>1159.7822163059491</v>
          </cell>
          <cell r="BK48">
            <v>1188.7767717136001</v>
          </cell>
          <cell r="BL48">
            <v>1218.2584356520954</v>
          </cell>
          <cell r="BM48">
            <v>1248.8367223869652</v>
          </cell>
          <cell r="BN48">
            <v>1280.1825241188778</v>
          </cell>
          <cell r="BO48" t="str">
            <v>Dicks Creek CT 4-5</v>
          </cell>
          <cell r="BP48" t="str">
            <v>Depreciation</v>
          </cell>
          <cell r="BQ48">
            <v>5033.3014375196854</v>
          </cell>
          <cell r="BR48">
            <v>4830.7099665217347</v>
          </cell>
          <cell r="BS48">
            <v>4594.838437334598</v>
          </cell>
          <cell r="BT48">
            <v>3767.4227061218794</v>
          </cell>
          <cell r="BU48">
            <v>2838.357947921977</v>
          </cell>
          <cell r="BV48">
            <v>2192.1100918622815</v>
          </cell>
          <cell r="BW48">
            <v>1553.21069875731</v>
          </cell>
          <cell r="BX48">
            <v>1550.6246050636282</v>
          </cell>
          <cell r="BY48">
            <v>1553.21069875731</v>
          </cell>
          <cell r="BZ48">
            <v>1550.6246050636282</v>
          </cell>
          <cell r="CA48">
            <v>1553.21069875731</v>
          </cell>
          <cell r="CB48">
            <v>786.6600251330525</v>
          </cell>
          <cell r="CC48">
            <v>22.688379372712777</v>
          </cell>
          <cell r="CD48">
            <v>11.361854260766785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 t="str">
            <v>Dicks Creek CT 4-5</v>
          </cell>
          <cell r="CL48" t="str">
            <v>Cap Ads exc Env Cap Adds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 t="str">
            <v>Dicks Creek CT 4-5</v>
          </cell>
          <cell r="DH48" t="str">
            <v>Env Cap Adds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</row>
        <row r="49">
          <cell r="A49" t="str">
            <v>Miami Fort CT 3-6</v>
          </cell>
          <cell r="B49" t="str">
            <v>Property Taxes</v>
          </cell>
          <cell r="C49">
            <v>61396.172425882025</v>
          </cell>
          <cell r="D49">
            <v>62605.277280253125</v>
          </cell>
          <cell r="E49">
            <v>63926.248630866816</v>
          </cell>
          <cell r="F49">
            <v>65326.233475882873</v>
          </cell>
          <cell r="G49">
            <v>66802.606352437346</v>
          </cell>
          <cell r="H49">
            <v>68392.508383625478</v>
          </cell>
          <cell r="I49">
            <v>70106.431519340942</v>
          </cell>
          <cell r="J49">
            <v>71845.266328540718</v>
          </cell>
          <cell r="K49">
            <v>73663.818492890248</v>
          </cell>
          <cell r="L49">
            <v>75483.314809664735</v>
          </cell>
          <cell r="M49">
            <v>77408.139337310888</v>
          </cell>
          <cell r="N49">
            <v>79281.416309274209</v>
          </cell>
          <cell r="O49">
            <v>81279.308000267658</v>
          </cell>
          <cell r="P49">
            <v>83343.802423474277</v>
          </cell>
          <cell r="Q49">
            <v>85427.397484061104</v>
          </cell>
          <cell r="R49">
            <v>87571.625160911048</v>
          </cell>
          <cell r="S49">
            <v>89760.915789933977</v>
          </cell>
          <cell r="T49">
            <v>91986.986501524196</v>
          </cell>
          <cell r="U49">
            <v>94295.859862712634</v>
          </cell>
          <cell r="V49">
            <v>96662.685945266712</v>
          </cell>
          <cell r="W49" t="str">
            <v>Miami Fort CT 3-6</v>
          </cell>
          <cell r="X49" t="str">
            <v>Fixed O&amp;M inc Env</v>
          </cell>
          <cell r="Y49">
            <v>133270.6107751182</v>
          </cell>
          <cell r="Z49">
            <v>135895.17409993662</v>
          </cell>
          <cell r="AA49">
            <v>138762.56227344603</v>
          </cell>
          <cell r="AB49">
            <v>141801.46238723464</v>
          </cell>
          <cell r="AC49">
            <v>145006.1754371851</v>
          </cell>
          <cell r="AD49">
            <v>148457.32241259041</v>
          </cell>
          <cell r="AE49">
            <v>152177.6778369314</v>
          </cell>
          <cell r="AF49">
            <v>155952.10819476587</v>
          </cell>
          <cell r="AG49">
            <v>159899.57833977946</v>
          </cell>
          <cell r="AH49">
            <v>163849.09792477221</v>
          </cell>
          <cell r="AI49">
            <v>168027.24992185328</v>
          </cell>
          <cell r="AJ49">
            <v>172093.50936996297</v>
          </cell>
          <cell r="AK49">
            <v>176430.26580608549</v>
          </cell>
          <cell r="AL49">
            <v>180911.59455755967</v>
          </cell>
          <cell r="AM49">
            <v>185434.38442149857</v>
          </cell>
          <cell r="AN49">
            <v>190088.78747047822</v>
          </cell>
          <cell r="AO49">
            <v>194841.00715724053</v>
          </cell>
          <cell r="AP49">
            <v>199673.06413473978</v>
          </cell>
          <cell r="AQ49">
            <v>204684.85804452212</v>
          </cell>
          <cell r="AR49">
            <v>209822.44798143959</v>
          </cell>
          <cell r="AS49" t="str">
            <v>Miami Fort CT 3-6</v>
          </cell>
          <cell r="AT49" t="str">
            <v>A&amp;G</v>
          </cell>
          <cell r="AU49">
            <v>5420.7961233981723</v>
          </cell>
          <cell r="AV49">
            <v>5527.5505129371813</v>
          </cell>
          <cell r="AW49">
            <v>5644.1818287601864</v>
          </cell>
          <cell r="AX49">
            <v>5767.7894108100409</v>
          </cell>
          <cell r="AY49">
            <v>5898.1414514943053</v>
          </cell>
          <cell r="AZ49">
            <v>6038.5172180398813</v>
          </cell>
          <cell r="BA49">
            <v>6189.843066586951</v>
          </cell>
          <cell r="BB49">
            <v>6343.3684187466306</v>
          </cell>
          <cell r="BC49">
            <v>6503.9321824666558</v>
          </cell>
          <cell r="BD49">
            <v>6664.5793073735913</v>
          </cell>
          <cell r="BE49">
            <v>6834.5260797115925</v>
          </cell>
          <cell r="BF49">
            <v>6999.9216108406472</v>
          </cell>
          <cell r="BG49">
            <v>7176.3196354338088</v>
          </cell>
          <cell r="BH49">
            <v>7358.598154173812</v>
          </cell>
          <cell r="BI49">
            <v>7542.5631080281537</v>
          </cell>
          <cell r="BJ49">
            <v>7731.881442039662</v>
          </cell>
          <cell r="BK49">
            <v>7925.1784780906673</v>
          </cell>
          <cell r="BL49">
            <v>8121.7229043473035</v>
          </cell>
          <cell r="BM49">
            <v>8325.5781492464357</v>
          </cell>
          <cell r="BN49">
            <v>8534.5501607925198</v>
          </cell>
          <cell r="BO49" t="str">
            <v>Miami Fort CT 3-6</v>
          </cell>
          <cell r="BP49" t="str">
            <v>Depreciation</v>
          </cell>
          <cell r="BQ49">
            <v>9058.0921090657575</v>
          </cell>
          <cell r="BR49">
            <v>8693.5019434279002</v>
          </cell>
          <cell r="BS49">
            <v>8269.0199083650205</v>
          </cell>
          <cell r="BT49">
            <v>6779.9757891421314</v>
          </cell>
          <cell r="BU49">
            <v>5108.0007923081166</v>
          </cell>
          <cell r="BV49">
            <v>3944.9922425242157</v>
          </cell>
          <cell r="BW49">
            <v>2795.2082244180269</v>
          </cell>
          <cell r="BX49">
            <v>2790.5542065391396</v>
          </cell>
          <cell r="BY49">
            <v>2795.2082244180269</v>
          </cell>
          <cell r="BZ49">
            <v>2790.5542065391396</v>
          </cell>
          <cell r="CA49">
            <v>2795.2082244180269</v>
          </cell>
          <cell r="CB49">
            <v>1415.6988319949603</v>
          </cell>
          <cell r="CC49">
            <v>40.830741554937148</v>
          </cell>
          <cell r="CD49">
            <v>20.447160517078462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 t="str">
            <v>Miami Fort CT 3-6</v>
          </cell>
          <cell r="CL49" t="str">
            <v>Cap Ads exc Env Cap Adds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 t="str">
            <v>Miami Fort CT 3-6</v>
          </cell>
          <cell r="DH49" t="str">
            <v>Env Cap Adds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</row>
        <row r="50">
          <cell r="A50" t="str">
            <v>Miami-Wabash CT 1-6</v>
          </cell>
          <cell r="B50" t="str">
            <v>Property Taxes</v>
          </cell>
          <cell r="C50">
            <v>167252.16143189685</v>
          </cell>
          <cell r="D50">
            <v>170545.94005523846</v>
          </cell>
          <cell r="E50">
            <v>174144.45939040493</v>
          </cell>
          <cell r="F50">
            <v>177958.22305105499</v>
          </cell>
          <cell r="G50">
            <v>181980.07889200753</v>
          </cell>
          <cell r="H50">
            <v>186311.20476963767</v>
          </cell>
          <cell r="I50">
            <v>190980.18229136511</v>
          </cell>
          <cell r="J50">
            <v>195717.02285846669</v>
          </cell>
          <cell r="K50">
            <v>200671.02517076544</v>
          </cell>
          <cell r="L50">
            <v>205627.59949248363</v>
          </cell>
          <cell r="M50">
            <v>210871.10327954116</v>
          </cell>
          <cell r="N50">
            <v>215974.18397890712</v>
          </cell>
          <cell r="O50">
            <v>221416.73341517488</v>
          </cell>
          <cell r="P50">
            <v>227040.71844391985</v>
          </cell>
          <cell r="Q50">
            <v>232716.73640501773</v>
          </cell>
          <cell r="R50">
            <v>238557.92648878371</v>
          </cell>
          <cell r="S50">
            <v>244521.87465100375</v>
          </cell>
          <cell r="T50">
            <v>250586.01714234825</v>
          </cell>
          <cell r="U50">
            <v>256875.72617262165</v>
          </cell>
          <cell r="V50">
            <v>263323.30689955445</v>
          </cell>
          <cell r="W50" t="str">
            <v>Miami-Wabash CT 1-6</v>
          </cell>
          <cell r="X50" t="str">
            <v>Fixed O&amp;M inc Env</v>
          </cell>
          <cell r="Y50">
            <v>218476.41110675113</v>
          </cell>
          <cell r="Z50">
            <v>222778.9739343223</v>
          </cell>
          <cell r="AA50">
            <v>227479.61028433774</v>
          </cell>
          <cell r="AB50">
            <v>232461.41374956499</v>
          </cell>
          <cell r="AC50">
            <v>237715.04170030344</v>
          </cell>
          <cell r="AD50">
            <v>243372.65969277115</v>
          </cell>
          <cell r="AE50">
            <v>249471.60301136292</v>
          </cell>
          <cell r="AF50">
            <v>255659.19376191127</v>
          </cell>
          <cell r="AG50">
            <v>262130.45629472041</v>
          </cell>
          <cell r="AH50">
            <v>268605.07856520033</v>
          </cell>
          <cell r="AI50">
            <v>275454.5080686119</v>
          </cell>
          <cell r="AJ50">
            <v>282120.5071638737</v>
          </cell>
          <cell r="AK50">
            <v>289229.94394440245</v>
          </cell>
          <cell r="AL50">
            <v>296576.38452058961</v>
          </cell>
          <cell r="AM50">
            <v>303990.79413360421</v>
          </cell>
          <cell r="AN50">
            <v>311620.96306635771</v>
          </cell>
          <cell r="AO50">
            <v>319411.48714301724</v>
          </cell>
          <cell r="AP50">
            <v>327332.89202416356</v>
          </cell>
          <cell r="AQ50">
            <v>335548.94761397073</v>
          </cell>
          <cell r="AR50">
            <v>343971.22619908128</v>
          </cell>
          <cell r="AS50" t="str">
            <v>Miami-Wabash CT 1-6</v>
          </cell>
          <cell r="AT50" t="str">
            <v>A&amp;G</v>
          </cell>
          <cell r="AU50">
            <v>6043.4551375722876</v>
          </cell>
          <cell r="AV50">
            <v>6162.4718556394264</v>
          </cell>
          <cell r="AW50">
            <v>6292.5000117934524</v>
          </cell>
          <cell r="AX50">
            <v>6430.3057620517357</v>
          </cell>
          <cell r="AY50">
            <v>6575.6306722740574</v>
          </cell>
          <cell r="AZ50">
            <v>6732.1306822741935</v>
          </cell>
          <cell r="BA50">
            <v>6900.8385539651836</v>
          </cell>
          <cell r="BB50">
            <v>7071.9985749540147</v>
          </cell>
          <cell r="BC50">
            <v>7251.0054736959355</v>
          </cell>
          <cell r="BD50">
            <v>7430.1053088962344</v>
          </cell>
          <cell r="BE50">
            <v>7619.5729942730604</v>
          </cell>
          <cell r="BF50">
            <v>7803.9666607345071</v>
          </cell>
          <cell r="BG50">
            <v>8000.6266205849906</v>
          </cell>
          <cell r="BH50">
            <v>8203.8425367478321</v>
          </cell>
          <cell r="BI50">
            <v>8408.9386001665243</v>
          </cell>
          <cell r="BJ50">
            <v>8620.0029590307058</v>
          </cell>
          <cell r="BK50">
            <v>8835.5030330064892</v>
          </cell>
          <cell r="BL50">
            <v>9054.623508225035</v>
          </cell>
          <cell r="BM50">
            <v>9281.8945582815013</v>
          </cell>
          <cell r="BN50">
            <v>9514.8701116943648</v>
          </cell>
          <cell r="BO50" t="str">
            <v>Miami-Wabash CT 1-6</v>
          </cell>
          <cell r="BP50" t="str">
            <v>Depreciation</v>
          </cell>
          <cell r="BQ50">
            <v>942656.74425704824</v>
          </cell>
          <cell r="BR50">
            <v>924811.16737387748</v>
          </cell>
          <cell r="BS50">
            <v>913743.46453096392</v>
          </cell>
          <cell r="BT50">
            <v>904362.91151166533</v>
          </cell>
          <cell r="BU50">
            <v>896471.67266543175</v>
          </cell>
          <cell r="BV50">
            <v>889327.09391465352</v>
          </cell>
          <cell r="BW50">
            <v>882066.64880155958</v>
          </cell>
          <cell r="BX50">
            <v>873682.66976026469</v>
          </cell>
          <cell r="BY50">
            <v>423344.01651270292</v>
          </cell>
          <cell r="BZ50">
            <v>139606.0240713841</v>
          </cell>
          <cell r="CA50">
            <v>139606.0240713841</v>
          </cell>
          <cell r="CB50">
            <v>139606.0240713841</v>
          </cell>
          <cell r="CC50">
            <v>139606.0240713841</v>
          </cell>
          <cell r="CD50">
            <v>139606.0240713841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 t="str">
            <v>Miami-Wabash CT 1-6</v>
          </cell>
          <cell r="CL50" t="str">
            <v>Cap Ads exc Env Cap Adds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 t="str">
            <v>Miami-Wabash CT 1-6</v>
          </cell>
          <cell r="DH50" t="str">
            <v>Env Cap Adds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</row>
        <row r="51">
          <cell r="A51" t="str">
            <v>Wabash Diesel 7A-B</v>
          </cell>
          <cell r="B51" t="str">
            <v>Property Taxes</v>
          </cell>
          <cell r="C51">
            <v>4575.5794345058448</v>
          </cell>
          <cell r="D51">
            <v>4665.6885583685798</v>
          </cell>
          <cell r="E51">
            <v>4764.1345869501829</v>
          </cell>
          <cell r="F51">
            <v>4868.4691344043968</v>
          </cell>
          <cell r="G51">
            <v>4978.4965368418998</v>
          </cell>
          <cell r="H51">
            <v>5096.9847544187478</v>
          </cell>
          <cell r="I51">
            <v>5224.71570477352</v>
          </cell>
          <cell r="J51">
            <v>5354.3032096392699</v>
          </cell>
          <cell r="K51">
            <v>5489.8316889401394</v>
          </cell>
          <cell r="L51">
            <v>5625.430531656968</v>
          </cell>
          <cell r="M51">
            <v>5768.8790102141993</v>
          </cell>
          <cell r="N51">
            <v>5908.4858822614124</v>
          </cell>
          <cell r="O51">
            <v>6057.3797264943805</v>
          </cell>
          <cell r="P51">
            <v>6211.2371715473246</v>
          </cell>
          <cell r="Q51">
            <v>6366.518100836005</v>
          </cell>
          <cell r="R51">
            <v>6526.31770516699</v>
          </cell>
          <cell r="S51">
            <v>6689.4756477961764</v>
          </cell>
          <cell r="T51">
            <v>6855.3746438615108</v>
          </cell>
          <cell r="U51">
            <v>7027.4445474224476</v>
          </cell>
          <cell r="V51">
            <v>7203.8334055627502</v>
          </cell>
          <cell r="W51" t="str">
            <v>Wabash Diesel 7A-B</v>
          </cell>
          <cell r="X51" t="str">
            <v>Fixed O&amp;M inc Env</v>
          </cell>
          <cell r="Y51">
            <v>17478.11288854009</v>
          </cell>
          <cell r="Z51">
            <v>17822.317914745785</v>
          </cell>
          <cell r="AA51">
            <v>18198.368822747019</v>
          </cell>
          <cell r="AB51">
            <v>18596.913099965201</v>
          </cell>
          <cell r="AC51">
            <v>19017.203336024275</v>
          </cell>
          <cell r="AD51">
            <v>19469.812775421691</v>
          </cell>
          <cell r="AE51">
            <v>19957.728240909033</v>
          </cell>
          <cell r="AF51">
            <v>20452.735500952902</v>
          </cell>
          <cell r="AG51">
            <v>20970.436503577632</v>
          </cell>
          <cell r="AH51">
            <v>21488.406285216028</v>
          </cell>
          <cell r="AI51">
            <v>22036.360645488956</v>
          </cell>
          <cell r="AJ51">
            <v>22569.640573109897</v>
          </cell>
          <cell r="AK51">
            <v>23138.395515552194</v>
          </cell>
          <cell r="AL51">
            <v>23726.110761647171</v>
          </cell>
          <cell r="AM51">
            <v>24319.263530688339</v>
          </cell>
          <cell r="AN51">
            <v>24929.677045308617</v>
          </cell>
          <cell r="AO51">
            <v>25552.918971441381</v>
          </cell>
          <cell r="AP51">
            <v>26186.631361933087</v>
          </cell>
          <cell r="AQ51">
            <v>26843.915809117654</v>
          </cell>
          <cell r="AR51">
            <v>27517.698095926506</v>
          </cell>
          <cell r="AS51" t="str">
            <v>Wabash Diesel 7A-B</v>
          </cell>
          <cell r="AT51" t="str">
            <v>A&amp;G</v>
          </cell>
          <cell r="AU51">
            <v>604.34551375722867</v>
          </cell>
          <cell r="AV51">
            <v>616.24718556394248</v>
          </cell>
          <cell r="AW51">
            <v>629.25000117934508</v>
          </cell>
          <cell r="AX51">
            <v>643.03057620517347</v>
          </cell>
          <cell r="AY51">
            <v>657.56306722740567</v>
          </cell>
          <cell r="AZ51">
            <v>673.21306822741917</v>
          </cell>
          <cell r="BA51">
            <v>690.08385539651817</v>
          </cell>
          <cell r="BB51">
            <v>707.19985749540137</v>
          </cell>
          <cell r="BC51">
            <v>725.10054736959341</v>
          </cell>
          <cell r="BD51">
            <v>743.01053088962328</v>
          </cell>
          <cell r="BE51">
            <v>761.95729942730588</v>
          </cell>
          <cell r="BF51">
            <v>780.39666607345055</v>
          </cell>
          <cell r="BG51">
            <v>800.06266205849897</v>
          </cell>
          <cell r="BH51">
            <v>820.38425367478305</v>
          </cell>
          <cell r="BI51">
            <v>840.8938600166523</v>
          </cell>
          <cell r="BJ51">
            <v>862.00029590307031</v>
          </cell>
          <cell r="BK51">
            <v>883.55030330064869</v>
          </cell>
          <cell r="BL51">
            <v>905.46235082250337</v>
          </cell>
          <cell r="BM51">
            <v>928.1894558281499</v>
          </cell>
          <cell r="BN51">
            <v>951.4870111694363</v>
          </cell>
          <cell r="BO51" t="str">
            <v>Wabash Diesel 7A-B</v>
          </cell>
          <cell r="BP51" t="str">
            <v>Depreciation</v>
          </cell>
          <cell r="BQ51">
            <v>76174.282364205923</v>
          </cell>
          <cell r="BR51">
            <v>74732.215545363841</v>
          </cell>
          <cell r="BS51">
            <v>73837.855719673869</v>
          </cell>
          <cell r="BT51">
            <v>73079.831233265897</v>
          </cell>
          <cell r="BU51">
            <v>72442.155366903578</v>
          </cell>
          <cell r="BV51">
            <v>71864.815669870994</v>
          </cell>
          <cell r="BW51">
            <v>71278.113034469468</v>
          </cell>
          <cell r="BX51">
            <v>70600.619778607244</v>
          </cell>
          <cell r="BY51">
            <v>34209.617495975988</v>
          </cell>
          <cell r="BZ51">
            <v>11281.294874455281</v>
          </cell>
          <cell r="CA51">
            <v>11281.294874455281</v>
          </cell>
          <cell r="CB51">
            <v>11281.294874455281</v>
          </cell>
          <cell r="CC51">
            <v>11281.294874455281</v>
          </cell>
          <cell r="CD51">
            <v>11281.294874455281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 t="str">
            <v>Wabash Diesel 7A-B</v>
          </cell>
          <cell r="CL51" t="str">
            <v>Cap Ads exc Env Cap Adds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 t="str">
            <v>Wabash Diesel 7A-B</v>
          </cell>
          <cell r="DH51" t="str">
            <v>Env Cap Adds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</row>
        <row r="52">
          <cell r="A52" t="str">
            <v>W.C. Beckjord CT 1</v>
          </cell>
          <cell r="B52" t="str">
            <v>Property Taxes</v>
          </cell>
          <cell r="C52">
            <v>46761.625025659239</v>
          </cell>
          <cell r="D52">
            <v>47682.524579862897</v>
          </cell>
          <cell r="E52">
            <v>48688.625848498268</v>
          </cell>
          <cell r="F52">
            <v>49754.906754580436</v>
          </cell>
          <cell r="G52">
            <v>50879.367647233586</v>
          </cell>
          <cell r="H52">
            <v>52090.296597237852</v>
          </cell>
          <cell r="I52">
            <v>53395.684666695779</v>
          </cell>
          <cell r="J52">
            <v>54720.04639995403</v>
          </cell>
          <cell r="K52">
            <v>56105.123857373263</v>
          </cell>
          <cell r="L52">
            <v>57490.920416650457</v>
          </cell>
          <cell r="M52">
            <v>58956.938887274824</v>
          </cell>
          <cell r="N52">
            <v>60383.696808347173</v>
          </cell>
          <cell r="O52">
            <v>61905.365967917329</v>
          </cell>
          <cell r="P52">
            <v>63477.762263502293</v>
          </cell>
          <cell r="Q52">
            <v>65064.706320089819</v>
          </cell>
          <cell r="R52">
            <v>66697.830448724082</v>
          </cell>
          <cell r="S52">
            <v>68365.276209942313</v>
          </cell>
          <cell r="T52">
            <v>70060.735059948769</v>
          </cell>
          <cell r="U52">
            <v>71819.259509953612</v>
          </cell>
          <cell r="V52">
            <v>73621.922923653445</v>
          </cell>
          <cell r="W52" t="str">
            <v>W.C. Beckjord CT 1</v>
          </cell>
          <cell r="X52" t="str">
            <v>Fixed O&amp;M inc Env</v>
          </cell>
          <cell r="Y52">
            <v>116338.68891434498</v>
          </cell>
          <cell r="Z52">
            <v>118629.80362002662</v>
          </cell>
          <cell r="AA52">
            <v>121132.89247640985</v>
          </cell>
          <cell r="AB52">
            <v>123785.70282164335</v>
          </cell>
          <cell r="AC52">
            <v>126583.25970541158</v>
          </cell>
          <cell r="AD52">
            <v>129595.94128640063</v>
          </cell>
          <cell r="AE52">
            <v>132843.62860355075</v>
          </cell>
          <cell r="AF52">
            <v>136138.52067821776</v>
          </cell>
          <cell r="AG52">
            <v>139584.46797693861</v>
          </cell>
          <cell r="AH52">
            <v>143032.20433596917</v>
          </cell>
          <cell r="AI52">
            <v>146679.52554653585</v>
          </cell>
          <cell r="AJ52">
            <v>150229.17006476276</v>
          </cell>
          <cell r="AK52">
            <v>154014.94515039428</v>
          </cell>
          <cell r="AL52">
            <v>157926.92475721397</v>
          </cell>
          <cell r="AM52">
            <v>161875.09787614425</v>
          </cell>
          <cell r="AN52">
            <v>165938.16283283549</v>
          </cell>
          <cell r="AO52">
            <v>170086.61690365669</v>
          </cell>
          <cell r="AP52">
            <v>174304.76500286709</v>
          </cell>
          <cell r="AQ52">
            <v>178679.81460443939</v>
          </cell>
          <cell r="AR52">
            <v>183164.67795101079</v>
          </cell>
          <cell r="AS52" t="str">
            <v>W.C. Beckjord CT 1</v>
          </cell>
          <cell r="AT52" t="str">
            <v>A&amp;G</v>
          </cell>
          <cell r="AU52">
            <v>7114.7949119601008</v>
          </cell>
          <cell r="AV52">
            <v>7254.910048230051</v>
          </cell>
          <cell r="AW52">
            <v>7407.9886502477457</v>
          </cell>
          <cell r="AX52">
            <v>7570.2236016881789</v>
          </cell>
          <cell r="AY52">
            <v>7741.3106550862758</v>
          </cell>
          <cell r="AZ52">
            <v>7925.5538486773448</v>
          </cell>
          <cell r="BA52">
            <v>8124.1690248953737</v>
          </cell>
          <cell r="BB52">
            <v>8325.6710496049527</v>
          </cell>
          <cell r="BC52">
            <v>8536.4109894874873</v>
          </cell>
          <cell r="BD52">
            <v>8747.2603409278381</v>
          </cell>
          <cell r="BE52">
            <v>8970.3154796214658</v>
          </cell>
          <cell r="BF52">
            <v>9187.3971142283499</v>
          </cell>
          <cell r="BG52">
            <v>9418.9195215068739</v>
          </cell>
          <cell r="BH52">
            <v>9658.1600773531281</v>
          </cell>
          <cell r="BI52">
            <v>9899.6140792869519</v>
          </cell>
          <cell r="BJ52">
            <v>10148.094392677056</v>
          </cell>
          <cell r="BK52">
            <v>10401.796752494001</v>
          </cell>
          <cell r="BL52">
            <v>10659.761311955837</v>
          </cell>
          <cell r="BM52">
            <v>10927.321320885949</v>
          </cell>
          <cell r="BN52">
            <v>11201.597086040183</v>
          </cell>
          <cell r="BO52" t="str">
            <v>W.C. Beckjord CT 1</v>
          </cell>
          <cell r="BP52" t="str">
            <v>Depreciation</v>
          </cell>
          <cell r="BQ52">
            <v>7450.4889385344259</v>
          </cell>
          <cell r="BR52">
            <v>7150.6051480544611</v>
          </cell>
          <cell r="BS52">
            <v>6801.4589184994211</v>
          </cell>
          <cell r="BT52">
            <v>5576.685908280595</v>
          </cell>
          <cell r="BU52">
            <v>4201.4480469929631</v>
          </cell>
          <cell r="BV52">
            <v>3244.8467857943051</v>
          </cell>
          <cell r="BW52">
            <v>2299.1230058351543</v>
          </cell>
          <cell r="BX52">
            <v>2295.2949691681742</v>
          </cell>
          <cell r="BY52">
            <v>2299.1230058351543</v>
          </cell>
          <cell r="BZ52">
            <v>2295.2949691681742</v>
          </cell>
          <cell r="CA52">
            <v>2299.1230058351543</v>
          </cell>
          <cell r="CB52">
            <v>1164.4448258058651</v>
          </cell>
          <cell r="CC52">
            <v>33.584223326979718</v>
          </cell>
          <cell r="CD52">
            <v>16.818259454930981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 t="str">
            <v>W.C. Beckjord CT 1</v>
          </cell>
          <cell r="CL52" t="str">
            <v>Cap Ads exc Env Cap Adds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 t="str">
            <v>W.C. Beckjord CT 1</v>
          </cell>
          <cell r="DH52" t="str">
            <v>Env Cap Adds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</row>
        <row r="53">
          <cell r="A53" t="str">
            <v>W.C. Beckjord CT 2</v>
          </cell>
          <cell r="B53" t="str">
            <v>Property Taxes</v>
          </cell>
          <cell r="C53">
            <v>46761.625025659239</v>
          </cell>
          <cell r="D53">
            <v>47682.524579862897</v>
          </cell>
          <cell r="E53">
            <v>48688.625848498268</v>
          </cell>
          <cell r="F53">
            <v>49754.906754580436</v>
          </cell>
          <cell r="G53">
            <v>50879.367647233586</v>
          </cell>
          <cell r="H53">
            <v>52090.296597237852</v>
          </cell>
          <cell r="I53">
            <v>53395.684666695779</v>
          </cell>
          <cell r="J53">
            <v>54720.04639995403</v>
          </cell>
          <cell r="K53">
            <v>56105.123857373263</v>
          </cell>
          <cell r="L53">
            <v>57490.920416650457</v>
          </cell>
          <cell r="M53">
            <v>58956.938887274824</v>
          </cell>
          <cell r="N53">
            <v>60383.696808347173</v>
          </cell>
          <cell r="O53">
            <v>61905.365967917329</v>
          </cell>
          <cell r="P53">
            <v>63477.762263502293</v>
          </cell>
          <cell r="Q53">
            <v>65064.706320089819</v>
          </cell>
          <cell r="R53">
            <v>66697.830448724082</v>
          </cell>
          <cell r="S53">
            <v>68365.276209942313</v>
          </cell>
          <cell r="T53">
            <v>70060.735059948769</v>
          </cell>
          <cell r="U53">
            <v>71819.259509953612</v>
          </cell>
          <cell r="V53">
            <v>73621.922923653445</v>
          </cell>
          <cell r="W53" t="str">
            <v>W.C. Beckjord CT 2</v>
          </cell>
          <cell r="X53" t="str">
            <v>Fixed O&amp;M inc Env</v>
          </cell>
          <cell r="Y53">
            <v>116338.68891434498</v>
          </cell>
          <cell r="Z53">
            <v>118629.80362002662</v>
          </cell>
          <cell r="AA53">
            <v>121132.89247640985</v>
          </cell>
          <cell r="AB53">
            <v>123785.70282164335</v>
          </cell>
          <cell r="AC53">
            <v>126583.25970541158</v>
          </cell>
          <cell r="AD53">
            <v>129595.94128640063</v>
          </cell>
          <cell r="AE53">
            <v>132843.62860355075</v>
          </cell>
          <cell r="AF53">
            <v>136138.52067821776</v>
          </cell>
          <cell r="AG53">
            <v>139584.46797693861</v>
          </cell>
          <cell r="AH53">
            <v>143032.20433596917</v>
          </cell>
          <cell r="AI53">
            <v>146679.52554653585</v>
          </cell>
          <cell r="AJ53">
            <v>150229.17006476276</v>
          </cell>
          <cell r="AK53">
            <v>154014.94515039428</v>
          </cell>
          <cell r="AL53">
            <v>157926.92475721397</v>
          </cell>
          <cell r="AM53">
            <v>161875.09787614425</v>
          </cell>
          <cell r="AN53">
            <v>165938.16283283549</v>
          </cell>
          <cell r="AO53">
            <v>170086.61690365669</v>
          </cell>
          <cell r="AP53">
            <v>174304.76500286709</v>
          </cell>
          <cell r="AQ53">
            <v>178679.81460443939</v>
          </cell>
          <cell r="AR53">
            <v>183164.67795101079</v>
          </cell>
          <cell r="AS53" t="str">
            <v>W.C. Beckjord CT 2</v>
          </cell>
          <cell r="AT53" t="str">
            <v>A&amp;G</v>
          </cell>
          <cell r="AU53">
            <v>7114.7949119601008</v>
          </cell>
          <cell r="AV53">
            <v>7254.910048230051</v>
          </cell>
          <cell r="AW53">
            <v>7407.9886502477457</v>
          </cell>
          <cell r="AX53">
            <v>7570.2236016881789</v>
          </cell>
          <cell r="AY53">
            <v>7741.3106550862758</v>
          </cell>
          <cell r="AZ53">
            <v>7925.5538486773448</v>
          </cell>
          <cell r="BA53">
            <v>8124.1690248953737</v>
          </cell>
          <cell r="BB53">
            <v>8325.6710496049527</v>
          </cell>
          <cell r="BC53">
            <v>8536.4109894874873</v>
          </cell>
          <cell r="BD53">
            <v>8747.2603409278381</v>
          </cell>
          <cell r="BE53">
            <v>8970.3154796214658</v>
          </cell>
          <cell r="BF53">
            <v>9187.3971142283499</v>
          </cell>
          <cell r="BG53">
            <v>9418.9195215068739</v>
          </cell>
          <cell r="BH53">
            <v>9658.1600773531281</v>
          </cell>
          <cell r="BI53">
            <v>9899.6140792869519</v>
          </cell>
          <cell r="BJ53">
            <v>10148.094392677056</v>
          </cell>
          <cell r="BK53">
            <v>10401.796752494001</v>
          </cell>
          <cell r="BL53">
            <v>10659.761311955837</v>
          </cell>
          <cell r="BM53">
            <v>10927.321320885949</v>
          </cell>
          <cell r="BN53">
            <v>11201.597086040183</v>
          </cell>
          <cell r="BO53" t="str">
            <v>W.C. Beckjord CT 2</v>
          </cell>
          <cell r="BP53" t="str">
            <v>Depreciation</v>
          </cell>
          <cell r="BQ53">
            <v>7450.4889385344259</v>
          </cell>
          <cell r="BR53">
            <v>7150.6051480544611</v>
          </cell>
          <cell r="BS53">
            <v>6801.4589184994211</v>
          </cell>
          <cell r="BT53">
            <v>5576.685908280595</v>
          </cell>
          <cell r="BU53">
            <v>4201.4480469929631</v>
          </cell>
          <cell r="BV53">
            <v>3244.8467857943051</v>
          </cell>
          <cell r="BW53">
            <v>2299.1230058351543</v>
          </cell>
          <cell r="BX53">
            <v>2295.2949691681742</v>
          </cell>
          <cell r="BY53">
            <v>2299.1230058351543</v>
          </cell>
          <cell r="BZ53">
            <v>2295.2949691681742</v>
          </cell>
          <cell r="CA53">
            <v>2299.1230058351543</v>
          </cell>
          <cell r="CB53">
            <v>1164.4448258058651</v>
          </cell>
          <cell r="CC53">
            <v>33.584223326979718</v>
          </cell>
          <cell r="CD53">
            <v>16.818259454930981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 t="str">
            <v>W.C. Beckjord CT 2</v>
          </cell>
          <cell r="CL53" t="str">
            <v>Cap Ads exc Env Cap Adds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 t="str">
            <v>W.C. Beckjord CT 2</v>
          </cell>
          <cell r="DH53" t="str">
            <v>Env Cap Adds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</row>
        <row r="54">
          <cell r="A54" t="str">
            <v>W.C. Beckjord CT 3</v>
          </cell>
          <cell r="B54" t="str">
            <v>Property Taxes</v>
          </cell>
          <cell r="C54">
            <v>46761.625025659239</v>
          </cell>
          <cell r="D54">
            <v>47682.524579862897</v>
          </cell>
          <cell r="E54">
            <v>48688.625848498268</v>
          </cell>
          <cell r="F54">
            <v>49754.906754580436</v>
          </cell>
          <cell r="G54">
            <v>50879.367647233586</v>
          </cell>
          <cell r="H54">
            <v>52090.296597237852</v>
          </cell>
          <cell r="I54">
            <v>53395.684666695779</v>
          </cell>
          <cell r="J54">
            <v>54720.04639995403</v>
          </cell>
          <cell r="K54">
            <v>56105.123857373263</v>
          </cell>
          <cell r="L54">
            <v>57490.920416650457</v>
          </cell>
          <cell r="M54">
            <v>58956.938887274824</v>
          </cell>
          <cell r="N54">
            <v>60383.696808347173</v>
          </cell>
          <cell r="O54">
            <v>61905.365967917329</v>
          </cell>
          <cell r="P54">
            <v>63477.762263502293</v>
          </cell>
          <cell r="Q54">
            <v>65064.706320089819</v>
          </cell>
          <cell r="R54">
            <v>66697.830448724082</v>
          </cell>
          <cell r="S54">
            <v>68365.276209942313</v>
          </cell>
          <cell r="T54">
            <v>70060.735059948769</v>
          </cell>
          <cell r="U54">
            <v>71819.259509953612</v>
          </cell>
          <cell r="V54">
            <v>73621.922923653445</v>
          </cell>
          <cell r="W54" t="str">
            <v>W.C. Beckjord CT 3</v>
          </cell>
          <cell r="X54" t="str">
            <v>Fixed O&amp;M inc Env</v>
          </cell>
          <cell r="Y54">
            <v>116338.68891434498</v>
          </cell>
          <cell r="Z54">
            <v>118629.80362002662</v>
          </cell>
          <cell r="AA54">
            <v>121132.89247640985</v>
          </cell>
          <cell r="AB54">
            <v>123785.70282164335</v>
          </cell>
          <cell r="AC54">
            <v>126583.25970541158</v>
          </cell>
          <cell r="AD54">
            <v>129595.94128640063</v>
          </cell>
          <cell r="AE54">
            <v>132843.62860355075</v>
          </cell>
          <cell r="AF54">
            <v>136138.52067821776</v>
          </cell>
          <cell r="AG54">
            <v>139584.46797693861</v>
          </cell>
          <cell r="AH54">
            <v>143032.20433596917</v>
          </cell>
          <cell r="AI54">
            <v>146679.52554653585</v>
          </cell>
          <cell r="AJ54">
            <v>150229.17006476276</v>
          </cell>
          <cell r="AK54">
            <v>154014.94515039428</v>
          </cell>
          <cell r="AL54">
            <v>157926.92475721397</v>
          </cell>
          <cell r="AM54">
            <v>161875.09787614425</v>
          </cell>
          <cell r="AN54">
            <v>165938.16283283549</v>
          </cell>
          <cell r="AO54">
            <v>170086.61690365669</v>
          </cell>
          <cell r="AP54">
            <v>174304.76500286709</v>
          </cell>
          <cell r="AQ54">
            <v>178679.81460443939</v>
          </cell>
          <cell r="AR54">
            <v>183164.67795101079</v>
          </cell>
          <cell r="AS54" t="str">
            <v>W.C. Beckjord CT 3</v>
          </cell>
          <cell r="AT54" t="str">
            <v>A&amp;G</v>
          </cell>
          <cell r="AU54">
            <v>7114.7949119601008</v>
          </cell>
          <cell r="AV54">
            <v>7254.910048230051</v>
          </cell>
          <cell r="AW54">
            <v>7407.9886502477457</v>
          </cell>
          <cell r="AX54">
            <v>7570.2236016881789</v>
          </cell>
          <cell r="AY54">
            <v>7741.3106550862758</v>
          </cell>
          <cell r="AZ54">
            <v>7925.5538486773448</v>
          </cell>
          <cell r="BA54">
            <v>8124.1690248953737</v>
          </cell>
          <cell r="BB54">
            <v>8325.6710496049527</v>
          </cell>
          <cell r="BC54">
            <v>8536.4109894874873</v>
          </cell>
          <cell r="BD54">
            <v>8747.2603409278381</v>
          </cell>
          <cell r="BE54">
            <v>8970.3154796214658</v>
          </cell>
          <cell r="BF54">
            <v>9187.3971142283499</v>
          </cell>
          <cell r="BG54">
            <v>9418.9195215068739</v>
          </cell>
          <cell r="BH54">
            <v>9658.1600773531281</v>
          </cell>
          <cell r="BI54">
            <v>9899.6140792869519</v>
          </cell>
          <cell r="BJ54">
            <v>10148.094392677056</v>
          </cell>
          <cell r="BK54">
            <v>10401.796752494001</v>
          </cell>
          <cell r="BL54">
            <v>10659.761311955837</v>
          </cell>
          <cell r="BM54">
            <v>10927.321320885949</v>
          </cell>
          <cell r="BN54">
            <v>11201.597086040183</v>
          </cell>
          <cell r="BO54" t="str">
            <v>W.C. Beckjord CT 3</v>
          </cell>
          <cell r="BP54" t="str">
            <v>Depreciation</v>
          </cell>
          <cell r="BQ54">
            <v>7450.4889385344259</v>
          </cell>
          <cell r="BR54">
            <v>7150.6051480544611</v>
          </cell>
          <cell r="BS54">
            <v>6801.4589184994211</v>
          </cell>
          <cell r="BT54">
            <v>5576.685908280595</v>
          </cell>
          <cell r="BU54">
            <v>4201.4480469929631</v>
          </cell>
          <cell r="BV54">
            <v>3244.8467857943051</v>
          </cell>
          <cell r="BW54">
            <v>2299.1230058351543</v>
          </cell>
          <cell r="BX54">
            <v>2295.2949691681742</v>
          </cell>
          <cell r="BY54">
            <v>2299.1230058351543</v>
          </cell>
          <cell r="BZ54">
            <v>2295.2949691681742</v>
          </cell>
          <cell r="CA54">
            <v>2299.1230058351543</v>
          </cell>
          <cell r="CB54">
            <v>1164.4448258058651</v>
          </cell>
          <cell r="CC54">
            <v>33.584223326979718</v>
          </cell>
          <cell r="CD54">
            <v>16.818259454930981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 t="str">
            <v>W.C. Beckjord CT 3</v>
          </cell>
          <cell r="CL54" t="str">
            <v>Cap Ads exc Env Cap Adds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 t="str">
            <v>W.C. Beckjord CT 3</v>
          </cell>
          <cell r="DH54" t="str">
            <v>Env Cap Adds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</row>
        <row r="55">
          <cell r="A55" t="str">
            <v>W.C. Beckjord CT 4</v>
          </cell>
          <cell r="B55" t="str">
            <v>Property Taxes</v>
          </cell>
          <cell r="C55">
            <v>46761.625025659239</v>
          </cell>
          <cell r="D55">
            <v>47682.524579862897</v>
          </cell>
          <cell r="E55">
            <v>48688.625848498268</v>
          </cell>
          <cell r="F55">
            <v>49754.906754580436</v>
          </cell>
          <cell r="G55">
            <v>50879.367647233586</v>
          </cell>
          <cell r="H55">
            <v>52090.296597237852</v>
          </cell>
          <cell r="I55">
            <v>53395.684666695779</v>
          </cell>
          <cell r="J55">
            <v>54720.04639995403</v>
          </cell>
          <cell r="K55">
            <v>56105.123857373263</v>
          </cell>
          <cell r="L55">
            <v>57490.920416650457</v>
          </cell>
          <cell r="M55">
            <v>58956.938887274824</v>
          </cell>
          <cell r="N55">
            <v>60383.696808347173</v>
          </cell>
          <cell r="O55">
            <v>61905.365967917329</v>
          </cell>
          <cell r="P55">
            <v>63477.762263502293</v>
          </cell>
          <cell r="Q55">
            <v>65064.706320089819</v>
          </cell>
          <cell r="R55">
            <v>66697.830448724082</v>
          </cell>
          <cell r="S55">
            <v>68365.276209942313</v>
          </cell>
          <cell r="T55">
            <v>70060.735059948769</v>
          </cell>
          <cell r="U55">
            <v>71819.259509953612</v>
          </cell>
          <cell r="V55">
            <v>73621.922923653445</v>
          </cell>
          <cell r="W55" t="str">
            <v>W.C. Beckjord CT 4</v>
          </cell>
          <cell r="X55" t="str">
            <v>Fixed O&amp;M inc Env</v>
          </cell>
          <cell r="Y55">
            <v>116338.68891434498</v>
          </cell>
          <cell r="Z55">
            <v>118629.80362002662</v>
          </cell>
          <cell r="AA55">
            <v>121132.89247640985</v>
          </cell>
          <cell r="AB55">
            <v>123785.70282164335</v>
          </cell>
          <cell r="AC55">
            <v>126583.25970541158</v>
          </cell>
          <cell r="AD55">
            <v>129595.94128640063</v>
          </cell>
          <cell r="AE55">
            <v>132843.62860355075</v>
          </cell>
          <cell r="AF55">
            <v>136138.52067821776</v>
          </cell>
          <cell r="AG55">
            <v>139584.46797693861</v>
          </cell>
          <cell r="AH55">
            <v>143032.20433596917</v>
          </cell>
          <cell r="AI55">
            <v>146679.52554653585</v>
          </cell>
          <cell r="AJ55">
            <v>150229.17006476276</v>
          </cell>
          <cell r="AK55">
            <v>154014.94515039428</v>
          </cell>
          <cell r="AL55">
            <v>157926.92475721397</v>
          </cell>
          <cell r="AM55">
            <v>161875.09787614425</v>
          </cell>
          <cell r="AN55">
            <v>165938.16283283549</v>
          </cell>
          <cell r="AO55">
            <v>170086.61690365669</v>
          </cell>
          <cell r="AP55">
            <v>174304.76500286709</v>
          </cell>
          <cell r="AQ55">
            <v>178679.81460443939</v>
          </cell>
          <cell r="AR55">
            <v>183164.67795101079</v>
          </cell>
          <cell r="AS55" t="str">
            <v>W.C. Beckjord CT 4</v>
          </cell>
          <cell r="AT55" t="str">
            <v>A&amp;G</v>
          </cell>
          <cell r="AU55">
            <v>7114.7949119601008</v>
          </cell>
          <cell r="AV55">
            <v>7254.910048230051</v>
          </cell>
          <cell r="AW55">
            <v>7407.9886502477457</v>
          </cell>
          <cell r="AX55">
            <v>7570.2236016881789</v>
          </cell>
          <cell r="AY55">
            <v>7741.3106550862758</v>
          </cell>
          <cell r="AZ55">
            <v>7925.5538486773448</v>
          </cell>
          <cell r="BA55">
            <v>8124.1690248953737</v>
          </cell>
          <cell r="BB55">
            <v>8325.6710496049527</v>
          </cell>
          <cell r="BC55">
            <v>8536.4109894874873</v>
          </cell>
          <cell r="BD55">
            <v>8747.2603409278381</v>
          </cell>
          <cell r="BE55">
            <v>8970.3154796214658</v>
          </cell>
          <cell r="BF55">
            <v>9187.3971142283499</v>
          </cell>
          <cell r="BG55">
            <v>9418.9195215068739</v>
          </cell>
          <cell r="BH55">
            <v>9658.1600773531281</v>
          </cell>
          <cell r="BI55">
            <v>9899.6140792869519</v>
          </cell>
          <cell r="BJ55">
            <v>10148.094392677056</v>
          </cell>
          <cell r="BK55">
            <v>10401.796752494001</v>
          </cell>
          <cell r="BL55">
            <v>10659.761311955837</v>
          </cell>
          <cell r="BM55">
            <v>10927.321320885949</v>
          </cell>
          <cell r="BN55">
            <v>11201.597086040183</v>
          </cell>
          <cell r="BO55" t="str">
            <v>W.C. Beckjord CT 4</v>
          </cell>
          <cell r="BP55" t="str">
            <v>Depreciation</v>
          </cell>
          <cell r="BQ55">
            <v>7450.4889385344259</v>
          </cell>
          <cell r="BR55">
            <v>7150.6051480544611</v>
          </cell>
          <cell r="BS55">
            <v>6801.4589184994211</v>
          </cell>
          <cell r="BT55">
            <v>5576.685908280595</v>
          </cell>
          <cell r="BU55">
            <v>4201.4480469929631</v>
          </cell>
          <cell r="BV55">
            <v>3244.8467857943051</v>
          </cell>
          <cell r="BW55">
            <v>2299.1230058351543</v>
          </cell>
          <cell r="BX55">
            <v>2295.2949691681742</v>
          </cell>
          <cell r="BY55">
            <v>2299.1230058351543</v>
          </cell>
          <cell r="BZ55">
            <v>2295.2949691681742</v>
          </cell>
          <cell r="CA55">
            <v>2299.1230058351543</v>
          </cell>
          <cell r="CB55">
            <v>1164.4448258058651</v>
          </cell>
          <cell r="CC55">
            <v>33.584223326979718</v>
          </cell>
          <cell r="CD55">
            <v>16.818259454930981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 t="str">
            <v>W.C. Beckjord CT 4</v>
          </cell>
          <cell r="CL55" t="str">
            <v>Cap Ads exc Env Cap Adds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 t="str">
            <v>W.C. Beckjord CT 4</v>
          </cell>
          <cell r="DH55" t="str">
            <v>Env Cap Adds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</row>
        <row r="56">
          <cell r="A56" t="str">
            <v>Woodsdale CT 1</v>
          </cell>
          <cell r="B56" t="str">
            <v>Property Taxes</v>
          </cell>
          <cell r="C56">
            <v>177693.36694575351</v>
          </cell>
          <cell r="D56">
            <v>181192.76933639968</v>
          </cell>
          <cell r="E56">
            <v>185015.93676939872</v>
          </cell>
          <cell r="F56">
            <v>189067.78578464876</v>
          </cell>
          <cell r="G56">
            <v>193340.71774338043</v>
          </cell>
          <cell r="H56">
            <v>197942.22682567328</v>
          </cell>
          <cell r="I56">
            <v>202902.6789294125</v>
          </cell>
          <cell r="J56">
            <v>207935.23062768305</v>
          </cell>
          <cell r="K56">
            <v>213198.5010284537</v>
          </cell>
          <cell r="L56">
            <v>218464.50400385677</v>
          </cell>
          <cell r="M56">
            <v>224035.3488559543</v>
          </cell>
          <cell r="N56">
            <v>229457.00429826952</v>
          </cell>
          <cell r="O56">
            <v>235239.32080658516</v>
          </cell>
          <cell r="P56">
            <v>241214.39955507193</v>
          </cell>
          <cell r="Q56">
            <v>247244.7595439486</v>
          </cell>
          <cell r="R56">
            <v>253450.60300850176</v>
          </cell>
          <cell r="S56">
            <v>259786.86808371477</v>
          </cell>
          <cell r="T56">
            <v>266229.58241219044</v>
          </cell>
          <cell r="U56">
            <v>272911.94493073697</v>
          </cell>
          <cell r="V56">
            <v>279762.03474849841</v>
          </cell>
          <cell r="W56" t="str">
            <v>Woodsdale CT 1</v>
          </cell>
          <cell r="X56" t="str">
            <v>Fixed O&amp;M inc Env</v>
          </cell>
          <cell r="Y56">
            <v>187889.71355180597</v>
          </cell>
          <cell r="Z56">
            <v>191589.91758351718</v>
          </cell>
          <cell r="AA56">
            <v>195632.46484453048</v>
          </cell>
          <cell r="AB56">
            <v>199916.8158246259</v>
          </cell>
          <cell r="AC56">
            <v>204434.93586226096</v>
          </cell>
          <cell r="AD56">
            <v>209300.4873357832</v>
          </cell>
          <cell r="AE56">
            <v>214545.57858977211</v>
          </cell>
          <cell r="AF56">
            <v>219866.90663524368</v>
          </cell>
          <cell r="AG56">
            <v>225432.19241345953</v>
          </cell>
          <cell r="AH56">
            <v>231000.36756607229</v>
          </cell>
          <cell r="AI56">
            <v>236890.87693900627</v>
          </cell>
          <cell r="AJ56">
            <v>242623.6361609314</v>
          </cell>
          <cell r="AK56">
            <v>248737.75179218609</v>
          </cell>
          <cell r="AL56">
            <v>255055.69068770707</v>
          </cell>
          <cell r="AM56">
            <v>261432.08295489964</v>
          </cell>
          <cell r="AN56">
            <v>267994.02823706763</v>
          </cell>
          <cell r="AO56">
            <v>274693.87894299487</v>
          </cell>
          <cell r="AP56">
            <v>281506.28714078065</v>
          </cell>
          <cell r="AQ56">
            <v>288572.09494801483</v>
          </cell>
          <cell r="AR56">
            <v>295815.25453120994</v>
          </cell>
          <cell r="AS56" t="str">
            <v>Woodsdale CT 1</v>
          </cell>
          <cell r="AT56" t="str">
            <v>A&amp;G</v>
          </cell>
          <cell r="AU56">
            <v>33879.975771238576</v>
          </cell>
          <cell r="AV56">
            <v>34547.190705857385</v>
          </cell>
          <cell r="AW56">
            <v>35276.136429751168</v>
          </cell>
          <cell r="AX56">
            <v>36048.683817562756</v>
          </cell>
          <cell r="AY56">
            <v>36863.384071839406</v>
          </cell>
          <cell r="AZ56">
            <v>37740.732612749263</v>
          </cell>
          <cell r="BA56">
            <v>38686.519166168444</v>
          </cell>
          <cell r="BB56">
            <v>39646.052617166439</v>
          </cell>
          <cell r="BC56">
            <v>40649.576140416604</v>
          </cell>
          <cell r="BD56">
            <v>41653.620671084944</v>
          </cell>
          <cell r="BE56">
            <v>42715.787998197455</v>
          </cell>
          <cell r="BF56">
            <v>43749.510067754047</v>
          </cell>
          <cell r="BG56">
            <v>44851.997721461303</v>
          </cell>
          <cell r="BH56">
            <v>45991.238463586327</v>
          </cell>
          <cell r="BI56">
            <v>47141.01942517596</v>
          </cell>
          <cell r="BJ56">
            <v>48324.259012747883</v>
          </cell>
          <cell r="BK56">
            <v>49532.365488066673</v>
          </cell>
          <cell r="BL56">
            <v>50760.768152170647</v>
          </cell>
          <cell r="BM56">
            <v>52034.863432790225</v>
          </cell>
          <cell r="BN56">
            <v>53340.93850495325</v>
          </cell>
          <cell r="BO56" t="str">
            <v>Woodsdale CT 1</v>
          </cell>
          <cell r="BP56" t="str">
            <v>Depreciation</v>
          </cell>
          <cell r="BQ56">
            <v>2206430.4908343377</v>
          </cell>
          <cell r="BR56">
            <v>2203037.7762995963</v>
          </cell>
          <cell r="BS56">
            <v>2205436.7831960325</v>
          </cell>
          <cell r="BT56">
            <v>2200526.1510613356</v>
          </cell>
          <cell r="BU56">
            <v>2201287.7438046811</v>
          </cell>
          <cell r="BV56">
            <v>2196805.0541691966</v>
          </cell>
          <cell r="BW56">
            <v>2198252.0559091358</v>
          </cell>
          <cell r="BX56">
            <v>1223828.113880221</v>
          </cell>
          <cell r="BY56">
            <v>140252.38924246901</v>
          </cell>
          <cell r="BZ56">
            <v>16042.113880220764</v>
          </cell>
          <cell r="CA56">
            <v>3668.8892424690143</v>
          </cell>
          <cell r="CB56">
            <v>1858.1950961323025</v>
          </cell>
          <cell r="CC56">
            <v>53.592954952088093</v>
          </cell>
          <cell r="CD56">
            <v>26.838203538759778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 t="str">
            <v>Woodsdale CT 1</v>
          </cell>
          <cell r="CL56" t="str">
            <v>Cap Ads exc Env Cap Adds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 t="str">
            <v>Woodsdale CT 1</v>
          </cell>
          <cell r="DH56" t="str">
            <v>Env Cap Adds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</row>
        <row r="57">
          <cell r="A57" t="str">
            <v>Woodsdale CT 2</v>
          </cell>
          <cell r="B57" t="str">
            <v>Property Taxes</v>
          </cell>
          <cell r="C57">
            <v>177693.36694575351</v>
          </cell>
          <cell r="D57">
            <v>181192.76933639968</v>
          </cell>
          <cell r="E57">
            <v>185015.93676939872</v>
          </cell>
          <cell r="F57">
            <v>189067.78578464876</v>
          </cell>
          <cell r="G57">
            <v>193340.71774338043</v>
          </cell>
          <cell r="H57">
            <v>197942.22682567328</v>
          </cell>
          <cell r="I57">
            <v>202902.6789294125</v>
          </cell>
          <cell r="J57">
            <v>207935.23062768305</v>
          </cell>
          <cell r="K57">
            <v>213198.5010284537</v>
          </cell>
          <cell r="L57">
            <v>218464.50400385677</v>
          </cell>
          <cell r="M57">
            <v>224035.3488559543</v>
          </cell>
          <cell r="N57">
            <v>229457.00429826952</v>
          </cell>
          <cell r="O57">
            <v>235239.32080658516</v>
          </cell>
          <cell r="P57">
            <v>241214.39955507193</v>
          </cell>
          <cell r="Q57">
            <v>247244.7595439486</v>
          </cell>
          <cell r="R57">
            <v>253450.60300850176</v>
          </cell>
          <cell r="S57">
            <v>259786.86808371477</v>
          </cell>
          <cell r="T57">
            <v>266229.58241219044</v>
          </cell>
          <cell r="U57">
            <v>272911.94493073697</v>
          </cell>
          <cell r="V57">
            <v>279762.03474849841</v>
          </cell>
          <cell r="W57" t="str">
            <v>Woodsdale CT 2</v>
          </cell>
          <cell r="X57" t="str">
            <v>Fixed O&amp;M inc Env</v>
          </cell>
          <cell r="Y57">
            <v>187889.71355180597</v>
          </cell>
          <cell r="Z57">
            <v>191589.91758351718</v>
          </cell>
          <cell r="AA57">
            <v>195632.46484453048</v>
          </cell>
          <cell r="AB57">
            <v>199916.8158246259</v>
          </cell>
          <cell r="AC57">
            <v>204434.93586226096</v>
          </cell>
          <cell r="AD57">
            <v>209300.4873357832</v>
          </cell>
          <cell r="AE57">
            <v>214545.57858977211</v>
          </cell>
          <cell r="AF57">
            <v>219866.90663524368</v>
          </cell>
          <cell r="AG57">
            <v>225432.19241345953</v>
          </cell>
          <cell r="AH57">
            <v>231000.36756607229</v>
          </cell>
          <cell r="AI57">
            <v>236890.87693900627</v>
          </cell>
          <cell r="AJ57">
            <v>242623.6361609314</v>
          </cell>
          <cell r="AK57">
            <v>248737.75179218609</v>
          </cell>
          <cell r="AL57">
            <v>255055.69068770707</v>
          </cell>
          <cell r="AM57">
            <v>261432.08295489964</v>
          </cell>
          <cell r="AN57">
            <v>267994.02823706763</v>
          </cell>
          <cell r="AO57">
            <v>274693.87894299487</v>
          </cell>
          <cell r="AP57">
            <v>281506.28714078065</v>
          </cell>
          <cell r="AQ57">
            <v>288572.09494801483</v>
          </cell>
          <cell r="AR57">
            <v>295815.25453120994</v>
          </cell>
          <cell r="AS57" t="str">
            <v>Woodsdale CT 2</v>
          </cell>
          <cell r="AT57" t="str">
            <v>A&amp;G</v>
          </cell>
          <cell r="AU57">
            <v>33879.975771238576</v>
          </cell>
          <cell r="AV57">
            <v>34547.190705857385</v>
          </cell>
          <cell r="AW57">
            <v>35276.136429751168</v>
          </cell>
          <cell r="AX57">
            <v>36048.683817562756</v>
          </cell>
          <cell r="AY57">
            <v>36863.384071839406</v>
          </cell>
          <cell r="AZ57">
            <v>37740.732612749263</v>
          </cell>
          <cell r="BA57">
            <v>38686.519166168444</v>
          </cell>
          <cell r="BB57">
            <v>39646.052617166439</v>
          </cell>
          <cell r="BC57">
            <v>40649.576140416604</v>
          </cell>
          <cell r="BD57">
            <v>41653.620671084944</v>
          </cell>
          <cell r="BE57">
            <v>42715.787998197455</v>
          </cell>
          <cell r="BF57">
            <v>43749.510067754047</v>
          </cell>
          <cell r="BG57">
            <v>44851.997721461303</v>
          </cell>
          <cell r="BH57">
            <v>45991.238463586327</v>
          </cell>
          <cell r="BI57">
            <v>47141.01942517596</v>
          </cell>
          <cell r="BJ57">
            <v>48324.259012747883</v>
          </cell>
          <cell r="BK57">
            <v>49532.365488066673</v>
          </cell>
          <cell r="BL57">
            <v>50760.768152170647</v>
          </cell>
          <cell r="BM57">
            <v>52034.863432790225</v>
          </cell>
          <cell r="BN57">
            <v>53340.93850495325</v>
          </cell>
          <cell r="BO57" t="str">
            <v>Woodsdale CT 2</v>
          </cell>
          <cell r="BP57" t="str">
            <v>Depreciation</v>
          </cell>
          <cell r="BQ57">
            <v>2206430.4908343377</v>
          </cell>
          <cell r="BR57">
            <v>2203037.7762995963</v>
          </cell>
          <cell r="BS57">
            <v>2205436.7831960325</v>
          </cell>
          <cell r="BT57">
            <v>2200526.1510613356</v>
          </cell>
          <cell r="BU57">
            <v>2201287.7438046811</v>
          </cell>
          <cell r="BV57">
            <v>2196805.0541691966</v>
          </cell>
          <cell r="BW57">
            <v>2198252.0559091358</v>
          </cell>
          <cell r="BX57">
            <v>1223828.113880221</v>
          </cell>
          <cell r="BY57">
            <v>140252.38924246901</v>
          </cell>
          <cell r="BZ57">
            <v>16042.113880220764</v>
          </cell>
          <cell r="CA57">
            <v>3668.8892424690143</v>
          </cell>
          <cell r="CB57">
            <v>1858.1950961323025</v>
          </cell>
          <cell r="CC57">
            <v>53.592954952088093</v>
          </cell>
          <cell r="CD57">
            <v>26.838203538759778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 t="str">
            <v>Woodsdale CT 2</v>
          </cell>
          <cell r="CL57" t="str">
            <v>Cap Ads exc Env Cap Adds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 t="str">
            <v>Woodsdale CT 2</v>
          </cell>
          <cell r="DH57" t="str">
            <v>Env Cap Adds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</row>
        <row r="58">
          <cell r="A58" t="str">
            <v>Woodsdale CT 3</v>
          </cell>
          <cell r="B58" t="str">
            <v>Property Taxes</v>
          </cell>
          <cell r="C58">
            <v>177693.36694575351</v>
          </cell>
          <cell r="D58">
            <v>181192.76933639968</v>
          </cell>
          <cell r="E58">
            <v>185015.93676939872</v>
          </cell>
          <cell r="F58">
            <v>189067.78578464876</v>
          </cell>
          <cell r="G58">
            <v>193340.71774338043</v>
          </cell>
          <cell r="H58">
            <v>197942.22682567328</v>
          </cell>
          <cell r="I58">
            <v>202902.6789294125</v>
          </cell>
          <cell r="J58">
            <v>207935.23062768305</v>
          </cell>
          <cell r="K58">
            <v>213198.5010284537</v>
          </cell>
          <cell r="L58">
            <v>218464.50400385677</v>
          </cell>
          <cell r="M58">
            <v>224035.3488559543</v>
          </cell>
          <cell r="N58">
            <v>229457.00429826952</v>
          </cell>
          <cell r="O58">
            <v>235239.32080658516</v>
          </cell>
          <cell r="P58">
            <v>241214.39955507193</v>
          </cell>
          <cell r="Q58">
            <v>247244.7595439486</v>
          </cell>
          <cell r="R58">
            <v>253450.60300850176</v>
          </cell>
          <cell r="S58">
            <v>259786.86808371477</v>
          </cell>
          <cell r="T58">
            <v>266229.58241219044</v>
          </cell>
          <cell r="U58">
            <v>272911.94493073697</v>
          </cell>
          <cell r="V58">
            <v>279762.03474849841</v>
          </cell>
          <cell r="W58" t="str">
            <v>Woodsdale CT 3</v>
          </cell>
          <cell r="X58" t="str">
            <v>Fixed O&amp;M inc Env</v>
          </cell>
          <cell r="Y58">
            <v>187889.71355180597</v>
          </cell>
          <cell r="Z58">
            <v>191589.91758351718</v>
          </cell>
          <cell r="AA58">
            <v>195632.46484453048</v>
          </cell>
          <cell r="AB58">
            <v>199916.8158246259</v>
          </cell>
          <cell r="AC58">
            <v>204434.93586226096</v>
          </cell>
          <cell r="AD58">
            <v>209300.4873357832</v>
          </cell>
          <cell r="AE58">
            <v>214545.57858977211</v>
          </cell>
          <cell r="AF58">
            <v>219866.90663524368</v>
          </cell>
          <cell r="AG58">
            <v>225432.19241345953</v>
          </cell>
          <cell r="AH58">
            <v>231000.36756607229</v>
          </cell>
          <cell r="AI58">
            <v>236890.87693900627</v>
          </cell>
          <cell r="AJ58">
            <v>242623.6361609314</v>
          </cell>
          <cell r="AK58">
            <v>248737.75179218609</v>
          </cell>
          <cell r="AL58">
            <v>255055.69068770707</v>
          </cell>
          <cell r="AM58">
            <v>261432.08295489964</v>
          </cell>
          <cell r="AN58">
            <v>267994.02823706763</v>
          </cell>
          <cell r="AO58">
            <v>274693.87894299487</v>
          </cell>
          <cell r="AP58">
            <v>281506.28714078065</v>
          </cell>
          <cell r="AQ58">
            <v>288572.09494801483</v>
          </cell>
          <cell r="AR58">
            <v>295815.25453120994</v>
          </cell>
          <cell r="AS58" t="str">
            <v>Woodsdale CT 3</v>
          </cell>
          <cell r="AT58" t="str">
            <v>A&amp;G</v>
          </cell>
          <cell r="AU58">
            <v>33879.975771238576</v>
          </cell>
          <cell r="AV58">
            <v>34547.190705857385</v>
          </cell>
          <cell r="AW58">
            <v>35276.136429751168</v>
          </cell>
          <cell r="AX58">
            <v>36048.683817562756</v>
          </cell>
          <cell r="AY58">
            <v>36863.384071839406</v>
          </cell>
          <cell r="AZ58">
            <v>37740.732612749263</v>
          </cell>
          <cell r="BA58">
            <v>38686.519166168444</v>
          </cell>
          <cell r="BB58">
            <v>39646.052617166439</v>
          </cell>
          <cell r="BC58">
            <v>40649.576140416604</v>
          </cell>
          <cell r="BD58">
            <v>41653.620671084944</v>
          </cell>
          <cell r="BE58">
            <v>42715.787998197455</v>
          </cell>
          <cell r="BF58">
            <v>43749.510067754047</v>
          </cell>
          <cell r="BG58">
            <v>44851.997721461303</v>
          </cell>
          <cell r="BH58">
            <v>45991.238463586327</v>
          </cell>
          <cell r="BI58">
            <v>47141.01942517596</v>
          </cell>
          <cell r="BJ58">
            <v>48324.259012747883</v>
          </cell>
          <cell r="BK58">
            <v>49532.365488066673</v>
          </cell>
          <cell r="BL58">
            <v>50760.768152170647</v>
          </cell>
          <cell r="BM58">
            <v>52034.863432790225</v>
          </cell>
          <cell r="BN58">
            <v>53340.93850495325</v>
          </cell>
          <cell r="BO58" t="str">
            <v>Woodsdale CT 3</v>
          </cell>
          <cell r="BP58" t="str">
            <v>Depreciation</v>
          </cell>
          <cell r="BQ58">
            <v>2206430.4908343377</v>
          </cell>
          <cell r="BR58">
            <v>2203037.7762995963</v>
          </cell>
          <cell r="BS58">
            <v>2205436.7831960325</v>
          </cell>
          <cell r="BT58">
            <v>2200526.1510613356</v>
          </cell>
          <cell r="BU58">
            <v>2201287.7438046811</v>
          </cell>
          <cell r="BV58">
            <v>2196805.0541691966</v>
          </cell>
          <cell r="BW58">
            <v>2198252.0559091358</v>
          </cell>
          <cell r="BX58">
            <v>1223828.113880221</v>
          </cell>
          <cell r="BY58">
            <v>140252.38924246901</v>
          </cell>
          <cell r="BZ58">
            <v>16042.113880220764</v>
          </cell>
          <cell r="CA58">
            <v>3668.8892424690143</v>
          </cell>
          <cell r="CB58">
            <v>1858.1950961323025</v>
          </cell>
          <cell r="CC58">
            <v>53.592954952088093</v>
          </cell>
          <cell r="CD58">
            <v>26.838203538759778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 t="str">
            <v>Woodsdale CT 3</v>
          </cell>
          <cell r="CL58" t="str">
            <v>Cap Ads exc Env Cap Adds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 t="str">
            <v>Woodsdale CT 3</v>
          </cell>
          <cell r="DH58" t="str">
            <v>Env Cap Adds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</row>
        <row r="59">
          <cell r="A59" t="str">
            <v>Woodsdale CT 4</v>
          </cell>
          <cell r="B59" t="str">
            <v>Property Taxes</v>
          </cell>
          <cell r="C59">
            <v>177693.36694575351</v>
          </cell>
          <cell r="D59">
            <v>181192.76933639968</v>
          </cell>
          <cell r="E59">
            <v>185015.93676939872</v>
          </cell>
          <cell r="F59">
            <v>189067.78578464876</v>
          </cell>
          <cell r="G59">
            <v>193340.71774338043</v>
          </cell>
          <cell r="H59">
            <v>197942.22682567328</v>
          </cell>
          <cell r="I59">
            <v>202902.6789294125</v>
          </cell>
          <cell r="J59">
            <v>207935.23062768305</v>
          </cell>
          <cell r="K59">
            <v>213198.5010284537</v>
          </cell>
          <cell r="L59">
            <v>218464.50400385677</v>
          </cell>
          <cell r="M59">
            <v>224035.3488559543</v>
          </cell>
          <cell r="N59">
            <v>229457.00429826952</v>
          </cell>
          <cell r="O59">
            <v>235239.32080658516</v>
          </cell>
          <cell r="P59">
            <v>241214.39955507193</v>
          </cell>
          <cell r="Q59">
            <v>247244.7595439486</v>
          </cell>
          <cell r="R59">
            <v>253450.60300850176</v>
          </cell>
          <cell r="S59">
            <v>259786.86808371477</v>
          </cell>
          <cell r="T59">
            <v>266229.58241219044</v>
          </cell>
          <cell r="U59">
            <v>272911.94493073697</v>
          </cell>
          <cell r="V59">
            <v>279762.03474849841</v>
          </cell>
          <cell r="W59" t="str">
            <v>Woodsdale CT 4</v>
          </cell>
          <cell r="X59" t="str">
            <v>Fixed O&amp;M inc Env</v>
          </cell>
          <cell r="Y59">
            <v>187889.71355180597</v>
          </cell>
          <cell r="Z59">
            <v>191589.91758351718</v>
          </cell>
          <cell r="AA59">
            <v>195632.46484453048</v>
          </cell>
          <cell r="AB59">
            <v>199916.8158246259</v>
          </cell>
          <cell r="AC59">
            <v>204434.93586226096</v>
          </cell>
          <cell r="AD59">
            <v>209300.4873357832</v>
          </cell>
          <cell r="AE59">
            <v>214545.57858977211</v>
          </cell>
          <cell r="AF59">
            <v>219866.90663524368</v>
          </cell>
          <cell r="AG59">
            <v>225432.19241345953</v>
          </cell>
          <cell r="AH59">
            <v>231000.36756607229</v>
          </cell>
          <cell r="AI59">
            <v>236890.87693900627</v>
          </cell>
          <cell r="AJ59">
            <v>242623.6361609314</v>
          </cell>
          <cell r="AK59">
            <v>248737.75179218609</v>
          </cell>
          <cell r="AL59">
            <v>255055.69068770707</v>
          </cell>
          <cell r="AM59">
            <v>261432.08295489964</v>
          </cell>
          <cell r="AN59">
            <v>267994.02823706763</v>
          </cell>
          <cell r="AO59">
            <v>274693.87894299487</v>
          </cell>
          <cell r="AP59">
            <v>281506.28714078065</v>
          </cell>
          <cell r="AQ59">
            <v>288572.09494801483</v>
          </cell>
          <cell r="AR59">
            <v>295815.25453120994</v>
          </cell>
          <cell r="AS59" t="str">
            <v>Woodsdale CT 4</v>
          </cell>
          <cell r="AT59" t="str">
            <v>A&amp;G</v>
          </cell>
          <cell r="AU59">
            <v>33879.975771238576</v>
          </cell>
          <cell r="AV59">
            <v>34547.190705857385</v>
          </cell>
          <cell r="AW59">
            <v>35276.136429751168</v>
          </cell>
          <cell r="AX59">
            <v>36048.683817562756</v>
          </cell>
          <cell r="AY59">
            <v>36863.384071839406</v>
          </cell>
          <cell r="AZ59">
            <v>37740.732612749263</v>
          </cell>
          <cell r="BA59">
            <v>38686.519166168444</v>
          </cell>
          <cell r="BB59">
            <v>39646.052617166439</v>
          </cell>
          <cell r="BC59">
            <v>40649.576140416604</v>
          </cell>
          <cell r="BD59">
            <v>41653.620671084944</v>
          </cell>
          <cell r="BE59">
            <v>42715.787998197455</v>
          </cell>
          <cell r="BF59">
            <v>43749.510067754047</v>
          </cell>
          <cell r="BG59">
            <v>44851.997721461303</v>
          </cell>
          <cell r="BH59">
            <v>45991.238463586327</v>
          </cell>
          <cell r="BI59">
            <v>47141.01942517596</v>
          </cell>
          <cell r="BJ59">
            <v>48324.259012747883</v>
          </cell>
          <cell r="BK59">
            <v>49532.365488066673</v>
          </cell>
          <cell r="BL59">
            <v>50760.768152170647</v>
          </cell>
          <cell r="BM59">
            <v>52034.863432790225</v>
          </cell>
          <cell r="BN59">
            <v>53340.93850495325</v>
          </cell>
          <cell r="BO59" t="str">
            <v>Woodsdale CT 4</v>
          </cell>
          <cell r="BP59" t="str">
            <v>Depreciation</v>
          </cell>
          <cell r="BQ59">
            <v>2206430.4908343377</v>
          </cell>
          <cell r="BR59">
            <v>2203037.7762995963</v>
          </cell>
          <cell r="BS59">
            <v>2205436.7831960325</v>
          </cell>
          <cell r="BT59">
            <v>2200526.1510613356</v>
          </cell>
          <cell r="BU59">
            <v>2201287.7438046811</v>
          </cell>
          <cell r="BV59">
            <v>2196805.0541691966</v>
          </cell>
          <cell r="BW59">
            <v>2198252.0559091358</v>
          </cell>
          <cell r="BX59">
            <v>1223828.113880221</v>
          </cell>
          <cell r="BY59">
            <v>140252.38924246901</v>
          </cell>
          <cell r="BZ59">
            <v>16042.113880220764</v>
          </cell>
          <cell r="CA59">
            <v>3668.8892424690143</v>
          </cell>
          <cell r="CB59">
            <v>1858.1950961323025</v>
          </cell>
          <cell r="CC59">
            <v>53.592954952088093</v>
          </cell>
          <cell r="CD59">
            <v>26.838203538759778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 t="str">
            <v>Woodsdale CT 4</v>
          </cell>
          <cell r="CL59" t="str">
            <v>Cap Ads exc Env Cap Adds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 t="str">
            <v>Woodsdale CT 4</v>
          </cell>
          <cell r="DH59" t="str">
            <v>Env Cap Adds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</row>
        <row r="60">
          <cell r="A60" t="str">
            <v>Woodsdale CT 5</v>
          </cell>
          <cell r="B60" t="str">
            <v>Property Taxes</v>
          </cell>
          <cell r="C60">
            <v>177693.36694575351</v>
          </cell>
          <cell r="D60">
            <v>181192.76933639968</v>
          </cell>
          <cell r="E60">
            <v>185015.93676939872</v>
          </cell>
          <cell r="F60">
            <v>189067.78578464876</v>
          </cell>
          <cell r="G60">
            <v>193340.71774338043</v>
          </cell>
          <cell r="H60">
            <v>197942.22682567328</v>
          </cell>
          <cell r="I60">
            <v>202902.6789294125</v>
          </cell>
          <cell r="J60">
            <v>207935.23062768305</v>
          </cell>
          <cell r="K60">
            <v>213198.5010284537</v>
          </cell>
          <cell r="L60">
            <v>218464.50400385677</v>
          </cell>
          <cell r="M60">
            <v>224035.3488559543</v>
          </cell>
          <cell r="N60">
            <v>229457.00429826952</v>
          </cell>
          <cell r="O60">
            <v>235239.32080658516</v>
          </cell>
          <cell r="P60">
            <v>241214.39955507193</v>
          </cell>
          <cell r="Q60">
            <v>247244.7595439486</v>
          </cell>
          <cell r="R60">
            <v>253450.60300850176</v>
          </cell>
          <cell r="S60">
            <v>259786.86808371477</v>
          </cell>
          <cell r="T60">
            <v>266229.58241219044</v>
          </cell>
          <cell r="U60">
            <v>272911.94493073697</v>
          </cell>
          <cell r="V60">
            <v>279762.03474849841</v>
          </cell>
          <cell r="W60" t="str">
            <v>Woodsdale CT 5</v>
          </cell>
          <cell r="X60" t="str">
            <v>Fixed O&amp;M inc Env</v>
          </cell>
          <cell r="Y60">
            <v>187889.71355180597</v>
          </cell>
          <cell r="Z60">
            <v>191589.91758351718</v>
          </cell>
          <cell r="AA60">
            <v>195632.46484453048</v>
          </cell>
          <cell r="AB60">
            <v>199916.8158246259</v>
          </cell>
          <cell r="AC60">
            <v>204434.93586226096</v>
          </cell>
          <cell r="AD60">
            <v>209300.4873357832</v>
          </cell>
          <cell r="AE60">
            <v>214545.57858977211</v>
          </cell>
          <cell r="AF60">
            <v>219866.90663524368</v>
          </cell>
          <cell r="AG60">
            <v>225432.19241345953</v>
          </cell>
          <cell r="AH60">
            <v>231000.36756607229</v>
          </cell>
          <cell r="AI60">
            <v>236890.87693900627</v>
          </cell>
          <cell r="AJ60">
            <v>242623.6361609314</v>
          </cell>
          <cell r="AK60">
            <v>248737.75179218609</v>
          </cell>
          <cell r="AL60">
            <v>255055.69068770707</v>
          </cell>
          <cell r="AM60">
            <v>261432.08295489964</v>
          </cell>
          <cell r="AN60">
            <v>267994.02823706763</v>
          </cell>
          <cell r="AO60">
            <v>274693.87894299487</v>
          </cell>
          <cell r="AP60">
            <v>281506.28714078065</v>
          </cell>
          <cell r="AQ60">
            <v>288572.09494801483</v>
          </cell>
          <cell r="AR60">
            <v>295815.25453120994</v>
          </cell>
          <cell r="AS60" t="str">
            <v>Woodsdale CT 5</v>
          </cell>
          <cell r="AT60" t="str">
            <v>A&amp;G</v>
          </cell>
          <cell r="AU60">
            <v>33879.975771238576</v>
          </cell>
          <cell r="AV60">
            <v>34547.190705857385</v>
          </cell>
          <cell r="AW60">
            <v>35276.136429751168</v>
          </cell>
          <cell r="AX60">
            <v>36048.683817562756</v>
          </cell>
          <cell r="AY60">
            <v>36863.384071839406</v>
          </cell>
          <cell r="AZ60">
            <v>37740.732612749263</v>
          </cell>
          <cell r="BA60">
            <v>38686.519166168444</v>
          </cell>
          <cell r="BB60">
            <v>39646.052617166439</v>
          </cell>
          <cell r="BC60">
            <v>40649.576140416604</v>
          </cell>
          <cell r="BD60">
            <v>41653.620671084944</v>
          </cell>
          <cell r="BE60">
            <v>42715.787998197455</v>
          </cell>
          <cell r="BF60">
            <v>43749.510067754047</v>
          </cell>
          <cell r="BG60">
            <v>44851.997721461303</v>
          </cell>
          <cell r="BH60">
            <v>45991.238463586327</v>
          </cell>
          <cell r="BI60">
            <v>47141.01942517596</v>
          </cell>
          <cell r="BJ60">
            <v>48324.259012747883</v>
          </cell>
          <cell r="BK60">
            <v>49532.365488066673</v>
          </cell>
          <cell r="BL60">
            <v>50760.768152170647</v>
          </cell>
          <cell r="BM60">
            <v>52034.863432790225</v>
          </cell>
          <cell r="BN60">
            <v>53340.93850495325</v>
          </cell>
          <cell r="BO60" t="str">
            <v>Woodsdale CT 5</v>
          </cell>
          <cell r="BP60" t="str">
            <v>Depreciation</v>
          </cell>
          <cell r="BQ60">
            <v>2206430.4908343377</v>
          </cell>
          <cell r="BR60">
            <v>2203037.7762995963</v>
          </cell>
          <cell r="BS60">
            <v>2205436.7831960325</v>
          </cell>
          <cell r="BT60">
            <v>2200526.1510613356</v>
          </cell>
          <cell r="BU60">
            <v>2201287.7438046811</v>
          </cell>
          <cell r="BV60">
            <v>2196805.0541691966</v>
          </cell>
          <cell r="BW60">
            <v>2198252.0559091358</v>
          </cell>
          <cell r="BX60">
            <v>1223828.113880221</v>
          </cell>
          <cell r="BY60">
            <v>140252.38924246901</v>
          </cell>
          <cell r="BZ60">
            <v>16042.113880220764</v>
          </cell>
          <cell r="CA60">
            <v>3668.8892424690143</v>
          </cell>
          <cell r="CB60">
            <v>1858.1950961323025</v>
          </cell>
          <cell r="CC60">
            <v>53.592954952088093</v>
          </cell>
          <cell r="CD60">
            <v>26.838203538759778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 t="str">
            <v>Woodsdale CT 5</v>
          </cell>
          <cell r="CL60" t="str">
            <v>Cap Ads exc Env Cap Adds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 t="str">
            <v>Woodsdale CT 5</v>
          </cell>
          <cell r="DH60" t="str">
            <v>Env Cap Adds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</row>
        <row r="61">
          <cell r="A61" t="str">
            <v>Woodsdale CT 6</v>
          </cell>
          <cell r="B61" t="str">
            <v>Property Taxes</v>
          </cell>
          <cell r="C61">
            <v>177693.36694575351</v>
          </cell>
          <cell r="D61">
            <v>181192.76933639968</v>
          </cell>
          <cell r="E61">
            <v>185015.93676939872</v>
          </cell>
          <cell r="F61">
            <v>189067.78578464876</v>
          </cell>
          <cell r="G61">
            <v>193340.71774338043</v>
          </cell>
          <cell r="H61">
            <v>197942.22682567328</v>
          </cell>
          <cell r="I61">
            <v>202902.6789294125</v>
          </cell>
          <cell r="J61">
            <v>207935.23062768305</v>
          </cell>
          <cell r="K61">
            <v>213198.5010284537</v>
          </cell>
          <cell r="L61">
            <v>218464.50400385677</v>
          </cell>
          <cell r="M61">
            <v>224035.3488559543</v>
          </cell>
          <cell r="N61">
            <v>229457.00429826952</v>
          </cell>
          <cell r="O61">
            <v>235239.32080658516</v>
          </cell>
          <cell r="P61">
            <v>241214.39955507193</v>
          </cell>
          <cell r="Q61">
            <v>247244.7595439486</v>
          </cell>
          <cell r="R61">
            <v>253450.60300850176</v>
          </cell>
          <cell r="S61">
            <v>259786.86808371477</v>
          </cell>
          <cell r="T61">
            <v>266229.58241219044</v>
          </cell>
          <cell r="U61">
            <v>272911.94493073697</v>
          </cell>
          <cell r="V61">
            <v>279762.03474849841</v>
          </cell>
          <cell r="W61" t="str">
            <v>Woodsdale CT 6</v>
          </cell>
          <cell r="X61" t="str">
            <v>Fixed O&amp;M inc Env</v>
          </cell>
          <cell r="Y61">
            <v>187889.71355180597</v>
          </cell>
          <cell r="Z61">
            <v>191589.91758351718</v>
          </cell>
          <cell r="AA61">
            <v>195632.46484453048</v>
          </cell>
          <cell r="AB61">
            <v>199916.8158246259</v>
          </cell>
          <cell r="AC61">
            <v>204434.93586226096</v>
          </cell>
          <cell r="AD61">
            <v>209300.4873357832</v>
          </cell>
          <cell r="AE61">
            <v>214545.57858977211</v>
          </cell>
          <cell r="AF61">
            <v>219866.90663524368</v>
          </cell>
          <cell r="AG61">
            <v>225432.19241345953</v>
          </cell>
          <cell r="AH61">
            <v>231000.36756607229</v>
          </cell>
          <cell r="AI61">
            <v>236890.87693900627</v>
          </cell>
          <cell r="AJ61">
            <v>242623.6361609314</v>
          </cell>
          <cell r="AK61">
            <v>248737.75179218609</v>
          </cell>
          <cell r="AL61">
            <v>255055.69068770707</v>
          </cell>
          <cell r="AM61">
            <v>261432.08295489964</v>
          </cell>
          <cell r="AN61">
            <v>267994.02823706763</v>
          </cell>
          <cell r="AO61">
            <v>274693.87894299487</v>
          </cell>
          <cell r="AP61">
            <v>281506.28714078065</v>
          </cell>
          <cell r="AQ61">
            <v>288572.09494801483</v>
          </cell>
          <cell r="AR61">
            <v>295815.25453120994</v>
          </cell>
          <cell r="AS61" t="str">
            <v>Woodsdale CT 6</v>
          </cell>
          <cell r="AT61" t="str">
            <v>A&amp;G</v>
          </cell>
          <cell r="AU61">
            <v>33879.975771238576</v>
          </cell>
          <cell r="AV61">
            <v>34547.190705857385</v>
          </cell>
          <cell r="AW61">
            <v>35276.136429751168</v>
          </cell>
          <cell r="AX61">
            <v>36048.683817562756</v>
          </cell>
          <cell r="AY61">
            <v>36863.384071839406</v>
          </cell>
          <cell r="AZ61">
            <v>37740.732612749263</v>
          </cell>
          <cell r="BA61">
            <v>38686.519166168444</v>
          </cell>
          <cell r="BB61">
            <v>39646.052617166439</v>
          </cell>
          <cell r="BC61">
            <v>40649.576140416604</v>
          </cell>
          <cell r="BD61">
            <v>41653.620671084944</v>
          </cell>
          <cell r="BE61">
            <v>42715.787998197455</v>
          </cell>
          <cell r="BF61">
            <v>43749.510067754047</v>
          </cell>
          <cell r="BG61">
            <v>44851.997721461303</v>
          </cell>
          <cell r="BH61">
            <v>45991.238463586327</v>
          </cell>
          <cell r="BI61">
            <v>47141.01942517596</v>
          </cell>
          <cell r="BJ61">
            <v>48324.259012747883</v>
          </cell>
          <cell r="BK61">
            <v>49532.365488066673</v>
          </cell>
          <cell r="BL61">
            <v>50760.768152170647</v>
          </cell>
          <cell r="BM61">
            <v>52034.863432790225</v>
          </cell>
          <cell r="BN61">
            <v>53340.93850495325</v>
          </cell>
          <cell r="BO61" t="str">
            <v>Woodsdale CT 6</v>
          </cell>
          <cell r="BP61" t="str">
            <v>Depreciation</v>
          </cell>
          <cell r="BQ61">
            <v>2206430.4908343377</v>
          </cell>
          <cell r="BR61">
            <v>2203037.7762995963</v>
          </cell>
          <cell r="BS61">
            <v>2205436.7831960325</v>
          </cell>
          <cell r="BT61">
            <v>2200526.1510613356</v>
          </cell>
          <cell r="BU61">
            <v>2201287.7438046811</v>
          </cell>
          <cell r="BV61">
            <v>2196805.0541691966</v>
          </cell>
          <cell r="BW61">
            <v>2198252.0559091358</v>
          </cell>
          <cell r="BX61">
            <v>1223828.113880221</v>
          </cell>
          <cell r="BY61">
            <v>140252.38924246901</v>
          </cell>
          <cell r="BZ61">
            <v>16042.113880220764</v>
          </cell>
          <cell r="CA61">
            <v>3668.8892424690143</v>
          </cell>
          <cell r="CB61">
            <v>1858.1950961323025</v>
          </cell>
          <cell r="CC61">
            <v>53.592954952088093</v>
          </cell>
          <cell r="CD61">
            <v>26.838203538759778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 t="str">
            <v>Woodsdale CT 6</v>
          </cell>
          <cell r="CL61" t="str">
            <v>Cap Ads exc Env Cap Adds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 t="str">
            <v>Woodsdale CT 6</v>
          </cell>
          <cell r="DH61" t="str">
            <v>Env Cap Adds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</row>
        <row r="62">
          <cell r="A62" t="str">
            <v>Markland 1 -3</v>
          </cell>
          <cell r="B62" t="str">
            <v>Property Taxes</v>
          </cell>
          <cell r="C62">
            <v>278842.16829880606</v>
          </cell>
          <cell r="D62">
            <v>284333.54350954026</v>
          </cell>
          <cell r="E62">
            <v>290332.98127759318</v>
          </cell>
          <cell r="F62">
            <v>296691.27356757276</v>
          </cell>
          <cell r="G62">
            <v>303396.4963501977</v>
          </cell>
          <cell r="H62">
            <v>310617.33296333306</v>
          </cell>
          <cell r="I62">
            <v>318401.43455431296</v>
          </cell>
          <cell r="J62">
            <v>326298.67715679004</v>
          </cell>
          <cell r="K62">
            <v>334557.97099605785</v>
          </cell>
          <cell r="L62">
            <v>342821.55287966091</v>
          </cell>
          <cell r="M62">
            <v>351563.50247809099</v>
          </cell>
          <cell r="N62">
            <v>360071.33923806256</v>
          </cell>
          <cell r="O62">
            <v>369145.13698686054</v>
          </cell>
          <cell r="P62">
            <v>378521.42346632597</v>
          </cell>
          <cell r="Q62">
            <v>387984.45905298396</v>
          </cell>
          <cell r="R62">
            <v>397722.8689752139</v>
          </cell>
          <cell r="S62">
            <v>407665.94069959503</v>
          </cell>
          <cell r="T62">
            <v>417776.05602894432</v>
          </cell>
          <cell r="U62">
            <v>428262.23503527162</v>
          </cell>
          <cell r="V62">
            <v>439011.61713465687</v>
          </cell>
          <cell r="W62" t="str">
            <v>Markland 1 -3</v>
          </cell>
          <cell r="X62" t="str">
            <v>Fixed O&amp;M inc Env</v>
          </cell>
          <cell r="Y62">
            <v>187889.71355180597</v>
          </cell>
          <cell r="Z62">
            <v>191589.91758351718</v>
          </cell>
          <cell r="AA62">
            <v>195632.46484453048</v>
          </cell>
          <cell r="AB62">
            <v>199916.8158246259</v>
          </cell>
          <cell r="AC62">
            <v>204434.93586226096</v>
          </cell>
          <cell r="AD62">
            <v>209300.4873357832</v>
          </cell>
          <cell r="AE62">
            <v>214545.57858977211</v>
          </cell>
          <cell r="AF62">
            <v>219866.90663524368</v>
          </cell>
          <cell r="AG62">
            <v>225432.19241345953</v>
          </cell>
          <cell r="AH62">
            <v>231000.36756607229</v>
          </cell>
          <cell r="AI62">
            <v>236890.87693900627</v>
          </cell>
          <cell r="AJ62">
            <v>242623.6361609314</v>
          </cell>
          <cell r="AK62">
            <v>248737.75179218609</v>
          </cell>
          <cell r="AL62">
            <v>255055.69068770707</v>
          </cell>
          <cell r="AM62">
            <v>261432.08295489964</v>
          </cell>
          <cell r="AN62">
            <v>267994.02823706763</v>
          </cell>
          <cell r="AO62">
            <v>274693.87894299487</v>
          </cell>
          <cell r="AP62">
            <v>281506.28714078065</v>
          </cell>
          <cell r="AQ62">
            <v>288572.09494801483</v>
          </cell>
          <cell r="AR62">
            <v>295815.25453120994</v>
          </cell>
          <cell r="AS62" t="str">
            <v>Markland 1 -3</v>
          </cell>
          <cell r="AT62" t="str">
            <v>A&amp;G</v>
          </cell>
          <cell r="AU62">
            <v>646649.69972023473</v>
          </cell>
          <cell r="AV62">
            <v>659384.48855341855</v>
          </cell>
          <cell r="AW62">
            <v>673297.50126189936</v>
          </cell>
          <cell r="AX62">
            <v>688042.71653953567</v>
          </cell>
          <cell r="AY62">
            <v>703592.48193332413</v>
          </cell>
          <cell r="AZ62">
            <v>720337.98300333868</v>
          </cell>
          <cell r="BA62">
            <v>738389.72527427447</v>
          </cell>
          <cell r="BB62">
            <v>756703.84752007946</v>
          </cell>
          <cell r="BC62">
            <v>775857.58568546502</v>
          </cell>
          <cell r="BD62">
            <v>795021.26805189706</v>
          </cell>
          <cell r="BE62">
            <v>815294.31038721732</v>
          </cell>
          <cell r="BF62">
            <v>835024.43269859208</v>
          </cell>
          <cell r="BG62">
            <v>856067.04840259394</v>
          </cell>
          <cell r="BH62">
            <v>877811.15143201791</v>
          </cell>
          <cell r="BI62">
            <v>899756.43021781801</v>
          </cell>
          <cell r="BJ62">
            <v>922340.31661628536</v>
          </cell>
          <cell r="BK62">
            <v>945398.82453169418</v>
          </cell>
          <cell r="BL62">
            <v>968844.71538007876</v>
          </cell>
          <cell r="BM62">
            <v>993162.71773612057</v>
          </cell>
          <cell r="BN62">
            <v>1018091.101951297</v>
          </cell>
          <cell r="BO62" t="str">
            <v>Markland 1 -3</v>
          </cell>
          <cell r="BP62" t="str">
            <v>Depreciation</v>
          </cell>
          <cell r="BQ62">
            <v>433896.09384960245</v>
          </cell>
          <cell r="BR62">
            <v>423618.09384960245</v>
          </cell>
          <cell r="BS62">
            <v>414996.09384960245</v>
          </cell>
          <cell r="BT62">
            <v>407238.09384960245</v>
          </cell>
          <cell r="BU62">
            <v>403550.09384960245</v>
          </cell>
          <cell r="BV62">
            <v>401680.09384960245</v>
          </cell>
          <cell r="BW62">
            <v>399591.09384960245</v>
          </cell>
          <cell r="BX62">
            <v>397181.09384960245</v>
          </cell>
          <cell r="BY62">
            <v>394247.09384960245</v>
          </cell>
          <cell r="BZ62">
            <v>381124.6</v>
          </cell>
          <cell r="CA62">
            <v>381124.6</v>
          </cell>
          <cell r="CB62">
            <v>381124.6</v>
          </cell>
          <cell r="CC62">
            <v>381124.6</v>
          </cell>
          <cell r="CD62">
            <v>381124.6</v>
          </cell>
          <cell r="CE62">
            <v>1.862645149230957E-9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 t="str">
            <v>Markland 1 -3</v>
          </cell>
          <cell r="CL62" t="str">
            <v>Cap Ads exc Env Cap Adds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 t="str">
            <v>Markland 1 -3</v>
          </cell>
          <cell r="DH62" t="str">
            <v>Env Cap Adds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</row>
      </sheetData>
      <sheetData sheetId="36">
        <row r="4">
          <cell r="A4" t="str">
            <v>Cayuga 1</v>
          </cell>
          <cell r="B4">
            <v>503.33333333333331</v>
          </cell>
          <cell r="C4">
            <v>121485667.16352731</v>
          </cell>
          <cell r="D4">
            <v>95589979.95080094</v>
          </cell>
          <cell r="E4">
            <v>34250273.847153768</v>
          </cell>
          <cell r="F4">
            <v>251325920.96148205</v>
          </cell>
          <cell r="G4">
            <v>499.32302177777893</v>
          </cell>
          <cell r="H4">
            <v>121485667.16352727</v>
          </cell>
          <cell r="I4">
            <v>95589979.950800911</v>
          </cell>
          <cell r="J4">
            <v>34250273.847153768</v>
          </cell>
          <cell r="K4">
            <v>251325920.96148193</v>
          </cell>
          <cell r="L4">
            <v>251325920.96148193</v>
          </cell>
          <cell r="M4">
            <v>133755377.64196649</v>
          </cell>
          <cell r="N4">
            <v>409954835.96777117</v>
          </cell>
          <cell r="O4">
            <v>63098141.926821411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</row>
        <row r="5">
          <cell r="A5" t="str">
            <v>Cayuga 2</v>
          </cell>
          <cell r="B5">
            <v>498.33333333333331</v>
          </cell>
          <cell r="C5">
            <v>121766146.29301152</v>
          </cell>
          <cell r="D5">
            <v>95910063.456250638</v>
          </cell>
          <cell r="E5">
            <v>34345854.785760134</v>
          </cell>
          <cell r="F5">
            <v>252022064.53502229</v>
          </cell>
          <cell r="G5">
            <v>505.72989538800459</v>
          </cell>
          <cell r="H5">
            <v>121766146.29301146</v>
          </cell>
          <cell r="I5">
            <v>95910063.456250608</v>
          </cell>
          <cell r="J5">
            <v>34345854.785760134</v>
          </cell>
          <cell r="K5">
            <v>252022064.5350222</v>
          </cell>
          <cell r="L5">
            <v>252022064.53502217</v>
          </cell>
          <cell r="M5">
            <v>135047238.42367083</v>
          </cell>
          <cell r="N5">
            <v>408546865.90368223</v>
          </cell>
          <cell r="O5">
            <v>62332152.426345259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</row>
        <row r="6">
          <cell r="A6" t="str">
            <v>Conesville 4</v>
          </cell>
          <cell r="B6">
            <v>312</v>
          </cell>
          <cell r="C6">
            <v>100161483.6813219</v>
          </cell>
          <cell r="D6">
            <v>71053905.734331995</v>
          </cell>
          <cell r="E6">
            <v>25129596.298835505</v>
          </cell>
          <cell r="F6">
            <v>196344985.7144894</v>
          </cell>
          <cell r="G6">
            <v>629.31085164900446</v>
          </cell>
          <cell r="H6">
            <v>100161483.68132202</v>
          </cell>
          <cell r="I6">
            <v>71053905.73433201</v>
          </cell>
          <cell r="J6">
            <v>25129596.298835505</v>
          </cell>
          <cell r="K6">
            <v>196344985.71448955</v>
          </cell>
          <cell r="L6">
            <v>196344985.71448958</v>
          </cell>
          <cell r="M6">
            <v>109905698.29350099</v>
          </cell>
          <cell r="N6">
            <v>299699000.76800811</v>
          </cell>
          <cell r="O6">
            <v>41676003.440341443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A7" t="str">
            <v>East Bend 2</v>
          </cell>
          <cell r="B7">
            <v>414</v>
          </cell>
          <cell r="C7">
            <v>155556528.88983506</v>
          </cell>
          <cell r="D7">
            <v>77069421.810643733</v>
          </cell>
          <cell r="E7">
            <v>27120929.006764516</v>
          </cell>
          <cell r="F7">
            <v>259746879.70724332</v>
          </cell>
          <cell r="G7">
            <v>627.40792199817224</v>
          </cell>
          <cell r="H7">
            <v>155556528.88983509</v>
          </cell>
          <cell r="I7">
            <v>77069421.810643733</v>
          </cell>
          <cell r="J7">
            <v>27120929.006764516</v>
          </cell>
          <cell r="K7">
            <v>259746879.70724332</v>
          </cell>
          <cell r="L7">
            <v>259746879.7072432</v>
          </cell>
          <cell r="M7">
            <v>150862179.59500796</v>
          </cell>
          <cell r="N7">
            <v>393497004.07255095</v>
          </cell>
          <cell r="O7">
            <v>53649846.824958593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 t="str">
            <v>Edwardsport 6</v>
          </cell>
          <cell r="B8">
            <v>40</v>
          </cell>
          <cell r="C8">
            <v>3982528.952495853</v>
          </cell>
          <cell r="D8">
            <v>590394.72558152024</v>
          </cell>
          <cell r="E8">
            <v>20099.197201573108</v>
          </cell>
          <cell r="F8">
            <v>4593022.8752789469</v>
          </cell>
          <cell r="G8">
            <v>114.82557188197367</v>
          </cell>
          <cell r="H8">
            <v>3903067.6813508729</v>
          </cell>
          <cell r="I8">
            <v>711127.64539108612</v>
          </cell>
          <cell r="J8">
            <v>152724.26713446071</v>
          </cell>
          <cell r="K8">
            <v>4766919.5938764196</v>
          </cell>
          <cell r="L8">
            <v>4766919.5938764187</v>
          </cell>
          <cell r="M8">
            <v>-122454.02545845498</v>
          </cell>
          <cell r="N8">
            <v>11644833.433281366</v>
          </cell>
          <cell r="O8">
            <v>2723644.4473856017</v>
          </cell>
          <cell r="P8">
            <v>0</v>
          </cell>
          <cell r="Q8">
            <v>0.01</v>
          </cell>
          <cell r="R8">
            <v>6.0000000000000053E-2</v>
          </cell>
          <cell r="S8">
            <v>6.9999999999999951E-2</v>
          </cell>
          <cell r="T8">
            <v>0.09</v>
          </cell>
          <cell r="U8">
            <v>0.11</v>
          </cell>
          <cell r="V8">
            <v>0.15</v>
          </cell>
          <cell r="W8">
            <v>0.15</v>
          </cell>
          <cell r="X8">
            <v>0.16</v>
          </cell>
          <cell r="Y8">
            <v>0.17</v>
          </cell>
          <cell r="Z8">
            <v>0.18</v>
          </cell>
          <cell r="AA8">
            <v>0.19</v>
          </cell>
          <cell r="AB8">
            <v>0.21</v>
          </cell>
          <cell r="AC8">
            <v>0.25</v>
          </cell>
          <cell r="AD8">
            <v>0.26</v>
          </cell>
          <cell r="AE8">
            <v>0.27</v>
          </cell>
          <cell r="AF8">
            <v>0.28000000000000003</v>
          </cell>
          <cell r="AG8">
            <v>0.28000000000000003</v>
          </cell>
          <cell r="AH8">
            <v>0.28000000000000003</v>
          </cell>
          <cell r="AI8">
            <v>0.38</v>
          </cell>
        </row>
        <row r="9">
          <cell r="A9" t="str">
            <v>Edwardsport 7</v>
          </cell>
          <cell r="B9">
            <v>45</v>
          </cell>
          <cell r="C9">
            <v>7721746.084728728</v>
          </cell>
          <cell r="D9">
            <v>3410374.4241093127</v>
          </cell>
          <cell r="E9">
            <v>1132913.5030683838</v>
          </cell>
          <cell r="F9">
            <v>12265034.011906425</v>
          </cell>
          <cell r="G9">
            <v>272.55631137569833</v>
          </cell>
          <cell r="H9">
            <v>7963731.2458526772</v>
          </cell>
          <cell r="I9">
            <v>3398025.5189184183</v>
          </cell>
          <cell r="J9">
            <v>1137714.6576808111</v>
          </cell>
          <cell r="K9">
            <v>12499471.422451908</v>
          </cell>
          <cell r="L9">
            <v>12499471.422451906</v>
          </cell>
          <cell r="M9">
            <v>2774345.6226184778</v>
          </cell>
          <cell r="N9">
            <v>28346383.42773845</v>
          </cell>
          <cell r="O9">
            <v>5498962.4059362048</v>
          </cell>
          <cell r="P9">
            <v>0</v>
          </cell>
          <cell r="Q9">
            <v>0</v>
          </cell>
          <cell r="R9">
            <v>0.01</v>
          </cell>
          <cell r="S9">
            <v>0.02</v>
          </cell>
          <cell r="T9">
            <v>0.02</v>
          </cell>
          <cell r="U9">
            <v>0.02</v>
          </cell>
          <cell r="V9">
            <v>0.04</v>
          </cell>
          <cell r="W9">
            <v>6.0000000000000053E-2</v>
          </cell>
          <cell r="X9">
            <v>6.9999999999999951E-2</v>
          </cell>
          <cell r="Y9">
            <v>6.9999999999999951E-2</v>
          </cell>
          <cell r="Z9">
            <v>6.9999999999999951E-2</v>
          </cell>
          <cell r="AA9">
            <v>6.9999999999999951E-2</v>
          </cell>
          <cell r="AB9">
            <v>0.08</v>
          </cell>
          <cell r="AC9">
            <v>0.09</v>
          </cell>
          <cell r="AD9">
            <v>0.11</v>
          </cell>
          <cell r="AE9">
            <v>0.11</v>
          </cell>
          <cell r="AF9">
            <v>0.12</v>
          </cell>
          <cell r="AG9">
            <v>0.12</v>
          </cell>
          <cell r="AH9">
            <v>0.12</v>
          </cell>
          <cell r="AI9">
            <v>0.12</v>
          </cell>
        </row>
        <row r="10">
          <cell r="A10" t="str">
            <v>Edwardsport 8</v>
          </cell>
          <cell r="B10">
            <v>75</v>
          </cell>
          <cell r="C10">
            <v>12841230.541802257</v>
          </cell>
          <cell r="D10">
            <v>5660787.7626575101</v>
          </cell>
          <cell r="E10">
            <v>1879717.4110494668</v>
          </cell>
          <cell r="F10">
            <v>20381735.715509232</v>
          </cell>
          <cell r="G10">
            <v>271.75647620678978</v>
          </cell>
          <cell r="H10">
            <v>13235547.341645226</v>
          </cell>
          <cell r="I10">
            <v>5640799.1691195471</v>
          </cell>
          <cell r="J10">
            <v>1888026.9966758222</v>
          </cell>
          <cell r="K10">
            <v>20764373.507440597</v>
          </cell>
          <cell r="L10">
            <v>20764373.507440601</v>
          </cell>
          <cell r="M10">
            <v>4618273.0460128356</v>
          </cell>
          <cell r="N10">
            <v>47112630.644348063</v>
          </cell>
          <cell r="O10">
            <v>9144113.1312369723</v>
          </cell>
          <cell r="P10">
            <v>0</v>
          </cell>
          <cell r="Q10">
            <v>0</v>
          </cell>
          <cell r="R10">
            <v>0.01</v>
          </cell>
          <cell r="S10">
            <v>0.03</v>
          </cell>
          <cell r="T10">
            <v>0.03</v>
          </cell>
          <cell r="U10">
            <v>0.03</v>
          </cell>
          <cell r="V10">
            <v>0.05</v>
          </cell>
          <cell r="W10">
            <v>6.0000000000000053E-2</v>
          </cell>
          <cell r="X10">
            <v>6.9999999999999951E-2</v>
          </cell>
          <cell r="Y10">
            <v>6.9999999999999951E-2</v>
          </cell>
          <cell r="Z10">
            <v>6.9999999999999951E-2</v>
          </cell>
          <cell r="AA10">
            <v>6.9999999999999951E-2</v>
          </cell>
          <cell r="AB10">
            <v>0.08</v>
          </cell>
          <cell r="AC10">
            <v>0.09</v>
          </cell>
          <cell r="AD10">
            <v>0.11</v>
          </cell>
          <cell r="AE10">
            <v>0.11</v>
          </cell>
          <cell r="AF10">
            <v>0.12</v>
          </cell>
          <cell r="AG10">
            <v>0.12</v>
          </cell>
          <cell r="AH10">
            <v>0.12</v>
          </cell>
          <cell r="AI10">
            <v>0.12</v>
          </cell>
        </row>
        <row r="11">
          <cell r="A11" t="str">
            <v>Gallagher 1</v>
          </cell>
          <cell r="B11">
            <v>140</v>
          </cell>
          <cell r="C11">
            <v>34717123.715221323</v>
          </cell>
          <cell r="D11">
            <v>18345133.106975757</v>
          </cell>
          <cell r="E11">
            <v>6784732.5646019652</v>
          </cell>
          <cell r="F11">
            <v>59846989.386799045</v>
          </cell>
          <cell r="G11">
            <v>427.47849561999317</v>
          </cell>
          <cell r="H11">
            <v>34717123.715221323</v>
          </cell>
          <cell r="I11">
            <v>18345133.106975757</v>
          </cell>
          <cell r="J11">
            <v>6784732.5646019652</v>
          </cell>
          <cell r="K11">
            <v>59846989.386799045</v>
          </cell>
          <cell r="L11">
            <v>59846989.386799037</v>
          </cell>
          <cell r="M11">
            <v>28036603.748037625</v>
          </cell>
          <cell r="N11">
            <v>106716205.7333395</v>
          </cell>
          <cell r="O11">
            <v>17638538.557603829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A12" t="str">
            <v>Gallagher 2</v>
          </cell>
          <cell r="B12">
            <v>140</v>
          </cell>
          <cell r="C12">
            <v>35180117.057117112</v>
          </cell>
          <cell r="D12">
            <v>18613166.48798931</v>
          </cell>
          <cell r="E12">
            <v>6880470.6931930743</v>
          </cell>
          <cell r="F12">
            <v>60673754.238299504</v>
          </cell>
          <cell r="G12">
            <v>433.38395884499647</v>
          </cell>
          <cell r="H12">
            <v>35180117.057117127</v>
          </cell>
          <cell r="I12">
            <v>18613166.48798931</v>
          </cell>
          <cell r="J12">
            <v>6880470.6931930743</v>
          </cell>
          <cell r="K12">
            <v>60673754.238299519</v>
          </cell>
          <cell r="L12">
            <v>60673754.238299511</v>
          </cell>
          <cell r="M12">
            <v>28742182.171464976</v>
          </cell>
          <cell r="N12">
            <v>107471027.40550464</v>
          </cell>
          <cell r="O12">
            <v>17690499.574364193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A13" t="str">
            <v>Gallagher 3</v>
          </cell>
          <cell r="B13">
            <v>140</v>
          </cell>
          <cell r="C13">
            <v>34971864.955084279</v>
          </cell>
          <cell r="D13">
            <v>18493181.420892149</v>
          </cell>
          <cell r="E13">
            <v>6837621.7034281464</v>
          </cell>
          <cell r="F13">
            <v>60302668.079404578</v>
          </cell>
          <cell r="G13">
            <v>430.73334342431843</v>
          </cell>
          <cell r="H13">
            <v>34971864.955084294</v>
          </cell>
          <cell r="I13">
            <v>18493181.420892157</v>
          </cell>
          <cell r="J13">
            <v>6837621.7034281464</v>
          </cell>
          <cell r="K13">
            <v>60302668.0794046</v>
          </cell>
          <cell r="L13">
            <v>60302668.079404593</v>
          </cell>
          <cell r="M13">
            <v>28424566.204258602</v>
          </cell>
          <cell r="N13">
            <v>107131937.02835691</v>
          </cell>
          <cell r="O13">
            <v>17667402.239763919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A14" t="str">
            <v>Gallagher 4</v>
          </cell>
          <cell r="B14">
            <v>140</v>
          </cell>
          <cell r="C14">
            <v>34530734.380496815</v>
          </cell>
          <cell r="D14">
            <v>18235903.582727771</v>
          </cell>
          <cell r="E14">
            <v>6745696.9120229594</v>
          </cell>
          <cell r="F14">
            <v>59512334.875247553</v>
          </cell>
          <cell r="G14">
            <v>425.08810625176824</v>
          </cell>
          <cell r="H14">
            <v>34530734.380496815</v>
          </cell>
          <cell r="I14">
            <v>18235903.582727768</v>
          </cell>
          <cell r="J14">
            <v>6745696.9120229594</v>
          </cell>
          <cell r="K14">
            <v>59512334.875247538</v>
          </cell>
          <cell r="L14">
            <v>59512334.875247546</v>
          </cell>
          <cell r="M14">
            <v>27754203.367921464</v>
          </cell>
          <cell r="N14">
            <v>106410876.17081307</v>
          </cell>
          <cell r="O14">
            <v>17617103.935907889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A15" t="str">
            <v>Gibson 1</v>
          </cell>
          <cell r="B15">
            <v>633.33333333333337</v>
          </cell>
          <cell r="C15">
            <v>191556101.29236814</v>
          </cell>
          <cell r="D15">
            <v>135045001.24075803</v>
          </cell>
          <cell r="E15">
            <v>48021437.701747872</v>
          </cell>
          <cell r="F15">
            <v>374622540.23487407</v>
          </cell>
          <cell r="G15">
            <v>591.50927405506434</v>
          </cell>
          <cell r="H15">
            <v>191556101.29236814</v>
          </cell>
          <cell r="I15">
            <v>135045001.24075806</v>
          </cell>
          <cell r="J15">
            <v>48021437.701747872</v>
          </cell>
          <cell r="K15">
            <v>374622540.23487413</v>
          </cell>
          <cell r="L15">
            <v>374622540.23487395</v>
          </cell>
          <cell r="M15">
            <v>221761577.21673757</v>
          </cell>
          <cell r="N15">
            <v>580090049.53943694</v>
          </cell>
          <cell r="O15">
            <v>82020586.256721407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>Gibson 2</v>
          </cell>
          <cell r="B16">
            <v>633.33333333333337</v>
          </cell>
          <cell r="C16">
            <v>192368289.04427275</v>
          </cell>
          <cell r="D16">
            <v>135439750.29091513</v>
          </cell>
          <cell r="E16">
            <v>48161435.031925112</v>
          </cell>
          <cell r="F16">
            <v>375969474.36711299</v>
          </cell>
          <cell r="G16">
            <v>593.63601215859944</v>
          </cell>
          <cell r="H16">
            <v>192368289.04427278</v>
          </cell>
          <cell r="I16">
            <v>135439750.29091516</v>
          </cell>
          <cell r="J16">
            <v>48161435.031925112</v>
          </cell>
          <cell r="K16">
            <v>375969474.36711299</v>
          </cell>
          <cell r="L16">
            <v>375969474.36711287</v>
          </cell>
          <cell r="M16">
            <v>223031210.13952398</v>
          </cell>
          <cell r="N16">
            <v>581443285.5626049</v>
          </cell>
          <cell r="O16">
            <v>82002357.390669823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Gibson 3</v>
          </cell>
          <cell r="B17">
            <v>633.33333333333337</v>
          </cell>
          <cell r="C17">
            <v>189394819.47785401</v>
          </cell>
          <cell r="D17">
            <v>133987358.83605614</v>
          </cell>
          <cell r="E17">
            <v>47646392.0547795</v>
          </cell>
          <cell r="F17">
            <v>371028570.36868966</v>
          </cell>
          <cell r="G17">
            <v>585.8345847926679</v>
          </cell>
          <cell r="H17">
            <v>189394819.47785398</v>
          </cell>
          <cell r="I17">
            <v>133987358.83605614</v>
          </cell>
          <cell r="J17">
            <v>47646392.0547795</v>
          </cell>
          <cell r="K17">
            <v>371028570.36868966</v>
          </cell>
          <cell r="L17">
            <v>371028570.36868966</v>
          </cell>
          <cell r="M17">
            <v>218390551.39077047</v>
          </cell>
          <cell r="N17">
            <v>576482263.74091232</v>
          </cell>
          <cell r="O17">
            <v>82052587.057423741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A18" t="str">
            <v>Gibson 4</v>
          </cell>
          <cell r="B18">
            <v>625.33333333333337</v>
          </cell>
          <cell r="C18">
            <v>283895853.85118818</v>
          </cell>
          <cell r="D18">
            <v>141190434.71440831</v>
          </cell>
          <cell r="E18">
            <v>50036851.166806526</v>
          </cell>
          <cell r="F18">
            <v>475123139.73240298</v>
          </cell>
          <cell r="G18">
            <v>759.7918012778299</v>
          </cell>
          <cell r="H18">
            <v>283895853.85118818</v>
          </cell>
          <cell r="I18">
            <v>141190434.71440831</v>
          </cell>
          <cell r="J18">
            <v>50036851.166806526</v>
          </cell>
          <cell r="K18">
            <v>475123139.73240298</v>
          </cell>
          <cell r="L18">
            <v>475123139.7324031</v>
          </cell>
          <cell r="M18">
            <v>305352264.74474615</v>
          </cell>
          <cell r="N18">
            <v>678472580.5521915</v>
          </cell>
          <cell r="O18">
            <v>81808459.401953235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A19" t="str">
            <v>Gibson 5</v>
          </cell>
          <cell r="B19">
            <v>311.14416666666665</v>
          </cell>
          <cell r="C19">
            <v>138585838.89436764</v>
          </cell>
          <cell r="D19">
            <v>68801172.628083259</v>
          </cell>
          <cell r="E19">
            <v>23678440.91553979</v>
          </cell>
          <cell r="F19">
            <v>231065452.4379907</v>
          </cell>
          <cell r="G19">
            <v>742.63147824183557</v>
          </cell>
          <cell r="H19">
            <v>138585838.89436758</v>
          </cell>
          <cell r="I19">
            <v>68801172.628083244</v>
          </cell>
          <cell r="J19">
            <v>23678440.91553979</v>
          </cell>
          <cell r="K19">
            <v>231065452.43799061</v>
          </cell>
          <cell r="L19">
            <v>231065452.4379907</v>
          </cell>
          <cell r="M19">
            <v>147083421.54558009</v>
          </cell>
          <cell r="N19">
            <v>332122682.62527776</v>
          </cell>
          <cell r="O19">
            <v>40644534.928934082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A20" t="str">
            <v>J.M. Stuart 1</v>
          </cell>
          <cell r="B20">
            <v>228.15</v>
          </cell>
          <cell r="C20">
            <v>77014964.852965072</v>
          </cell>
          <cell r="D20">
            <v>37739536.891595513</v>
          </cell>
          <cell r="E20">
            <v>13461581.453668047</v>
          </cell>
          <cell r="F20">
            <v>128216083.19822863</v>
          </cell>
          <cell r="G20">
            <v>561.98151741498407</v>
          </cell>
          <cell r="H20">
            <v>77014964.852965072</v>
          </cell>
          <cell r="I20">
            <v>37739536.891595505</v>
          </cell>
          <cell r="J20">
            <v>13461581.453668047</v>
          </cell>
          <cell r="K20">
            <v>128216083.19822861</v>
          </cell>
          <cell r="L20">
            <v>128216083.19822864</v>
          </cell>
          <cell r="M20">
            <v>75628700.41604346</v>
          </cell>
          <cell r="N20">
            <v>201549915.20724025</v>
          </cell>
          <cell r="O20">
            <v>28772494.807604536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A21" t="str">
            <v>J.M. Stuart 2</v>
          </cell>
          <cell r="B21">
            <v>228.15</v>
          </cell>
          <cell r="C21">
            <v>78425602.74775286</v>
          </cell>
          <cell r="D21">
            <v>38453067.801732108</v>
          </cell>
          <cell r="E21">
            <v>13712468.30854376</v>
          </cell>
          <cell r="F21">
            <v>130591138.85802872</v>
          </cell>
          <cell r="G21">
            <v>572.39157947853926</v>
          </cell>
          <cell r="H21">
            <v>78425602.747752875</v>
          </cell>
          <cell r="I21">
            <v>38453067.801732101</v>
          </cell>
          <cell r="J21">
            <v>13712468.30854376</v>
          </cell>
          <cell r="K21">
            <v>130591138.85802872</v>
          </cell>
          <cell r="L21">
            <v>130591138.85802869</v>
          </cell>
          <cell r="M21">
            <v>77797965.713971481</v>
          </cell>
          <cell r="N21">
            <v>203856665.50832984</v>
          </cell>
          <cell r="O21">
            <v>28840494.367675297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J.M. Stuart 3</v>
          </cell>
          <cell r="B22">
            <v>228.15</v>
          </cell>
          <cell r="C22">
            <v>77075077.266983852</v>
          </cell>
          <cell r="D22">
            <v>37769732.008749448</v>
          </cell>
          <cell r="E22">
            <v>13472202.503831115</v>
          </cell>
          <cell r="F22">
            <v>128317011.77956441</v>
          </cell>
          <cell r="G22">
            <v>562.42389559309402</v>
          </cell>
          <cell r="H22">
            <v>77075077.266983867</v>
          </cell>
          <cell r="I22">
            <v>37769732.008749433</v>
          </cell>
          <cell r="J22">
            <v>13472202.503831115</v>
          </cell>
          <cell r="K22">
            <v>128317011.77956441</v>
          </cell>
          <cell r="L22">
            <v>128317011.77956438</v>
          </cell>
          <cell r="M22">
            <v>75720526.5575663</v>
          </cell>
          <cell r="N22">
            <v>201647467.21967828</v>
          </cell>
          <cell r="O22">
            <v>28775543.343554448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A23" t="str">
            <v>J.M. Stuart 4</v>
          </cell>
          <cell r="B23">
            <v>228.15</v>
          </cell>
          <cell r="C23">
            <v>77221278.865705609</v>
          </cell>
          <cell r="D23">
            <v>37843240.284965992</v>
          </cell>
          <cell r="E23">
            <v>13498057.764086736</v>
          </cell>
          <cell r="F23">
            <v>128562576.91475834</v>
          </cell>
          <cell r="G23">
            <v>563.50022754660677</v>
          </cell>
          <cell r="H23">
            <v>77221278.865705609</v>
          </cell>
          <cell r="I23">
            <v>37843240.284965985</v>
          </cell>
          <cell r="J23">
            <v>13498057.764086736</v>
          </cell>
          <cell r="K23">
            <v>128562576.91475834</v>
          </cell>
          <cell r="L23">
            <v>128562576.91475838</v>
          </cell>
          <cell r="M23">
            <v>75944254.09657076</v>
          </cell>
          <cell r="N23">
            <v>201885076.53670147</v>
          </cell>
          <cell r="O23">
            <v>28782869.159606114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A24" t="str">
            <v>Killen 2</v>
          </cell>
          <cell r="B24">
            <v>198</v>
          </cell>
          <cell r="C24">
            <v>68455577.308092192</v>
          </cell>
          <cell r="D24">
            <v>34017611.115589805</v>
          </cell>
          <cell r="E24">
            <v>11916618.922924494</v>
          </cell>
          <cell r="F24">
            <v>114389807.34660649</v>
          </cell>
          <cell r="G24">
            <v>577.72629973033577</v>
          </cell>
          <cell r="H24">
            <v>68455577.308092192</v>
          </cell>
          <cell r="I24">
            <v>34017611.115589797</v>
          </cell>
          <cell r="J24">
            <v>11916618.922924494</v>
          </cell>
          <cell r="K24">
            <v>114389807.34660648</v>
          </cell>
          <cell r="L24">
            <v>114389807.34660651</v>
          </cell>
          <cell r="M24">
            <v>68721740.45926486</v>
          </cell>
          <cell r="N24">
            <v>178290568.24461362</v>
          </cell>
          <cell r="O24">
            <v>25022322.405576766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A25" t="str">
            <v>Miami Fort 5</v>
          </cell>
          <cell r="B25">
            <v>80</v>
          </cell>
          <cell r="C25">
            <v>12705109.531395443</v>
          </cell>
          <cell r="D25">
            <v>6839466.113617138</v>
          </cell>
          <cell r="E25">
            <v>2542078.1298251231</v>
          </cell>
          <cell r="F25">
            <v>22086653.774837703</v>
          </cell>
          <cell r="G25">
            <v>276.08317218547126</v>
          </cell>
          <cell r="H25">
            <v>13088779.802498201</v>
          </cell>
          <cell r="I25">
            <v>6704915.6526961746</v>
          </cell>
          <cell r="J25">
            <v>2468341.5977845625</v>
          </cell>
          <cell r="K25">
            <v>22262037.05297894</v>
          </cell>
          <cell r="L25">
            <v>22262037.052978944</v>
          </cell>
          <cell r="M25">
            <v>4212280.3470869865</v>
          </cell>
          <cell r="N25">
            <v>50154615.80196476</v>
          </cell>
          <cell r="O25">
            <v>9335549.1925050803</v>
          </cell>
          <cell r="P25">
            <v>0</v>
          </cell>
          <cell r="Q25">
            <v>0</v>
          </cell>
          <cell r="R25">
            <v>0.01</v>
          </cell>
          <cell r="S25">
            <v>0.02</v>
          </cell>
          <cell r="T25">
            <v>0.03</v>
          </cell>
          <cell r="U25">
            <v>0.03</v>
          </cell>
          <cell r="V25">
            <v>0.05</v>
          </cell>
          <cell r="W25">
            <v>6.0000000000000053E-2</v>
          </cell>
          <cell r="X25">
            <v>6.0000000000000053E-2</v>
          </cell>
          <cell r="Y25">
            <v>6.0000000000000053E-2</v>
          </cell>
          <cell r="Z25">
            <v>6.0000000000000053E-2</v>
          </cell>
          <cell r="AA25">
            <v>6.0000000000000053E-2</v>
          </cell>
          <cell r="AB25">
            <v>6.9999999999999951E-2</v>
          </cell>
          <cell r="AC25">
            <v>0.08</v>
          </cell>
          <cell r="AD25">
            <v>0.08</v>
          </cell>
          <cell r="AE25">
            <v>0.08</v>
          </cell>
          <cell r="AF25">
            <v>0.09</v>
          </cell>
          <cell r="AG25">
            <v>0.09</v>
          </cell>
          <cell r="AH25">
            <v>0.09</v>
          </cell>
          <cell r="AI25">
            <v>0.1</v>
          </cell>
        </row>
        <row r="26">
          <cell r="A26" t="str">
            <v>Miami Fort 6</v>
          </cell>
          <cell r="B26">
            <v>163</v>
          </cell>
          <cell r="C26">
            <v>41980697.569466218</v>
          </cell>
          <cell r="D26">
            <v>21860575.696553968</v>
          </cell>
          <cell r="E26">
            <v>8025862.1634762408</v>
          </cell>
          <cell r="F26">
            <v>71867135.429496422</v>
          </cell>
          <cell r="G26">
            <v>440.90267134660382</v>
          </cell>
          <cell r="H26">
            <v>42002574.295651354</v>
          </cell>
          <cell r="I26">
            <v>21849506.748571631</v>
          </cell>
          <cell r="J26">
            <v>8020488.6316443337</v>
          </cell>
          <cell r="K26">
            <v>71872569.675867319</v>
          </cell>
          <cell r="L26">
            <v>71872569.675867349</v>
          </cell>
          <cell r="M26">
            <v>33993655.366473876</v>
          </cell>
          <cell r="N26">
            <v>125759418.32665321</v>
          </cell>
          <cell r="O26">
            <v>20878590.545576658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0.01</v>
          </cell>
          <cell r="X26">
            <v>0.01</v>
          </cell>
          <cell r="Y26">
            <v>0.01</v>
          </cell>
          <cell r="Z26">
            <v>0.01</v>
          </cell>
          <cell r="AA26">
            <v>0.01</v>
          </cell>
          <cell r="AB26">
            <v>0.01</v>
          </cell>
          <cell r="AC26">
            <v>0.01</v>
          </cell>
          <cell r="AD26">
            <v>0.01</v>
          </cell>
          <cell r="AE26">
            <v>0.01</v>
          </cell>
          <cell r="AF26">
            <v>0.01</v>
          </cell>
          <cell r="AG26">
            <v>0.01</v>
          </cell>
          <cell r="AH26">
            <v>0.01</v>
          </cell>
          <cell r="AI26">
            <v>0.01</v>
          </cell>
        </row>
        <row r="27">
          <cell r="A27" t="str">
            <v>Miami Fort 7</v>
          </cell>
          <cell r="B27">
            <v>320</v>
          </cell>
          <cell r="C27">
            <v>94814365.913144663</v>
          </cell>
          <cell r="D27">
            <v>47542082.759985261</v>
          </cell>
          <cell r="E27">
            <v>17207255.0316061</v>
          </cell>
          <cell r="F27">
            <v>159563703.70473602</v>
          </cell>
          <cell r="G27">
            <v>498.63657407730005</v>
          </cell>
          <cell r="H27">
            <v>94814365.913144663</v>
          </cell>
          <cell r="I27">
            <v>47542082.759985261</v>
          </cell>
          <cell r="J27">
            <v>17207255.0316061</v>
          </cell>
          <cell r="K27">
            <v>159563703.70473602</v>
          </cell>
          <cell r="L27">
            <v>159563703.70473599</v>
          </cell>
          <cell r="M27">
            <v>88141946.916766867</v>
          </cell>
          <cell r="N27">
            <v>260993470.05164936</v>
          </cell>
          <cell r="O27">
            <v>39150327.397188351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A28" t="str">
            <v>Miami Fort 8</v>
          </cell>
          <cell r="B28">
            <v>320</v>
          </cell>
          <cell r="C28">
            <v>97620771.590809152</v>
          </cell>
          <cell r="D28">
            <v>48943637.151914977</v>
          </cell>
          <cell r="E28">
            <v>17702758.370860472</v>
          </cell>
          <cell r="F28">
            <v>164267167.11358458</v>
          </cell>
          <cell r="G28">
            <v>513.33489722995182</v>
          </cell>
          <cell r="H28">
            <v>97620771.590809122</v>
          </cell>
          <cell r="I28">
            <v>48943637.151914962</v>
          </cell>
          <cell r="J28">
            <v>17702758.370860472</v>
          </cell>
          <cell r="K28">
            <v>164267167.11358458</v>
          </cell>
          <cell r="L28">
            <v>164267167.11358455</v>
          </cell>
          <cell r="M28">
            <v>92372965.697410852</v>
          </cell>
          <cell r="N28">
            <v>265424410.93980733</v>
          </cell>
          <cell r="O28">
            <v>39338868.425256558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A29" t="str">
            <v>Noblesville 1</v>
          </cell>
          <cell r="B29">
            <v>45</v>
          </cell>
          <cell r="C29">
            <v>6347264.2752704425</v>
          </cell>
          <cell r="D29">
            <v>3326139.3564544469</v>
          </cell>
          <cell r="E29">
            <v>1101073.3276782851</v>
          </cell>
          <cell r="F29">
            <v>10774476.959403176</v>
          </cell>
          <cell r="G29">
            <v>239.43282132007059</v>
          </cell>
          <cell r="H29">
            <v>7108465.3092532279</v>
          </cell>
          <cell r="I29">
            <v>3012077.599419063</v>
          </cell>
          <cell r="J29">
            <v>997281.23433069373</v>
          </cell>
          <cell r="K29">
            <v>11117824.143002985</v>
          </cell>
          <cell r="L29">
            <v>11117824.143002987</v>
          </cell>
          <cell r="M29">
            <v>1286340.2826330371</v>
          </cell>
          <cell r="N29">
            <v>26939667.789275069</v>
          </cell>
          <cell r="O29">
            <v>5335454.838908622</v>
          </cell>
          <cell r="P29">
            <v>0</v>
          </cell>
          <cell r="Q29">
            <v>0</v>
          </cell>
          <cell r="R29">
            <v>0.02</v>
          </cell>
          <cell r="S29">
            <v>0.04</v>
          </cell>
          <cell r="T29">
            <v>0.04</v>
          </cell>
          <cell r="U29">
            <v>6.0000000000000053E-2</v>
          </cell>
          <cell r="V29">
            <v>0.09</v>
          </cell>
          <cell r="W29">
            <v>0.1</v>
          </cell>
          <cell r="X29">
            <v>0.1</v>
          </cell>
          <cell r="Y29">
            <v>0.1</v>
          </cell>
          <cell r="Z29">
            <v>0.11</v>
          </cell>
          <cell r="AA29">
            <v>0.13</v>
          </cell>
          <cell r="AB29">
            <v>0.15</v>
          </cell>
          <cell r="AC29">
            <v>0.16</v>
          </cell>
          <cell r="AD29">
            <v>0.16</v>
          </cell>
          <cell r="AE29">
            <v>0.16</v>
          </cell>
          <cell r="AF29">
            <v>0.16</v>
          </cell>
          <cell r="AG29">
            <v>0.16</v>
          </cell>
          <cell r="AH29">
            <v>0.16</v>
          </cell>
          <cell r="AI29">
            <v>0.17</v>
          </cell>
        </row>
        <row r="30">
          <cell r="A30" t="str">
            <v>Noblesville 2</v>
          </cell>
          <cell r="B30">
            <v>45</v>
          </cell>
          <cell r="C30">
            <v>6347264.2752704425</v>
          </cell>
          <cell r="D30">
            <v>3326139.3564544469</v>
          </cell>
          <cell r="E30">
            <v>1101073.3276782851</v>
          </cell>
          <cell r="F30">
            <v>10774476.959403176</v>
          </cell>
          <cell r="G30">
            <v>239.43282132007059</v>
          </cell>
          <cell r="H30">
            <v>7108465.3092532279</v>
          </cell>
          <cell r="I30">
            <v>3012077.599419063</v>
          </cell>
          <cell r="J30">
            <v>997281.23433069373</v>
          </cell>
          <cell r="K30">
            <v>11117824.143002985</v>
          </cell>
          <cell r="L30">
            <v>11117824.143002987</v>
          </cell>
          <cell r="M30">
            <v>1286340.2826330371</v>
          </cell>
          <cell r="N30">
            <v>26939667.789275069</v>
          </cell>
          <cell r="O30">
            <v>5335454.838908622</v>
          </cell>
          <cell r="P30">
            <v>0</v>
          </cell>
          <cell r="Q30">
            <v>0</v>
          </cell>
          <cell r="R30">
            <v>0.02</v>
          </cell>
          <cell r="S30">
            <v>0.04</v>
          </cell>
          <cell r="T30">
            <v>0.04</v>
          </cell>
          <cell r="U30">
            <v>6.0000000000000053E-2</v>
          </cell>
          <cell r="V30">
            <v>0.09</v>
          </cell>
          <cell r="W30">
            <v>0.1</v>
          </cell>
          <cell r="X30">
            <v>0.1</v>
          </cell>
          <cell r="Y30">
            <v>0.1</v>
          </cell>
          <cell r="Z30">
            <v>0.11</v>
          </cell>
          <cell r="AA30">
            <v>0.13</v>
          </cell>
          <cell r="AB30">
            <v>0.15</v>
          </cell>
          <cell r="AC30">
            <v>0.16</v>
          </cell>
          <cell r="AD30">
            <v>0.16</v>
          </cell>
          <cell r="AE30">
            <v>0.16</v>
          </cell>
          <cell r="AF30">
            <v>0.16</v>
          </cell>
          <cell r="AG30">
            <v>0.16</v>
          </cell>
          <cell r="AH30">
            <v>0.16</v>
          </cell>
          <cell r="AI30">
            <v>0.17</v>
          </cell>
        </row>
        <row r="31">
          <cell r="A31" t="str">
            <v>Wabash River 1</v>
          </cell>
          <cell r="B31">
            <v>249.76666666666665</v>
          </cell>
          <cell r="C31">
            <v>52060060.031629711</v>
          </cell>
          <cell r="D31">
            <v>13755108.296825679</v>
          </cell>
          <cell r="E31">
            <v>4628209.4777725739</v>
          </cell>
          <cell r="F31">
            <v>70443377.806227967</v>
          </cell>
          <cell r="G31">
            <v>282.03674552073124</v>
          </cell>
          <cell r="H31">
            <v>52099902.076510131</v>
          </cell>
          <cell r="I31">
            <v>13936009.485663211</v>
          </cell>
          <cell r="J31">
            <v>4672346.1510850163</v>
          </cell>
          <cell r="K31">
            <v>70708257.713258356</v>
          </cell>
          <cell r="L31">
            <v>70708257.713258386</v>
          </cell>
          <cell r="M31">
            <v>23238750.671592455</v>
          </cell>
          <cell r="N31">
            <v>123045702.19192901</v>
          </cell>
          <cell r="O31">
            <v>19193777.841670305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0.01</v>
          </cell>
          <cell r="V31">
            <v>0.01</v>
          </cell>
          <cell r="W31">
            <v>0.01</v>
          </cell>
          <cell r="X31">
            <v>0.01</v>
          </cell>
          <cell r="Y31">
            <v>0.03</v>
          </cell>
          <cell r="Z31">
            <v>0.04</v>
          </cell>
          <cell r="AA31">
            <v>0.04</v>
          </cell>
          <cell r="AB31">
            <v>0.04</v>
          </cell>
          <cell r="AC31">
            <v>0.05</v>
          </cell>
          <cell r="AD31">
            <v>6.0000000000000053E-2</v>
          </cell>
          <cell r="AE31">
            <v>6.9999999999999951E-2</v>
          </cell>
          <cell r="AF31">
            <v>0.08</v>
          </cell>
          <cell r="AG31">
            <v>0.08</v>
          </cell>
          <cell r="AH31">
            <v>0.08</v>
          </cell>
          <cell r="AI31">
            <v>0.08</v>
          </cell>
        </row>
        <row r="32">
          <cell r="A32" t="str">
            <v>Wabash River 2</v>
          </cell>
          <cell r="B32">
            <v>85</v>
          </cell>
          <cell r="C32">
            <v>14815729.619004514</v>
          </cell>
          <cell r="D32">
            <v>8373503.2492029397</v>
          </cell>
          <cell r="E32">
            <v>3101178.4087615493</v>
          </cell>
          <cell r="F32">
            <v>26290411.276969004</v>
          </cell>
          <cell r="G32">
            <v>309.29895619963537</v>
          </cell>
          <cell r="H32">
            <v>15731683.518343389</v>
          </cell>
          <cell r="I32">
            <v>7887924.0036671357</v>
          </cell>
          <cell r="J32">
            <v>2888852.5956117339</v>
          </cell>
          <cell r="K32">
            <v>26508460.117622256</v>
          </cell>
          <cell r="L32">
            <v>26508460.117622256</v>
          </cell>
          <cell r="M32">
            <v>4408027.8125288552</v>
          </cell>
          <cell r="N32">
            <v>55853616.001995318</v>
          </cell>
          <cell r="O32">
            <v>10575857.825325392</v>
          </cell>
          <cell r="P32">
            <v>0</v>
          </cell>
          <cell r="Q32">
            <v>0</v>
          </cell>
          <cell r="R32">
            <v>0.01</v>
          </cell>
          <cell r="S32">
            <v>0.02</v>
          </cell>
          <cell r="T32">
            <v>0.03</v>
          </cell>
          <cell r="U32">
            <v>0.03</v>
          </cell>
          <cell r="V32">
            <v>0.05</v>
          </cell>
          <cell r="W32">
            <v>6.9999999999999951E-2</v>
          </cell>
          <cell r="X32">
            <v>6.9999999999999951E-2</v>
          </cell>
          <cell r="Y32">
            <v>6.9999999999999951E-2</v>
          </cell>
          <cell r="Z32">
            <v>6.9999999999999951E-2</v>
          </cell>
          <cell r="AA32">
            <v>6.9999999999999951E-2</v>
          </cell>
          <cell r="AB32">
            <v>0.08</v>
          </cell>
          <cell r="AC32">
            <v>0.09</v>
          </cell>
          <cell r="AD32">
            <v>0.1</v>
          </cell>
          <cell r="AE32">
            <v>0.1</v>
          </cell>
          <cell r="AF32">
            <v>0.11</v>
          </cell>
          <cell r="AG32">
            <v>0.11</v>
          </cell>
          <cell r="AH32">
            <v>0.11</v>
          </cell>
          <cell r="AI32">
            <v>0.11</v>
          </cell>
        </row>
        <row r="33">
          <cell r="A33" t="str">
            <v>Wabash River 3</v>
          </cell>
          <cell r="B33">
            <v>85</v>
          </cell>
          <cell r="C33">
            <v>15051392.252937311</v>
          </cell>
          <cell r="D33">
            <v>8518415.1317175347</v>
          </cell>
          <cell r="E33">
            <v>3153048.7165484652</v>
          </cell>
          <cell r="F33">
            <v>26722856.101203311</v>
          </cell>
          <cell r="G33">
            <v>314.38654236709777</v>
          </cell>
          <cell r="H33">
            <v>15937250.795628114</v>
          </cell>
          <cell r="I33">
            <v>8043752.6742016189</v>
          </cell>
          <cell r="J33">
            <v>2947423.7625499088</v>
          </cell>
          <cell r="K33">
            <v>26928427.232379638</v>
          </cell>
          <cell r="L33">
            <v>26928427.23237963</v>
          </cell>
          <cell r="M33">
            <v>4498403.6293038335</v>
          </cell>
          <cell r="N33">
            <v>56257272.177764289</v>
          </cell>
          <cell r="O33">
            <v>10630238.64757064</v>
          </cell>
          <cell r="P33">
            <v>0</v>
          </cell>
          <cell r="Q33">
            <v>0</v>
          </cell>
          <cell r="R33">
            <v>0.01</v>
          </cell>
          <cell r="S33">
            <v>0.02</v>
          </cell>
          <cell r="T33">
            <v>0.03</v>
          </cell>
          <cell r="U33">
            <v>0.03</v>
          </cell>
          <cell r="V33">
            <v>0.04</v>
          </cell>
          <cell r="W33">
            <v>6.0000000000000053E-2</v>
          </cell>
          <cell r="X33">
            <v>6.0000000000000053E-2</v>
          </cell>
          <cell r="Y33">
            <v>6.0000000000000053E-2</v>
          </cell>
          <cell r="Z33">
            <v>6.0000000000000053E-2</v>
          </cell>
          <cell r="AA33">
            <v>6.0000000000000053E-2</v>
          </cell>
          <cell r="AB33">
            <v>6.9999999999999951E-2</v>
          </cell>
          <cell r="AC33">
            <v>0.08</v>
          </cell>
          <cell r="AD33">
            <v>0.08</v>
          </cell>
          <cell r="AE33">
            <v>0.09</v>
          </cell>
          <cell r="AF33">
            <v>0.1</v>
          </cell>
          <cell r="AG33">
            <v>0.1</v>
          </cell>
          <cell r="AH33">
            <v>0.1</v>
          </cell>
          <cell r="AI33">
            <v>0.1</v>
          </cell>
        </row>
        <row r="34">
          <cell r="A34" t="str">
            <v>Wabash River 4</v>
          </cell>
          <cell r="B34">
            <v>85</v>
          </cell>
          <cell r="C34">
            <v>15623297.071889037</v>
          </cell>
          <cell r="D34">
            <v>8867143.1954292133</v>
          </cell>
          <cell r="E34">
            <v>3277778.0864655706</v>
          </cell>
          <cell r="F34">
            <v>27768218.35378382</v>
          </cell>
          <cell r="G34">
            <v>326.68492180922141</v>
          </cell>
          <cell r="H34">
            <v>15987766.283902993</v>
          </cell>
          <cell r="I34">
            <v>8763717.0816199835</v>
          </cell>
          <cell r="J34">
            <v>3216388.886598208</v>
          </cell>
          <cell r="K34">
            <v>27967872.252121184</v>
          </cell>
          <cell r="L34">
            <v>27967872.252121188</v>
          </cell>
          <cell r="M34">
            <v>4806672.0122784507</v>
          </cell>
          <cell r="N34">
            <v>57225104.238091879</v>
          </cell>
          <cell r="O34">
            <v>10733457.1873444</v>
          </cell>
          <cell r="P34">
            <v>0</v>
          </cell>
          <cell r="Q34">
            <v>0</v>
          </cell>
          <cell r="R34">
            <v>0.01</v>
          </cell>
          <cell r="S34">
            <v>0.02</v>
          </cell>
          <cell r="T34">
            <v>0.02</v>
          </cell>
          <cell r="U34">
            <v>0.02</v>
          </cell>
          <cell r="V34">
            <v>0.02</v>
          </cell>
          <cell r="W34">
            <v>0.03</v>
          </cell>
          <cell r="X34">
            <v>0.03</v>
          </cell>
          <cell r="Y34">
            <v>0.03</v>
          </cell>
          <cell r="Z34">
            <v>0.03</v>
          </cell>
          <cell r="AA34">
            <v>0.03</v>
          </cell>
          <cell r="AB34">
            <v>0.04</v>
          </cell>
          <cell r="AC34">
            <v>0.04</v>
          </cell>
          <cell r="AD34">
            <v>0.05</v>
          </cell>
          <cell r="AE34">
            <v>0.05</v>
          </cell>
          <cell r="AF34">
            <v>0.05</v>
          </cell>
          <cell r="AG34">
            <v>0.05</v>
          </cell>
          <cell r="AH34">
            <v>0.05</v>
          </cell>
          <cell r="AI34">
            <v>6.0000000000000053E-2</v>
          </cell>
        </row>
        <row r="35">
          <cell r="A35" t="str">
            <v>Wabash River 5</v>
          </cell>
          <cell r="B35">
            <v>95</v>
          </cell>
          <cell r="C35">
            <v>17285746.795892406</v>
          </cell>
          <cell r="D35">
            <v>9797600.9292307179</v>
          </cell>
          <cell r="E35">
            <v>3652900.5285958513</v>
          </cell>
          <cell r="F35">
            <v>30736248.253718972</v>
          </cell>
          <cell r="G35">
            <v>323.53945530230499</v>
          </cell>
          <cell r="H35">
            <v>18251538.218509708</v>
          </cell>
          <cell r="I35">
            <v>9269377.8180325665</v>
          </cell>
          <cell r="J35">
            <v>3438409.9194637872</v>
          </cell>
          <cell r="K35">
            <v>30959325.956006061</v>
          </cell>
          <cell r="L35">
            <v>30959325.956006061</v>
          </cell>
          <cell r="M35">
            <v>5411875.6825043093</v>
          </cell>
          <cell r="N35">
            <v>63610512.67775587</v>
          </cell>
          <cell r="O35">
            <v>11941716.531637322</v>
          </cell>
          <cell r="P35">
            <v>0</v>
          </cell>
          <cell r="Q35">
            <v>0</v>
          </cell>
          <cell r="R35">
            <v>0.01</v>
          </cell>
          <cell r="S35">
            <v>0.02</v>
          </cell>
          <cell r="T35">
            <v>0.03</v>
          </cell>
          <cell r="U35">
            <v>0.03</v>
          </cell>
          <cell r="V35">
            <v>0.04</v>
          </cell>
          <cell r="W35">
            <v>0.05</v>
          </cell>
          <cell r="X35">
            <v>0.05</v>
          </cell>
          <cell r="Y35">
            <v>0.05</v>
          </cell>
          <cell r="Z35">
            <v>0.05</v>
          </cell>
          <cell r="AA35">
            <v>0.05</v>
          </cell>
          <cell r="AB35">
            <v>6.0000000000000053E-2</v>
          </cell>
          <cell r="AC35">
            <v>6.9999999999999951E-2</v>
          </cell>
          <cell r="AD35">
            <v>6.9999999999999951E-2</v>
          </cell>
          <cell r="AE35">
            <v>6.9999999999999951E-2</v>
          </cell>
          <cell r="AF35">
            <v>6.9999999999999951E-2</v>
          </cell>
          <cell r="AG35">
            <v>6.9999999999999951E-2</v>
          </cell>
          <cell r="AH35">
            <v>6.9999999999999951E-2</v>
          </cell>
          <cell r="AI35">
            <v>6.9999999999999951E-2</v>
          </cell>
        </row>
        <row r="36">
          <cell r="A36" t="str">
            <v>Wabash River 6</v>
          </cell>
          <cell r="B36">
            <v>318</v>
          </cell>
          <cell r="C36">
            <v>59430038.599063806</v>
          </cell>
          <cell r="D36">
            <v>26801627.230684783</v>
          </cell>
          <cell r="E36">
            <v>10300404.815394022</v>
          </cell>
          <cell r="F36">
            <v>96532070.645142615</v>
          </cell>
          <cell r="G36">
            <v>303.55997058220947</v>
          </cell>
          <cell r="H36">
            <v>60160032.810981899</v>
          </cell>
          <cell r="I36">
            <v>26832525.869655546</v>
          </cell>
          <cell r="J36">
            <v>10115359.014377266</v>
          </cell>
          <cell r="K36">
            <v>97107917.695014715</v>
          </cell>
          <cell r="L36">
            <v>97107917.6950147</v>
          </cell>
          <cell r="M36">
            <v>31885225.031669181</v>
          </cell>
          <cell r="N36">
            <v>200050445.51848546</v>
          </cell>
          <cell r="O36">
            <v>37236677.729937576</v>
          </cell>
          <cell r="P36">
            <v>0</v>
          </cell>
          <cell r="Q36">
            <v>0</v>
          </cell>
          <cell r="R36">
            <v>0</v>
          </cell>
          <cell r="S36">
            <v>0.02</v>
          </cell>
          <cell r="T36">
            <v>0.02</v>
          </cell>
          <cell r="U36">
            <v>0.02</v>
          </cell>
          <cell r="V36">
            <v>0.04</v>
          </cell>
          <cell r="W36">
            <v>6.0000000000000053E-2</v>
          </cell>
          <cell r="X36">
            <v>6.0000000000000053E-2</v>
          </cell>
          <cell r="Y36">
            <v>6.0000000000000053E-2</v>
          </cell>
          <cell r="Z36">
            <v>6.0000000000000053E-2</v>
          </cell>
          <cell r="AA36">
            <v>6.0000000000000053E-2</v>
          </cell>
          <cell r="AB36">
            <v>6.9999999999999951E-2</v>
          </cell>
          <cell r="AC36">
            <v>0.09</v>
          </cell>
          <cell r="AD36">
            <v>0.1</v>
          </cell>
          <cell r="AE36">
            <v>0.1</v>
          </cell>
          <cell r="AF36">
            <v>0.1</v>
          </cell>
          <cell r="AG36">
            <v>0.1</v>
          </cell>
          <cell r="AH36">
            <v>0.1</v>
          </cell>
          <cell r="AI36">
            <v>0.1</v>
          </cell>
        </row>
        <row r="37">
          <cell r="A37" t="str">
            <v>W.C. Beckjord 1</v>
          </cell>
          <cell r="B37">
            <v>94</v>
          </cell>
          <cell r="C37">
            <v>20826023.36647689</v>
          </cell>
          <cell r="D37">
            <v>11556554.62819537</v>
          </cell>
          <cell r="E37">
            <v>4250171.1290596183</v>
          </cell>
          <cell r="F37">
            <v>36632749.123731881</v>
          </cell>
          <cell r="G37">
            <v>389.71009706097749</v>
          </cell>
          <cell r="H37">
            <v>21147050.55247654</v>
          </cell>
          <cell r="I37">
            <v>11367715.711488046</v>
          </cell>
          <cell r="J37">
            <v>4192606.0630718223</v>
          </cell>
          <cell r="K37">
            <v>36707372.327036411</v>
          </cell>
          <cell r="L37">
            <v>36707372.327036396</v>
          </cell>
          <cell r="M37">
            <v>7256852.7780221757</v>
          </cell>
          <cell r="N37">
            <v>69016251.868939921</v>
          </cell>
          <cell r="O37">
            <v>12237241.146207675</v>
          </cell>
          <cell r="P37">
            <v>0</v>
          </cell>
          <cell r="Q37">
            <v>0</v>
          </cell>
          <cell r="R37">
            <v>0.01</v>
          </cell>
          <cell r="S37">
            <v>0.01</v>
          </cell>
          <cell r="T37">
            <v>0.01</v>
          </cell>
          <cell r="U37">
            <v>0.01</v>
          </cell>
          <cell r="V37">
            <v>0.01</v>
          </cell>
          <cell r="W37">
            <v>0.02</v>
          </cell>
          <cell r="X37">
            <v>0.02</v>
          </cell>
          <cell r="Y37">
            <v>0.02</v>
          </cell>
          <cell r="Z37">
            <v>0.02</v>
          </cell>
          <cell r="AA37">
            <v>0.02</v>
          </cell>
          <cell r="AB37">
            <v>0.02</v>
          </cell>
          <cell r="AC37">
            <v>0.02</v>
          </cell>
          <cell r="AD37">
            <v>0.02</v>
          </cell>
          <cell r="AE37">
            <v>0.02</v>
          </cell>
          <cell r="AF37">
            <v>0.02</v>
          </cell>
          <cell r="AG37">
            <v>0.02</v>
          </cell>
          <cell r="AH37">
            <v>0.02</v>
          </cell>
          <cell r="AI37">
            <v>0.02</v>
          </cell>
        </row>
        <row r="38">
          <cell r="A38" t="str">
            <v>W.C. Beckjord 2</v>
          </cell>
          <cell r="B38">
            <v>94</v>
          </cell>
          <cell r="C38">
            <v>22123280.106712461</v>
          </cell>
          <cell r="D38">
            <v>12283710.288371187</v>
          </cell>
          <cell r="E38">
            <v>4509014.0858280612</v>
          </cell>
          <cell r="F38">
            <v>38916004.480911709</v>
          </cell>
          <cell r="G38">
            <v>414.0000476692735</v>
          </cell>
          <cell r="H38">
            <v>22440992.009236716</v>
          </cell>
          <cell r="I38">
            <v>12092785.022983188</v>
          </cell>
          <cell r="J38">
            <v>4450718.0383797511</v>
          </cell>
          <cell r="K38">
            <v>38984495.070599653</v>
          </cell>
          <cell r="L38">
            <v>38984495.070599653</v>
          </cell>
          <cell r="M38">
            <v>7467655.8007723708</v>
          </cell>
          <cell r="N38">
            <v>71142246.002996489</v>
          </cell>
          <cell r="O38">
            <v>12463080.766992133</v>
          </cell>
          <cell r="P38">
            <v>0</v>
          </cell>
          <cell r="Q38">
            <v>0</v>
          </cell>
          <cell r="R38">
            <v>0.01</v>
          </cell>
          <cell r="S38">
            <v>0.01</v>
          </cell>
          <cell r="T38">
            <v>0.01</v>
          </cell>
          <cell r="U38">
            <v>0.01</v>
          </cell>
          <cell r="V38">
            <v>0.01</v>
          </cell>
          <cell r="W38">
            <v>0.02</v>
          </cell>
          <cell r="X38">
            <v>0.02</v>
          </cell>
          <cell r="Y38">
            <v>0.02</v>
          </cell>
          <cell r="Z38">
            <v>0.02</v>
          </cell>
          <cell r="AA38">
            <v>0.02</v>
          </cell>
          <cell r="AB38">
            <v>0.02</v>
          </cell>
          <cell r="AC38">
            <v>0.02</v>
          </cell>
          <cell r="AD38">
            <v>0.02</v>
          </cell>
          <cell r="AE38">
            <v>0.02</v>
          </cell>
          <cell r="AF38">
            <v>0.02</v>
          </cell>
          <cell r="AG38">
            <v>0.02</v>
          </cell>
          <cell r="AH38">
            <v>0.02</v>
          </cell>
          <cell r="AI38">
            <v>0.02</v>
          </cell>
        </row>
        <row r="39">
          <cell r="A39" t="str">
            <v>W.C. Beckjord 3</v>
          </cell>
          <cell r="B39">
            <v>128</v>
          </cell>
          <cell r="C39">
            <v>31615989.317216434</v>
          </cell>
          <cell r="D39">
            <v>17439231.876107309</v>
          </cell>
          <cell r="E39">
            <v>6390486.2432566816</v>
          </cell>
          <cell r="F39">
            <v>55445707.436580427</v>
          </cell>
          <cell r="G39">
            <v>433.1695893482846</v>
          </cell>
          <cell r="H39">
            <v>32034310.726514589</v>
          </cell>
          <cell r="I39">
            <v>17190527.347692419</v>
          </cell>
          <cell r="J39">
            <v>6310793.1746872356</v>
          </cell>
          <cell r="K39">
            <v>55535631.248894244</v>
          </cell>
          <cell r="L39">
            <v>55535631.248894282</v>
          </cell>
          <cell r="M39">
            <v>10408815.301358437</v>
          </cell>
          <cell r="N39">
            <v>98885477.459378496</v>
          </cell>
          <cell r="O39">
            <v>17097293.632507194</v>
          </cell>
          <cell r="P39">
            <v>0</v>
          </cell>
          <cell r="Q39">
            <v>0</v>
          </cell>
          <cell r="R39">
            <v>0.01</v>
          </cell>
          <cell r="S39">
            <v>0.01</v>
          </cell>
          <cell r="T39">
            <v>0.01</v>
          </cell>
          <cell r="U39">
            <v>0.01</v>
          </cell>
          <cell r="V39">
            <v>0.01</v>
          </cell>
          <cell r="W39">
            <v>0.01</v>
          </cell>
          <cell r="X39">
            <v>0.01</v>
          </cell>
          <cell r="Y39">
            <v>0.01</v>
          </cell>
          <cell r="Z39">
            <v>0.01</v>
          </cell>
          <cell r="AA39">
            <v>0.01</v>
          </cell>
          <cell r="AB39">
            <v>0.01</v>
          </cell>
          <cell r="AC39">
            <v>0.01</v>
          </cell>
          <cell r="AD39">
            <v>0.01</v>
          </cell>
          <cell r="AE39">
            <v>0.02</v>
          </cell>
          <cell r="AF39">
            <v>0.02</v>
          </cell>
          <cell r="AG39">
            <v>0.02</v>
          </cell>
          <cell r="AH39">
            <v>0.02</v>
          </cell>
          <cell r="AI39">
            <v>0.02</v>
          </cell>
        </row>
        <row r="40">
          <cell r="A40" t="str">
            <v>W.C. Beckjord 4</v>
          </cell>
          <cell r="B40">
            <v>150</v>
          </cell>
          <cell r="C40">
            <v>38510660.055630267</v>
          </cell>
          <cell r="D40">
            <v>21121534.050675116</v>
          </cell>
          <cell r="E40">
            <v>7729476.3548795721</v>
          </cell>
          <cell r="F40">
            <v>67361670.461184949</v>
          </cell>
          <cell r="G40">
            <v>449.0778030745663</v>
          </cell>
          <cell r="H40">
            <v>38999480.949740887</v>
          </cell>
          <cell r="I40">
            <v>20825749.439636804</v>
          </cell>
          <cell r="J40">
            <v>7640934.0732378447</v>
          </cell>
          <cell r="K40">
            <v>67466164.462615535</v>
          </cell>
          <cell r="L40">
            <v>67466164.462615579</v>
          </cell>
          <cell r="M40">
            <v>12420553.229032164</v>
          </cell>
          <cell r="N40">
            <v>118034671.80280626</v>
          </cell>
          <cell r="O40">
            <v>20181215.82275416</v>
          </cell>
          <cell r="P40">
            <v>0</v>
          </cell>
          <cell r="Q40">
            <v>0</v>
          </cell>
          <cell r="R40">
            <v>0.01</v>
          </cell>
          <cell r="S40">
            <v>0.01</v>
          </cell>
          <cell r="T40">
            <v>0.01</v>
          </cell>
          <cell r="U40">
            <v>0.01</v>
          </cell>
          <cell r="V40">
            <v>0.01</v>
          </cell>
          <cell r="W40">
            <v>0.01</v>
          </cell>
          <cell r="X40">
            <v>0.01</v>
          </cell>
          <cell r="Y40">
            <v>0.01</v>
          </cell>
          <cell r="Z40">
            <v>0.01</v>
          </cell>
          <cell r="AA40">
            <v>0.01</v>
          </cell>
          <cell r="AB40">
            <v>0.01</v>
          </cell>
          <cell r="AC40">
            <v>0.01</v>
          </cell>
          <cell r="AD40">
            <v>0.01</v>
          </cell>
          <cell r="AE40">
            <v>0.01</v>
          </cell>
          <cell r="AF40">
            <v>0.01</v>
          </cell>
          <cell r="AG40">
            <v>0.01</v>
          </cell>
          <cell r="AH40">
            <v>0.01</v>
          </cell>
          <cell r="AI40">
            <v>0.01</v>
          </cell>
        </row>
        <row r="41">
          <cell r="A41" t="str">
            <v>W.C. Beckjord 5</v>
          </cell>
          <cell r="B41">
            <v>238</v>
          </cell>
          <cell r="C41">
            <v>58959065.894894078</v>
          </cell>
          <cell r="D41">
            <v>32467630.31615686</v>
          </cell>
          <cell r="E41">
            <v>11891915.856586542</v>
          </cell>
          <cell r="F41">
            <v>103318612.06763749</v>
          </cell>
          <cell r="G41">
            <v>434.11181541024155</v>
          </cell>
          <cell r="H41">
            <v>59750757.287109323</v>
          </cell>
          <cell r="I41">
            <v>32014654.006047174</v>
          </cell>
          <cell r="J41">
            <v>11746596.777173284</v>
          </cell>
          <cell r="K41">
            <v>103512008.07032979</v>
          </cell>
          <cell r="L41">
            <v>103512008.07032979</v>
          </cell>
          <cell r="M41">
            <v>19348315.41587396</v>
          </cell>
          <cell r="N41">
            <v>182871483.62430823</v>
          </cell>
          <cell r="O41">
            <v>31481336.427308884</v>
          </cell>
          <cell r="P41">
            <v>0</v>
          </cell>
          <cell r="Q41">
            <v>0</v>
          </cell>
          <cell r="R41">
            <v>0.01</v>
          </cell>
          <cell r="S41">
            <v>0.01</v>
          </cell>
          <cell r="T41">
            <v>0.01</v>
          </cell>
          <cell r="U41">
            <v>0.01</v>
          </cell>
          <cell r="V41">
            <v>0.01</v>
          </cell>
          <cell r="W41">
            <v>0.01</v>
          </cell>
          <cell r="X41">
            <v>0.01</v>
          </cell>
          <cell r="Y41">
            <v>0.01</v>
          </cell>
          <cell r="Z41">
            <v>0.01</v>
          </cell>
          <cell r="AA41">
            <v>0.01</v>
          </cell>
          <cell r="AB41">
            <v>0.01</v>
          </cell>
          <cell r="AC41">
            <v>0.01</v>
          </cell>
          <cell r="AD41">
            <v>0.01</v>
          </cell>
          <cell r="AE41">
            <v>0.02</v>
          </cell>
          <cell r="AF41">
            <v>0.02</v>
          </cell>
          <cell r="AG41">
            <v>0.02</v>
          </cell>
          <cell r="AH41">
            <v>0.02</v>
          </cell>
          <cell r="AI41">
            <v>0.02</v>
          </cell>
        </row>
        <row r="42">
          <cell r="A42" t="str">
            <v>W.C. Beckjord 6</v>
          </cell>
          <cell r="B42">
            <v>157</v>
          </cell>
          <cell r="C42">
            <v>46518222.950809494</v>
          </cell>
          <cell r="D42">
            <v>23091081.981521279</v>
          </cell>
          <cell r="E42">
            <v>8396767.5078051295</v>
          </cell>
          <cell r="F42">
            <v>78006072.440135896</v>
          </cell>
          <cell r="G42">
            <v>496.85396458685284</v>
          </cell>
          <cell r="H42">
            <v>46518222.950809501</v>
          </cell>
          <cell r="I42">
            <v>23091081.981521275</v>
          </cell>
          <cell r="J42">
            <v>8396767.5078051295</v>
          </cell>
          <cell r="K42">
            <v>78006072.440135896</v>
          </cell>
          <cell r="L42">
            <v>78006072.440135911</v>
          </cell>
          <cell r="M42">
            <v>42872127.077221051</v>
          </cell>
          <cell r="N42">
            <v>127671395.2033412</v>
          </cell>
          <cell r="O42">
            <v>19288166.030232694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A43" t="str">
            <v>W.H. Zimmer 1</v>
          </cell>
          <cell r="B43">
            <v>604.5</v>
          </cell>
          <cell r="C43">
            <v>298984098.73601007</v>
          </cell>
          <cell r="D43">
            <v>119808524.25309284</v>
          </cell>
          <cell r="E43">
            <v>42080000.467662394</v>
          </cell>
          <cell r="F43">
            <v>460872623.45676529</v>
          </cell>
          <cell r="G43">
            <v>762.40301647107572</v>
          </cell>
          <cell r="H43">
            <v>298984098.73601007</v>
          </cell>
          <cell r="I43">
            <v>119808524.25309287</v>
          </cell>
          <cell r="J43">
            <v>42080000.467662394</v>
          </cell>
          <cell r="K43">
            <v>460872623.45676535</v>
          </cell>
          <cell r="L43">
            <v>460872623.45676523</v>
          </cell>
          <cell r="M43">
            <v>302415630.17744941</v>
          </cell>
          <cell r="N43">
            <v>652240279.53304231</v>
          </cell>
          <cell r="O43">
            <v>76945203.262088254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A44" t="str">
            <v>Cayuga Diesel 3A-D</v>
          </cell>
          <cell r="B44">
            <v>10.666666666666666</v>
          </cell>
          <cell r="C44">
            <v>1874183.3705483235</v>
          </cell>
          <cell r="D44">
            <v>629331.20280223002</v>
          </cell>
          <cell r="E44">
            <v>228522.09988640662</v>
          </cell>
          <cell r="F44">
            <v>2732036.6732369601</v>
          </cell>
          <cell r="G44">
            <v>256.12843811596503</v>
          </cell>
          <cell r="H44">
            <v>1874183.3705483233</v>
          </cell>
          <cell r="I44">
            <v>629859.09018840303</v>
          </cell>
          <cell r="J44">
            <v>228274.57013400897</v>
          </cell>
          <cell r="K44">
            <v>2732317.0308707352</v>
          </cell>
          <cell r="L44">
            <v>2732317.0308707361</v>
          </cell>
          <cell r="M44">
            <v>1158873.0554434974</v>
          </cell>
          <cell r="N44">
            <v>4702179.5664750636</v>
          </cell>
          <cell r="O44">
            <v>760609.29053618317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0.01</v>
          </cell>
          <cell r="AD44">
            <v>0.01</v>
          </cell>
          <cell r="AE44">
            <v>0.02</v>
          </cell>
          <cell r="AF44">
            <v>0.02</v>
          </cell>
          <cell r="AG44">
            <v>0.02</v>
          </cell>
          <cell r="AH44">
            <v>0.02</v>
          </cell>
          <cell r="AI44">
            <v>0.02</v>
          </cell>
        </row>
        <row r="45">
          <cell r="A45" t="str">
            <v>Cayuga CT 4</v>
          </cell>
          <cell r="B45">
            <v>111.93333333333334</v>
          </cell>
          <cell r="C45">
            <v>15593944.176997317</v>
          </cell>
          <cell r="D45">
            <v>4375536.7195019145</v>
          </cell>
          <cell r="E45">
            <v>1598101.9918170306</v>
          </cell>
          <cell r="F45">
            <v>21567582.888316263</v>
          </cell>
          <cell r="G45">
            <v>192.68239626250383</v>
          </cell>
          <cell r="H45">
            <v>15596526.805181552</v>
          </cell>
          <cell r="I45">
            <v>4423506.7394528557</v>
          </cell>
          <cell r="J45">
            <v>1605624.913643999</v>
          </cell>
          <cell r="K45">
            <v>21625658.45827841</v>
          </cell>
          <cell r="L45">
            <v>21625658.458278406</v>
          </cell>
          <cell r="M45">
            <v>7899852.1895170603</v>
          </cell>
          <cell r="N45">
            <v>39459019.355647072</v>
          </cell>
          <cell r="O45">
            <v>7122911.5444792798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0.01</v>
          </cell>
          <cell r="Z45">
            <v>0.03</v>
          </cell>
          <cell r="AA45">
            <v>0.04</v>
          </cell>
          <cell r="AB45">
            <v>0.05</v>
          </cell>
          <cell r="AC45">
            <v>0.05</v>
          </cell>
          <cell r="AD45">
            <v>6.0000000000000053E-2</v>
          </cell>
          <cell r="AE45">
            <v>0.08</v>
          </cell>
          <cell r="AF45">
            <v>0.08</v>
          </cell>
          <cell r="AG45">
            <v>0.08</v>
          </cell>
          <cell r="AH45">
            <v>0.08</v>
          </cell>
          <cell r="AI45">
            <v>0.08</v>
          </cell>
        </row>
        <row r="46">
          <cell r="A46" t="str">
            <v>Connersville CT 1</v>
          </cell>
          <cell r="B46">
            <v>45.666666666666664</v>
          </cell>
          <cell r="C46">
            <v>5927477.409712865</v>
          </cell>
          <cell r="D46">
            <v>1502549.4535888527</v>
          </cell>
          <cell r="E46">
            <v>547492.50602066633</v>
          </cell>
          <cell r="F46">
            <v>7977519.3693223838</v>
          </cell>
          <cell r="G46">
            <v>174.69020516764346</v>
          </cell>
          <cell r="H46">
            <v>5928253.8355232934</v>
          </cell>
          <cell r="I46">
            <v>1511658.9185937259</v>
          </cell>
          <cell r="J46">
            <v>549434.74148282025</v>
          </cell>
          <cell r="K46">
            <v>7989347.4955998398</v>
          </cell>
          <cell r="L46">
            <v>7989347.4955998417</v>
          </cell>
          <cell r="M46">
            <v>2934560.4397648005</v>
          </cell>
          <cell r="N46">
            <v>14961970.130619245</v>
          </cell>
          <cell r="O46">
            <v>2690917.6120353611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0.01</v>
          </cell>
          <cell r="Z46">
            <v>0.02</v>
          </cell>
          <cell r="AA46">
            <v>0.03</v>
          </cell>
          <cell r="AB46">
            <v>0.04</v>
          </cell>
          <cell r="AC46">
            <v>0.04</v>
          </cell>
          <cell r="AD46">
            <v>0.05</v>
          </cell>
          <cell r="AE46">
            <v>6.0000000000000053E-2</v>
          </cell>
          <cell r="AF46">
            <v>6.0000000000000053E-2</v>
          </cell>
          <cell r="AG46">
            <v>6.0000000000000053E-2</v>
          </cell>
          <cell r="AH46">
            <v>6.0000000000000053E-2</v>
          </cell>
          <cell r="AI46">
            <v>6.0000000000000053E-2</v>
          </cell>
        </row>
        <row r="47">
          <cell r="A47" t="str">
            <v>Connersville CT 2</v>
          </cell>
          <cell r="B47">
            <v>46</v>
          </cell>
          <cell r="C47">
            <v>5934035.542363531</v>
          </cell>
          <cell r="D47">
            <v>1502814.5541851921</v>
          </cell>
          <cell r="E47">
            <v>547564.5506519539</v>
          </cell>
          <cell r="F47">
            <v>7984414.6472006766</v>
          </cell>
          <cell r="G47">
            <v>173.57423146088428</v>
          </cell>
          <cell r="H47">
            <v>5934814.4771189028</v>
          </cell>
          <cell r="I47">
            <v>1511919.9184419911</v>
          </cell>
          <cell r="J47">
            <v>549502.46343623055</v>
          </cell>
          <cell r="K47">
            <v>7996236.8589971252</v>
          </cell>
          <cell r="L47">
            <v>7996236.858997128</v>
          </cell>
          <cell r="M47">
            <v>2941455.7176430915</v>
          </cell>
          <cell r="N47">
            <v>14968865.408497538</v>
          </cell>
          <cell r="O47">
            <v>2690922.4327875362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0.01</v>
          </cell>
          <cell r="Z47">
            <v>0.02</v>
          </cell>
          <cell r="AA47">
            <v>0.03</v>
          </cell>
          <cell r="AB47">
            <v>0.04</v>
          </cell>
          <cell r="AC47">
            <v>0.04</v>
          </cell>
          <cell r="AD47">
            <v>0.05</v>
          </cell>
          <cell r="AE47">
            <v>6.0000000000000053E-2</v>
          </cell>
          <cell r="AF47">
            <v>6.0000000000000053E-2</v>
          </cell>
          <cell r="AG47">
            <v>6.0000000000000053E-2</v>
          </cell>
          <cell r="AH47">
            <v>6.0000000000000053E-2</v>
          </cell>
          <cell r="AI47">
            <v>6.0000000000000053E-2</v>
          </cell>
        </row>
        <row r="48">
          <cell r="A48" t="str">
            <v>Dicks Creek CT 1</v>
          </cell>
          <cell r="B48">
            <v>101</v>
          </cell>
          <cell r="C48">
            <v>9124677.8056697641</v>
          </cell>
          <cell r="D48">
            <v>1618494.2948594638</v>
          </cell>
          <cell r="E48">
            <v>584902.59869639389</v>
          </cell>
          <cell r="F48">
            <v>11328074.699225621</v>
          </cell>
          <cell r="G48">
            <v>112.15915543787744</v>
          </cell>
          <cell r="H48">
            <v>9130453.4880762044</v>
          </cell>
          <cell r="I48">
            <v>1716753.3817063302</v>
          </cell>
          <cell r="J48">
            <v>606236.65003054112</v>
          </cell>
          <cell r="K48">
            <v>11453443.519813076</v>
          </cell>
          <cell r="L48">
            <v>11453443.519813076</v>
          </cell>
          <cell r="M48">
            <v>1069464.9273213863</v>
          </cell>
          <cell r="N48">
            <v>26742912.013503056</v>
          </cell>
          <cell r="O48">
            <v>5478368.7204336179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0.01</v>
          </cell>
          <cell r="U48">
            <v>0.03</v>
          </cell>
          <cell r="V48">
            <v>0.04</v>
          </cell>
          <cell r="W48">
            <v>6.0000000000000053E-2</v>
          </cell>
          <cell r="X48">
            <v>0.08</v>
          </cell>
          <cell r="Y48">
            <v>0.12</v>
          </cell>
          <cell r="Z48">
            <v>0.15</v>
          </cell>
          <cell r="AA48">
            <v>0.18</v>
          </cell>
          <cell r="AB48">
            <v>0.22</v>
          </cell>
          <cell r="AC48">
            <v>0.25</v>
          </cell>
          <cell r="AD48">
            <v>0.27</v>
          </cell>
          <cell r="AE48">
            <v>0.28000000000000003</v>
          </cell>
          <cell r="AF48">
            <v>0.28999999999999998</v>
          </cell>
          <cell r="AG48">
            <v>0.3</v>
          </cell>
          <cell r="AH48">
            <v>0.3</v>
          </cell>
          <cell r="AI48">
            <v>0.31</v>
          </cell>
        </row>
        <row r="49">
          <cell r="A49" t="str">
            <v>Dicks Creek CT 3</v>
          </cell>
          <cell r="B49">
            <v>16.316666666666666</v>
          </cell>
          <cell r="C49">
            <v>1418208.2678702408</v>
          </cell>
          <cell r="D49">
            <v>257622.2636355625</v>
          </cell>
          <cell r="E49">
            <v>93230.115747212767</v>
          </cell>
          <cell r="F49">
            <v>1769060.647253016</v>
          </cell>
          <cell r="G49">
            <v>108.4204686774065</v>
          </cell>
          <cell r="H49">
            <v>1418724.7220785681</v>
          </cell>
          <cell r="I49">
            <v>272185.75264887221</v>
          </cell>
          <cell r="J49">
            <v>96091.012226381412</v>
          </cell>
          <cell r="K49">
            <v>1787001.4869538215</v>
          </cell>
          <cell r="L49">
            <v>1787001.4869538213</v>
          </cell>
          <cell r="M49">
            <v>168294.67421380695</v>
          </cell>
          <cell r="N49">
            <v>4164799.7359604901</v>
          </cell>
          <cell r="O49">
            <v>850323.41982686834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0.01</v>
          </cell>
          <cell r="U49">
            <v>0.03</v>
          </cell>
          <cell r="V49">
            <v>0.04</v>
          </cell>
          <cell r="W49">
            <v>6.0000000000000053E-2</v>
          </cell>
          <cell r="X49">
            <v>0.08</v>
          </cell>
          <cell r="Y49">
            <v>0.11</v>
          </cell>
          <cell r="Z49">
            <v>0.14000000000000001</v>
          </cell>
          <cell r="AA49">
            <v>0.17</v>
          </cell>
          <cell r="AB49">
            <v>0.21</v>
          </cell>
          <cell r="AC49">
            <v>0.25</v>
          </cell>
          <cell r="AD49">
            <v>0.27</v>
          </cell>
          <cell r="AE49">
            <v>0.28000000000000003</v>
          </cell>
          <cell r="AF49">
            <v>0.28999999999999998</v>
          </cell>
          <cell r="AG49">
            <v>0.3</v>
          </cell>
          <cell r="AH49">
            <v>0.3</v>
          </cell>
          <cell r="AI49">
            <v>0.3</v>
          </cell>
        </row>
        <row r="50">
          <cell r="A50" t="str">
            <v>Dicks Creek CT 4-5</v>
          </cell>
          <cell r="B50">
            <v>36.266666666666666</v>
          </cell>
          <cell r="C50">
            <v>3248324.72793276</v>
          </cell>
          <cell r="D50">
            <v>815736.80700823199</v>
          </cell>
          <cell r="E50">
            <v>298286.37660919467</v>
          </cell>
          <cell r="F50">
            <v>4362347.9115501866</v>
          </cell>
          <cell r="G50">
            <v>120.28532844347941</v>
          </cell>
          <cell r="H50">
            <v>3249353.5860834736</v>
          </cell>
          <cell r="I50">
            <v>826561.6204765148</v>
          </cell>
          <cell r="J50">
            <v>300144.26471521711</v>
          </cell>
          <cell r="K50">
            <v>4376059.4712752057</v>
          </cell>
          <cell r="L50">
            <v>4376059.4712752067</v>
          </cell>
          <cell r="M50">
            <v>1364037.3145811015</v>
          </cell>
          <cell r="N50">
            <v>11087371.453525146</v>
          </cell>
          <cell r="O50">
            <v>1798412.0237270871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0.01</v>
          </cell>
          <cell r="X50">
            <v>0.01</v>
          </cell>
          <cell r="Y50">
            <v>0.03</v>
          </cell>
          <cell r="Z50">
            <v>6.0000000000000053E-2</v>
          </cell>
          <cell r="AA50">
            <v>0.08</v>
          </cell>
          <cell r="AB50">
            <v>0.08</v>
          </cell>
          <cell r="AC50">
            <v>0.11</v>
          </cell>
          <cell r="AD50">
            <v>0.11</v>
          </cell>
          <cell r="AE50">
            <v>0.12</v>
          </cell>
          <cell r="AF50">
            <v>0.12</v>
          </cell>
          <cell r="AG50">
            <v>0.12</v>
          </cell>
          <cell r="AH50">
            <v>0.12</v>
          </cell>
          <cell r="AI50">
            <v>0.12</v>
          </cell>
        </row>
        <row r="51">
          <cell r="A51" t="str">
            <v>Miami Fort CT 3-6</v>
          </cell>
          <cell r="B51">
            <v>65.266666666666666</v>
          </cell>
          <cell r="C51">
            <v>5907473.4350208649</v>
          </cell>
          <cell r="D51">
            <v>1258422.6647718872</v>
          </cell>
          <cell r="E51">
            <v>458656.05007598724</v>
          </cell>
          <cell r="F51">
            <v>7624552.1498687398</v>
          </cell>
          <cell r="G51">
            <v>116.82153447194187</v>
          </cell>
          <cell r="H51">
            <v>5909791.6253355099</v>
          </cell>
          <cell r="I51">
            <v>1304514.8054157738</v>
          </cell>
          <cell r="J51">
            <v>466900.62943925767</v>
          </cell>
          <cell r="K51">
            <v>7681207.0601905417</v>
          </cell>
          <cell r="L51">
            <v>7681207.0601905398</v>
          </cell>
          <cell r="M51">
            <v>1162377.6316985397</v>
          </cell>
          <cell r="N51">
            <v>17226489.577363409</v>
          </cell>
          <cell r="O51">
            <v>3462589.0486326511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0.01</v>
          </cell>
          <cell r="V51">
            <v>0.01</v>
          </cell>
          <cell r="W51">
            <v>0.04</v>
          </cell>
          <cell r="X51">
            <v>0.04</v>
          </cell>
          <cell r="Y51">
            <v>6.9999999999999951E-2</v>
          </cell>
          <cell r="Z51">
            <v>0.08</v>
          </cell>
          <cell r="AA51">
            <v>0.13</v>
          </cell>
          <cell r="AB51">
            <v>0.17</v>
          </cell>
          <cell r="AC51">
            <v>0.19</v>
          </cell>
          <cell r="AD51">
            <v>0.21</v>
          </cell>
          <cell r="AE51">
            <v>0.21</v>
          </cell>
          <cell r="AF51">
            <v>0.22</v>
          </cell>
          <cell r="AG51">
            <v>0.22</v>
          </cell>
          <cell r="AH51">
            <v>0.22</v>
          </cell>
          <cell r="AI51">
            <v>0.22</v>
          </cell>
        </row>
        <row r="52">
          <cell r="A52" t="str">
            <v>Miami-Wabash CT 1-6</v>
          </cell>
          <cell r="B52">
            <v>99</v>
          </cell>
          <cell r="C52">
            <v>10567628.977797288</v>
          </cell>
          <cell r="D52">
            <v>1311944.0761585843</v>
          </cell>
          <cell r="E52">
            <v>465327.42519505997</v>
          </cell>
          <cell r="F52">
            <v>12344900.479150934</v>
          </cell>
          <cell r="G52">
            <v>124.69596443586802</v>
          </cell>
          <cell r="H52">
            <v>10593156.966889681</v>
          </cell>
          <cell r="I52">
            <v>1470269.9821026702</v>
          </cell>
          <cell r="J52">
            <v>506281.52853028249</v>
          </cell>
          <cell r="K52">
            <v>12569708.477522634</v>
          </cell>
          <cell r="L52">
            <v>12569708.47752263</v>
          </cell>
          <cell r="M52">
            <v>3097813.992245602</v>
          </cell>
          <cell r="N52">
            <v>27823015.072318189</v>
          </cell>
          <cell r="O52">
            <v>5424531.4000453996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0.04</v>
          </cell>
          <cell r="Y52">
            <v>0.14000000000000001</v>
          </cell>
          <cell r="Z52">
            <v>0.24</v>
          </cell>
          <cell r="AA52">
            <v>0.26</v>
          </cell>
          <cell r="AB52">
            <v>0.28999999999999998</v>
          </cell>
          <cell r="AC52">
            <v>0.35</v>
          </cell>
          <cell r="AD52">
            <v>0.37</v>
          </cell>
          <cell r="AE52">
            <v>0.37</v>
          </cell>
          <cell r="AF52">
            <v>0.37</v>
          </cell>
          <cell r="AG52">
            <v>0.37</v>
          </cell>
          <cell r="AH52">
            <v>0.37</v>
          </cell>
          <cell r="AI52">
            <v>0.37</v>
          </cell>
        </row>
        <row r="53">
          <cell r="A53" t="str">
            <v>Wabash Diesel 7A-B</v>
          </cell>
          <cell r="B53">
            <v>8</v>
          </cell>
          <cell r="C53">
            <v>1443790.6268428373</v>
          </cell>
          <cell r="D53">
            <v>481001.6177541482</v>
          </cell>
          <cell r="E53">
            <v>174500.35268396913</v>
          </cell>
          <cell r="F53">
            <v>2099292.5972809549</v>
          </cell>
          <cell r="G53">
            <v>262.41157466011936</v>
          </cell>
          <cell r="H53">
            <v>1443790.6268428378</v>
          </cell>
          <cell r="I53">
            <v>481369.52742529335</v>
          </cell>
          <cell r="J53">
            <v>174282.74310009892</v>
          </cell>
          <cell r="K53">
            <v>2099442.8973682299</v>
          </cell>
          <cell r="L53">
            <v>2099442.8973682304</v>
          </cell>
          <cell r="M53">
            <v>904831.38877290091</v>
          </cell>
          <cell r="N53">
            <v>3595177.0457501058</v>
          </cell>
          <cell r="O53">
            <v>580405.38344878634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0.01</v>
          </cell>
          <cell r="AD53">
            <v>0.01</v>
          </cell>
          <cell r="AE53">
            <v>0.02</v>
          </cell>
          <cell r="AF53">
            <v>0.02</v>
          </cell>
          <cell r="AG53">
            <v>0.02</v>
          </cell>
          <cell r="AH53">
            <v>0.02</v>
          </cell>
          <cell r="AI53">
            <v>0.02</v>
          </cell>
        </row>
        <row r="54">
          <cell r="A54" t="str">
            <v>W.C. Beckjord CT 1</v>
          </cell>
          <cell r="B54">
            <v>53.683333333333337</v>
          </cell>
          <cell r="C54">
            <v>5668755.2719469713</v>
          </cell>
          <cell r="D54">
            <v>1429581.1297394359</v>
          </cell>
          <cell r="E54">
            <v>522673.94089414121</v>
          </cell>
          <cell r="F54">
            <v>7621010.3425805485</v>
          </cell>
          <cell r="G54">
            <v>141.96231622317072</v>
          </cell>
          <cell r="H54">
            <v>5669466.2032499826</v>
          </cell>
          <cell r="I54">
            <v>1451477.6493671946</v>
          </cell>
          <cell r="J54">
            <v>525353.6822527661</v>
          </cell>
          <cell r="K54">
            <v>7646297.5348699428</v>
          </cell>
          <cell r="L54">
            <v>7646297.5348699447</v>
          </cell>
          <cell r="M54">
            <v>1553183.0487524916</v>
          </cell>
          <cell r="N54">
            <v>16163943.792744581</v>
          </cell>
          <cell r="O54">
            <v>3167108.6187895853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0.02</v>
          </cell>
          <cell r="Z54">
            <v>0.05</v>
          </cell>
          <cell r="AA54">
            <v>6.9999999999999951E-2</v>
          </cell>
          <cell r="AB54">
            <v>0.08</v>
          </cell>
          <cell r="AC54">
            <v>0.11</v>
          </cell>
          <cell r="AD54">
            <v>0.12</v>
          </cell>
          <cell r="AE54">
            <v>0.13</v>
          </cell>
          <cell r="AF54">
            <v>0.14000000000000001</v>
          </cell>
          <cell r="AG54">
            <v>0.14000000000000001</v>
          </cell>
          <cell r="AH54">
            <v>0.14000000000000001</v>
          </cell>
          <cell r="AI54">
            <v>0.14000000000000001</v>
          </cell>
        </row>
        <row r="55">
          <cell r="A55" t="str">
            <v>W.C. Beckjord CT 2</v>
          </cell>
          <cell r="B55">
            <v>53.683333333333337</v>
          </cell>
          <cell r="C55">
            <v>5668755.2719469713</v>
          </cell>
          <cell r="D55">
            <v>1429581.1297394359</v>
          </cell>
          <cell r="E55">
            <v>522673.94089414121</v>
          </cell>
          <cell r="F55">
            <v>7621010.3425805485</v>
          </cell>
          <cell r="G55">
            <v>141.96231622317072</v>
          </cell>
          <cell r="H55">
            <v>5669466.2032499826</v>
          </cell>
          <cell r="I55">
            <v>1451477.6493671946</v>
          </cell>
          <cell r="J55">
            <v>525353.6822527661</v>
          </cell>
          <cell r="K55">
            <v>7646297.5348699428</v>
          </cell>
          <cell r="L55">
            <v>7646297.5348699447</v>
          </cell>
          <cell r="M55">
            <v>1553183.0487524916</v>
          </cell>
          <cell r="N55">
            <v>16163943.792744581</v>
          </cell>
          <cell r="O55">
            <v>3167108.6187895853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0.02</v>
          </cell>
          <cell r="Z55">
            <v>0.05</v>
          </cell>
          <cell r="AA55">
            <v>6.9999999999999951E-2</v>
          </cell>
          <cell r="AB55">
            <v>0.08</v>
          </cell>
          <cell r="AC55">
            <v>0.11</v>
          </cell>
          <cell r="AD55">
            <v>0.12</v>
          </cell>
          <cell r="AE55">
            <v>0.13</v>
          </cell>
          <cell r="AF55">
            <v>0.14000000000000001</v>
          </cell>
          <cell r="AG55">
            <v>0.14000000000000001</v>
          </cell>
          <cell r="AH55">
            <v>0.14000000000000001</v>
          </cell>
          <cell r="AI55">
            <v>0.14000000000000001</v>
          </cell>
        </row>
        <row r="56">
          <cell r="A56" t="str">
            <v>W.C. Beckjord CT 3</v>
          </cell>
          <cell r="B56">
            <v>53.683333333333337</v>
          </cell>
          <cell r="C56">
            <v>5668755.2719469713</v>
          </cell>
          <cell r="D56">
            <v>1429581.1297394359</v>
          </cell>
          <cell r="E56">
            <v>522673.94089414121</v>
          </cell>
          <cell r="F56">
            <v>7621010.3425805485</v>
          </cell>
          <cell r="G56">
            <v>141.96231622317072</v>
          </cell>
          <cell r="H56">
            <v>5669466.2032499826</v>
          </cell>
          <cell r="I56">
            <v>1451477.6493671946</v>
          </cell>
          <cell r="J56">
            <v>525353.6822527661</v>
          </cell>
          <cell r="K56">
            <v>7646297.5348699428</v>
          </cell>
          <cell r="L56">
            <v>7646297.5348699447</v>
          </cell>
          <cell r="M56">
            <v>1553183.0487524916</v>
          </cell>
          <cell r="N56">
            <v>16163943.792744581</v>
          </cell>
          <cell r="O56">
            <v>3167108.6187895853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0.02</v>
          </cell>
          <cell r="Z56">
            <v>0.05</v>
          </cell>
          <cell r="AA56">
            <v>6.9999999999999951E-2</v>
          </cell>
          <cell r="AB56">
            <v>0.08</v>
          </cell>
          <cell r="AC56">
            <v>0.11</v>
          </cell>
          <cell r="AD56">
            <v>0.12</v>
          </cell>
          <cell r="AE56">
            <v>0.13</v>
          </cell>
          <cell r="AF56">
            <v>0.14000000000000001</v>
          </cell>
          <cell r="AG56">
            <v>0.14000000000000001</v>
          </cell>
          <cell r="AH56">
            <v>0.14000000000000001</v>
          </cell>
          <cell r="AI56">
            <v>0.14000000000000001</v>
          </cell>
        </row>
        <row r="57">
          <cell r="A57" t="str">
            <v>W.C. Beckjord CT 4</v>
          </cell>
          <cell r="B57">
            <v>53.683333333333337</v>
          </cell>
          <cell r="C57">
            <v>5668755.2719469713</v>
          </cell>
          <cell r="D57">
            <v>1429581.1297394359</v>
          </cell>
          <cell r="E57">
            <v>522673.94089414121</v>
          </cell>
          <cell r="F57">
            <v>7621010.3425805485</v>
          </cell>
          <cell r="G57">
            <v>141.96231622317072</v>
          </cell>
          <cell r="H57">
            <v>5669466.2032499826</v>
          </cell>
          <cell r="I57">
            <v>1451477.6493671946</v>
          </cell>
          <cell r="J57">
            <v>525353.6822527661</v>
          </cell>
          <cell r="K57">
            <v>7646297.5348699428</v>
          </cell>
          <cell r="L57">
            <v>7646297.5348699447</v>
          </cell>
          <cell r="M57">
            <v>1553183.0487524916</v>
          </cell>
          <cell r="N57">
            <v>16163943.792744581</v>
          </cell>
          <cell r="O57">
            <v>3167108.6187895853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0.02</v>
          </cell>
          <cell r="Z57">
            <v>0.05</v>
          </cell>
          <cell r="AA57">
            <v>6.9999999999999951E-2</v>
          </cell>
          <cell r="AB57">
            <v>0.08</v>
          </cell>
          <cell r="AC57">
            <v>0.11</v>
          </cell>
          <cell r="AD57">
            <v>0.12</v>
          </cell>
          <cell r="AE57">
            <v>0.13</v>
          </cell>
          <cell r="AF57">
            <v>0.14000000000000001</v>
          </cell>
          <cell r="AG57">
            <v>0.14000000000000001</v>
          </cell>
          <cell r="AH57">
            <v>0.14000000000000001</v>
          </cell>
          <cell r="AI57">
            <v>0.14000000000000001</v>
          </cell>
        </row>
        <row r="58">
          <cell r="A58" t="str">
            <v>Woodsdale CT 1</v>
          </cell>
          <cell r="B58">
            <v>85.666666666666671</v>
          </cell>
          <cell r="C58">
            <v>14004806.432446932</v>
          </cell>
          <cell r="D58">
            <v>2956153.5539332293</v>
          </cell>
          <cell r="E58">
            <v>1088802.4007813698</v>
          </cell>
          <cell r="F58">
            <v>18049762.387161531</v>
          </cell>
          <cell r="G58">
            <v>210.69761541433692</v>
          </cell>
          <cell r="H58">
            <v>14006408.031864585</v>
          </cell>
          <cell r="I58">
            <v>2979375.1328363949</v>
          </cell>
          <cell r="J58">
            <v>1090811.2929998203</v>
          </cell>
          <cell r="K58">
            <v>18076594.4577008</v>
          </cell>
          <cell r="L58">
            <v>18076594.4577008</v>
          </cell>
          <cell r="M58">
            <v>9225787.8211531583</v>
          </cell>
          <cell r="N58">
            <v>36460198.211262271</v>
          </cell>
          <cell r="O58">
            <v>5077611.7262135362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0.02</v>
          </cell>
          <cell r="Z58">
            <v>0.02</v>
          </cell>
          <cell r="AA58">
            <v>0.02</v>
          </cell>
          <cell r="AB58">
            <v>0.02</v>
          </cell>
          <cell r="AC58">
            <v>0.04</v>
          </cell>
          <cell r="AD58">
            <v>6.0000000000000053E-2</v>
          </cell>
          <cell r="AE58">
            <v>6.0000000000000053E-2</v>
          </cell>
          <cell r="AF58">
            <v>6.9999999999999951E-2</v>
          </cell>
          <cell r="AG58">
            <v>6.9999999999999951E-2</v>
          </cell>
          <cell r="AH58">
            <v>6.9999999999999951E-2</v>
          </cell>
          <cell r="AI58">
            <v>6.9999999999999951E-2</v>
          </cell>
        </row>
        <row r="59">
          <cell r="A59" t="str">
            <v>Woodsdale CT 2</v>
          </cell>
          <cell r="B59">
            <v>85.666666666666671</v>
          </cell>
          <cell r="C59">
            <v>14004806.432446932</v>
          </cell>
          <cell r="D59">
            <v>2956153.5539332293</v>
          </cell>
          <cell r="E59">
            <v>1088802.4007813698</v>
          </cell>
          <cell r="F59">
            <v>18049762.387161531</v>
          </cell>
          <cell r="G59">
            <v>210.69761541433692</v>
          </cell>
          <cell r="H59">
            <v>14006408.031864585</v>
          </cell>
          <cell r="I59">
            <v>2979375.1328363949</v>
          </cell>
          <cell r="J59">
            <v>1090811.2929998203</v>
          </cell>
          <cell r="K59">
            <v>18076594.4577008</v>
          </cell>
          <cell r="L59">
            <v>18076594.4577008</v>
          </cell>
          <cell r="M59">
            <v>9225787.8211531583</v>
          </cell>
          <cell r="N59">
            <v>36460198.211262271</v>
          </cell>
          <cell r="O59">
            <v>5077611.7262135362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0.02</v>
          </cell>
          <cell r="Z59">
            <v>0.02</v>
          </cell>
          <cell r="AA59">
            <v>0.02</v>
          </cell>
          <cell r="AB59">
            <v>0.02</v>
          </cell>
          <cell r="AC59">
            <v>0.04</v>
          </cell>
          <cell r="AD59">
            <v>6.0000000000000053E-2</v>
          </cell>
          <cell r="AE59">
            <v>6.0000000000000053E-2</v>
          </cell>
          <cell r="AF59">
            <v>6.9999999999999951E-2</v>
          </cell>
          <cell r="AG59">
            <v>6.9999999999999951E-2</v>
          </cell>
          <cell r="AH59">
            <v>6.9999999999999951E-2</v>
          </cell>
          <cell r="AI59">
            <v>6.9999999999999951E-2</v>
          </cell>
        </row>
        <row r="60">
          <cell r="A60" t="str">
            <v>Woodsdale CT 3</v>
          </cell>
          <cell r="B60">
            <v>85.666666666666671</v>
          </cell>
          <cell r="C60">
            <v>14004806.432446932</v>
          </cell>
          <cell r="D60">
            <v>2956153.5539332293</v>
          </cell>
          <cell r="E60">
            <v>1088802.4007813698</v>
          </cell>
          <cell r="F60">
            <v>18049762.387161531</v>
          </cell>
          <cell r="G60">
            <v>210.69761541433692</v>
          </cell>
          <cell r="H60">
            <v>14006408.031864585</v>
          </cell>
          <cell r="I60">
            <v>2979375.1328363949</v>
          </cell>
          <cell r="J60">
            <v>1090811.2929998203</v>
          </cell>
          <cell r="K60">
            <v>18076594.4577008</v>
          </cell>
          <cell r="L60">
            <v>18076594.4577008</v>
          </cell>
          <cell r="M60">
            <v>9225787.8211531583</v>
          </cell>
          <cell r="N60">
            <v>36460198.211262271</v>
          </cell>
          <cell r="O60">
            <v>5077611.7262135362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0.02</v>
          </cell>
          <cell r="Z60">
            <v>0.02</v>
          </cell>
          <cell r="AA60">
            <v>0.02</v>
          </cell>
          <cell r="AB60">
            <v>0.02</v>
          </cell>
          <cell r="AC60">
            <v>0.04</v>
          </cell>
          <cell r="AD60">
            <v>6.0000000000000053E-2</v>
          </cell>
          <cell r="AE60">
            <v>6.0000000000000053E-2</v>
          </cell>
          <cell r="AF60">
            <v>6.9999999999999951E-2</v>
          </cell>
          <cell r="AG60">
            <v>6.9999999999999951E-2</v>
          </cell>
          <cell r="AH60">
            <v>6.9999999999999951E-2</v>
          </cell>
          <cell r="AI60">
            <v>6.9999999999999951E-2</v>
          </cell>
        </row>
        <row r="61">
          <cell r="A61" t="str">
            <v>Woodsdale CT 4</v>
          </cell>
          <cell r="B61">
            <v>85.666666666666671</v>
          </cell>
          <cell r="C61">
            <v>14004806.432446932</v>
          </cell>
          <cell r="D61">
            <v>2956153.5539332293</v>
          </cell>
          <cell r="E61">
            <v>1088802.4007813698</v>
          </cell>
          <cell r="F61">
            <v>18049762.387161531</v>
          </cell>
          <cell r="G61">
            <v>210.69761541433692</v>
          </cell>
          <cell r="H61">
            <v>14006408.031864585</v>
          </cell>
          <cell r="I61">
            <v>2979375.1328363949</v>
          </cell>
          <cell r="J61">
            <v>1090811.2929998203</v>
          </cell>
          <cell r="K61">
            <v>18076594.4577008</v>
          </cell>
          <cell r="L61">
            <v>18076594.4577008</v>
          </cell>
          <cell r="M61">
            <v>9225787.8211531583</v>
          </cell>
          <cell r="N61">
            <v>36460198.211262271</v>
          </cell>
          <cell r="O61">
            <v>5077611.7262135362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0.02</v>
          </cell>
          <cell r="Z61">
            <v>0.02</v>
          </cell>
          <cell r="AA61">
            <v>0.02</v>
          </cell>
          <cell r="AB61">
            <v>0.02</v>
          </cell>
          <cell r="AC61">
            <v>0.04</v>
          </cell>
          <cell r="AD61">
            <v>6.0000000000000053E-2</v>
          </cell>
          <cell r="AE61">
            <v>6.0000000000000053E-2</v>
          </cell>
          <cell r="AF61">
            <v>6.9999999999999951E-2</v>
          </cell>
          <cell r="AG61">
            <v>6.9999999999999951E-2</v>
          </cell>
          <cell r="AH61">
            <v>6.9999999999999951E-2</v>
          </cell>
          <cell r="AI61">
            <v>6.9999999999999951E-2</v>
          </cell>
        </row>
        <row r="62">
          <cell r="A62" t="str">
            <v>Woodsdale CT 5</v>
          </cell>
          <cell r="B62">
            <v>85.666666666666671</v>
          </cell>
          <cell r="C62">
            <v>14004806.432446932</v>
          </cell>
          <cell r="D62">
            <v>2956153.5539332293</v>
          </cell>
          <cell r="E62">
            <v>1088802.4007813698</v>
          </cell>
          <cell r="F62">
            <v>18049762.387161531</v>
          </cell>
          <cell r="G62">
            <v>210.69761541433692</v>
          </cell>
          <cell r="H62">
            <v>14006408.031864585</v>
          </cell>
          <cell r="I62">
            <v>2979375.1328363949</v>
          </cell>
          <cell r="J62">
            <v>1090811.2929998203</v>
          </cell>
          <cell r="K62">
            <v>18076594.4577008</v>
          </cell>
          <cell r="L62">
            <v>18076594.4577008</v>
          </cell>
          <cell r="M62">
            <v>9225787.8211531583</v>
          </cell>
          <cell r="N62">
            <v>36460198.211262271</v>
          </cell>
          <cell r="O62">
            <v>5077611.7262135362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0.02</v>
          </cell>
          <cell r="Z62">
            <v>0.02</v>
          </cell>
          <cell r="AA62">
            <v>0.02</v>
          </cell>
          <cell r="AB62">
            <v>0.02</v>
          </cell>
          <cell r="AC62">
            <v>0.04</v>
          </cell>
          <cell r="AD62">
            <v>6.0000000000000053E-2</v>
          </cell>
          <cell r="AE62">
            <v>6.0000000000000053E-2</v>
          </cell>
          <cell r="AF62">
            <v>6.9999999999999951E-2</v>
          </cell>
          <cell r="AG62">
            <v>6.9999999999999951E-2</v>
          </cell>
          <cell r="AH62">
            <v>6.9999999999999951E-2</v>
          </cell>
          <cell r="AI62">
            <v>6.9999999999999951E-2</v>
          </cell>
        </row>
        <row r="63">
          <cell r="A63" t="str">
            <v>Woodsdale CT 6</v>
          </cell>
          <cell r="B63">
            <v>85.666666666666671</v>
          </cell>
          <cell r="C63">
            <v>14004806.432446932</v>
          </cell>
          <cell r="D63">
            <v>2956153.5539332293</v>
          </cell>
          <cell r="E63">
            <v>1088802.4007813698</v>
          </cell>
          <cell r="F63">
            <v>18049762.387161531</v>
          </cell>
          <cell r="G63">
            <v>210.69761541433692</v>
          </cell>
          <cell r="H63">
            <v>14006408.031864585</v>
          </cell>
          <cell r="I63">
            <v>2979375.1328363949</v>
          </cell>
          <cell r="J63">
            <v>1090811.2929998203</v>
          </cell>
          <cell r="K63">
            <v>18076594.4577008</v>
          </cell>
          <cell r="L63">
            <v>18076594.4577008</v>
          </cell>
          <cell r="M63">
            <v>9225787.8211531583</v>
          </cell>
          <cell r="N63">
            <v>36460198.211262271</v>
          </cell>
          <cell r="O63">
            <v>5077611.7262135362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0.02</v>
          </cell>
          <cell r="Z63">
            <v>0.02</v>
          </cell>
          <cell r="AA63">
            <v>0.02</v>
          </cell>
          <cell r="AB63">
            <v>0.02</v>
          </cell>
          <cell r="AC63">
            <v>0.04</v>
          </cell>
          <cell r="AD63">
            <v>6.0000000000000053E-2</v>
          </cell>
          <cell r="AE63">
            <v>6.0000000000000053E-2</v>
          </cell>
          <cell r="AF63">
            <v>6.9999999999999951E-2</v>
          </cell>
          <cell r="AG63">
            <v>6.9999999999999951E-2</v>
          </cell>
          <cell r="AH63">
            <v>6.9999999999999951E-2</v>
          </cell>
          <cell r="AI63">
            <v>6.9999999999999951E-2</v>
          </cell>
        </row>
        <row r="64">
          <cell r="A64" t="str">
            <v>Markland 1 -3</v>
          </cell>
          <cell r="B64">
            <v>45</v>
          </cell>
          <cell r="C64">
            <v>30138760.777275316</v>
          </cell>
          <cell r="D64">
            <v>15642646.30078895</v>
          </cell>
          <cell r="E64">
            <v>5584642.0437813774</v>
          </cell>
          <cell r="F64">
            <v>51366049.12184564</v>
          </cell>
          <cell r="G64">
            <v>1141.4677582632364</v>
          </cell>
          <cell r="H64">
            <v>30138760.777275316</v>
          </cell>
          <cell r="I64">
            <v>15642646.30078895</v>
          </cell>
          <cell r="J64">
            <v>5584642.0437813774</v>
          </cell>
          <cell r="K64">
            <v>51366049.12184564</v>
          </cell>
          <cell r="L64">
            <v>51366049.121845625</v>
          </cell>
          <cell r="M64">
            <v>38825002.278759837</v>
          </cell>
          <cell r="N64">
            <v>64277373.358811937</v>
          </cell>
          <cell r="O64">
            <v>5255835.427554559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</sheetData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5.xml"/><Relationship Id="rId18" Type="http://schemas.openxmlformats.org/officeDocument/2006/relationships/ctrlProp" Target="../ctrlProps/ctrlProp50.xml"/><Relationship Id="rId26" Type="http://schemas.openxmlformats.org/officeDocument/2006/relationships/ctrlProp" Target="../ctrlProps/ctrlProp58.xml"/><Relationship Id="rId21" Type="http://schemas.openxmlformats.org/officeDocument/2006/relationships/ctrlProp" Target="../ctrlProps/ctrlProp53.xml"/><Relationship Id="rId34" Type="http://schemas.openxmlformats.org/officeDocument/2006/relationships/ctrlProp" Target="../ctrlProps/ctrlProp66.xml"/><Relationship Id="rId7" Type="http://schemas.openxmlformats.org/officeDocument/2006/relationships/ctrlProp" Target="../ctrlProps/ctrlProp39.xml"/><Relationship Id="rId12" Type="http://schemas.openxmlformats.org/officeDocument/2006/relationships/ctrlProp" Target="../ctrlProps/ctrlProp44.xml"/><Relationship Id="rId17" Type="http://schemas.openxmlformats.org/officeDocument/2006/relationships/ctrlProp" Target="../ctrlProps/ctrlProp49.xml"/><Relationship Id="rId25" Type="http://schemas.openxmlformats.org/officeDocument/2006/relationships/ctrlProp" Target="../ctrlProps/ctrlProp57.xml"/><Relationship Id="rId33" Type="http://schemas.openxmlformats.org/officeDocument/2006/relationships/ctrlProp" Target="../ctrlProps/ctrlProp65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48.xml"/><Relationship Id="rId20" Type="http://schemas.openxmlformats.org/officeDocument/2006/relationships/ctrlProp" Target="../ctrlProps/ctrlProp52.xml"/><Relationship Id="rId29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8.xml"/><Relationship Id="rId11" Type="http://schemas.openxmlformats.org/officeDocument/2006/relationships/ctrlProp" Target="../ctrlProps/ctrlProp43.xml"/><Relationship Id="rId24" Type="http://schemas.openxmlformats.org/officeDocument/2006/relationships/ctrlProp" Target="../ctrlProps/ctrlProp56.xml"/><Relationship Id="rId32" Type="http://schemas.openxmlformats.org/officeDocument/2006/relationships/ctrlProp" Target="../ctrlProps/ctrlProp64.xml"/><Relationship Id="rId37" Type="http://schemas.openxmlformats.org/officeDocument/2006/relationships/ctrlProp" Target="../ctrlProps/ctrlProp69.xml"/><Relationship Id="rId5" Type="http://schemas.openxmlformats.org/officeDocument/2006/relationships/ctrlProp" Target="../ctrlProps/ctrlProp37.xml"/><Relationship Id="rId15" Type="http://schemas.openxmlformats.org/officeDocument/2006/relationships/ctrlProp" Target="../ctrlProps/ctrlProp47.xml"/><Relationship Id="rId23" Type="http://schemas.openxmlformats.org/officeDocument/2006/relationships/ctrlProp" Target="../ctrlProps/ctrlProp55.xml"/><Relationship Id="rId28" Type="http://schemas.openxmlformats.org/officeDocument/2006/relationships/ctrlProp" Target="../ctrlProps/ctrlProp60.xml"/><Relationship Id="rId36" Type="http://schemas.openxmlformats.org/officeDocument/2006/relationships/ctrlProp" Target="../ctrlProps/ctrlProp68.xml"/><Relationship Id="rId10" Type="http://schemas.openxmlformats.org/officeDocument/2006/relationships/ctrlProp" Target="../ctrlProps/ctrlProp42.xml"/><Relationship Id="rId19" Type="http://schemas.openxmlformats.org/officeDocument/2006/relationships/ctrlProp" Target="../ctrlProps/ctrlProp51.xml"/><Relationship Id="rId31" Type="http://schemas.openxmlformats.org/officeDocument/2006/relationships/ctrlProp" Target="../ctrlProps/ctrlProp63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Relationship Id="rId14" Type="http://schemas.openxmlformats.org/officeDocument/2006/relationships/ctrlProp" Target="../ctrlProps/ctrlProp46.xml"/><Relationship Id="rId22" Type="http://schemas.openxmlformats.org/officeDocument/2006/relationships/ctrlProp" Target="../ctrlProps/ctrlProp54.xml"/><Relationship Id="rId27" Type="http://schemas.openxmlformats.org/officeDocument/2006/relationships/ctrlProp" Target="../ctrlProps/ctrlProp59.xml"/><Relationship Id="rId30" Type="http://schemas.openxmlformats.org/officeDocument/2006/relationships/ctrlProp" Target="../ctrlProps/ctrlProp62.xml"/><Relationship Id="rId35" Type="http://schemas.openxmlformats.org/officeDocument/2006/relationships/ctrlProp" Target="../ctrlProps/ctrlProp67.xml"/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51"/>
  <sheetViews>
    <sheetView workbookViewId="0"/>
  </sheetViews>
  <sheetFormatPr defaultColWidth="7.5703125" defaultRowHeight="12.75" x14ac:dyDescent="0.2"/>
  <cols>
    <col min="1" max="1" width="7.5703125" style="4" customWidth="1"/>
    <col min="2" max="2" width="16.28515625" customWidth="1"/>
    <col min="3" max="3" width="10" bestFit="1" customWidth="1"/>
    <col min="4" max="4" width="14.5703125" bestFit="1" customWidth="1"/>
    <col min="5" max="6" width="15" bestFit="1" customWidth="1"/>
    <col min="7" max="7" width="10.85546875" hidden="1" customWidth="1"/>
    <col min="8" max="8" width="15" bestFit="1" customWidth="1"/>
    <col min="9" max="9" width="7.42578125" bestFit="1" customWidth="1"/>
    <col min="10" max="16384" width="7.5703125" style="9"/>
  </cols>
  <sheetData>
    <row r="1" spans="1:9" x14ac:dyDescent="0.2">
      <c r="D1" s="26">
        <v>0</v>
      </c>
      <c r="E1" s="26">
        <v>0</v>
      </c>
      <c r="F1" s="26">
        <v>0</v>
      </c>
      <c r="G1" s="26">
        <v>0</v>
      </c>
      <c r="H1" s="68"/>
    </row>
    <row r="2" spans="1:9" ht="13.5" thickBot="1" x14ac:dyDescent="0.25">
      <c r="D2" s="26">
        <f>IS!C27</f>
        <v>105556107.43194699</v>
      </c>
      <c r="E2" s="26">
        <f>IS!C28</f>
        <v>161194638.9784508</v>
      </c>
      <c r="F2" s="26">
        <f>IS!C29</f>
        <v>34012149.472476713</v>
      </c>
      <c r="G2" s="26">
        <f>IS!C30</f>
        <v>300762895.88287449</v>
      </c>
      <c r="H2" s="68"/>
    </row>
    <row r="3" spans="1:9" ht="13.5" thickBot="1" x14ac:dyDescent="0.25">
      <c r="A3" s="84" t="s">
        <v>155</v>
      </c>
      <c r="B3" s="85"/>
      <c r="C3" s="86"/>
      <c r="D3" s="471"/>
      <c r="E3" s="6"/>
      <c r="F3" s="6"/>
      <c r="G3" s="6"/>
      <c r="H3" s="6"/>
    </row>
    <row r="4" spans="1:9" x14ac:dyDescent="0.2">
      <c r="D4" s="6"/>
      <c r="E4" s="6"/>
      <c r="F4" s="6"/>
      <c r="G4" s="6"/>
      <c r="H4" s="6"/>
    </row>
    <row r="5" spans="1:9" x14ac:dyDescent="0.2">
      <c r="A5" s="66" t="s">
        <v>132</v>
      </c>
      <c r="C5" s="24"/>
      <c r="D5" s="83"/>
      <c r="E5" s="6"/>
      <c r="F5" s="6"/>
      <c r="G5" s="6"/>
      <c r="H5" s="6"/>
    </row>
    <row r="6" spans="1:9" x14ac:dyDescent="0.2">
      <c r="A6" s="66"/>
      <c r="C6" s="24"/>
      <c r="D6" s="83"/>
      <c r="E6" s="6"/>
      <c r="F6" s="6"/>
      <c r="G6" s="6"/>
      <c r="H6" s="6"/>
    </row>
    <row r="7" spans="1:9" x14ac:dyDescent="0.2">
      <c r="A7" s="66"/>
      <c r="C7" s="24"/>
      <c r="D7" s="83"/>
      <c r="E7" s="6"/>
      <c r="F7" s="6"/>
      <c r="G7" s="6"/>
      <c r="H7" s="6"/>
    </row>
    <row r="8" spans="1:9" ht="13.5" thickBot="1" x14ac:dyDescent="0.25">
      <c r="A8" s="66"/>
      <c r="C8" s="460"/>
      <c r="D8" s="461"/>
      <c r="E8" s="6"/>
      <c r="F8" s="6"/>
      <c r="G8" s="6"/>
      <c r="H8" s="6"/>
    </row>
    <row r="9" spans="1:9" ht="13.5" thickBot="1" x14ac:dyDescent="0.25">
      <c r="A9" s="66"/>
      <c r="B9" s="193"/>
      <c r="C9" s="195"/>
      <c r="D9" s="195" t="s">
        <v>89</v>
      </c>
      <c r="E9" s="195" t="s">
        <v>89</v>
      </c>
      <c r="F9" s="195" t="s">
        <v>89</v>
      </c>
      <c r="G9" s="25"/>
      <c r="H9" s="195" t="s">
        <v>135</v>
      </c>
      <c r="I9" s="195"/>
    </row>
    <row r="10" spans="1:9" ht="13.5" thickBot="1" x14ac:dyDescent="0.25">
      <c r="A10" s="66"/>
      <c r="B10" s="194" t="s">
        <v>88</v>
      </c>
      <c r="C10" s="25" t="s">
        <v>26</v>
      </c>
      <c r="D10" s="198" t="s">
        <v>169</v>
      </c>
      <c r="E10" s="198" t="s">
        <v>173</v>
      </c>
      <c r="F10" s="198" t="s">
        <v>106</v>
      </c>
      <c r="G10" s="282"/>
      <c r="H10" s="25" t="s">
        <v>89</v>
      </c>
      <c r="I10" s="25" t="s">
        <v>90</v>
      </c>
    </row>
    <row r="11" spans="1:9" x14ac:dyDescent="0.2">
      <c r="A11" s="66"/>
      <c r="B11" s="462" t="s">
        <v>175</v>
      </c>
      <c r="C11" s="199">
        <f>SUM(Summary!C17:C34)</f>
        <v>4183.3500000000004</v>
      </c>
      <c r="D11" s="200">
        <f>SUM(Summary!D17:D34)</f>
        <v>1373280817.7461238</v>
      </c>
      <c r="E11" s="200">
        <f>SUM(Summary!E17:E34)</f>
        <v>2035103705.3340032</v>
      </c>
      <c r="F11" s="200">
        <f>SUM(Summary!F17:F34)</f>
        <v>441405886.74126685</v>
      </c>
      <c r="G11" s="200"/>
      <c r="H11" s="200">
        <f>SUM(Summary!H17:H34)</f>
        <v>3849790409.821394</v>
      </c>
      <c r="I11" s="200">
        <f>SUM(Summary!I17:I34)</f>
        <v>15131.552817550304</v>
      </c>
    </row>
    <row r="12" spans="1:9" ht="13.5" thickBot="1" x14ac:dyDescent="0.25">
      <c r="A12" s="66"/>
      <c r="B12" s="463" t="s">
        <v>176</v>
      </c>
      <c r="C12" s="197">
        <f>SUM(C35:C49)</f>
        <v>1648.498</v>
      </c>
      <c r="D12" s="202">
        <f t="shared" ref="D12:I12" si="0">SUM(D35:D49)</f>
        <v>253083122.63070345</v>
      </c>
      <c r="E12" s="202">
        <f t="shared" si="0"/>
        <v>264442285.96522671</v>
      </c>
      <c r="F12" s="202">
        <f t="shared" si="0"/>
        <v>52263660.346594438</v>
      </c>
      <c r="G12" s="202"/>
      <c r="H12" s="202">
        <f t="shared" si="0"/>
        <v>569789068.94252467</v>
      </c>
      <c r="I12" s="202">
        <f t="shared" si="0"/>
        <v>3238.2414140962542</v>
      </c>
    </row>
    <row r="13" spans="1:9" ht="14.25" thickTop="1" thickBot="1" x14ac:dyDescent="0.25">
      <c r="B13" s="464" t="s">
        <v>134</v>
      </c>
      <c r="C13" s="196">
        <f t="shared" ref="C13:I13" si="1">SUM(C17:C49)</f>
        <v>5831.8480000000018</v>
      </c>
      <c r="D13" s="201">
        <f t="shared" si="1"/>
        <v>1626363940.3768268</v>
      </c>
      <c r="E13" s="201">
        <f t="shared" si="1"/>
        <v>2299545991.2992296</v>
      </c>
      <c r="F13" s="201">
        <f t="shared" si="1"/>
        <v>493669547.0878613</v>
      </c>
      <c r="G13" s="201"/>
      <c r="H13" s="201">
        <f t="shared" si="1"/>
        <v>4419579478.7639189</v>
      </c>
      <c r="I13" s="201">
        <f t="shared" si="1"/>
        <v>18369.794231646556</v>
      </c>
    </row>
    <row r="14" spans="1:9" ht="13.5" thickBot="1" x14ac:dyDescent="0.25">
      <c r="B14" s="192"/>
      <c r="C14" s="191"/>
      <c r="D14" s="191"/>
      <c r="E14" s="191"/>
      <c r="F14" s="191"/>
      <c r="G14" s="191"/>
      <c r="H14" s="191"/>
      <c r="I14" s="191"/>
    </row>
    <row r="15" spans="1:9" x14ac:dyDescent="0.2">
      <c r="B15" s="25"/>
      <c r="C15" s="25"/>
      <c r="D15" s="25" t="s">
        <v>174</v>
      </c>
      <c r="E15" s="25" t="s">
        <v>89</v>
      </c>
      <c r="F15" s="25" t="s">
        <v>89</v>
      </c>
      <c r="G15" s="25"/>
      <c r="H15" s="25" t="s">
        <v>135</v>
      </c>
      <c r="I15" s="25"/>
    </row>
    <row r="16" spans="1:9" ht="13.5" thickBot="1" x14ac:dyDescent="0.25">
      <c r="A16" s="69"/>
      <c r="B16" s="70" t="s">
        <v>88</v>
      </c>
      <c r="C16" s="70" t="s">
        <v>26</v>
      </c>
      <c r="D16" s="71" t="s">
        <v>169</v>
      </c>
      <c r="E16" s="71" t="s">
        <v>173</v>
      </c>
      <c r="F16" s="71" t="s">
        <v>106</v>
      </c>
      <c r="G16" s="70"/>
      <c r="H16" s="70" t="s">
        <v>89</v>
      </c>
      <c r="I16" s="70" t="s">
        <v>90</v>
      </c>
    </row>
    <row r="17" spans="1:9" x14ac:dyDescent="0.2">
      <c r="A17" s="92">
        <v>1</v>
      </c>
      <c r="B17" s="303" t="str">
        <f t="shared" ref="B17:B48" si="2">VLOOKUP(A17,UnitData,2)</f>
        <v>Conesville 4</v>
      </c>
      <c r="C17" s="383">
        <f t="shared" ref="C17:C48" si="3">VLOOKUP(A17,UnitData,3)</f>
        <v>312</v>
      </c>
      <c r="D17" s="26">
        <v>105556107.43194699</v>
      </c>
      <c r="E17" s="26">
        <v>161194638.9784508</v>
      </c>
      <c r="F17" s="26">
        <v>34012149.472476713</v>
      </c>
      <c r="G17" s="458"/>
      <c r="H17" s="94">
        <f t="shared" ref="H17:H49" si="4">SUM(D17:G17)</f>
        <v>300762895.88287449</v>
      </c>
      <c r="I17" s="95">
        <f t="shared" ref="I17:I49" si="5">H17/(C17*1000)</f>
        <v>963.98364065023873</v>
      </c>
    </row>
    <row r="18" spans="1:9" x14ac:dyDescent="0.2">
      <c r="A18" s="92">
        <v>2</v>
      </c>
      <c r="B18" s="303" t="str">
        <f t="shared" si="2"/>
        <v>East Bend 2</v>
      </c>
      <c r="C18" s="383">
        <f t="shared" si="3"/>
        <v>414</v>
      </c>
      <c r="D18" s="26">
        <v>146537042.6710709</v>
      </c>
      <c r="E18" s="26">
        <v>245595177.83248764</v>
      </c>
      <c r="F18" s="26">
        <v>53648656.11811094</v>
      </c>
      <c r="G18" s="459"/>
      <c r="H18" s="94">
        <f t="shared" si="4"/>
        <v>445780876.62166947</v>
      </c>
      <c r="I18" s="95">
        <f t="shared" si="5"/>
        <v>1076.7654024678006</v>
      </c>
    </row>
    <row r="19" spans="1:9" x14ac:dyDescent="0.2">
      <c r="A19" s="92">
        <v>3</v>
      </c>
      <c r="B19" s="303" t="str">
        <f t="shared" si="2"/>
        <v>JM Stuart 1</v>
      </c>
      <c r="C19" s="383">
        <f t="shared" si="3"/>
        <v>228.15</v>
      </c>
      <c r="D19" s="26">
        <v>73283453.341718674</v>
      </c>
      <c r="E19" s="26">
        <v>114766980.58472964</v>
      </c>
      <c r="F19" s="26">
        <v>24921230.064447366</v>
      </c>
      <c r="G19" s="459"/>
      <c r="H19" s="94">
        <f t="shared" si="4"/>
        <v>212971663.99089569</v>
      </c>
      <c r="I19" s="95">
        <f t="shared" si="5"/>
        <v>933.4721191799066</v>
      </c>
    </row>
    <row r="20" spans="1:9" x14ac:dyDescent="0.2">
      <c r="A20" s="92">
        <v>4</v>
      </c>
      <c r="B20" s="303" t="str">
        <f t="shared" si="2"/>
        <v>JM Stuart 2</v>
      </c>
      <c r="C20" s="383">
        <f t="shared" si="3"/>
        <v>228.15</v>
      </c>
      <c r="D20" s="26">
        <v>70488023.082079455</v>
      </c>
      <c r="E20" s="26">
        <v>112272552.8080052</v>
      </c>
      <c r="F20" s="26">
        <v>24383787.896253884</v>
      </c>
      <c r="G20" s="459"/>
      <c r="H20" s="94">
        <f t="shared" si="4"/>
        <v>207144363.78633854</v>
      </c>
      <c r="I20" s="95">
        <f t="shared" si="5"/>
        <v>907.93058858794006</v>
      </c>
    </row>
    <row r="21" spans="1:9" x14ac:dyDescent="0.2">
      <c r="A21" s="92">
        <v>5</v>
      </c>
      <c r="B21" s="303" t="str">
        <f t="shared" si="2"/>
        <v>JM Stuart 3</v>
      </c>
      <c r="C21" s="383">
        <f t="shared" si="3"/>
        <v>228.15</v>
      </c>
      <c r="D21" s="26">
        <v>72296727.397455677</v>
      </c>
      <c r="E21" s="26">
        <v>110629702.365208</v>
      </c>
      <c r="F21" s="26">
        <v>24012244.246934969</v>
      </c>
      <c r="G21" s="459"/>
      <c r="H21" s="94">
        <f t="shared" si="4"/>
        <v>206938674.00959864</v>
      </c>
      <c r="I21" s="95">
        <f t="shared" si="5"/>
        <v>907.02903357264358</v>
      </c>
    </row>
    <row r="22" spans="1:9" x14ac:dyDescent="0.2">
      <c r="A22" s="92">
        <v>6</v>
      </c>
      <c r="B22" s="303" t="str">
        <f t="shared" si="2"/>
        <v>JM Stuart 4</v>
      </c>
      <c r="C22" s="383">
        <f t="shared" si="3"/>
        <v>228.15</v>
      </c>
      <c r="D22" s="26">
        <v>73387917.52542147</v>
      </c>
      <c r="E22" s="26">
        <v>112572135.80437846</v>
      </c>
      <c r="F22" s="26">
        <v>24475628.379020724</v>
      </c>
      <c r="G22" s="459"/>
      <c r="H22" s="94">
        <f t="shared" si="4"/>
        <v>210435681.70882067</v>
      </c>
      <c r="I22" s="95">
        <f t="shared" si="5"/>
        <v>922.35670264659507</v>
      </c>
    </row>
    <row r="23" spans="1:9" x14ac:dyDescent="0.2">
      <c r="A23" s="92">
        <v>7</v>
      </c>
      <c r="B23" s="303" t="str">
        <f t="shared" si="2"/>
        <v>Killen 2</v>
      </c>
      <c r="C23" s="383">
        <f t="shared" si="3"/>
        <v>198</v>
      </c>
      <c r="D23" s="26">
        <v>67953371.767203122</v>
      </c>
      <c r="E23" s="26">
        <v>105291106.90229434</v>
      </c>
      <c r="F23" s="26">
        <v>22776557.555014301</v>
      </c>
      <c r="G23" s="459"/>
      <c r="H23" s="94">
        <f t="shared" si="4"/>
        <v>196021036.22451177</v>
      </c>
      <c r="I23" s="95">
        <f t="shared" si="5"/>
        <v>990.0052334571302</v>
      </c>
    </row>
    <row r="24" spans="1:9" x14ac:dyDescent="0.2">
      <c r="A24" s="92">
        <v>8</v>
      </c>
      <c r="B24" s="303" t="str">
        <f t="shared" si="2"/>
        <v>Miami Fort 5</v>
      </c>
      <c r="C24" s="383">
        <f t="shared" si="3"/>
        <v>80</v>
      </c>
      <c r="D24" s="26">
        <v>14619493.962849999</v>
      </c>
      <c r="E24" s="26">
        <v>12078018.084697949</v>
      </c>
      <c r="F24" s="26">
        <v>2551699.79787225</v>
      </c>
      <c r="G24" s="459"/>
      <c r="H24" s="94">
        <f t="shared" si="4"/>
        <v>29249211.845420197</v>
      </c>
      <c r="I24" s="95">
        <f t="shared" si="5"/>
        <v>365.61514806775244</v>
      </c>
    </row>
    <row r="25" spans="1:9" x14ac:dyDescent="0.2">
      <c r="A25" s="92">
        <v>9</v>
      </c>
      <c r="B25" s="303" t="str">
        <f t="shared" si="2"/>
        <v>Miami Fort 6</v>
      </c>
      <c r="C25" s="383">
        <f t="shared" si="3"/>
        <v>163</v>
      </c>
      <c r="D25" s="26">
        <v>49622807.928234123</v>
      </c>
      <c r="E25" s="26">
        <v>70554517.322886527</v>
      </c>
      <c r="F25" s="26">
        <v>15274149.405066745</v>
      </c>
      <c r="G25" s="459"/>
      <c r="H25" s="94">
        <f t="shared" si="4"/>
        <v>135451474.65618742</v>
      </c>
      <c r="I25" s="95">
        <f t="shared" si="5"/>
        <v>830.99064206249943</v>
      </c>
    </row>
    <row r="26" spans="1:9" x14ac:dyDescent="0.2">
      <c r="A26" s="92">
        <v>10</v>
      </c>
      <c r="B26" s="303" t="str">
        <f t="shared" si="2"/>
        <v>Miami Fort 7</v>
      </c>
      <c r="C26" s="383">
        <f t="shared" si="3"/>
        <v>320</v>
      </c>
      <c r="D26" s="26">
        <v>90560308.522712961</v>
      </c>
      <c r="E26" s="26">
        <v>162296450.18596491</v>
      </c>
      <c r="F26" s="26">
        <v>35235276.475295231</v>
      </c>
      <c r="G26" s="459"/>
      <c r="H26" s="94">
        <f t="shared" si="4"/>
        <v>288092035.18397313</v>
      </c>
      <c r="I26" s="95">
        <f t="shared" si="5"/>
        <v>900.28760994991603</v>
      </c>
    </row>
    <row r="27" spans="1:9" x14ac:dyDescent="0.2">
      <c r="A27" s="92">
        <v>11</v>
      </c>
      <c r="B27" s="303" t="str">
        <f t="shared" si="2"/>
        <v>Miami Fort 8</v>
      </c>
      <c r="C27" s="383">
        <f t="shared" si="3"/>
        <v>320</v>
      </c>
      <c r="D27" s="26">
        <v>98350020.174073651</v>
      </c>
      <c r="E27" s="26">
        <v>165749349.35666582</v>
      </c>
      <c r="F27" s="26">
        <v>36176328.348276168</v>
      </c>
      <c r="G27" s="459"/>
      <c r="H27" s="94">
        <f t="shared" si="4"/>
        <v>300275697.87901568</v>
      </c>
      <c r="I27" s="95">
        <f t="shared" si="5"/>
        <v>938.361555871924</v>
      </c>
    </row>
    <row r="28" spans="1:9" x14ac:dyDescent="0.2">
      <c r="A28" s="92">
        <v>12</v>
      </c>
      <c r="B28" s="303" t="str">
        <f t="shared" si="2"/>
        <v>WC Beckjord 1</v>
      </c>
      <c r="C28" s="383">
        <f t="shared" si="3"/>
        <v>94</v>
      </c>
      <c r="D28" s="26">
        <v>22929900.79714055</v>
      </c>
      <c r="E28" s="26">
        <v>29017669.329193015</v>
      </c>
      <c r="F28" s="26">
        <v>6354044.2993904669</v>
      </c>
      <c r="G28" s="459"/>
      <c r="H28" s="94">
        <f t="shared" si="4"/>
        <v>58301614.42572403</v>
      </c>
      <c r="I28" s="95">
        <f t="shared" si="5"/>
        <v>620.22994069919184</v>
      </c>
    </row>
    <row r="29" spans="1:9" x14ac:dyDescent="0.2">
      <c r="A29" s="92">
        <v>13</v>
      </c>
      <c r="B29" s="303" t="str">
        <f t="shared" si="2"/>
        <v>WC Beckjord 2</v>
      </c>
      <c r="C29" s="383">
        <f t="shared" si="3"/>
        <v>94</v>
      </c>
      <c r="D29" s="26">
        <v>22315447.130926885</v>
      </c>
      <c r="E29" s="26">
        <v>28294264.695761558</v>
      </c>
      <c r="F29" s="26">
        <v>6199525.1222946905</v>
      </c>
      <c r="G29" s="459"/>
      <c r="H29" s="94">
        <f t="shared" si="4"/>
        <v>56809236.948983133</v>
      </c>
      <c r="I29" s="95">
        <f t="shared" si="5"/>
        <v>604.35358456365032</v>
      </c>
    </row>
    <row r="30" spans="1:9" x14ac:dyDescent="0.2">
      <c r="A30" s="92">
        <v>14</v>
      </c>
      <c r="B30" s="303" t="str">
        <f t="shared" si="2"/>
        <v>WC Beckjord 3</v>
      </c>
      <c r="C30" s="383">
        <f t="shared" si="3"/>
        <v>128</v>
      </c>
      <c r="D30" s="26">
        <v>35406658.041607581</v>
      </c>
      <c r="E30" s="26">
        <v>46971694.560154416</v>
      </c>
      <c r="F30" s="26">
        <v>10250272.525826523</v>
      </c>
      <c r="G30" s="459"/>
      <c r="H30" s="94">
        <f t="shared" si="4"/>
        <v>92628625.127588525</v>
      </c>
      <c r="I30" s="95">
        <f t="shared" si="5"/>
        <v>723.66113380928539</v>
      </c>
    </row>
    <row r="31" spans="1:9" x14ac:dyDescent="0.2">
      <c r="A31" s="92">
        <v>15</v>
      </c>
      <c r="B31" s="303" t="str">
        <f t="shared" si="2"/>
        <v>WC Beckjord 4</v>
      </c>
      <c r="C31" s="383">
        <f t="shared" si="3"/>
        <v>150</v>
      </c>
      <c r="D31" s="26">
        <v>42990123.000082396</v>
      </c>
      <c r="E31" s="26">
        <v>58533977.410700716</v>
      </c>
      <c r="F31" s="26">
        <v>12696973.389507182</v>
      </c>
      <c r="G31" s="459"/>
      <c r="H31" s="94">
        <f t="shared" si="4"/>
        <v>114221073.80029029</v>
      </c>
      <c r="I31" s="95">
        <f t="shared" si="5"/>
        <v>761.47382533526854</v>
      </c>
    </row>
    <row r="32" spans="1:9" x14ac:dyDescent="0.2">
      <c r="A32" s="92">
        <v>16</v>
      </c>
      <c r="B32" s="303" t="str">
        <f t="shared" si="2"/>
        <v>WC Beckjord 5</v>
      </c>
      <c r="C32" s="383">
        <f t="shared" si="3"/>
        <v>238</v>
      </c>
      <c r="D32" s="26">
        <v>73164477.433177382</v>
      </c>
      <c r="E32" s="26">
        <v>93077157.614888683</v>
      </c>
      <c r="F32" s="26">
        <v>20304340.21054491</v>
      </c>
      <c r="G32" s="459"/>
      <c r="H32" s="94">
        <f t="shared" si="4"/>
        <v>186545975.25861099</v>
      </c>
      <c r="I32" s="95">
        <f t="shared" si="5"/>
        <v>783.80661873365966</v>
      </c>
    </row>
    <row r="33" spans="1:9" x14ac:dyDescent="0.2">
      <c r="A33" s="92">
        <v>17</v>
      </c>
      <c r="B33" s="303" t="str">
        <f t="shared" si="2"/>
        <v>WC Beckjord 6</v>
      </c>
      <c r="C33" s="383">
        <f t="shared" si="3"/>
        <v>155.25</v>
      </c>
      <c r="D33" s="26">
        <v>44793131.052080534</v>
      </c>
      <c r="E33" s="26">
        <v>59909730.844603144</v>
      </c>
      <c r="F33" s="26">
        <v>13184600.683235422</v>
      </c>
      <c r="G33" s="459"/>
      <c r="H33" s="94">
        <f t="shared" si="4"/>
        <v>117887462.5799191</v>
      </c>
      <c r="I33" s="95">
        <f t="shared" si="5"/>
        <v>759.33953352604897</v>
      </c>
    </row>
    <row r="34" spans="1:9" x14ac:dyDescent="0.2">
      <c r="A34" s="92">
        <v>18</v>
      </c>
      <c r="B34" s="303" t="str">
        <f t="shared" si="2"/>
        <v>WH Zimmer 1</v>
      </c>
      <c r="C34" s="383">
        <f t="shared" si="3"/>
        <v>604.5</v>
      </c>
      <c r="D34" s="26">
        <v>269025806.48634142</v>
      </c>
      <c r="E34" s="26">
        <v>346298580.65293241</v>
      </c>
      <c r="F34" s="26">
        <v>74948422.751698419</v>
      </c>
      <c r="G34" s="459"/>
      <c r="H34" s="94">
        <f t="shared" si="4"/>
        <v>690272809.89097226</v>
      </c>
      <c r="I34" s="95">
        <f t="shared" si="5"/>
        <v>1141.890504368854</v>
      </c>
    </row>
    <row r="35" spans="1:9" x14ac:dyDescent="0.2">
      <c r="A35" s="92">
        <v>19</v>
      </c>
      <c r="B35" s="303" t="str">
        <f t="shared" si="2"/>
        <v>Dicks Creek 1</v>
      </c>
      <c r="C35" s="383">
        <f t="shared" si="3"/>
        <v>92</v>
      </c>
      <c r="D35" s="26">
        <v>6875251.8240514863</v>
      </c>
      <c r="E35" s="26">
        <v>3653858.2759434041</v>
      </c>
      <c r="F35" s="26">
        <v>704304.84043540352</v>
      </c>
      <c r="G35" s="459"/>
      <c r="H35" s="94">
        <f t="shared" si="4"/>
        <v>11233414.940430295</v>
      </c>
      <c r="I35" s="95">
        <f t="shared" si="5"/>
        <v>122.10233630902495</v>
      </c>
    </row>
    <row r="36" spans="1:9" x14ac:dyDescent="0.2">
      <c r="A36" s="92">
        <v>20</v>
      </c>
      <c r="B36" s="303" t="str">
        <f t="shared" si="2"/>
        <v>Dicks Creek 3</v>
      </c>
      <c r="C36" s="383">
        <f t="shared" si="3"/>
        <v>14.2</v>
      </c>
      <c r="D36" s="26">
        <v>1075374.6857193296</v>
      </c>
      <c r="E36" s="26">
        <v>360013.36963941366</v>
      </c>
      <c r="F36" s="26">
        <v>66238.539270505236</v>
      </c>
      <c r="G36" s="459"/>
      <c r="H36" s="94">
        <f t="shared" si="4"/>
        <v>1501626.5946292486</v>
      </c>
      <c r="I36" s="95">
        <f t="shared" si="5"/>
        <v>105.74835173445413</v>
      </c>
    </row>
    <row r="37" spans="1:9" x14ac:dyDescent="0.2">
      <c r="A37" s="92">
        <v>21</v>
      </c>
      <c r="B37" s="303" t="str">
        <f t="shared" si="2"/>
        <v>Dicks Creek 4&amp;5</v>
      </c>
      <c r="C37" s="383">
        <f t="shared" si="3"/>
        <v>30</v>
      </c>
      <c r="D37" s="26">
        <v>2407091.9282612097</v>
      </c>
      <c r="E37" s="26">
        <v>845939.15878870641</v>
      </c>
      <c r="F37" s="26">
        <v>156582.57541071801</v>
      </c>
      <c r="G37" s="459"/>
      <c r="H37" s="94">
        <f t="shared" si="4"/>
        <v>3409613.6624606345</v>
      </c>
      <c r="I37" s="95">
        <f t="shared" si="5"/>
        <v>113.65378874868782</v>
      </c>
    </row>
    <row r="38" spans="1:9" x14ac:dyDescent="0.2">
      <c r="A38" s="92">
        <v>22</v>
      </c>
      <c r="B38" s="303" t="str">
        <f t="shared" si="2"/>
        <v>Miami Fort 3-6</v>
      </c>
      <c r="C38" s="383">
        <f t="shared" si="3"/>
        <v>56.8</v>
      </c>
      <c r="D38" s="26">
        <v>4395956.4155067168</v>
      </c>
      <c r="E38" s="26">
        <v>1899209.7480964009</v>
      </c>
      <c r="F38" s="26">
        <v>383844.61398915556</v>
      </c>
      <c r="G38" s="459"/>
      <c r="H38" s="94">
        <f t="shared" si="4"/>
        <v>6679010.7775922734</v>
      </c>
      <c r="I38" s="95">
        <f t="shared" si="5"/>
        <v>117.58821791535692</v>
      </c>
    </row>
    <row r="39" spans="1:9" x14ac:dyDescent="0.2">
      <c r="A39" s="92">
        <v>23</v>
      </c>
      <c r="B39" s="303" t="str">
        <f t="shared" si="2"/>
        <v>Beckjord CT1</v>
      </c>
      <c r="C39" s="383">
        <f t="shared" si="3"/>
        <v>51.225000000000001</v>
      </c>
      <c r="D39" s="26">
        <v>4644045.6858022744</v>
      </c>
      <c r="E39" s="26">
        <v>3601197.0941158026</v>
      </c>
      <c r="F39" s="26">
        <v>746732.80829155119</v>
      </c>
      <c r="G39" s="459"/>
      <c r="H39" s="94">
        <f t="shared" si="4"/>
        <v>8991975.5882096272</v>
      </c>
      <c r="I39" s="95">
        <f t="shared" si="5"/>
        <v>175.53881089721088</v>
      </c>
    </row>
    <row r="40" spans="1:9" x14ac:dyDescent="0.2">
      <c r="A40" s="92">
        <v>24</v>
      </c>
      <c r="B40" s="303" t="str">
        <f t="shared" si="2"/>
        <v>Beckjord CT2</v>
      </c>
      <c r="C40" s="383">
        <f t="shared" si="3"/>
        <v>51.225000000000001</v>
      </c>
      <c r="D40" s="26">
        <v>4644045.6858022744</v>
      </c>
      <c r="E40" s="26">
        <v>3601197.0941158026</v>
      </c>
      <c r="F40" s="26">
        <v>746732.80829155119</v>
      </c>
      <c r="G40" s="459"/>
      <c r="H40" s="94">
        <f t="shared" si="4"/>
        <v>8991975.5882096272</v>
      </c>
      <c r="I40" s="95">
        <f t="shared" si="5"/>
        <v>175.53881089721088</v>
      </c>
    </row>
    <row r="41" spans="1:9" x14ac:dyDescent="0.2">
      <c r="A41" s="92">
        <v>25</v>
      </c>
      <c r="B41" s="303" t="str">
        <f t="shared" si="2"/>
        <v>Beckjord CT3</v>
      </c>
      <c r="C41" s="383">
        <f t="shared" si="3"/>
        <v>51.225000000000001</v>
      </c>
      <c r="D41" s="26">
        <v>4644045.6858022744</v>
      </c>
      <c r="E41" s="26">
        <v>3601197.0941158026</v>
      </c>
      <c r="F41" s="26">
        <v>746732.80829155119</v>
      </c>
      <c r="G41" s="459"/>
      <c r="H41" s="94">
        <f t="shared" si="4"/>
        <v>8991975.5882096272</v>
      </c>
      <c r="I41" s="95">
        <f t="shared" si="5"/>
        <v>175.53881089721088</v>
      </c>
    </row>
    <row r="42" spans="1:9" x14ac:dyDescent="0.2">
      <c r="A42" s="92">
        <v>26</v>
      </c>
      <c r="B42" s="303" t="str">
        <f t="shared" si="2"/>
        <v>Beckjord CT4</v>
      </c>
      <c r="C42" s="383">
        <f t="shared" si="3"/>
        <v>51.225000000000001</v>
      </c>
      <c r="D42" s="26">
        <v>4644045.6858022744</v>
      </c>
      <c r="E42" s="26">
        <v>3601197.0941158026</v>
      </c>
      <c r="F42" s="26">
        <v>746732.80829155119</v>
      </c>
      <c r="G42" s="459"/>
      <c r="H42" s="94">
        <f t="shared" si="4"/>
        <v>8991975.5882096272</v>
      </c>
      <c r="I42" s="95">
        <f t="shared" si="5"/>
        <v>175.53881089721088</v>
      </c>
    </row>
    <row r="43" spans="1:9" x14ac:dyDescent="0.2">
      <c r="A43" s="92">
        <v>27</v>
      </c>
      <c r="B43" s="303" t="str">
        <f t="shared" si="2"/>
        <v>Woodsdale 1</v>
      </c>
      <c r="C43" s="383">
        <f t="shared" si="3"/>
        <v>83.433000000000007</v>
      </c>
      <c r="D43" s="26">
        <v>10898110.429499341</v>
      </c>
      <c r="E43" s="26">
        <v>9188495.0443369951</v>
      </c>
      <c r="F43" s="26">
        <v>1757865.2217473469</v>
      </c>
      <c r="G43" s="459"/>
      <c r="H43" s="94">
        <f t="shared" si="4"/>
        <v>21844470.695583683</v>
      </c>
      <c r="I43" s="95">
        <f t="shared" si="5"/>
        <v>261.82051101582925</v>
      </c>
    </row>
    <row r="44" spans="1:9" x14ac:dyDescent="0.2">
      <c r="A44" s="92">
        <v>28</v>
      </c>
      <c r="B44" s="303" t="str">
        <f t="shared" si="2"/>
        <v>Woodsdale 2</v>
      </c>
      <c r="C44" s="383">
        <f t="shared" si="3"/>
        <v>83.433000000000007</v>
      </c>
      <c r="D44" s="26">
        <v>10898581.133654201</v>
      </c>
      <c r="E44" s="26">
        <v>9188495.1394439153</v>
      </c>
      <c r="F44" s="26">
        <v>1757867.8048419794</v>
      </c>
      <c r="G44" s="459"/>
      <c r="H44" s="94">
        <f t="shared" si="4"/>
        <v>21844944.077940099</v>
      </c>
      <c r="I44" s="95">
        <f t="shared" si="5"/>
        <v>261.82618481823857</v>
      </c>
    </row>
    <row r="45" spans="1:9" x14ac:dyDescent="0.2">
      <c r="A45" s="92">
        <v>29</v>
      </c>
      <c r="B45" s="303" t="str">
        <f t="shared" si="2"/>
        <v>Woodsdale 3</v>
      </c>
      <c r="C45" s="383">
        <f t="shared" si="3"/>
        <v>83.433000000000007</v>
      </c>
      <c r="D45" s="26">
        <v>10882718.863847189</v>
      </c>
      <c r="E45" s="26">
        <v>9192439.5270100161</v>
      </c>
      <c r="F45" s="26">
        <v>1758958.3663500776</v>
      </c>
      <c r="G45" s="459"/>
      <c r="H45" s="94">
        <f t="shared" si="4"/>
        <v>21834116.757207282</v>
      </c>
      <c r="I45" s="95">
        <f t="shared" si="5"/>
        <v>261.69641217752309</v>
      </c>
    </row>
    <row r="46" spans="1:9" x14ac:dyDescent="0.2">
      <c r="A46" s="92">
        <v>30</v>
      </c>
      <c r="B46" s="303" t="str">
        <f t="shared" si="2"/>
        <v>Woodsdale 4</v>
      </c>
      <c r="C46" s="383">
        <f t="shared" si="3"/>
        <v>83.433000000000007</v>
      </c>
      <c r="D46" s="26">
        <v>10882718.863847189</v>
      </c>
      <c r="E46" s="26">
        <v>9192439.5270100161</v>
      </c>
      <c r="F46" s="26">
        <v>1758958.3663500776</v>
      </c>
      <c r="G46" s="459"/>
      <c r="H46" s="94">
        <f t="shared" si="4"/>
        <v>21834116.757207282</v>
      </c>
      <c r="I46" s="95">
        <f t="shared" si="5"/>
        <v>261.69641217752309</v>
      </c>
    </row>
    <row r="47" spans="1:9" x14ac:dyDescent="0.2">
      <c r="A47" s="92">
        <v>31</v>
      </c>
      <c r="B47" s="303" t="str">
        <f t="shared" si="2"/>
        <v>Woodsdale 5</v>
      </c>
      <c r="C47" s="383">
        <f t="shared" si="3"/>
        <v>83.433000000000007</v>
      </c>
      <c r="D47" s="26">
        <v>10868001.072313625</v>
      </c>
      <c r="E47" s="26">
        <v>9199418.4084320553</v>
      </c>
      <c r="F47" s="26">
        <v>1760618.7813320225</v>
      </c>
      <c r="G47" s="459"/>
      <c r="H47" s="94">
        <f t="shared" si="4"/>
        <v>21828038.262077704</v>
      </c>
      <c r="I47" s="95">
        <f t="shared" si="5"/>
        <v>261.62355737031754</v>
      </c>
    </row>
    <row r="48" spans="1:9" x14ac:dyDescent="0.2">
      <c r="A48" s="92">
        <v>32</v>
      </c>
      <c r="B48" s="303" t="str">
        <f t="shared" si="2"/>
        <v>Woodsdale 6</v>
      </c>
      <c r="C48" s="383">
        <f t="shared" si="3"/>
        <v>83.433000000000007</v>
      </c>
      <c r="D48" s="26">
        <v>10870323.84408628</v>
      </c>
      <c r="E48" s="26">
        <v>9202295.8227309119</v>
      </c>
      <c r="F48" s="26">
        <v>1761220.7489980296</v>
      </c>
      <c r="G48" s="459"/>
      <c r="H48" s="94">
        <f t="shared" si="4"/>
        <v>21833840.415815223</v>
      </c>
      <c r="I48" s="95">
        <f t="shared" si="5"/>
        <v>261.6931000421323</v>
      </c>
    </row>
    <row r="49" spans="1:9" x14ac:dyDescent="0.2">
      <c r="A49" s="92">
        <v>33</v>
      </c>
      <c r="B49" s="304" t="s">
        <v>181</v>
      </c>
      <c r="C49" s="383">
        <v>750</v>
      </c>
      <c r="D49" s="26">
        <v>154452810.82670778</v>
      </c>
      <c r="E49" s="26">
        <v>188114893.56733167</v>
      </c>
      <c r="F49" s="26">
        <v>37410269.254702918</v>
      </c>
      <c r="G49" s="459"/>
      <c r="H49" s="94">
        <f t="shared" si="4"/>
        <v>379977973.64874238</v>
      </c>
      <c r="I49" s="95">
        <f t="shared" si="5"/>
        <v>506.63729819832315</v>
      </c>
    </row>
    <row r="50" spans="1:9" x14ac:dyDescent="0.2">
      <c r="A50" s="92"/>
      <c r="B50" s="72"/>
      <c r="C50" s="93"/>
      <c r="D50" s="26"/>
      <c r="E50" s="26"/>
      <c r="F50" s="26"/>
      <c r="G50" s="26"/>
      <c r="H50" s="94"/>
      <c r="I50" s="95"/>
    </row>
    <row r="51" spans="1:9" ht="13.5" thickBot="1" x14ac:dyDescent="0.25">
      <c r="A51" s="96"/>
      <c r="B51" s="97"/>
      <c r="C51" s="98">
        <f>SUM(C17:C49)</f>
        <v>5831.8480000000018</v>
      </c>
      <c r="D51" s="98">
        <f>SUM(D17:D49)</f>
        <v>1626363940.3768268</v>
      </c>
      <c r="E51" s="98">
        <f>SUM(E17:E49)</f>
        <v>2299545991.2992296</v>
      </c>
      <c r="F51" s="98">
        <f>SUM(F17:F49)</f>
        <v>493669547.0878613</v>
      </c>
      <c r="G51" s="99"/>
      <c r="H51" s="100">
        <f>SUM(H17:H49)</f>
        <v>4419579478.7639189</v>
      </c>
      <c r="I51" s="101">
        <f>H51/(C51*1000)</f>
        <v>757.83516284442214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UpdateVals">
                <anchor moveWithCells="1">
                  <from>
                    <xdr:col>5</xdr:col>
                    <xdr:colOff>9525</xdr:colOff>
                    <xdr:row>5</xdr:row>
                    <xdr:rowOff>9525</xdr:rowOff>
                  </from>
                  <to>
                    <xdr:col>7</xdr:col>
                    <xdr:colOff>495300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44"/>
  <sheetViews>
    <sheetView workbookViewId="0"/>
  </sheetViews>
  <sheetFormatPr defaultRowHeight="12.75" x14ac:dyDescent="0.2"/>
  <cols>
    <col min="1" max="1" width="3.42578125" customWidth="1"/>
    <col min="2" max="2" width="15.42578125" customWidth="1"/>
    <col min="3" max="3" width="6.7109375" bestFit="1" customWidth="1"/>
    <col min="4" max="4" width="8.7109375" bestFit="1" customWidth="1"/>
    <col min="5" max="12" width="9.7109375" bestFit="1" customWidth="1"/>
    <col min="13" max="13" width="11.85546875" bestFit="1" customWidth="1"/>
    <col min="14" max="21" width="9.7109375" bestFit="1" customWidth="1"/>
    <col min="22" max="22" width="8.7109375" bestFit="1" customWidth="1"/>
  </cols>
  <sheetData>
    <row r="1" spans="1:22" x14ac:dyDescent="0.2">
      <c r="A1" s="137" t="s">
        <v>50</v>
      </c>
      <c r="B1" s="139"/>
    </row>
    <row r="2" spans="1:22" x14ac:dyDescent="0.2">
      <c r="A2" s="13"/>
    </row>
    <row r="3" spans="1:22" x14ac:dyDescent="0.2">
      <c r="A3" s="13"/>
    </row>
    <row r="4" spans="1:22" x14ac:dyDescent="0.2">
      <c r="A4" s="13"/>
    </row>
    <row r="5" spans="1:22" x14ac:dyDescent="0.2">
      <c r="A5" s="13"/>
    </row>
    <row r="6" spans="1:22" x14ac:dyDescent="0.2">
      <c r="A6" s="13"/>
      <c r="L6" t="s">
        <v>304</v>
      </c>
    </row>
    <row r="7" spans="1:22" x14ac:dyDescent="0.2">
      <c r="A7" s="13"/>
    </row>
    <row r="9" spans="1:22" x14ac:dyDescent="0.2">
      <c r="C9" s="133">
        <v>2000</v>
      </c>
      <c r="D9" s="135">
        <v>2001</v>
      </c>
      <c r="E9" s="135">
        <v>2002</v>
      </c>
      <c r="F9" s="135">
        <v>2003</v>
      </c>
      <c r="G9" s="135">
        <v>2004</v>
      </c>
      <c r="H9" s="135">
        <v>2005</v>
      </c>
      <c r="I9" s="135">
        <v>2006</v>
      </c>
      <c r="J9" s="135">
        <v>2007</v>
      </c>
      <c r="K9" s="135">
        <v>2008</v>
      </c>
      <c r="L9" s="135">
        <v>2009</v>
      </c>
      <c r="M9" s="135">
        <v>2010</v>
      </c>
      <c r="N9" s="135">
        <v>2011</v>
      </c>
      <c r="O9" s="135">
        <v>2012</v>
      </c>
      <c r="P9" s="135">
        <v>2013</v>
      </c>
      <c r="Q9" s="135">
        <v>2014</v>
      </c>
      <c r="R9" s="135">
        <v>2015</v>
      </c>
      <c r="S9" s="135">
        <v>2016</v>
      </c>
      <c r="T9" s="135">
        <v>2017</v>
      </c>
      <c r="U9" s="135">
        <v>2018</v>
      </c>
      <c r="V9" s="135">
        <v>2019</v>
      </c>
    </row>
    <row r="10" spans="1:22" x14ac:dyDescent="0.2">
      <c r="C10" s="134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s="9" customFormat="1" x14ac:dyDescent="0.2">
      <c r="A11" s="9">
        <f>Summary!A17</f>
        <v>1</v>
      </c>
      <c r="B11" s="9" t="s">
        <v>55</v>
      </c>
      <c r="C11" s="217">
        <v>0</v>
      </c>
      <c r="D11" s="218">
        <v>526501.97323171305</v>
      </c>
      <c r="E11" s="218">
        <v>537611.16486690496</v>
      </c>
      <c r="F11" s="218">
        <v>549384.84937749105</v>
      </c>
      <c r="G11" s="218">
        <v>561800.946973418</v>
      </c>
      <c r="H11" s="218">
        <v>575171.80951138702</v>
      </c>
      <c r="I11" s="218">
        <v>589585.672880798</v>
      </c>
      <c r="J11" s="218">
        <v>604209.04007825395</v>
      </c>
      <c r="K11" s="218">
        <v>619502.81952545105</v>
      </c>
      <c r="L11" s="218">
        <v>634804.53916773095</v>
      </c>
      <c r="M11" s="218">
        <v>650992.054916505</v>
      </c>
      <c r="N11" s="218">
        <v>666746.06264548795</v>
      </c>
      <c r="O11" s="218">
        <v>683548.06342415197</v>
      </c>
      <c r="P11" s="218">
        <v>700910.18423512403</v>
      </c>
      <c r="Q11" s="218">
        <v>718432.93884100195</v>
      </c>
      <c r="R11" s="218">
        <v>736465.605605911</v>
      </c>
      <c r="S11" s="218">
        <v>754877.24574606004</v>
      </c>
      <c r="T11" s="218">
        <v>773598.20144056203</v>
      </c>
      <c r="U11" s="218">
        <v>793015.51629672095</v>
      </c>
      <c r="V11" s="218">
        <v>812920.20575576904</v>
      </c>
    </row>
    <row r="12" spans="1:22" s="9" customFormat="1" x14ac:dyDescent="0.2">
      <c r="A12" s="9">
        <f>Summary!A18</f>
        <v>2</v>
      </c>
      <c r="B12" s="9" t="s">
        <v>56</v>
      </c>
      <c r="C12" s="217">
        <v>0</v>
      </c>
      <c r="D12" s="219">
        <v>972786.00031529705</v>
      </c>
      <c r="E12" s="219">
        <v>993311.78492195602</v>
      </c>
      <c r="F12" s="219">
        <v>1015065.31301175</v>
      </c>
      <c r="G12" s="219">
        <v>1038005.78908581</v>
      </c>
      <c r="H12" s="219">
        <v>1062710.32686605</v>
      </c>
      <c r="I12" s="219">
        <v>1089341.95449349</v>
      </c>
      <c r="J12" s="219">
        <v>1116360.6697318</v>
      </c>
      <c r="K12" s="219">
        <v>1144618.0653248799</v>
      </c>
      <c r="L12" s="219">
        <v>1172890.1315384</v>
      </c>
      <c r="M12" s="219">
        <v>1202798.82989263</v>
      </c>
      <c r="N12" s="219">
        <v>1231906.56157603</v>
      </c>
      <c r="O12" s="219">
        <v>1262950.6069277499</v>
      </c>
      <c r="P12" s="219">
        <v>1295029.5523437101</v>
      </c>
      <c r="Q12" s="219">
        <v>1327405.2911523001</v>
      </c>
      <c r="R12" s="219">
        <v>1360723.1639602201</v>
      </c>
      <c r="S12" s="219">
        <v>1394741.24305923</v>
      </c>
      <c r="T12" s="219">
        <v>1429330.8258871001</v>
      </c>
      <c r="U12" s="219">
        <v>1465207.02961687</v>
      </c>
      <c r="V12" s="219">
        <v>1501983.7260602501</v>
      </c>
    </row>
    <row r="13" spans="1:22" s="9" customFormat="1" x14ac:dyDescent="0.2">
      <c r="A13" s="9">
        <f>Summary!A19</f>
        <v>3</v>
      </c>
      <c r="B13" s="9" t="s">
        <v>57</v>
      </c>
      <c r="C13" s="217">
        <v>0</v>
      </c>
      <c r="D13" s="219">
        <v>535405.353751207</v>
      </c>
      <c r="E13" s="219">
        <v>546702.40671536105</v>
      </c>
      <c r="F13" s="219">
        <v>558675.18942242803</v>
      </c>
      <c r="G13" s="219">
        <v>571301.24870336999</v>
      </c>
      <c r="H13" s="219">
        <v>584898.21842251206</v>
      </c>
      <c r="I13" s="219">
        <v>599555.82657704898</v>
      </c>
      <c r="J13" s="219">
        <v>614426.48136174004</v>
      </c>
      <c r="K13" s="219">
        <v>629978.88536292303</v>
      </c>
      <c r="L13" s="219">
        <v>645539.36383138795</v>
      </c>
      <c r="M13" s="219">
        <v>662000.61760908598</v>
      </c>
      <c r="N13" s="219">
        <v>678021.03255522903</v>
      </c>
      <c r="O13" s="219">
        <v>695107.16257561895</v>
      </c>
      <c r="P13" s="219">
        <v>712762.88450503803</v>
      </c>
      <c r="Q13" s="219">
        <v>730581.95661766396</v>
      </c>
      <c r="R13" s="219">
        <v>748919.56372876698</v>
      </c>
      <c r="S13" s="219">
        <v>767642.55282198801</v>
      </c>
      <c r="T13" s="219">
        <v>786680.08813197201</v>
      </c>
      <c r="U13" s="219">
        <v>806425.758344086</v>
      </c>
      <c r="V13" s="219">
        <v>826667.04487852298</v>
      </c>
    </row>
    <row r="14" spans="1:22" s="9" customFormat="1" x14ac:dyDescent="0.2">
      <c r="A14" s="9">
        <f>Summary!A20</f>
        <v>4</v>
      </c>
      <c r="B14" s="9" t="s">
        <v>58</v>
      </c>
      <c r="C14" s="217">
        <v>0</v>
      </c>
      <c r="D14" s="219">
        <v>535405.353751207</v>
      </c>
      <c r="E14" s="219">
        <v>546702.40671536105</v>
      </c>
      <c r="F14" s="219">
        <v>558675.18942242803</v>
      </c>
      <c r="G14" s="219">
        <v>571301.24870336999</v>
      </c>
      <c r="H14" s="219">
        <v>584898.21842251206</v>
      </c>
      <c r="I14" s="219">
        <v>599555.82657704898</v>
      </c>
      <c r="J14" s="219">
        <v>614426.48136174004</v>
      </c>
      <c r="K14" s="219">
        <v>629978.88536292303</v>
      </c>
      <c r="L14" s="219">
        <v>645539.36383138795</v>
      </c>
      <c r="M14" s="219">
        <v>662000.61760908598</v>
      </c>
      <c r="N14" s="219">
        <v>678021.03255522903</v>
      </c>
      <c r="O14" s="219">
        <v>695107.16257561895</v>
      </c>
      <c r="P14" s="219">
        <v>712762.88450503803</v>
      </c>
      <c r="Q14" s="219">
        <v>730581.95661766396</v>
      </c>
      <c r="R14" s="219">
        <v>748919.56372876698</v>
      </c>
      <c r="S14" s="219">
        <v>767642.55282198801</v>
      </c>
      <c r="T14" s="219">
        <v>786680.08813197201</v>
      </c>
      <c r="U14" s="219">
        <v>806425.758344086</v>
      </c>
      <c r="V14" s="219">
        <v>826667.04487852298</v>
      </c>
    </row>
    <row r="15" spans="1:22" s="9" customFormat="1" x14ac:dyDescent="0.2">
      <c r="A15" s="9">
        <f>Summary!A21</f>
        <v>5</v>
      </c>
      <c r="B15" s="9" t="s">
        <v>59</v>
      </c>
      <c r="C15" s="217">
        <v>0</v>
      </c>
      <c r="D15" s="219">
        <v>535405.353751207</v>
      </c>
      <c r="E15" s="219">
        <v>546702.40671536105</v>
      </c>
      <c r="F15" s="219">
        <v>558675.18942242803</v>
      </c>
      <c r="G15" s="219">
        <v>571301.24870336999</v>
      </c>
      <c r="H15" s="219">
        <v>584898.21842251206</v>
      </c>
      <c r="I15" s="219">
        <v>599555.82657704898</v>
      </c>
      <c r="J15" s="219">
        <v>614426.48136174004</v>
      </c>
      <c r="K15" s="219">
        <v>629978.88536292303</v>
      </c>
      <c r="L15" s="219">
        <v>645539.36383138795</v>
      </c>
      <c r="M15" s="219">
        <v>662000.61760908598</v>
      </c>
      <c r="N15" s="219">
        <v>678021.03255522903</v>
      </c>
      <c r="O15" s="219">
        <v>695107.16257561895</v>
      </c>
      <c r="P15" s="219">
        <v>712762.88450503803</v>
      </c>
      <c r="Q15" s="219">
        <v>730581.95661766396</v>
      </c>
      <c r="R15" s="219">
        <v>748919.56372876698</v>
      </c>
      <c r="S15" s="219">
        <v>767642.55282198801</v>
      </c>
      <c r="T15" s="219">
        <v>786680.08813197201</v>
      </c>
      <c r="U15" s="219">
        <v>806425.758344086</v>
      </c>
      <c r="V15" s="219">
        <v>826667.04487852298</v>
      </c>
    </row>
    <row r="16" spans="1:22" s="9" customFormat="1" x14ac:dyDescent="0.2">
      <c r="A16" s="9">
        <f>Summary!A22</f>
        <v>6</v>
      </c>
      <c r="B16" s="9" t="s">
        <v>60</v>
      </c>
      <c r="C16" s="217">
        <v>0</v>
      </c>
      <c r="D16" s="219">
        <v>535405.353751207</v>
      </c>
      <c r="E16" s="219">
        <v>546702.40671536105</v>
      </c>
      <c r="F16" s="219">
        <v>558675.18942242803</v>
      </c>
      <c r="G16" s="219">
        <v>571301.24870336999</v>
      </c>
      <c r="H16" s="219">
        <v>584898.21842251206</v>
      </c>
      <c r="I16" s="219">
        <v>599555.82657704898</v>
      </c>
      <c r="J16" s="219">
        <v>614426.48136174004</v>
      </c>
      <c r="K16" s="219">
        <v>629978.88536292303</v>
      </c>
      <c r="L16" s="219">
        <v>645539.36383138795</v>
      </c>
      <c r="M16" s="219">
        <v>662000.61760908598</v>
      </c>
      <c r="N16" s="219">
        <v>678021.03255522903</v>
      </c>
      <c r="O16" s="219">
        <v>695107.16257561895</v>
      </c>
      <c r="P16" s="219">
        <v>712762.88450503803</v>
      </c>
      <c r="Q16" s="219">
        <v>730581.95661766396</v>
      </c>
      <c r="R16" s="219">
        <v>748919.56372876698</v>
      </c>
      <c r="S16" s="219">
        <v>767642.55282198801</v>
      </c>
      <c r="T16" s="219">
        <v>786680.08813197201</v>
      </c>
      <c r="U16" s="219">
        <v>806425.758344086</v>
      </c>
      <c r="V16" s="219">
        <v>826667.04487852298</v>
      </c>
    </row>
    <row r="17" spans="1:22" s="9" customFormat="1" x14ac:dyDescent="0.2">
      <c r="A17" s="9">
        <f>Summary!A23</f>
        <v>7</v>
      </c>
      <c r="B17" s="9" t="s">
        <v>61</v>
      </c>
      <c r="C17" s="217">
        <v>0</v>
      </c>
      <c r="D17" s="219">
        <v>467999.200989959</v>
      </c>
      <c r="E17" s="219">
        <v>477873.98413085</v>
      </c>
      <c r="F17" s="219">
        <v>488339.42438331601</v>
      </c>
      <c r="G17" s="219">
        <v>499375.89537437499</v>
      </c>
      <c r="H17" s="219">
        <v>511261.04168428603</v>
      </c>
      <c r="I17" s="219">
        <v>524073.29478688602</v>
      </c>
      <c r="J17" s="219">
        <v>537071.77249853604</v>
      </c>
      <c r="K17" s="219">
        <v>550666.16895914497</v>
      </c>
      <c r="L17" s="219">
        <v>564267.62333243701</v>
      </c>
      <c r="M17" s="219">
        <v>578656.44772741199</v>
      </c>
      <c r="N17" s="219">
        <v>592659.93376241799</v>
      </c>
      <c r="O17" s="219">
        <v>607594.96409322903</v>
      </c>
      <c r="P17" s="219">
        <v>623027.87618119596</v>
      </c>
      <c r="Q17" s="219">
        <v>638603.57308572496</v>
      </c>
      <c r="R17" s="219">
        <v>654632.52277017699</v>
      </c>
      <c r="S17" s="219">
        <v>670998.33583943301</v>
      </c>
      <c r="T17" s="219">
        <v>687639.09456825</v>
      </c>
      <c r="U17" s="219">
        <v>704898.83584191406</v>
      </c>
      <c r="V17" s="219">
        <v>722591.79662154603</v>
      </c>
    </row>
    <row r="18" spans="1:22" s="9" customFormat="1" x14ac:dyDescent="0.2">
      <c r="A18" s="9">
        <f>Summary!A24</f>
        <v>8</v>
      </c>
      <c r="B18" s="9" t="s">
        <v>62</v>
      </c>
      <c r="C18" s="217">
        <v>0</v>
      </c>
      <c r="D18" s="219">
        <v>224390.18479580799</v>
      </c>
      <c r="E18" s="219">
        <v>229124.81769500099</v>
      </c>
      <c r="F18" s="219">
        <v>234142.65120252201</v>
      </c>
      <c r="G18" s="219">
        <v>239434.27511969701</v>
      </c>
      <c r="H18" s="219">
        <v>245132.810867547</v>
      </c>
      <c r="I18" s="219">
        <v>251275.86375152899</v>
      </c>
      <c r="J18" s="219">
        <v>257508.20519487301</v>
      </c>
      <c r="K18" s="219">
        <v>264026.27002816898</v>
      </c>
      <c r="L18" s="219">
        <v>270547.71889786603</v>
      </c>
      <c r="M18" s="219">
        <v>277446.68572975998</v>
      </c>
      <c r="N18" s="219">
        <v>284160.895524422</v>
      </c>
      <c r="O18" s="219">
        <v>291321.75009163597</v>
      </c>
      <c r="P18" s="219">
        <v>298721.32254396298</v>
      </c>
      <c r="Q18" s="219">
        <v>306189.355607562</v>
      </c>
      <c r="R18" s="219">
        <v>313874.70843331201</v>
      </c>
      <c r="S18" s="219">
        <v>321721.57614414499</v>
      </c>
      <c r="T18" s="219">
        <v>329700.27123252</v>
      </c>
      <c r="U18" s="219">
        <v>337975.74804045598</v>
      </c>
      <c r="V18" s="219">
        <v>346458.93931627198</v>
      </c>
    </row>
    <row r="19" spans="1:22" s="9" customFormat="1" x14ac:dyDescent="0.2">
      <c r="A19" s="9">
        <f>Summary!A25</f>
        <v>9</v>
      </c>
      <c r="B19" s="9" t="s">
        <v>63</v>
      </c>
      <c r="C19" s="217">
        <v>0</v>
      </c>
      <c r="D19" s="219">
        <v>457195.00152146001</v>
      </c>
      <c r="E19" s="219">
        <v>466841.81605356501</v>
      </c>
      <c r="F19" s="219">
        <v>477065.65182513901</v>
      </c>
      <c r="G19" s="219">
        <v>487847.33555638301</v>
      </c>
      <c r="H19" s="219">
        <v>499458.10214262601</v>
      </c>
      <c r="I19" s="219">
        <v>511974.57239374099</v>
      </c>
      <c r="J19" s="219">
        <v>524672.96808455302</v>
      </c>
      <c r="K19" s="219">
        <v>537953.52518239501</v>
      </c>
      <c r="L19" s="219">
        <v>551240.97725440096</v>
      </c>
      <c r="M19" s="219">
        <v>565297.62217438605</v>
      </c>
      <c r="N19" s="219">
        <v>578977.82463100902</v>
      </c>
      <c r="O19" s="219">
        <v>593568.06581170904</v>
      </c>
      <c r="P19" s="219">
        <v>608644.69468332501</v>
      </c>
      <c r="Q19" s="219">
        <v>623860.81205040799</v>
      </c>
      <c r="R19" s="219">
        <v>639519.71843287302</v>
      </c>
      <c r="S19" s="219">
        <v>655507.71139369602</v>
      </c>
      <c r="T19" s="219">
        <v>671764.302636259</v>
      </c>
      <c r="U19" s="219">
        <v>688625.58663242997</v>
      </c>
      <c r="V19" s="219">
        <v>705910.08885690395</v>
      </c>
    </row>
    <row r="20" spans="1:22" s="9" customFormat="1" x14ac:dyDescent="0.2">
      <c r="A20" s="9">
        <f>Summary!A26</f>
        <v>10</v>
      </c>
      <c r="B20" s="9" t="s">
        <v>64</v>
      </c>
      <c r="C20" s="217">
        <v>0</v>
      </c>
      <c r="D20" s="219">
        <v>657011.69461646595</v>
      </c>
      <c r="E20" s="219">
        <v>670874.64137287706</v>
      </c>
      <c r="F20" s="219">
        <v>685566.79601894401</v>
      </c>
      <c r="G20" s="219">
        <v>701060.60560896702</v>
      </c>
      <c r="H20" s="219">
        <v>717745.84802246199</v>
      </c>
      <c r="I20" s="219">
        <v>735732.63113018498</v>
      </c>
      <c r="J20" s="219">
        <v>753980.85003889306</v>
      </c>
      <c r="K20" s="219">
        <v>773065.66351075401</v>
      </c>
      <c r="L20" s="219">
        <v>792160.38539946999</v>
      </c>
      <c r="M20" s="219">
        <v>812360.47522715398</v>
      </c>
      <c r="N20" s="219">
        <v>832019.59872765501</v>
      </c>
      <c r="O20" s="219">
        <v>852986.49261558906</v>
      </c>
      <c r="P20" s="219">
        <v>874652.34952802304</v>
      </c>
      <c r="Q20" s="219">
        <v>896518.65826622397</v>
      </c>
      <c r="R20" s="219">
        <v>919021.27658870595</v>
      </c>
      <c r="S20" s="219">
        <v>941996.80850342498</v>
      </c>
      <c r="T20" s="219">
        <v>965358.32935430901</v>
      </c>
      <c r="U20" s="219">
        <v>989588.823421104</v>
      </c>
      <c r="V20" s="219">
        <v>1014427.50288897</v>
      </c>
    </row>
    <row r="21" spans="1:22" s="9" customFormat="1" x14ac:dyDescent="0.2">
      <c r="A21" s="9">
        <f>Summary!A27</f>
        <v>11</v>
      </c>
      <c r="B21" s="9" t="s">
        <v>65</v>
      </c>
      <c r="C21" s="217">
        <v>0</v>
      </c>
      <c r="D21" s="219">
        <v>657011.69461646595</v>
      </c>
      <c r="E21" s="219">
        <v>670874.64137287706</v>
      </c>
      <c r="F21" s="219">
        <v>685566.79601894401</v>
      </c>
      <c r="G21" s="219">
        <v>701060.60560896702</v>
      </c>
      <c r="H21" s="219">
        <v>717745.84802246199</v>
      </c>
      <c r="I21" s="219">
        <v>735732.63113018498</v>
      </c>
      <c r="J21" s="219">
        <v>753980.85003889306</v>
      </c>
      <c r="K21" s="219">
        <v>773065.66351075401</v>
      </c>
      <c r="L21" s="219">
        <v>792160.38539946999</v>
      </c>
      <c r="M21" s="219">
        <v>812360.47522715398</v>
      </c>
      <c r="N21" s="219">
        <v>832019.59872765501</v>
      </c>
      <c r="O21" s="219">
        <v>852986.49261558906</v>
      </c>
      <c r="P21" s="219">
        <v>874652.34952802304</v>
      </c>
      <c r="Q21" s="219">
        <v>896518.65826622397</v>
      </c>
      <c r="R21" s="219">
        <v>919021.27658870595</v>
      </c>
      <c r="S21" s="219">
        <v>941996.80850342498</v>
      </c>
      <c r="T21" s="219">
        <v>965358.32935430901</v>
      </c>
      <c r="U21" s="219">
        <v>989588.823421104</v>
      </c>
      <c r="V21" s="219">
        <v>1014427.50288897</v>
      </c>
    </row>
    <row r="22" spans="1:22" s="9" customFormat="1" x14ac:dyDescent="0.2">
      <c r="A22" s="9">
        <f>Summary!A28</f>
        <v>12</v>
      </c>
      <c r="B22" s="9" t="s">
        <v>66</v>
      </c>
      <c r="C22" s="217">
        <v>0</v>
      </c>
      <c r="D22" s="219">
        <v>307061.97203451901</v>
      </c>
      <c r="E22" s="219">
        <v>313540.97964444902</v>
      </c>
      <c r="F22" s="219">
        <v>320407.52709866298</v>
      </c>
      <c r="G22" s="219">
        <v>327648.73721109098</v>
      </c>
      <c r="H22" s="219">
        <v>335446.77715671499</v>
      </c>
      <c r="I22" s="219">
        <v>343853.10711533</v>
      </c>
      <c r="J22" s="219">
        <v>352381.62210241298</v>
      </c>
      <c r="K22" s="219">
        <v>361301.12918059598</v>
      </c>
      <c r="L22" s="219">
        <v>370225.267071357</v>
      </c>
      <c r="M22" s="219">
        <v>379666.01138167601</v>
      </c>
      <c r="N22" s="219">
        <v>388853.92885711399</v>
      </c>
      <c r="O22" s="219">
        <v>398653.04786431202</v>
      </c>
      <c r="P22" s="219">
        <v>408778.83528006502</v>
      </c>
      <c r="Q22" s="219">
        <v>418998.306162066</v>
      </c>
      <c r="R22" s="219">
        <v>429515.16364673403</v>
      </c>
      <c r="S22" s="219">
        <v>440253.04273790302</v>
      </c>
      <c r="T22" s="219">
        <v>451171.318197802</v>
      </c>
      <c r="U22" s="219">
        <v>462495.71828456799</v>
      </c>
      <c r="V22" s="219">
        <v>474104.36081351101</v>
      </c>
    </row>
    <row r="23" spans="1:22" s="9" customFormat="1" x14ac:dyDescent="0.2">
      <c r="A23" s="9">
        <f>Summary!A29</f>
        <v>13</v>
      </c>
      <c r="B23" t="s">
        <v>67</v>
      </c>
      <c r="C23" s="217">
        <v>0</v>
      </c>
      <c r="D23" s="219">
        <v>307061.97203451901</v>
      </c>
      <c r="E23" s="219">
        <v>313540.97964444902</v>
      </c>
      <c r="F23" s="219">
        <v>320407.52709866298</v>
      </c>
      <c r="G23" s="219">
        <v>327648.73721109098</v>
      </c>
      <c r="H23" s="219">
        <v>335446.77715671499</v>
      </c>
      <c r="I23" s="219">
        <v>343853.10711533</v>
      </c>
      <c r="J23" s="219">
        <v>352381.62210241298</v>
      </c>
      <c r="K23" s="219">
        <v>361301.12918059598</v>
      </c>
      <c r="L23" s="219">
        <v>370225.267071357</v>
      </c>
      <c r="M23" s="219">
        <v>379666.01138167601</v>
      </c>
      <c r="N23" s="219">
        <v>388853.92885711399</v>
      </c>
      <c r="O23" s="219">
        <v>398653.04786431202</v>
      </c>
      <c r="P23" s="219">
        <v>408778.83528006502</v>
      </c>
      <c r="Q23" s="219">
        <v>418998.306162066</v>
      </c>
      <c r="R23" s="219">
        <v>429515.16364673403</v>
      </c>
      <c r="S23" s="219">
        <v>440253.04273790302</v>
      </c>
      <c r="T23" s="219">
        <v>451171.318197802</v>
      </c>
      <c r="U23" s="219">
        <v>462495.71828456799</v>
      </c>
      <c r="V23" s="219">
        <v>474104.36081351101</v>
      </c>
    </row>
    <row r="24" spans="1:22" s="9" customFormat="1" x14ac:dyDescent="0.2">
      <c r="A24" s="9">
        <f>Summary!A30</f>
        <v>14</v>
      </c>
      <c r="B24" s="9" t="s">
        <v>70</v>
      </c>
      <c r="C24" s="217">
        <v>0</v>
      </c>
      <c r="D24" s="219">
        <v>418126.94064275001</v>
      </c>
      <c r="E24" s="219">
        <v>426949.41909031401</v>
      </c>
      <c r="F24" s="219">
        <v>436299.611368393</v>
      </c>
      <c r="G24" s="219">
        <v>446159.98258531501</v>
      </c>
      <c r="H24" s="219">
        <v>456778.59017084597</v>
      </c>
      <c r="I24" s="219">
        <v>468225.507561301</v>
      </c>
      <c r="J24" s="219">
        <v>479838.804564989</v>
      </c>
      <c r="K24" s="219">
        <v>491984.51633102499</v>
      </c>
      <c r="L24" s="219">
        <v>504136.53388440202</v>
      </c>
      <c r="M24" s="219">
        <v>516992.015498452</v>
      </c>
      <c r="N24" s="219">
        <v>529503.22227351705</v>
      </c>
      <c r="O24" s="219">
        <v>542846.70347480802</v>
      </c>
      <c r="P24" s="219">
        <v>556635.00974306697</v>
      </c>
      <c r="Q24" s="219">
        <v>570550.88498664298</v>
      </c>
      <c r="R24" s="219">
        <v>584871.71219980798</v>
      </c>
      <c r="S24" s="219">
        <v>599493.505004804</v>
      </c>
      <c r="T24" s="219">
        <v>614360.94392892299</v>
      </c>
      <c r="U24" s="219">
        <v>629781.40362154006</v>
      </c>
      <c r="V24" s="219">
        <v>645588.91685243999</v>
      </c>
    </row>
    <row r="25" spans="1:22" s="9" customFormat="1" x14ac:dyDescent="0.2">
      <c r="A25" s="9">
        <f>Summary!A31</f>
        <v>15</v>
      </c>
      <c r="B25" s="9" t="s">
        <v>68</v>
      </c>
      <c r="C25" s="217">
        <v>0</v>
      </c>
      <c r="D25" s="219">
        <v>489992.50856572198</v>
      </c>
      <c r="E25" s="219">
        <v>500331.35049646202</v>
      </c>
      <c r="F25" s="219">
        <v>511288.60707233503</v>
      </c>
      <c r="G25" s="219">
        <v>522843.72959216603</v>
      </c>
      <c r="H25" s="219">
        <v>535287.41035646095</v>
      </c>
      <c r="I25" s="219">
        <v>548701.76667339902</v>
      </c>
      <c r="J25" s="219">
        <v>562311.09909959603</v>
      </c>
      <c r="K25" s="219">
        <v>576544.35507542</v>
      </c>
      <c r="L25" s="219">
        <v>590785.00064578303</v>
      </c>
      <c r="M25" s="219">
        <v>605850.01816224796</v>
      </c>
      <c r="N25" s="219">
        <v>620511.58860177803</v>
      </c>
      <c r="O25" s="219">
        <v>636148.48063454102</v>
      </c>
      <c r="P25" s="219">
        <v>652306.65204265702</v>
      </c>
      <c r="Q25" s="219">
        <v>668614.31834372296</v>
      </c>
      <c r="R25" s="219">
        <v>685396.53773414996</v>
      </c>
      <c r="S25" s="219">
        <v>702531.45117750496</v>
      </c>
      <c r="T25" s="219">
        <v>719954.23116670595</v>
      </c>
      <c r="U25" s="219">
        <v>738025.08236899204</v>
      </c>
      <c r="V25" s="219">
        <v>756549.51193645305</v>
      </c>
    </row>
    <row r="26" spans="1:22" s="9" customFormat="1" x14ac:dyDescent="0.2">
      <c r="A26" s="9">
        <f>Summary!A32</f>
        <v>16</v>
      </c>
      <c r="B26" s="9" t="s">
        <v>69</v>
      </c>
      <c r="C26" s="217">
        <v>0</v>
      </c>
      <c r="D26" s="219">
        <v>777454.78025761305</v>
      </c>
      <c r="E26" s="219">
        <v>793859.07612105296</v>
      </c>
      <c r="F26" s="219">
        <v>811244.58988810505</v>
      </c>
      <c r="G26" s="219">
        <v>829578.71761956997</v>
      </c>
      <c r="H26" s="219">
        <v>849322.69109891704</v>
      </c>
      <c r="I26" s="219">
        <v>870606.80312179297</v>
      </c>
      <c r="J26" s="219">
        <v>892200.27723802498</v>
      </c>
      <c r="K26" s="219">
        <v>914783.71005299897</v>
      </c>
      <c r="L26" s="219">
        <v>937378.86769130896</v>
      </c>
      <c r="M26" s="219">
        <v>961282.02881743398</v>
      </c>
      <c r="N26" s="219">
        <v>984545.05391482101</v>
      </c>
      <c r="O26" s="219">
        <v>1009355.58927347</v>
      </c>
      <c r="P26" s="219">
        <v>1034993.22124101</v>
      </c>
      <c r="Q26" s="219">
        <v>1060868.0517720401</v>
      </c>
      <c r="R26" s="219">
        <v>1087495.8398715199</v>
      </c>
      <c r="S26" s="219">
        <v>1114683.2358683101</v>
      </c>
      <c r="T26" s="219">
        <v>1142327.3801178399</v>
      </c>
      <c r="U26" s="219">
        <v>1170999.7973588</v>
      </c>
      <c r="V26" s="219">
        <v>1200391.8922725101</v>
      </c>
    </row>
    <row r="27" spans="1:22" s="9" customFormat="1" x14ac:dyDescent="0.2">
      <c r="A27" s="9">
        <f>Summary!A33</f>
        <v>17</v>
      </c>
      <c r="B27" s="9" t="s">
        <v>71</v>
      </c>
      <c r="C27" s="217">
        <v>0</v>
      </c>
      <c r="D27" s="219">
        <v>358876.37349059602</v>
      </c>
      <c r="E27" s="219">
        <v>366448.664971249</v>
      </c>
      <c r="F27" s="219">
        <v>374473.89073411998</v>
      </c>
      <c r="G27" s="219">
        <v>382937.00066470797</v>
      </c>
      <c r="H27" s="219">
        <v>392050.90128052898</v>
      </c>
      <c r="I27" s="219">
        <v>401875.736280201</v>
      </c>
      <c r="J27" s="219">
        <v>411843.37411417102</v>
      </c>
      <c r="K27" s="219">
        <v>422267.981017894</v>
      </c>
      <c r="L27" s="219">
        <v>432698.00014903699</v>
      </c>
      <c r="M27" s="219">
        <v>443731.79915283603</v>
      </c>
      <c r="N27" s="219">
        <v>454470.10869233601</v>
      </c>
      <c r="O27" s="219">
        <v>465922.75543138199</v>
      </c>
      <c r="P27" s="219">
        <v>477757.19341933797</v>
      </c>
      <c r="Q27" s="219">
        <v>489701.123254821</v>
      </c>
      <c r="R27" s="219">
        <v>501992.62144851702</v>
      </c>
      <c r="S27" s="219">
        <v>514542.436984731</v>
      </c>
      <c r="T27" s="219">
        <v>527303.08942195203</v>
      </c>
      <c r="U27" s="219">
        <v>540538.39696644398</v>
      </c>
      <c r="V27" s="219">
        <v>554105.91073030105</v>
      </c>
    </row>
    <row r="28" spans="1:22" s="9" customFormat="1" x14ac:dyDescent="0.2">
      <c r="A28" s="9">
        <f>Summary!A34</f>
        <v>18</v>
      </c>
      <c r="B28" s="9" t="s">
        <v>72</v>
      </c>
      <c r="C28" s="217">
        <v>0</v>
      </c>
      <c r="D28" s="219">
        <v>1314527.41905882</v>
      </c>
      <c r="E28" s="219">
        <v>1342263.94760097</v>
      </c>
      <c r="F28" s="219">
        <v>1371659.5280534399</v>
      </c>
      <c r="G28" s="219">
        <v>1402659.03338743</v>
      </c>
      <c r="H28" s="219">
        <v>1436042.3183820599</v>
      </c>
      <c r="I28" s="219">
        <v>1472029.68324863</v>
      </c>
      <c r="J28" s="219">
        <v>1508540.1202789601</v>
      </c>
      <c r="K28" s="219">
        <v>1546724.3882333201</v>
      </c>
      <c r="L28" s="219">
        <v>1584928.4806226799</v>
      </c>
      <c r="M28" s="219">
        <v>1625344.1568785501</v>
      </c>
      <c r="N28" s="219">
        <v>1664677.48547502</v>
      </c>
      <c r="O28" s="219">
        <v>1706627.3581089899</v>
      </c>
      <c r="P28" s="219">
        <v>1749975.6930049499</v>
      </c>
      <c r="Q28" s="219">
        <v>1793725.08533008</v>
      </c>
      <c r="R28" s="219">
        <v>1838747.5849718601</v>
      </c>
      <c r="S28" s="219">
        <v>1884716.27459616</v>
      </c>
      <c r="T28" s="219">
        <v>1931457.23820614</v>
      </c>
      <c r="U28" s="219">
        <v>1979936.8148851199</v>
      </c>
      <c r="V28" s="219">
        <v>2029633.22893874</v>
      </c>
    </row>
    <row r="29" spans="1:22" s="9" customFormat="1" x14ac:dyDescent="0.2">
      <c r="A29" s="9">
        <f>Summary!A35</f>
        <v>19</v>
      </c>
      <c r="B29" t="s">
        <v>73</v>
      </c>
      <c r="C29" s="217">
        <v>0</v>
      </c>
      <c r="D29" s="219">
        <v>11201.203682604</v>
      </c>
      <c r="E29" s="219">
        <v>11437.549080307001</v>
      </c>
      <c r="F29" s="219">
        <v>11688.031405165701</v>
      </c>
      <c r="G29" s="219">
        <v>11952.180914922399</v>
      </c>
      <c r="H29" s="219">
        <v>12236.6428206976</v>
      </c>
      <c r="I29" s="219">
        <v>12543.294319955899</v>
      </c>
      <c r="J29" s="219">
        <v>12854.402963098901</v>
      </c>
      <c r="K29" s="219">
        <v>13179.774466672499</v>
      </c>
      <c r="L29" s="219">
        <v>13505.3148959993</v>
      </c>
      <c r="M29" s="219">
        <v>13849.700425847301</v>
      </c>
      <c r="N29" s="219">
        <v>14184.8631761529</v>
      </c>
      <c r="O29" s="219">
        <v>14542.321728191901</v>
      </c>
      <c r="P29" s="219">
        <v>14911.696700087899</v>
      </c>
      <c r="Q29" s="219">
        <v>15284.489117590099</v>
      </c>
      <c r="R29" s="219">
        <v>15668.1297944416</v>
      </c>
      <c r="S29" s="219">
        <v>16059.833039302701</v>
      </c>
      <c r="T29" s="219">
        <v>16458.116898677399</v>
      </c>
      <c r="U29" s="219">
        <v>16871.215632834199</v>
      </c>
      <c r="V29" s="219">
        <v>17294.6831452183</v>
      </c>
    </row>
    <row r="30" spans="1:22" s="9" customFormat="1" x14ac:dyDescent="0.2">
      <c r="A30" s="9">
        <f>Summary!A36</f>
        <v>20</v>
      </c>
      <c r="B30" s="9" t="s">
        <v>74</v>
      </c>
      <c r="C30" s="217">
        <v>0</v>
      </c>
      <c r="D30" s="219">
        <v>1728.8814379671401</v>
      </c>
      <c r="E30" s="219">
        <v>1765.3608363082501</v>
      </c>
      <c r="F30" s="219">
        <v>1804.02223862341</v>
      </c>
      <c r="G30" s="219">
        <v>1844.79314121628</v>
      </c>
      <c r="H30" s="219">
        <v>1888.6992179772301</v>
      </c>
      <c r="I30" s="219">
        <v>1936.03021025407</v>
      </c>
      <c r="J30" s="219">
        <v>1984.04915300005</v>
      </c>
      <c r="K30" s="219">
        <v>2034.2695372472799</v>
      </c>
      <c r="L30" s="219">
        <v>2084.51599481729</v>
      </c>
      <c r="M30" s="219">
        <v>2137.67115268512</v>
      </c>
      <c r="N30" s="219">
        <v>2189.4027945801099</v>
      </c>
      <c r="O30" s="219">
        <v>2244.5757450035298</v>
      </c>
      <c r="P30" s="219">
        <v>2301.5879689266098</v>
      </c>
      <c r="Q30" s="219">
        <v>2359.1276681497802</v>
      </c>
      <c r="R30" s="219">
        <v>2418.3417726203402</v>
      </c>
      <c r="S30" s="219">
        <v>2478.8003169358499</v>
      </c>
      <c r="T30" s="219">
        <v>2540.27456479585</v>
      </c>
      <c r="U30" s="219">
        <v>2604.0354563722299</v>
      </c>
      <c r="V30" s="219">
        <v>2669.3967463271802</v>
      </c>
    </row>
    <row r="31" spans="1:22" s="9" customFormat="1" x14ac:dyDescent="0.2">
      <c r="A31" s="9">
        <f>Summary!A37</f>
        <v>21</v>
      </c>
      <c r="B31" s="9" t="s">
        <v>75</v>
      </c>
      <c r="C31" s="217">
        <v>0</v>
      </c>
      <c r="D31" s="219">
        <v>3652.5664182404298</v>
      </c>
      <c r="E31" s="219">
        <v>3729.63556966532</v>
      </c>
      <c r="F31" s="219">
        <v>3811.3145886409998</v>
      </c>
      <c r="G31" s="219">
        <v>3897.4502983442499</v>
      </c>
      <c r="H31" s="219">
        <v>3990.20961544486</v>
      </c>
      <c r="I31" s="219">
        <v>4090.2046695508502</v>
      </c>
      <c r="J31" s="219">
        <v>4191.6531401409502</v>
      </c>
      <c r="K31" s="219">
        <v>4297.7525434801701</v>
      </c>
      <c r="L31" s="219">
        <v>4403.9070313041402</v>
      </c>
      <c r="M31" s="219">
        <v>4516.20666060238</v>
      </c>
      <c r="N31" s="219">
        <v>4625.4988617889703</v>
      </c>
      <c r="O31" s="219">
        <v>4742.0614331060397</v>
      </c>
      <c r="P31" s="219">
        <v>4862.5097935069298</v>
      </c>
      <c r="Q31" s="219">
        <v>4984.0725383445997</v>
      </c>
      <c r="R31" s="219">
        <v>5109.1727590570499</v>
      </c>
      <c r="S31" s="219">
        <v>5236.9020780334804</v>
      </c>
      <c r="T31" s="219">
        <v>5366.7772495687004</v>
      </c>
      <c r="U31" s="219">
        <v>5501.4833585328897</v>
      </c>
      <c r="V31" s="219">
        <v>5639.5705908320597</v>
      </c>
    </row>
    <row r="32" spans="1:22" s="9" customFormat="1" x14ac:dyDescent="0.2">
      <c r="A32" s="9">
        <f>Summary!A38</f>
        <v>22</v>
      </c>
      <c r="B32" s="9" t="s">
        <v>86</v>
      </c>
      <c r="C32" s="217">
        <v>0</v>
      </c>
      <c r="D32" s="219">
        <v>5527.5505129371804</v>
      </c>
      <c r="E32" s="219">
        <v>5644.18182876019</v>
      </c>
      <c r="F32" s="219">
        <v>5767.78941081004</v>
      </c>
      <c r="G32" s="219">
        <v>5898.1414514943099</v>
      </c>
      <c r="H32" s="219">
        <v>6038.5172180398804</v>
      </c>
      <c r="I32" s="219">
        <v>6189.84306658695</v>
      </c>
      <c r="J32" s="219">
        <v>6343.3684187466297</v>
      </c>
      <c r="K32" s="219">
        <v>6503.9321824666604</v>
      </c>
      <c r="L32" s="219">
        <v>6664.5793073735904</v>
      </c>
      <c r="M32" s="219">
        <v>6834.5260797115898</v>
      </c>
      <c r="N32" s="219">
        <v>6999.9216108406499</v>
      </c>
      <c r="O32" s="219">
        <v>7176.3196354338097</v>
      </c>
      <c r="P32" s="219">
        <v>7358.5981541738101</v>
      </c>
      <c r="Q32" s="219">
        <v>7542.5631080281501</v>
      </c>
      <c r="R32" s="219">
        <v>7731.8814420396602</v>
      </c>
      <c r="S32" s="219">
        <v>7925.1784780906701</v>
      </c>
      <c r="T32" s="219">
        <v>8121.7229043472998</v>
      </c>
      <c r="U32" s="219">
        <v>8325.5781492464394</v>
      </c>
      <c r="V32" s="219">
        <v>8534.5501607925198</v>
      </c>
    </row>
    <row r="33" spans="1:22" s="9" customFormat="1" x14ac:dyDescent="0.2">
      <c r="A33" s="9">
        <f>Summary!A39</f>
        <v>23</v>
      </c>
      <c r="B33" t="s">
        <v>76</v>
      </c>
      <c r="C33" s="217">
        <v>0</v>
      </c>
      <c r="D33" s="219">
        <v>4145.6628847028896</v>
      </c>
      <c r="E33" s="219">
        <v>4233.13637157014</v>
      </c>
      <c r="F33" s="219">
        <v>4325.8420581075297</v>
      </c>
      <c r="G33" s="219">
        <v>4423.6060886207297</v>
      </c>
      <c r="H33" s="219">
        <v>4528.8879135299103</v>
      </c>
      <c r="I33" s="219">
        <v>4642.38229994021</v>
      </c>
      <c r="J33" s="219">
        <v>4757.52631405997</v>
      </c>
      <c r="K33" s="219">
        <v>4877.9491368499903</v>
      </c>
      <c r="L33" s="219">
        <v>4998.4344805301898</v>
      </c>
      <c r="M33" s="219">
        <v>5125.8945597837001</v>
      </c>
      <c r="N33" s="219">
        <v>5249.9412081304899</v>
      </c>
      <c r="O33" s="219">
        <v>5382.2397265753598</v>
      </c>
      <c r="P33" s="219">
        <v>5518.9486156303601</v>
      </c>
      <c r="Q33" s="219">
        <v>5656.92233102112</v>
      </c>
      <c r="R33" s="219">
        <v>5798.9110815297499</v>
      </c>
      <c r="S33" s="219">
        <v>5943.8838585679996</v>
      </c>
      <c r="T33" s="219">
        <v>6091.2921782604799</v>
      </c>
      <c r="U33" s="219">
        <v>6244.18361193483</v>
      </c>
      <c r="V33" s="219">
        <v>6400.9126205943903</v>
      </c>
    </row>
    <row r="34" spans="1:22" s="9" customFormat="1" x14ac:dyDescent="0.2">
      <c r="A34" s="9">
        <f>Summary!A40</f>
        <v>24</v>
      </c>
      <c r="B34" s="9" t="s">
        <v>77</v>
      </c>
      <c r="C34" s="217">
        <v>0</v>
      </c>
      <c r="D34" s="219">
        <v>4145.6628847028896</v>
      </c>
      <c r="E34" s="219">
        <v>4233.13637157014</v>
      </c>
      <c r="F34" s="219">
        <v>4325.8420581075297</v>
      </c>
      <c r="G34" s="219">
        <v>4423.6060886207297</v>
      </c>
      <c r="H34" s="219">
        <v>4528.8879135299103</v>
      </c>
      <c r="I34" s="219">
        <v>4642.38229994021</v>
      </c>
      <c r="J34" s="219">
        <v>4757.52631405997</v>
      </c>
      <c r="K34" s="219">
        <v>4877.9491368499903</v>
      </c>
      <c r="L34" s="219">
        <v>4998.4344805301898</v>
      </c>
      <c r="M34" s="219">
        <v>5125.8945597837001</v>
      </c>
      <c r="N34" s="219">
        <v>5249.9412081304899</v>
      </c>
      <c r="O34" s="219">
        <v>5382.2397265753598</v>
      </c>
      <c r="P34" s="219">
        <v>5518.9486156303601</v>
      </c>
      <c r="Q34" s="219">
        <v>5656.92233102112</v>
      </c>
      <c r="R34" s="219">
        <v>5798.9110815297499</v>
      </c>
      <c r="S34" s="219">
        <v>5943.8838585679996</v>
      </c>
      <c r="T34" s="219">
        <v>6091.2921782604799</v>
      </c>
      <c r="U34" s="219">
        <v>6244.18361193483</v>
      </c>
      <c r="V34" s="219">
        <v>6400.9126205943903</v>
      </c>
    </row>
    <row r="35" spans="1:22" s="9" customFormat="1" x14ac:dyDescent="0.2">
      <c r="A35" s="9">
        <f>Summary!A41</f>
        <v>25</v>
      </c>
      <c r="B35" s="9" t="s">
        <v>78</v>
      </c>
      <c r="C35" s="217">
        <v>0</v>
      </c>
      <c r="D35" s="219">
        <v>4145.6628847028896</v>
      </c>
      <c r="E35" s="219">
        <v>4233.13637157014</v>
      </c>
      <c r="F35" s="219">
        <v>4325.8420581075297</v>
      </c>
      <c r="G35" s="219">
        <v>4423.6060886207297</v>
      </c>
      <c r="H35" s="219">
        <v>4528.8879135299103</v>
      </c>
      <c r="I35" s="219">
        <v>4642.38229994021</v>
      </c>
      <c r="J35" s="219">
        <v>4757.52631405997</v>
      </c>
      <c r="K35" s="219">
        <v>4877.9491368499903</v>
      </c>
      <c r="L35" s="219">
        <v>4998.4344805301898</v>
      </c>
      <c r="M35" s="219">
        <v>5125.8945597837001</v>
      </c>
      <c r="N35" s="219">
        <v>5249.9412081304899</v>
      </c>
      <c r="O35" s="219">
        <v>5382.2397265753598</v>
      </c>
      <c r="P35" s="219">
        <v>5518.9486156303601</v>
      </c>
      <c r="Q35" s="219">
        <v>5656.92233102112</v>
      </c>
      <c r="R35" s="219">
        <v>5798.9110815297499</v>
      </c>
      <c r="S35" s="219">
        <v>5943.8838585679996</v>
      </c>
      <c r="T35" s="219">
        <v>6091.2921782604799</v>
      </c>
      <c r="U35" s="219">
        <v>6244.18361193483</v>
      </c>
      <c r="V35" s="219">
        <v>6400.9126205943903</v>
      </c>
    </row>
    <row r="36" spans="1:22" s="9" customFormat="1" x14ac:dyDescent="0.2">
      <c r="A36" s="9">
        <f>Summary!A42</f>
        <v>26</v>
      </c>
      <c r="B36" s="9" t="s">
        <v>79</v>
      </c>
      <c r="C36" s="217">
        <v>0</v>
      </c>
      <c r="D36" s="219">
        <v>4145.6628847028896</v>
      </c>
      <c r="E36" s="219">
        <v>4233.13637157014</v>
      </c>
      <c r="F36" s="219">
        <v>4325.8420581075297</v>
      </c>
      <c r="G36" s="219">
        <v>4423.6060886207297</v>
      </c>
      <c r="H36" s="219">
        <v>4528.8879135299103</v>
      </c>
      <c r="I36" s="219">
        <v>4642.38229994021</v>
      </c>
      <c r="J36" s="219">
        <v>4757.52631405997</v>
      </c>
      <c r="K36" s="219">
        <v>4877.9491368499903</v>
      </c>
      <c r="L36" s="219">
        <v>4998.4344805301898</v>
      </c>
      <c r="M36" s="219">
        <v>5125.8945597837001</v>
      </c>
      <c r="N36" s="219">
        <v>5249.9412081304899</v>
      </c>
      <c r="O36" s="219">
        <v>5382.2397265753598</v>
      </c>
      <c r="P36" s="219">
        <v>5518.9486156303601</v>
      </c>
      <c r="Q36" s="219">
        <v>5656.92233102112</v>
      </c>
      <c r="R36" s="219">
        <v>5798.9110815297499</v>
      </c>
      <c r="S36" s="219">
        <v>5943.8838585679996</v>
      </c>
      <c r="T36" s="219">
        <v>6091.2921782604799</v>
      </c>
      <c r="U36" s="219">
        <v>6244.18361193483</v>
      </c>
      <c r="V36" s="219">
        <v>6400.9126205943903</v>
      </c>
    </row>
    <row r="37" spans="1:22" s="9" customFormat="1" x14ac:dyDescent="0.2">
      <c r="A37" s="9">
        <f>Summary!A43</f>
        <v>27</v>
      </c>
      <c r="B37" t="s">
        <v>80</v>
      </c>
      <c r="C37" s="217">
        <v>0</v>
      </c>
      <c r="D37" s="219">
        <v>34547.1907058574</v>
      </c>
      <c r="E37" s="219">
        <v>35276.136429751197</v>
      </c>
      <c r="F37" s="219">
        <v>36048.6838175628</v>
      </c>
      <c r="G37" s="219">
        <v>36863.384071839399</v>
      </c>
      <c r="H37" s="219">
        <v>37740.7326127493</v>
      </c>
      <c r="I37" s="219">
        <v>38686.5191661684</v>
      </c>
      <c r="J37" s="219">
        <v>39646.052617166402</v>
      </c>
      <c r="K37" s="219">
        <v>40649.576140416597</v>
      </c>
      <c r="L37" s="219">
        <v>41653.6206710849</v>
      </c>
      <c r="M37" s="219">
        <v>42715.787998197498</v>
      </c>
      <c r="N37" s="219">
        <v>43749.510067754003</v>
      </c>
      <c r="O37" s="219">
        <v>44851.997721461303</v>
      </c>
      <c r="P37" s="219">
        <v>45991.238463586298</v>
      </c>
      <c r="Q37" s="219">
        <v>47141.019425175997</v>
      </c>
      <c r="R37" s="219">
        <v>48324.259012747898</v>
      </c>
      <c r="S37" s="219">
        <v>49532.365488066702</v>
      </c>
      <c r="T37" s="219">
        <v>50760.768152170604</v>
      </c>
      <c r="U37" s="219">
        <v>52034.863432790196</v>
      </c>
      <c r="V37" s="219">
        <v>53340.938504953301</v>
      </c>
    </row>
    <row r="38" spans="1:22" s="9" customFormat="1" x14ac:dyDescent="0.2">
      <c r="A38" s="9">
        <f>Summary!A44</f>
        <v>28</v>
      </c>
      <c r="B38" s="9" t="s">
        <v>81</v>
      </c>
      <c r="C38" s="217">
        <v>0</v>
      </c>
      <c r="D38" s="219">
        <v>34547.1907058574</v>
      </c>
      <c r="E38" s="219">
        <v>35276.136429751197</v>
      </c>
      <c r="F38" s="219">
        <v>36048.6838175628</v>
      </c>
      <c r="G38" s="219">
        <v>36863.384071839399</v>
      </c>
      <c r="H38" s="219">
        <v>37740.7326127493</v>
      </c>
      <c r="I38" s="219">
        <v>38686.5191661684</v>
      </c>
      <c r="J38" s="219">
        <v>39646.052617166402</v>
      </c>
      <c r="K38" s="219">
        <v>40649.576140416597</v>
      </c>
      <c r="L38" s="219">
        <v>41653.6206710849</v>
      </c>
      <c r="M38" s="219">
        <v>42715.787998197498</v>
      </c>
      <c r="N38" s="219">
        <v>43749.510067754003</v>
      </c>
      <c r="O38" s="219">
        <v>44851.997721461303</v>
      </c>
      <c r="P38" s="219">
        <v>45991.238463586298</v>
      </c>
      <c r="Q38" s="219">
        <v>47141.019425175997</v>
      </c>
      <c r="R38" s="219">
        <v>48324.259012747898</v>
      </c>
      <c r="S38" s="219">
        <v>49532.365488066702</v>
      </c>
      <c r="T38" s="219">
        <v>50760.768152170604</v>
      </c>
      <c r="U38" s="219">
        <v>52034.863432790196</v>
      </c>
      <c r="V38" s="219">
        <v>53340.938504953301</v>
      </c>
    </row>
    <row r="39" spans="1:22" s="9" customFormat="1" x14ac:dyDescent="0.2">
      <c r="A39" s="9">
        <f>Summary!A45</f>
        <v>29</v>
      </c>
      <c r="B39" s="9" t="s">
        <v>82</v>
      </c>
      <c r="C39" s="217">
        <v>0</v>
      </c>
      <c r="D39" s="219">
        <v>34547.1907058574</v>
      </c>
      <c r="E39" s="219">
        <v>35276.136429751197</v>
      </c>
      <c r="F39" s="219">
        <v>36048.6838175628</v>
      </c>
      <c r="G39" s="219">
        <v>36863.384071839399</v>
      </c>
      <c r="H39" s="219">
        <v>37740.7326127493</v>
      </c>
      <c r="I39" s="219">
        <v>38686.5191661684</v>
      </c>
      <c r="J39" s="219">
        <v>39646.052617166402</v>
      </c>
      <c r="K39" s="219">
        <v>40649.576140416597</v>
      </c>
      <c r="L39" s="219">
        <v>41653.6206710849</v>
      </c>
      <c r="M39" s="219">
        <v>42715.787998197498</v>
      </c>
      <c r="N39" s="219">
        <v>43749.510067754003</v>
      </c>
      <c r="O39" s="219">
        <v>44851.997721461303</v>
      </c>
      <c r="P39" s="219">
        <v>45991.238463586298</v>
      </c>
      <c r="Q39" s="219">
        <v>47141.019425175997</v>
      </c>
      <c r="R39" s="219">
        <v>48324.259012747898</v>
      </c>
      <c r="S39" s="219">
        <v>49532.365488066702</v>
      </c>
      <c r="T39" s="219">
        <v>50760.768152170604</v>
      </c>
      <c r="U39" s="219">
        <v>52034.863432790196</v>
      </c>
      <c r="V39" s="219">
        <v>53340.938504953301</v>
      </c>
    </row>
    <row r="40" spans="1:22" s="9" customFormat="1" x14ac:dyDescent="0.2">
      <c r="A40" s="9">
        <f>Summary!A46</f>
        <v>30</v>
      </c>
      <c r="B40" s="9" t="s">
        <v>83</v>
      </c>
      <c r="C40" s="217">
        <v>0</v>
      </c>
      <c r="D40" s="219">
        <v>34547.1907058574</v>
      </c>
      <c r="E40" s="219">
        <v>35276.136429751197</v>
      </c>
      <c r="F40" s="219">
        <v>36048.6838175628</v>
      </c>
      <c r="G40" s="219">
        <v>36863.384071839399</v>
      </c>
      <c r="H40" s="219">
        <v>37740.7326127493</v>
      </c>
      <c r="I40" s="219">
        <v>38686.5191661684</v>
      </c>
      <c r="J40" s="219">
        <v>39646.052617166402</v>
      </c>
      <c r="K40" s="219">
        <v>40649.576140416597</v>
      </c>
      <c r="L40" s="219">
        <v>41653.6206710849</v>
      </c>
      <c r="M40" s="219">
        <v>42715.787998197498</v>
      </c>
      <c r="N40" s="219">
        <v>43749.510067754003</v>
      </c>
      <c r="O40" s="219">
        <v>44851.997721461303</v>
      </c>
      <c r="P40" s="219">
        <v>45991.238463586298</v>
      </c>
      <c r="Q40" s="219">
        <v>47141.019425175997</v>
      </c>
      <c r="R40" s="219">
        <v>48324.259012747898</v>
      </c>
      <c r="S40" s="219">
        <v>49532.365488066702</v>
      </c>
      <c r="T40" s="219">
        <v>50760.768152170604</v>
      </c>
      <c r="U40" s="219">
        <v>52034.863432790196</v>
      </c>
      <c r="V40" s="219">
        <v>53340.938504953301</v>
      </c>
    </row>
    <row r="41" spans="1:22" s="9" customFormat="1" x14ac:dyDescent="0.2">
      <c r="A41" s="9">
        <f>Summary!A47</f>
        <v>31</v>
      </c>
      <c r="B41" s="9" t="s">
        <v>84</v>
      </c>
      <c r="C41" s="217">
        <v>0</v>
      </c>
      <c r="D41" s="219">
        <v>34547.1907058574</v>
      </c>
      <c r="E41" s="219">
        <v>35276.136429751197</v>
      </c>
      <c r="F41" s="219">
        <v>36048.6838175628</v>
      </c>
      <c r="G41" s="219">
        <v>36863.384071839399</v>
      </c>
      <c r="H41" s="219">
        <v>37740.7326127493</v>
      </c>
      <c r="I41" s="219">
        <v>38686.5191661684</v>
      </c>
      <c r="J41" s="219">
        <v>39646.052617166402</v>
      </c>
      <c r="K41" s="219">
        <v>40649.576140416597</v>
      </c>
      <c r="L41" s="219">
        <v>41653.6206710849</v>
      </c>
      <c r="M41" s="219">
        <v>42715.787998197498</v>
      </c>
      <c r="N41" s="219">
        <v>43749.510067754003</v>
      </c>
      <c r="O41" s="219">
        <v>44851.997721461303</v>
      </c>
      <c r="P41" s="219">
        <v>45991.238463586298</v>
      </c>
      <c r="Q41" s="219">
        <v>47141.019425175997</v>
      </c>
      <c r="R41" s="219">
        <v>48324.259012747898</v>
      </c>
      <c r="S41" s="219">
        <v>49532.365488066702</v>
      </c>
      <c r="T41" s="219">
        <v>50760.768152170604</v>
      </c>
      <c r="U41" s="219">
        <v>52034.863432790196</v>
      </c>
      <c r="V41" s="219">
        <v>53340.938504953301</v>
      </c>
    </row>
    <row r="42" spans="1:22" s="24" customFormat="1" x14ac:dyDescent="0.2">
      <c r="A42" s="24">
        <f>Summary!A48</f>
        <v>32</v>
      </c>
      <c r="B42" s="24" t="s">
        <v>85</v>
      </c>
      <c r="C42" s="217">
        <v>0</v>
      </c>
      <c r="D42" s="219">
        <v>34547.1907058574</v>
      </c>
      <c r="E42" s="219">
        <v>35276.136429751197</v>
      </c>
      <c r="F42" s="219">
        <v>36048.6838175628</v>
      </c>
      <c r="G42" s="219">
        <v>36863.384071839399</v>
      </c>
      <c r="H42" s="219">
        <v>37740.7326127493</v>
      </c>
      <c r="I42" s="219">
        <v>38686.5191661684</v>
      </c>
      <c r="J42" s="219">
        <v>39646.052617166402</v>
      </c>
      <c r="K42" s="219">
        <v>40649.576140416597</v>
      </c>
      <c r="L42" s="219">
        <v>41653.6206710849</v>
      </c>
      <c r="M42" s="219">
        <v>42715.787998197498</v>
      </c>
      <c r="N42" s="219">
        <v>43749.510067754003</v>
      </c>
      <c r="O42" s="219">
        <v>44851.997721461303</v>
      </c>
      <c r="P42" s="219">
        <v>45991.238463586298</v>
      </c>
      <c r="Q42" s="219">
        <v>47141.019425175997</v>
      </c>
      <c r="R42" s="219">
        <v>48324.259012747898</v>
      </c>
      <c r="S42" s="219">
        <v>49532.365488066702</v>
      </c>
      <c r="T42" s="219">
        <v>50760.768152170604</v>
      </c>
      <c r="U42" s="219">
        <v>52034.863432790196</v>
      </c>
      <c r="V42" s="219">
        <v>53340.938504953301</v>
      </c>
    </row>
    <row r="43" spans="1:22" s="9" customFormat="1" ht="13.5" thickBot="1" x14ac:dyDescent="0.25">
      <c r="A43" s="9">
        <f>Summary!A49</f>
        <v>33</v>
      </c>
      <c r="B43" s="222" t="s">
        <v>181</v>
      </c>
      <c r="C43" s="231">
        <v>0</v>
      </c>
      <c r="D43" s="232">
        <v>374900</v>
      </c>
      <c r="E43" s="232">
        <v>383147.8</v>
      </c>
      <c r="F43" s="232">
        <v>391577.05160000001</v>
      </c>
      <c r="G43" s="232">
        <v>400191.74673519999</v>
      </c>
      <c r="H43" s="232">
        <v>408995.96516337403</v>
      </c>
      <c r="I43" s="232">
        <v>417993.87639696902</v>
      </c>
      <c r="J43" s="232">
        <v>427189.741677702</v>
      </c>
      <c r="K43" s="232">
        <v>436587.91599461099</v>
      </c>
      <c r="L43" s="232">
        <v>446192.850146493</v>
      </c>
      <c r="M43" s="232">
        <v>456009.09284971602</v>
      </c>
      <c r="N43" s="232">
        <v>466041.29289240902</v>
      </c>
      <c r="O43" s="232">
        <v>476294.20133604301</v>
      </c>
      <c r="P43" s="232">
        <v>486772.673765435</v>
      </c>
      <c r="Q43" s="232">
        <v>497481.67258827499</v>
      </c>
      <c r="R43" s="232">
        <v>508426.26938521699</v>
      </c>
      <c r="S43" s="232">
        <v>519611.64731169201</v>
      </c>
      <c r="T43" s="232">
        <v>531043.10355254903</v>
      </c>
      <c r="U43" s="232">
        <v>542726.05183070502</v>
      </c>
      <c r="V43" s="221">
        <v>554666.02497098094</v>
      </c>
    </row>
    <row r="44" spans="1:22" ht="13.5" thickTop="1" x14ac:dyDescent="0.2">
      <c r="C44" s="6">
        <f>SUM(C11:C43)</f>
        <v>0</v>
      </c>
      <c r="D44" s="6">
        <f>SUM(D11:D43)</f>
        <v>10698495.129002243</v>
      </c>
      <c r="E44" s="6">
        <f t="shared" ref="E44:V44" si="0">SUM(E11:E43)</f>
        <v>10924570.78622425</v>
      </c>
      <c r="F44" s="6">
        <f t="shared" si="0"/>
        <v>11163857.201222589</v>
      </c>
      <c r="G44" s="6">
        <f t="shared" si="0"/>
        <v>11415925.427739171</v>
      </c>
      <c r="H44" s="6">
        <f t="shared" si="0"/>
        <v>11686904.107775267</v>
      </c>
      <c r="I44" s="6">
        <f t="shared" si="0"/>
        <v>11978527.530851079</v>
      </c>
      <c r="J44" s="6">
        <f t="shared" si="0"/>
        <v>12274456.836925253</v>
      </c>
      <c r="K44" s="6">
        <f t="shared" si="0"/>
        <v>12583733.824679468</v>
      </c>
      <c r="L44" s="6">
        <f t="shared" si="0"/>
        <v>12893373.262775861</v>
      </c>
      <c r="M44" s="6">
        <f t="shared" si="0"/>
        <v>13220592.606001101</v>
      </c>
      <c r="N44" s="6">
        <f t="shared" si="0"/>
        <v>13539527.727062106</v>
      </c>
      <c r="O44" s="6">
        <f t="shared" si="0"/>
        <v>13879232.493646793</v>
      </c>
      <c r="P44" s="6">
        <f t="shared" si="0"/>
        <v>14230145.59870084</v>
      </c>
      <c r="Q44" s="6">
        <f t="shared" si="0"/>
        <v>14584438.920647066</v>
      </c>
      <c r="R44" s="6">
        <f t="shared" si="0"/>
        <v>14948966.144370275</v>
      </c>
      <c r="S44" s="6">
        <f t="shared" si="0"/>
        <v>15321165.019171411</v>
      </c>
      <c r="T44" s="6">
        <f t="shared" si="0"/>
        <v>15699674.999034358</v>
      </c>
      <c r="U44" s="6">
        <f t="shared" si="0"/>
        <v>16092090.607889149</v>
      </c>
      <c r="V44" s="6">
        <f t="shared" si="0"/>
        <v>16494319.631386483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43"/>
  <sheetViews>
    <sheetView workbookViewId="0"/>
  </sheetViews>
  <sheetFormatPr defaultRowHeight="12.75" x14ac:dyDescent="0.2"/>
  <cols>
    <col min="1" max="1" width="5.5703125" customWidth="1"/>
    <col min="2" max="2" width="15.42578125" bestFit="1" customWidth="1"/>
    <col min="3" max="4" width="8.7109375" bestFit="1" customWidth="1"/>
    <col min="6" max="6" width="8.7109375" bestFit="1" customWidth="1"/>
    <col min="8" max="8" width="9.28515625" bestFit="1" customWidth="1"/>
    <col min="9" max="9" width="9.42578125" bestFit="1" customWidth="1"/>
    <col min="10" max="10" width="8.7109375" bestFit="1" customWidth="1"/>
    <col min="14" max="14" width="9.28515625" bestFit="1" customWidth="1"/>
    <col min="15" max="16" width="9.7109375" bestFit="1" customWidth="1"/>
    <col min="18" max="18" width="9.7109375" bestFit="1" customWidth="1"/>
    <col min="19" max="21" width="9.5703125" bestFit="1" customWidth="1"/>
    <col min="22" max="22" width="8.7109375" bestFit="1" customWidth="1"/>
  </cols>
  <sheetData>
    <row r="1" spans="1:22" x14ac:dyDescent="0.2">
      <c r="A1" s="138" t="s">
        <v>49</v>
      </c>
    </row>
    <row r="2" spans="1:22" x14ac:dyDescent="0.2">
      <c r="A2" s="138"/>
    </row>
    <row r="3" spans="1:22" x14ac:dyDescent="0.2">
      <c r="A3" s="138"/>
    </row>
    <row r="4" spans="1:22" x14ac:dyDescent="0.2">
      <c r="A4" s="138"/>
    </row>
    <row r="5" spans="1:22" x14ac:dyDescent="0.2">
      <c r="A5" s="138"/>
    </row>
    <row r="6" spans="1:22" x14ac:dyDescent="0.2">
      <c r="A6" s="138"/>
    </row>
    <row r="8" spans="1:22" x14ac:dyDescent="0.2">
      <c r="C8" s="12">
        <v>2000</v>
      </c>
      <c r="D8" s="12">
        <v>2001</v>
      </c>
      <c r="E8" s="12">
        <v>2002</v>
      </c>
      <c r="F8" s="12">
        <v>2003</v>
      </c>
      <c r="G8" s="12">
        <v>2004</v>
      </c>
      <c r="H8" s="12">
        <v>2005</v>
      </c>
      <c r="I8" s="12">
        <v>2006</v>
      </c>
      <c r="J8" s="12">
        <v>2007</v>
      </c>
      <c r="K8" s="12">
        <v>2008</v>
      </c>
      <c r="L8" s="12">
        <v>2009</v>
      </c>
      <c r="M8" s="12">
        <v>2010</v>
      </c>
      <c r="N8" s="12">
        <v>2011</v>
      </c>
      <c r="O8" s="12">
        <v>2012</v>
      </c>
      <c r="P8" s="12">
        <v>2013</v>
      </c>
      <c r="Q8" s="12">
        <v>2014</v>
      </c>
      <c r="R8" s="12">
        <v>2015</v>
      </c>
      <c r="S8" s="12">
        <v>2016</v>
      </c>
      <c r="T8" s="12">
        <v>2017</v>
      </c>
      <c r="U8" s="12">
        <v>2018</v>
      </c>
      <c r="V8" s="12">
        <v>2019</v>
      </c>
    </row>
    <row r="10" spans="1:22" s="9" customFormat="1" x14ac:dyDescent="0.2">
      <c r="A10" s="9">
        <f>Summary!A17</f>
        <v>1</v>
      </c>
      <c r="B10" s="9" t="s">
        <v>55</v>
      </c>
      <c r="C10" s="217">
        <f>UnitData!H10*UnitData!F10*1000</f>
        <v>4132625.8511486067</v>
      </c>
      <c r="D10" s="218">
        <f>C10*(1+Assumptions!$L$14)</f>
        <v>4215278.3681715792</v>
      </c>
      <c r="E10" s="218">
        <f>D10*(1+Assumptions!$L$14)</f>
        <v>4299583.9355350109</v>
      </c>
      <c r="F10" s="218">
        <f>E10*(1+Assumptions!$L$14)</f>
        <v>4385575.6142457109</v>
      </c>
      <c r="G10" s="218">
        <f>F10*(1+Assumptions!$L$14)</f>
        <v>4473287.1265306249</v>
      </c>
      <c r="H10" s="218">
        <f>G10*(1+Assumptions!$L$14)</f>
        <v>4562752.8690612372</v>
      </c>
      <c r="I10" s="218">
        <f>H10*(1+Assumptions!$L$14)</f>
        <v>4654007.926442462</v>
      </c>
      <c r="J10" s="218">
        <f>I10*(1+Assumptions!$L$14)</f>
        <v>4747088.0849713115</v>
      </c>
      <c r="K10" s="218">
        <f>J10*(1+Assumptions!$L$14)</f>
        <v>4842029.8466707375</v>
      </c>
      <c r="L10" s="218">
        <f>K10*(1+Assumptions!$L$14)</f>
        <v>4938870.4436041526</v>
      </c>
      <c r="M10" s="218">
        <f>L10*(1+Assumptions!$L$14)</f>
        <v>5037647.8524762355</v>
      </c>
      <c r="N10" s="218">
        <f>M10*(1+Assumptions!$L$14)</f>
        <v>5138400.8095257599</v>
      </c>
      <c r="O10" s="218">
        <f>N10*(1+Assumptions!$L$14)</f>
        <v>5241168.8257162748</v>
      </c>
      <c r="P10" s="218">
        <f>O10*(1+Assumptions!$L$14)</f>
        <v>5345992.2022306006</v>
      </c>
      <c r="Q10" s="218">
        <f>P10*(1+Assumptions!$L$14)</f>
        <v>5452912.0462752124</v>
      </c>
      <c r="R10" s="218">
        <f>Q10*(1+Assumptions!$L$14)</f>
        <v>5561970.2872007163</v>
      </c>
      <c r="S10" s="218">
        <f>R10*(1+Assumptions!$L$14)</f>
        <v>5673209.6929447306</v>
      </c>
      <c r="T10" s="218">
        <f>S10*(1+Assumptions!$L$14)</f>
        <v>5786673.8868036252</v>
      </c>
      <c r="U10" s="218">
        <f>T10*(1+Assumptions!$L$14)</f>
        <v>5902407.3645396978</v>
      </c>
      <c r="V10" s="218">
        <f>U10*(1+Assumptions!$L$14)</f>
        <v>6020455.5118304919</v>
      </c>
    </row>
    <row r="11" spans="1:22" s="9" customFormat="1" x14ac:dyDescent="0.2">
      <c r="A11" s="9">
        <f>Summary!A18</f>
        <v>2</v>
      </c>
      <c r="B11" s="9" t="s">
        <v>56</v>
      </c>
      <c r="C11" s="217">
        <f>UnitData!H11*UnitData!F11*1000</f>
        <v>2359857.1433218</v>
      </c>
      <c r="D11" s="219">
        <f>C11*(1+Assumptions!$L$14)</f>
        <v>2407054.286188236</v>
      </c>
      <c r="E11" s="219">
        <f>D11*(1+Assumptions!$L$14)</f>
        <v>2455195.3719120007</v>
      </c>
      <c r="F11" s="219">
        <f>E11*(1+Assumptions!$L$14)</f>
        <v>2504299.2793502407</v>
      </c>
      <c r="G11" s="219">
        <f>F11*(1+Assumptions!$L$14)</f>
        <v>2554385.2649372458</v>
      </c>
      <c r="H11" s="219">
        <f>G11*(1+Assumptions!$L$14)</f>
        <v>2605472.9702359908</v>
      </c>
      <c r="I11" s="219">
        <f>H11*(1+Assumptions!$L$14)</f>
        <v>2657582.4296407108</v>
      </c>
      <c r="J11" s="219">
        <f>I11*(1+Assumptions!$L$14)</f>
        <v>2710734.0782335252</v>
      </c>
      <c r="K11" s="219">
        <f>J11*(1+Assumptions!$L$14)</f>
        <v>2764948.7597981957</v>
      </c>
      <c r="L11" s="219">
        <f>K11*(1+Assumptions!$L$14)</f>
        <v>2820247.7349941595</v>
      </c>
      <c r="M11" s="219">
        <f>L11*(1+Assumptions!$L$14)</f>
        <v>2876652.6896940428</v>
      </c>
      <c r="N11" s="219">
        <f>M11*(1+Assumptions!$L$14)</f>
        <v>2934185.7434879239</v>
      </c>
      <c r="O11" s="219">
        <f>N11*(1+Assumptions!$L$14)</f>
        <v>2992869.4583576825</v>
      </c>
      <c r="P11" s="219">
        <f>O11*(1+Assumptions!$L$14)</f>
        <v>3052726.8475248362</v>
      </c>
      <c r="Q11" s="219">
        <f>P11*(1+Assumptions!$L$14)</f>
        <v>3113781.3844753332</v>
      </c>
      <c r="R11" s="219">
        <f>Q11*(1+Assumptions!$L$14)</f>
        <v>3176057.01216484</v>
      </c>
      <c r="S11" s="219">
        <f>R11*(1+Assumptions!$L$14)</f>
        <v>3239578.152408137</v>
      </c>
      <c r="T11" s="219">
        <f>S11*(1+Assumptions!$L$14)</f>
        <v>3304369.7154562999</v>
      </c>
      <c r="U11" s="219">
        <f>T11*(1+Assumptions!$L$14)</f>
        <v>3370457.1097654258</v>
      </c>
      <c r="V11" s="219">
        <f>U11*(1+Assumptions!$L$14)</f>
        <v>3437866.2519607344</v>
      </c>
    </row>
    <row r="12" spans="1:22" s="9" customFormat="1" x14ac:dyDescent="0.2">
      <c r="A12" s="9">
        <f>Summary!A19</f>
        <v>3</v>
      </c>
      <c r="B12" s="9" t="s">
        <v>57</v>
      </c>
      <c r="C12" s="217">
        <f>UnitData!H12*UnitData!F12*1000</f>
        <v>2710448.7761894143</v>
      </c>
      <c r="D12" s="219">
        <f>C12*(1+Assumptions!$L$14)</f>
        <v>2764657.7517132028</v>
      </c>
      <c r="E12" s="219">
        <f>D12*(1+Assumptions!$L$14)</f>
        <v>2819950.9067474669</v>
      </c>
      <c r="F12" s="219">
        <f>E12*(1+Assumptions!$L$14)</f>
        <v>2876349.9248824161</v>
      </c>
      <c r="G12" s="219">
        <f>F12*(1+Assumptions!$L$14)</f>
        <v>2933876.9233800643</v>
      </c>
      <c r="H12" s="219">
        <f>G12*(1+Assumptions!$L$14)</f>
        <v>2992554.4618476657</v>
      </c>
      <c r="I12" s="219">
        <f>H12*(1+Assumptions!$L$14)</f>
        <v>3052405.551084619</v>
      </c>
      <c r="J12" s="219">
        <f>I12*(1+Assumptions!$L$14)</f>
        <v>3113453.6621063114</v>
      </c>
      <c r="K12" s="219">
        <f>J12*(1+Assumptions!$L$14)</f>
        <v>3175722.7353484379</v>
      </c>
      <c r="L12" s="219">
        <f>K12*(1+Assumptions!$L$14)</f>
        <v>3239237.1900554067</v>
      </c>
      <c r="M12" s="219">
        <f>L12*(1+Assumptions!$L$14)</f>
        <v>3304021.9338565147</v>
      </c>
      <c r="N12" s="219">
        <f>M12*(1+Assumptions!$L$14)</f>
        <v>3370102.372533645</v>
      </c>
      <c r="O12" s="219">
        <f>N12*(1+Assumptions!$L$14)</f>
        <v>3437504.4199843179</v>
      </c>
      <c r="P12" s="219">
        <f>O12*(1+Assumptions!$L$14)</f>
        <v>3506254.5083840042</v>
      </c>
      <c r="Q12" s="219">
        <f>P12*(1+Assumptions!$L$14)</f>
        <v>3576379.5985516845</v>
      </c>
      <c r="R12" s="219">
        <f>Q12*(1+Assumptions!$L$14)</f>
        <v>3647907.1905227182</v>
      </c>
      <c r="S12" s="219">
        <f>R12*(1+Assumptions!$L$14)</f>
        <v>3720865.3343331725</v>
      </c>
      <c r="T12" s="219">
        <f>S12*(1+Assumptions!$L$14)</f>
        <v>3795282.6410198361</v>
      </c>
      <c r="U12" s="219">
        <f>T12*(1+Assumptions!$L$14)</f>
        <v>3871188.2938402328</v>
      </c>
      <c r="V12" s="219">
        <f>U12*(1+Assumptions!$L$14)</f>
        <v>3948612.0597170377</v>
      </c>
    </row>
    <row r="13" spans="1:22" s="9" customFormat="1" x14ac:dyDescent="0.2">
      <c r="A13" s="9">
        <f>Summary!A20</f>
        <v>4</v>
      </c>
      <c r="B13" s="9" t="s">
        <v>58</v>
      </c>
      <c r="C13" s="217">
        <f>UnitData!H13*UnitData!F13*1000</f>
        <v>2754682.588275013</v>
      </c>
      <c r="D13" s="219">
        <f>C13*(1+Assumptions!$L$14)</f>
        <v>2809776.2400405132</v>
      </c>
      <c r="E13" s="219">
        <f>D13*(1+Assumptions!$L$14)</f>
        <v>2865971.7648413237</v>
      </c>
      <c r="F13" s="219">
        <f>E13*(1+Assumptions!$L$14)</f>
        <v>2923291.2001381502</v>
      </c>
      <c r="G13" s="219">
        <f>F13*(1+Assumptions!$L$14)</f>
        <v>2981757.0241409135</v>
      </c>
      <c r="H13" s="219">
        <f>G13*(1+Assumptions!$L$14)</f>
        <v>3041392.1646237317</v>
      </c>
      <c r="I13" s="219">
        <f>H13*(1+Assumptions!$L$14)</f>
        <v>3102220.0079162065</v>
      </c>
      <c r="J13" s="219">
        <f>I13*(1+Assumptions!$L$14)</f>
        <v>3164264.4080745308</v>
      </c>
      <c r="K13" s="219">
        <f>J13*(1+Assumptions!$L$14)</f>
        <v>3227549.6962360214</v>
      </c>
      <c r="L13" s="219">
        <f>K13*(1+Assumptions!$L$14)</f>
        <v>3292100.690160742</v>
      </c>
      <c r="M13" s="219">
        <f>L13*(1+Assumptions!$L$14)</f>
        <v>3357942.7039639568</v>
      </c>
      <c r="N13" s="219">
        <f>M13*(1+Assumptions!$L$14)</f>
        <v>3425101.5580432359</v>
      </c>
      <c r="O13" s="219">
        <f>N13*(1+Assumptions!$L$14)</f>
        <v>3493603.5892041009</v>
      </c>
      <c r="P13" s="219">
        <f>O13*(1+Assumptions!$L$14)</f>
        <v>3563475.6609881828</v>
      </c>
      <c r="Q13" s="219">
        <f>P13*(1+Assumptions!$L$14)</f>
        <v>3634745.1742079463</v>
      </c>
      <c r="R13" s="219">
        <f>Q13*(1+Assumptions!$L$14)</f>
        <v>3707440.0776921054</v>
      </c>
      <c r="S13" s="219">
        <f>R13*(1+Assumptions!$L$14)</f>
        <v>3781588.8792459476</v>
      </c>
      <c r="T13" s="219">
        <f>S13*(1+Assumptions!$L$14)</f>
        <v>3857220.6568308668</v>
      </c>
      <c r="U13" s="219">
        <f>T13*(1+Assumptions!$L$14)</f>
        <v>3934365.0699674841</v>
      </c>
      <c r="V13" s="219">
        <f>U13*(1+Assumptions!$L$14)</f>
        <v>4013052.3713668338</v>
      </c>
    </row>
    <row r="14" spans="1:22" s="9" customFormat="1" x14ac:dyDescent="0.2">
      <c r="A14" s="9">
        <f>Summary!A21</f>
        <v>5</v>
      </c>
      <c r="B14" s="9" t="s">
        <v>59</v>
      </c>
      <c r="C14" s="217">
        <f>UnitData!H14*UnitData!F14*1000</f>
        <v>2739937.9842464775</v>
      </c>
      <c r="D14" s="219">
        <f>C14*(1+Assumptions!$L$14)</f>
        <v>2794736.7439314071</v>
      </c>
      <c r="E14" s="219">
        <f>D14*(1+Assumptions!$L$14)</f>
        <v>2850631.4788100352</v>
      </c>
      <c r="F14" s="219">
        <f>E14*(1+Assumptions!$L$14)</f>
        <v>2907644.1083862358</v>
      </c>
      <c r="G14" s="219">
        <f>F14*(1+Assumptions!$L$14)</f>
        <v>2965796.9905539607</v>
      </c>
      <c r="H14" s="219">
        <f>G14*(1+Assumptions!$L$14)</f>
        <v>3025112.93036504</v>
      </c>
      <c r="I14" s="219">
        <f>H14*(1+Assumptions!$L$14)</f>
        <v>3085615.1889723409</v>
      </c>
      <c r="J14" s="219">
        <f>I14*(1+Assumptions!$L$14)</f>
        <v>3147327.4927517879</v>
      </c>
      <c r="K14" s="219">
        <f>J14*(1+Assumptions!$L$14)</f>
        <v>3210274.0426068236</v>
      </c>
      <c r="L14" s="219">
        <f>K14*(1+Assumptions!$L$14)</f>
        <v>3274479.52345896</v>
      </c>
      <c r="M14" s="219">
        <f>L14*(1+Assumptions!$L$14)</f>
        <v>3339969.1139281392</v>
      </c>
      <c r="N14" s="219">
        <f>M14*(1+Assumptions!$L$14)</f>
        <v>3406768.4962067022</v>
      </c>
      <c r="O14" s="219">
        <f>N14*(1+Assumptions!$L$14)</f>
        <v>3474903.8661308363</v>
      </c>
      <c r="P14" s="219">
        <f>O14*(1+Assumptions!$L$14)</f>
        <v>3544401.943453453</v>
      </c>
      <c r="Q14" s="219">
        <f>P14*(1+Assumptions!$L$14)</f>
        <v>3615289.982322522</v>
      </c>
      <c r="R14" s="219">
        <f>Q14*(1+Assumptions!$L$14)</f>
        <v>3687595.7819689726</v>
      </c>
      <c r="S14" s="219">
        <f>R14*(1+Assumptions!$L$14)</f>
        <v>3761347.6976083522</v>
      </c>
      <c r="T14" s="219">
        <f>S14*(1+Assumptions!$L$14)</f>
        <v>3836574.6515605194</v>
      </c>
      <c r="U14" s="219">
        <f>T14*(1+Assumptions!$L$14)</f>
        <v>3913306.1445917296</v>
      </c>
      <c r="V14" s="219">
        <f>U14*(1+Assumptions!$L$14)</f>
        <v>3991572.2674835641</v>
      </c>
    </row>
    <row r="15" spans="1:22" s="9" customFormat="1" x14ac:dyDescent="0.2">
      <c r="A15" s="9">
        <f>Summary!A22</f>
        <v>6</v>
      </c>
      <c r="B15" s="9" t="s">
        <v>60</v>
      </c>
      <c r="C15" s="217">
        <f>UnitData!H15*UnitData!F15*1000</f>
        <v>2739937.9842464775</v>
      </c>
      <c r="D15" s="219">
        <f>C15*(1+Assumptions!$L$14)</f>
        <v>2794736.7439314071</v>
      </c>
      <c r="E15" s="219">
        <f>D15*(1+Assumptions!$L$14)</f>
        <v>2850631.4788100352</v>
      </c>
      <c r="F15" s="219">
        <f>E15*(1+Assumptions!$L$14)</f>
        <v>2907644.1083862358</v>
      </c>
      <c r="G15" s="219">
        <f>F15*(1+Assumptions!$L$14)</f>
        <v>2965796.9905539607</v>
      </c>
      <c r="H15" s="219">
        <f>G15*(1+Assumptions!$L$14)</f>
        <v>3025112.93036504</v>
      </c>
      <c r="I15" s="219">
        <f>H15*(1+Assumptions!$L$14)</f>
        <v>3085615.1889723409</v>
      </c>
      <c r="J15" s="219">
        <f>I15*(1+Assumptions!$L$14)</f>
        <v>3147327.4927517879</v>
      </c>
      <c r="K15" s="219">
        <f>J15*(1+Assumptions!$L$14)</f>
        <v>3210274.0426068236</v>
      </c>
      <c r="L15" s="219">
        <f>K15*(1+Assumptions!$L$14)</f>
        <v>3274479.52345896</v>
      </c>
      <c r="M15" s="219">
        <f>L15*(1+Assumptions!$L$14)</f>
        <v>3339969.1139281392</v>
      </c>
      <c r="N15" s="219">
        <f>M15*(1+Assumptions!$L$14)</f>
        <v>3406768.4962067022</v>
      </c>
      <c r="O15" s="219">
        <f>N15*(1+Assumptions!$L$14)</f>
        <v>3474903.8661308363</v>
      </c>
      <c r="P15" s="219">
        <f>O15*(1+Assumptions!$L$14)</f>
        <v>3544401.943453453</v>
      </c>
      <c r="Q15" s="219">
        <f>P15*(1+Assumptions!$L$14)</f>
        <v>3615289.982322522</v>
      </c>
      <c r="R15" s="219">
        <f>Q15*(1+Assumptions!$L$14)</f>
        <v>3687595.7819689726</v>
      </c>
      <c r="S15" s="219">
        <f>R15*(1+Assumptions!$L$14)</f>
        <v>3761347.6976083522</v>
      </c>
      <c r="T15" s="219">
        <f>S15*(1+Assumptions!$L$14)</f>
        <v>3836574.6515605194</v>
      </c>
      <c r="U15" s="219">
        <f>T15*(1+Assumptions!$L$14)</f>
        <v>3913306.1445917296</v>
      </c>
      <c r="V15" s="219">
        <f>U15*(1+Assumptions!$L$14)</f>
        <v>3991572.2674835641</v>
      </c>
    </row>
    <row r="16" spans="1:22" s="9" customFormat="1" x14ac:dyDescent="0.2">
      <c r="A16" s="9">
        <f>Summary!A23</f>
        <v>7</v>
      </c>
      <c r="B16" s="9" t="s">
        <v>61</v>
      </c>
      <c r="C16" s="217">
        <f>UnitData!H16*UnitData!F16*1000</f>
        <v>2277244.0585083333</v>
      </c>
      <c r="D16" s="219">
        <f>C16*(1+Assumptions!$L$14)</f>
        <v>2322788.9396784999</v>
      </c>
      <c r="E16" s="219">
        <f>D16*(1+Assumptions!$L$14)</f>
        <v>2369244.7184720701</v>
      </c>
      <c r="F16" s="219">
        <f>E16*(1+Assumptions!$L$14)</f>
        <v>2416629.6128415116</v>
      </c>
      <c r="G16" s="219">
        <f>F16*(1+Assumptions!$L$14)</f>
        <v>2464962.2050983417</v>
      </c>
      <c r="H16" s="219">
        <f>G16*(1+Assumptions!$L$14)</f>
        <v>2514261.4492003084</v>
      </c>
      <c r="I16" s="219">
        <f>H16*(1+Assumptions!$L$14)</f>
        <v>2564546.6781843146</v>
      </c>
      <c r="J16" s="219">
        <f>I16*(1+Assumptions!$L$14)</f>
        <v>2615837.6117480011</v>
      </c>
      <c r="K16" s="219">
        <f>J16*(1+Assumptions!$L$14)</f>
        <v>2668154.363982961</v>
      </c>
      <c r="L16" s="219">
        <f>K16*(1+Assumptions!$L$14)</f>
        <v>2721517.4512626203</v>
      </c>
      <c r="M16" s="219">
        <f>L16*(1+Assumptions!$L$14)</f>
        <v>2775947.8002878726</v>
      </c>
      <c r="N16" s="219">
        <f>M16*(1+Assumptions!$L$14)</f>
        <v>2831466.7562936302</v>
      </c>
      <c r="O16" s="219">
        <f>N16*(1+Assumptions!$L$14)</f>
        <v>2888096.0914195031</v>
      </c>
      <c r="P16" s="219">
        <f>O16*(1+Assumptions!$L$14)</f>
        <v>2945858.0132478932</v>
      </c>
      <c r="Q16" s="219">
        <f>P16*(1+Assumptions!$L$14)</f>
        <v>3004775.1735128509</v>
      </c>
      <c r="R16" s="219">
        <f>Q16*(1+Assumptions!$L$14)</f>
        <v>3064870.6769831078</v>
      </c>
      <c r="S16" s="219">
        <f>R16*(1+Assumptions!$L$14)</f>
        <v>3126168.0905227698</v>
      </c>
      <c r="T16" s="219">
        <f>S16*(1+Assumptions!$L$14)</f>
        <v>3188691.4523332254</v>
      </c>
      <c r="U16" s="219">
        <f>T16*(1+Assumptions!$L$14)</f>
        <v>3252465.2813798902</v>
      </c>
      <c r="V16" s="219">
        <f>U16*(1+Assumptions!$L$14)</f>
        <v>3317514.5870074881</v>
      </c>
    </row>
    <row r="17" spans="1:22" s="9" customFormat="1" x14ac:dyDescent="0.2">
      <c r="A17" s="9">
        <f>Summary!A24</f>
        <v>8</v>
      </c>
      <c r="B17" s="9" t="s">
        <v>62</v>
      </c>
      <c r="C17" s="217">
        <f>UnitData!H17*UnitData!F17*1000</f>
        <v>913359.47822515084</v>
      </c>
      <c r="D17" s="219">
        <f>C17*(1+Assumptions!$L$14)</f>
        <v>931626.66778965387</v>
      </c>
      <c r="E17" s="219">
        <f>D17*(1+Assumptions!$L$14)</f>
        <v>950259.20114544698</v>
      </c>
      <c r="F17" s="219">
        <f>E17*(1+Assumptions!$L$14)</f>
        <v>969264.38516835589</v>
      </c>
      <c r="G17" s="219">
        <f>F17*(1+Assumptions!$L$14)</f>
        <v>988649.67287172307</v>
      </c>
      <c r="H17" s="219">
        <f>G17*(1+Assumptions!$L$14)</f>
        <v>1008422.6663291575</v>
      </c>
      <c r="I17" s="219">
        <f>H17*(1+Assumptions!$L$14)</f>
        <v>1028591.1196557407</v>
      </c>
      <c r="J17" s="219">
        <f>I17*(1+Assumptions!$L$14)</f>
        <v>1049162.9420488556</v>
      </c>
      <c r="K17" s="219">
        <f>J17*(1+Assumptions!$L$14)</f>
        <v>1070146.2008898328</v>
      </c>
      <c r="L17" s="219">
        <f>K17*(1+Assumptions!$L$14)</f>
        <v>1091549.1249076296</v>
      </c>
      <c r="M17" s="219">
        <f>L17*(1+Assumptions!$L$14)</f>
        <v>1113380.1074057822</v>
      </c>
      <c r="N17" s="219">
        <f>M17*(1+Assumptions!$L$14)</f>
        <v>1135647.7095538978</v>
      </c>
      <c r="O17" s="219">
        <f>N17*(1+Assumptions!$L$14)</f>
        <v>1158360.6637449758</v>
      </c>
      <c r="P17" s="219">
        <f>O17*(1+Assumptions!$L$14)</f>
        <v>1181527.8770198755</v>
      </c>
      <c r="Q17" s="219">
        <f>P17*(1+Assumptions!$L$14)</f>
        <v>1205158.4345602731</v>
      </c>
      <c r="R17" s="219">
        <f>Q17*(1+Assumptions!$L$14)</f>
        <v>1229261.6032514786</v>
      </c>
      <c r="S17" s="219">
        <f>R17*(1+Assumptions!$L$14)</f>
        <v>1253846.8353165083</v>
      </c>
      <c r="T17" s="219">
        <f>S17*(1+Assumptions!$L$14)</f>
        <v>1278923.7720228385</v>
      </c>
      <c r="U17" s="219">
        <f>T17*(1+Assumptions!$L$14)</f>
        <v>1304502.2474632952</v>
      </c>
      <c r="V17" s="219">
        <f>U17*(1+Assumptions!$L$14)</f>
        <v>1330592.2924125611</v>
      </c>
    </row>
    <row r="18" spans="1:22" s="9" customFormat="1" x14ac:dyDescent="0.2">
      <c r="A18" s="9">
        <f>Summary!A25</f>
        <v>9</v>
      </c>
      <c r="B18" s="9" t="s">
        <v>63</v>
      </c>
      <c r="C18" s="217">
        <f>UnitData!H18*UnitData!F18*1000</f>
        <v>2666460.3272471912</v>
      </c>
      <c r="D18" s="219">
        <f>C18*(1+Assumptions!$L$14)</f>
        <v>2719789.5337921353</v>
      </c>
      <c r="E18" s="219">
        <f>D18*(1+Assumptions!$L$14)</f>
        <v>2774185.324467978</v>
      </c>
      <c r="F18" s="219">
        <f>E18*(1+Assumptions!$L$14)</f>
        <v>2829669.0309573375</v>
      </c>
      <c r="G18" s="219">
        <f>F18*(1+Assumptions!$L$14)</f>
        <v>2886262.4115764843</v>
      </c>
      <c r="H18" s="219">
        <f>G18*(1+Assumptions!$L$14)</f>
        <v>2943987.6598080141</v>
      </c>
      <c r="I18" s="219">
        <f>H18*(1+Assumptions!$L$14)</f>
        <v>3002867.4130041744</v>
      </c>
      <c r="J18" s="219">
        <f>I18*(1+Assumptions!$L$14)</f>
        <v>3062924.7612642581</v>
      </c>
      <c r="K18" s="219">
        <f>J18*(1+Assumptions!$L$14)</f>
        <v>3124183.2564895432</v>
      </c>
      <c r="L18" s="219">
        <f>K18*(1+Assumptions!$L$14)</f>
        <v>3186666.9216193343</v>
      </c>
      <c r="M18" s="219">
        <f>L18*(1+Assumptions!$L$14)</f>
        <v>3250400.2600517208</v>
      </c>
      <c r="N18" s="219">
        <f>M18*(1+Assumptions!$L$14)</f>
        <v>3315408.265252755</v>
      </c>
      <c r="O18" s="219">
        <f>N18*(1+Assumptions!$L$14)</f>
        <v>3381716.4305578102</v>
      </c>
      <c r="P18" s="219">
        <f>O18*(1+Assumptions!$L$14)</f>
        <v>3449350.7591689667</v>
      </c>
      <c r="Q18" s="219">
        <f>P18*(1+Assumptions!$L$14)</f>
        <v>3518337.7743523461</v>
      </c>
      <c r="R18" s="219">
        <f>Q18*(1+Assumptions!$L$14)</f>
        <v>3588704.5298393932</v>
      </c>
      <c r="S18" s="219">
        <f>R18*(1+Assumptions!$L$14)</f>
        <v>3660478.6204361813</v>
      </c>
      <c r="T18" s="219">
        <f>S18*(1+Assumptions!$L$14)</f>
        <v>3733688.192844905</v>
      </c>
      <c r="U18" s="219">
        <f>T18*(1+Assumptions!$L$14)</f>
        <v>3808361.956701803</v>
      </c>
      <c r="V18" s="219">
        <f>U18*(1+Assumptions!$L$14)</f>
        <v>3884529.195835839</v>
      </c>
    </row>
    <row r="19" spans="1:22" s="9" customFormat="1" x14ac:dyDescent="0.2">
      <c r="A19" s="9">
        <f>Summary!A26</f>
        <v>10</v>
      </c>
      <c r="B19" s="9" t="s">
        <v>64</v>
      </c>
      <c r="C19" s="217">
        <f>UnitData!H19*UnitData!F19*1000</f>
        <v>3748962.4263841226</v>
      </c>
      <c r="D19" s="219">
        <f>C19*(1+Assumptions!$L$14)</f>
        <v>3823941.674911805</v>
      </c>
      <c r="E19" s="219">
        <f>D19*(1+Assumptions!$L$14)</f>
        <v>3900420.5084100412</v>
      </c>
      <c r="F19" s="219">
        <f>E19*(1+Assumptions!$L$14)</f>
        <v>3978428.918578242</v>
      </c>
      <c r="G19" s="219">
        <f>F19*(1+Assumptions!$L$14)</f>
        <v>4057997.4969498068</v>
      </c>
      <c r="H19" s="219">
        <f>G19*(1+Assumptions!$L$14)</f>
        <v>4139157.446888803</v>
      </c>
      <c r="I19" s="219">
        <f>H19*(1+Assumptions!$L$14)</f>
        <v>4221940.5958265793</v>
      </c>
      <c r="J19" s="219">
        <f>I19*(1+Assumptions!$L$14)</f>
        <v>4306379.4077431113</v>
      </c>
      <c r="K19" s="219">
        <f>J19*(1+Assumptions!$L$14)</f>
        <v>4392506.9958979739</v>
      </c>
      <c r="L19" s="219">
        <f>K19*(1+Assumptions!$L$14)</f>
        <v>4480357.1358159333</v>
      </c>
      <c r="M19" s="219">
        <f>L19*(1+Assumptions!$L$14)</f>
        <v>4569964.2785322517</v>
      </c>
      <c r="N19" s="219">
        <f>M19*(1+Assumptions!$L$14)</f>
        <v>4661363.5641028965</v>
      </c>
      <c r="O19" s="219">
        <f>N19*(1+Assumptions!$L$14)</f>
        <v>4754590.8353849547</v>
      </c>
      <c r="P19" s="219">
        <f>O19*(1+Assumptions!$L$14)</f>
        <v>4849682.6520926543</v>
      </c>
      <c r="Q19" s="219">
        <f>P19*(1+Assumptions!$L$14)</f>
        <v>4946676.3051345078</v>
      </c>
      <c r="R19" s="219">
        <f>Q19*(1+Assumptions!$L$14)</f>
        <v>5045609.8312371979</v>
      </c>
      <c r="S19" s="219">
        <f>R19*(1+Assumptions!$L$14)</f>
        <v>5146522.0278619416</v>
      </c>
      <c r="T19" s="219">
        <f>S19*(1+Assumptions!$L$14)</f>
        <v>5249452.4684191803</v>
      </c>
      <c r="U19" s="219">
        <f>T19*(1+Assumptions!$L$14)</f>
        <v>5354441.5177875636</v>
      </c>
      <c r="V19" s="219">
        <f>U19*(1+Assumptions!$L$14)</f>
        <v>5461530.3481433149</v>
      </c>
    </row>
    <row r="20" spans="1:22" s="9" customFormat="1" x14ac:dyDescent="0.2">
      <c r="A20" s="9">
        <f>Summary!A27</f>
        <v>11</v>
      </c>
      <c r="B20" s="9" t="s">
        <v>65</v>
      </c>
      <c r="C20" s="217">
        <f>UnitData!H20*UnitData!F20*1000</f>
        <v>4620585.2279554242</v>
      </c>
      <c r="D20" s="219">
        <f>C20*(1+Assumptions!$L$14)</f>
        <v>4712996.9325145325</v>
      </c>
      <c r="E20" s="219">
        <f>D20*(1+Assumptions!$L$14)</f>
        <v>4807256.871164823</v>
      </c>
      <c r="F20" s="219">
        <f>E20*(1+Assumptions!$L$14)</f>
        <v>4903402.0085881194</v>
      </c>
      <c r="G20" s="219">
        <f>F20*(1+Assumptions!$L$14)</f>
        <v>5001470.0487598823</v>
      </c>
      <c r="H20" s="219">
        <f>G20*(1+Assumptions!$L$14)</f>
        <v>5101499.4497350799</v>
      </c>
      <c r="I20" s="219">
        <f>H20*(1+Assumptions!$L$14)</f>
        <v>5203529.4387297817</v>
      </c>
      <c r="J20" s="219">
        <f>I20*(1+Assumptions!$L$14)</f>
        <v>5307600.0275043771</v>
      </c>
      <c r="K20" s="219">
        <f>J20*(1+Assumptions!$L$14)</f>
        <v>5413752.0280544646</v>
      </c>
      <c r="L20" s="219">
        <f>K20*(1+Assumptions!$L$14)</f>
        <v>5522027.0686155539</v>
      </c>
      <c r="M20" s="219">
        <f>L20*(1+Assumptions!$L$14)</f>
        <v>5632467.6099878652</v>
      </c>
      <c r="N20" s="219">
        <f>M20*(1+Assumptions!$L$14)</f>
        <v>5745116.9621876227</v>
      </c>
      <c r="O20" s="219">
        <f>N20*(1+Assumptions!$L$14)</f>
        <v>5860019.3014313756</v>
      </c>
      <c r="P20" s="219">
        <f>O20*(1+Assumptions!$L$14)</f>
        <v>5977219.6874600034</v>
      </c>
      <c r="Q20" s="219">
        <f>P20*(1+Assumptions!$L$14)</f>
        <v>6096764.0812092032</v>
      </c>
      <c r="R20" s="219">
        <f>Q20*(1+Assumptions!$L$14)</f>
        <v>6218699.3628333872</v>
      </c>
      <c r="S20" s="219">
        <f>R20*(1+Assumptions!$L$14)</f>
        <v>6343073.3500900548</v>
      </c>
      <c r="T20" s="219">
        <f>S20*(1+Assumptions!$L$14)</f>
        <v>6469934.8170918562</v>
      </c>
      <c r="U20" s="219">
        <f>T20*(1+Assumptions!$L$14)</f>
        <v>6599333.513433693</v>
      </c>
      <c r="V20" s="219">
        <f>U20*(1+Assumptions!$L$14)</f>
        <v>6731320.1837023674</v>
      </c>
    </row>
    <row r="21" spans="1:22" s="9" customFormat="1" x14ac:dyDescent="0.2">
      <c r="A21" s="9">
        <f>Summary!A28</f>
        <v>12</v>
      </c>
      <c r="B21" s="9" t="s">
        <v>66</v>
      </c>
      <c r="C21" s="217">
        <f>UnitData!H21*UnitData!F21*1000</f>
        <v>2826111.1150810458</v>
      </c>
      <c r="D21" s="219">
        <f>C21*(1+Assumptions!$L$14)</f>
        <v>2882633.3373826668</v>
      </c>
      <c r="E21" s="219">
        <f>D21*(1+Assumptions!$L$14)</f>
        <v>2940286.0041303202</v>
      </c>
      <c r="F21" s="219">
        <f>E21*(1+Assumptions!$L$14)</f>
        <v>2999091.7242129268</v>
      </c>
      <c r="G21" s="219">
        <f>F21*(1+Assumptions!$L$14)</f>
        <v>3059073.5586971855</v>
      </c>
      <c r="H21" s="219">
        <f>G21*(1+Assumptions!$L$14)</f>
        <v>3120255.0298711294</v>
      </c>
      <c r="I21" s="219">
        <f>H21*(1+Assumptions!$L$14)</f>
        <v>3182660.130468552</v>
      </c>
      <c r="J21" s="219">
        <f>I21*(1+Assumptions!$L$14)</f>
        <v>3246313.3330779229</v>
      </c>
      <c r="K21" s="219">
        <f>J21*(1+Assumptions!$L$14)</f>
        <v>3311239.5997394812</v>
      </c>
      <c r="L21" s="219">
        <f>K21*(1+Assumptions!$L$14)</f>
        <v>3377464.3917342708</v>
      </c>
      <c r="M21" s="219">
        <f>L21*(1+Assumptions!$L$14)</f>
        <v>3445013.6795689561</v>
      </c>
      <c r="N21" s="219">
        <f>M21*(1+Assumptions!$L$14)</f>
        <v>3513913.9531603353</v>
      </c>
      <c r="O21" s="219">
        <f>N21*(1+Assumptions!$L$14)</f>
        <v>3584192.2322235419</v>
      </c>
      <c r="P21" s="219">
        <f>O21*(1+Assumptions!$L$14)</f>
        <v>3655876.076868013</v>
      </c>
      <c r="Q21" s="219">
        <f>P21*(1+Assumptions!$L$14)</f>
        <v>3728993.5984053733</v>
      </c>
      <c r="R21" s="219">
        <f>Q21*(1+Assumptions!$L$14)</f>
        <v>3803573.470373481</v>
      </c>
      <c r="S21" s="219">
        <f>R21*(1+Assumptions!$L$14)</f>
        <v>3879644.9397809505</v>
      </c>
      <c r="T21" s="219">
        <f>S21*(1+Assumptions!$L$14)</f>
        <v>3957237.8385765697</v>
      </c>
      <c r="U21" s="219">
        <f>T21*(1+Assumptions!$L$14)</f>
        <v>4036382.5953481011</v>
      </c>
      <c r="V21" s="219">
        <f>U21*(1+Assumptions!$L$14)</f>
        <v>4117110.2472550632</v>
      </c>
    </row>
    <row r="22" spans="1:22" s="9" customFormat="1" x14ac:dyDescent="0.2">
      <c r="A22" s="9">
        <f>Summary!A29</f>
        <v>13</v>
      </c>
      <c r="B22" s="9" t="s">
        <v>67</v>
      </c>
      <c r="C22" s="217">
        <f>UnitData!H22*UnitData!F22*1000</f>
        <v>3054335.110741084</v>
      </c>
      <c r="D22" s="219">
        <f>C22*(1+Assumptions!$L$14)</f>
        <v>3115421.8129559057</v>
      </c>
      <c r="E22" s="219">
        <f>D22*(1+Assumptions!$L$14)</f>
        <v>3177730.2492150241</v>
      </c>
      <c r="F22" s="219">
        <f>E22*(1+Assumptions!$L$14)</f>
        <v>3241284.8541993247</v>
      </c>
      <c r="G22" s="219">
        <f>F22*(1+Assumptions!$L$14)</f>
        <v>3306110.5512833111</v>
      </c>
      <c r="H22" s="219">
        <f>G22*(1+Assumptions!$L$14)</f>
        <v>3372232.7623089775</v>
      </c>
      <c r="I22" s="219">
        <f>H22*(1+Assumptions!$L$14)</f>
        <v>3439677.4175551571</v>
      </c>
      <c r="J22" s="219">
        <f>I22*(1+Assumptions!$L$14)</f>
        <v>3508470.9659062601</v>
      </c>
      <c r="K22" s="219">
        <f>J22*(1+Assumptions!$L$14)</f>
        <v>3578640.3852243852</v>
      </c>
      <c r="L22" s="219">
        <f>K22*(1+Assumptions!$L$14)</f>
        <v>3650213.192928873</v>
      </c>
      <c r="M22" s="219">
        <f>L22*(1+Assumptions!$L$14)</f>
        <v>3723217.4567874507</v>
      </c>
      <c r="N22" s="219">
        <f>M22*(1+Assumptions!$L$14)</f>
        <v>3797681.8059231997</v>
      </c>
      <c r="O22" s="219">
        <f>N22*(1+Assumptions!$L$14)</f>
        <v>3873635.4420416639</v>
      </c>
      <c r="P22" s="219">
        <f>O22*(1+Assumptions!$L$14)</f>
        <v>3951108.1508824974</v>
      </c>
      <c r="Q22" s="219">
        <f>P22*(1+Assumptions!$L$14)</f>
        <v>4030130.3139001476</v>
      </c>
      <c r="R22" s="219">
        <f>Q22*(1+Assumptions!$L$14)</f>
        <v>4110732.9201781508</v>
      </c>
      <c r="S22" s="219">
        <f>R22*(1+Assumptions!$L$14)</f>
        <v>4192947.5785817141</v>
      </c>
      <c r="T22" s="219">
        <f>S22*(1+Assumptions!$L$14)</f>
        <v>4276806.5301533481</v>
      </c>
      <c r="U22" s="219">
        <f>T22*(1+Assumptions!$L$14)</f>
        <v>4362342.6607564148</v>
      </c>
      <c r="V22" s="219">
        <f>U22*(1+Assumptions!$L$14)</f>
        <v>4449589.5139715429</v>
      </c>
    </row>
    <row r="23" spans="1:22" s="9" customFormat="1" x14ac:dyDescent="0.2">
      <c r="A23" s="9">
        <f>Summary!A30</f>
        <v>14</v>
      </c>
      <c r="B23" s="9" t="s">
        <v>70</v>
      </c>
      <c r="C23" s="217">
        <f>UnitData!H23*UnitData!F23*1000</f>
        <v>2832481.5437859572</v>
      </c>
      <c r="D23" s="219">
        <f>C23*(1+Assumptions!$L$14)</f>
        <v>2889131.1746616764</v>
      </c>
      <c r="E23" s="219">
        <f>D23*(1+Assumptions!$L$14)</f>
        <v>2946913.7981549101</v>
      </c>
      <c r="F23" s="219">
        <f>E23*(1+Assumptions!$L$14)</f>
        <v>3005852.0741180084</v>
      </c>
      <c r="G23" s="219">
        <f>F23*(1+Assumptions!$L$14)</f>
        <v>3065969.1156003685</v>
      </c>
      <c r="H23" s="219">
        <f>G23*(1+Assumptions!$L$14)</f>
        <v>3127288.4979123757</v>
      </c>
      <c r="I23" s="219">
        <f>H23*(1+Assumptions!$L$14)</f>
        <v>3189834.2678706232</v>
      </c>
      <c r="J23" s="219">
        <f>I23*(1+Assumptions!$L$14)</f>
        <v>3253630.9532280355</v>
      </c>
      <c r="K23" s="219">
        <f>J23*(1+Assumptions!$L$14)</f>
        <v>3318703.5722925961</v>
      </c>
      <c r="L23" s="219">
        <f>K23*(1+Assumptions!$L$14)</f>
        <v>3385077.6437384482</v>
      </c>
      <c r="M23" s="219">
        <f>L23*(1+Assumptions!$L$14)</f>
        <v>3452779.1966132172</v>
      </c>
      <c r="N23" s="219">
        <f>M23*(1+Assumptions!$L$14)</f>
        <v>3521834.7805454815</v>
      </c>
      <c r="O23" s="219">
        <f>N23*(1+Assumptions!$L$14)</f>
        <v>3592271.4761563912</v>
      </c>
      <c r="P23" s="219">
        <f>O23*(1+Assumptions!$L$14)</f>
        <v>3664116.9056795193</v>
      </c>
      <c r="Q23" s="219">
        <f>P23*(1+Assumptions!$L$14)</f>
        <v>3737399.2437931099</v>
      </c>
      <c r="R23" s="219">
        <f>Q23*(1+Assumptions!$L$14)</f>
        <v>3812147.2286689724</v>
      </c>
      <c r="S23" s="219">
        <f>R23*(1+Assumptions!$L$14)</f>
        <v>3888390.173242352</v>
      </c>
      <c r="T23" s="219">
        <f>S23*(1+Assumptions!$L$14)</f>
        <v>3966157.9767071991</v>
      </c>
      <c r="U23" s="219">
        <f>T23*(1+Assumptions!$L$14)</f>
        <v>4045481.1362413433</v>
      </c>
      <c r="V23" s="219">
        <f>U23*(1+Assumptions!$L$14)</f>
        <v>4126390.7589661703</v>
      </c>
    </row>
    <row r="24" spans="1:22" s="9" customFormat="1" x14ac:dyDescent="0.2">
      <c r="A24" s="9">
        <f>Summary!A31</f>
        <v>15</v>
      </c>
      <c r="B24" s="9" t="s">
        <v>68</v>
      </c>
      <c r="C24" s="217">
        <f>UnitData!H24*UnitData!F24*1000</f>
        <v>3592380.5522147156</v>
      </c>
      <c r="D24" s="219">
        <f>C24*(1+Assumptions!$L$14)</f>
        <v>3664228.1632590098</v>
      </c>
      <c r="E24" s="219">
        <f>D24*(1+Assumptions!$L$14)</f>
        <v>3737512.72652419</v>
      </c>
      <c r="F24" s="219">
        <f>E24*(1+Assumptions!$L$14)</f>
        <v>3812262.9810546739</v>
      </c>
      <c r="G24" s="219">
        <f>F24*(1+Assumptions!$L$14)</f>
        <v>3888508.2406757674</v>
      </c>
      <c r="H24" s="219">
        <f>G24*(1+Assumptions!$L$14)</f>
        <v>3966278.4054892827</v>
      </c>
      <c r="I24" s="219">
        <f>H24*(1+Assumptions!$L$14)</f>
        <v>4045603.9735990684</v>
      </c>
      <c r="J24" s="219">
        <f>I24*(1+Assumptions!$L$14)</f>
        <v>4126516.05307105</v>
      </c>
      <c r="K24" s="219">
        <f>J24*(1+Assumptions!$L$14)</f>
        <v>4209046.3741324712</v>
      </c>
      <c r="L24" s="219">
        <f>K24*(1+Assumptions!$L$14)</f>
        <v>4293227.3016151208</v>
      </c>
      <c r="M24" s="219">
        <f>L24*(1+Assumptions!$L$14)</f>
        <v>4379091.8476474229</v>
      </c>
      <c r="N24" s="219">
        <f>M24*(1+Assumptions!$L$14)</f>
        <v>4466673.6846003719</v>
      </c>
      <c r="O24" s="219">
        <f>N24*(1+Assumptions!$L$14)</f>
        <v>4556007.1582923792</v>
      </c>
      <c r="P24" s="219">
        <f>O24*(1+Assumptions!$L$14)</f>
        <v>4647127.3014582265</v>
      </c>
      <c r="Q24" s="219">
        <f>P24*(1+Assumptions!$L$14)</f>
        <v>4740069.847487391</v>
      </c>
      <c r="R24" s="219">
        <f>Q24*(1+Assumptions!$L$14)</f>
        <v>4834871.2444371385</v>
      </c>
      <c r="S24" s="219">
        <f>R24*(1+Assumptions!$L$14)</f>
        <v>4931568.6693258816</v>
      </c>
      <c r="T24" s="219">
        <f>S24*(1+Assumptions!$L$14)</f>
        <v>5030200.0427123997</v>
      </c>
      <c r="U24" s="219">
        <f>T24*(1+Assumptions!$L$14)</f>
        <v>5130804.0435666479</v>
      </c>
      <c r="V24" s="219">
        <f>U24*(1+Assumptions!$L$14)</f>
        <v>5233420.1244379813</v>
      </c>
    </row>
    <row r="25" spans="1:22" s="9" customFormat="1" x14ac:dyDescent="0.2">
      <c r="A25" s="9">
        <f>Summary!A32</f>
        <v>16</v>
      </c>
      <c r="B25" s="9" t="s">
        <v>69</v>
      </c>
      <c r="C25" s="217">
        <f>UnitData!H25*UnitData!F25*1000</f>
        <v>4667110.0368473521</v>
      </c>
      <c r="D25" s="219">
        <f>C25*(1+Assumptions!$L$14)</f>
        <v>4760452.2375842994</v>
      </c>
      <c r="E25" s="219">
        <f>D25*(1+Assumptions!$L$14)</f>
        <v>4855661.2823359855</v>
      </c>
      <c r="F25" s="219">
        <f>E25*(1+Assumptions!$L$14)</f>
        <v>4952774.5079827048</v>
      </c>
      <c r="G25" s="219">
        <f>F25*(1+Assumptions!$L$14)</f>
        <v>5051829.9981423588</v>
      </c>
      <c r="H25" s="219">
        <f>G25*(1+Assumptions!$L$14)</f>
        <v>5152866.5981052062</v>
      </c>
      <c r="I25" s="219">
        <f>H25*(1+Assumptions!$L$14)</f>
        <v>5255923.9300673101</v>
      </c>
      <c r="J25" s="219">
        <f>I25*(1+Assumptions!$L$14)</f>
        <v>5361042.4086686568</v>
      </c>
      <c r="K25" s="219">
        <f>J25*(1+Assumptions!$L$14)</f>
        <v>5468263.2568420302</v>
      </c>
      <c r="L25" s="219">
        <f>K25*(1+Assumptions!$L$14)</f>
        <v>5577628.521978871</v>
      </c>
      <c r="M25" s="219">
        <f>L25*(1+Assumptions!$L$14)</f>
        <v>5689181.0924184481</v>
      </c>
      <c r="N25" s="219">
        <f>M25*(1+Assumptions!$L$14)</f>
        <v>5802964.7142668171</v>
      </c>
      <c r="O25" s="219">
        <f>N25*(1+Assumptions!$L$14)</f>
        <v>5919024.0085521536</v>
      </c>
      <c r="P25" s="219">
        <f>O25*(1+Assumptions!$L$14)</f>
        <v>6037404.488723197</v>
      </c>
      <c r="Q25" s="219">
        <f>P25*(1+Assumptions!$L$14)</f>
        <v>6158152.5784976613</v>
      </c>
      <c r="R25" s="219">
        <f>Q25*(1+Assumptions!$L$14)</f>
        <v>6281315.6300676148</v>
      </c>
      <c r="S25" s="219">
        <f>R25*(1+Assumptions!$L$14)</f>
        <v>6406941.9426689669</v>
      </c>
      <c r="T25" s="219">
        <f>S25*(1+Assumptions!$L$14)</f>
        <v>6535080.7815223467</v>
      </c>
      <c r="U25" s="219">
        <f>T25*(1+Assumptions!$L$14)</f>
        <v>6665782.3971527936</v>
      </c>
      <c r="V25" s="219">
        <f>U25*(1+Assumptions!$L$14)</f>
        <v>6799098.0450958498</v>
      </c>
    </row>
    <row r="26" spans="1:22" s="9" customFormat="1" x14ac:dyDescent="0.2">
      <c r="A26" s="9">
        <f>Summary!A33</f>
        <v>17</v>
      </c>
      <c r="B26" s="9" t="s">
        <v>71</v>
      </c>
      <c r="C26" s="217">
        <f>UnitData!H26*UnitData!F26*1000</f>
        <v>1799946.0099868001</v>
      </c>
      <c r="D26" s="219">
        <f>C26*(1+Assumptions!$L$14)</f>
        <v>1835944.9301865362</v>
      </c>
      <c r="E26" s="219">
        <f>D26*(1+Assumptions!$L$14)</f>
        <v>1872663.828790267</v>
      </c>
      <c r="F26" s="219">
        <f>E26*(1+Assumptions!$L$14)</f>
        <v>1910117.1053660724</v>
      </c>
      <c r="G26" s="219">
        <f>F26*(1+Assumptions!$L$14)</f>
        <v>1948319.4474733938</v>
      </c>
      <c r="H26" s="219">
        <f>G26*(1+Assumptions!$L$14)</f>
        <v>1987285.8364228616</v>
      </c>
      <c r="I26" s="219">
        <f>H26*(1+Assumptions!$L$14)</f>
        <v>2027031.5531513188</v>
      </c>
      <c r="J26" s="219">
        <f>I26*(1+Assumptions!$L$14)</f>
        <v>2067572.1842143452</v>
      </c>
      <c r="K26" s="219">
        <f>J26*(1+Assumptions!$L$14)</f>
        <v>2108923.6278986321</v>
      </c>
      <c r="L26" s="219">
        <f>K26*(1+Assumptions!$L$14)</f>
        <v>2151102.1004566047</v>
      </c>
      <c r="M26" s="219">
        <f>L26*(1+Assumptions!$L$14)</f>
        <v>2194124.1424657367</v>
      </c>
      <c r="N26" s="219">
        <f>M26*(1+Assumptions!$L$14)</f>
        <v>2238006.6253150515</v>
      </c>
      <c r="O26" s="219">
        <f>N26*(1+Assumptions!$L$14)</f>
        <v>2282766.7578213527</v>
      </c>
      <c r="P26" s="219">
        <f>O26*(1+Assumptions!$L$14)</f>
        <v>2328422.0929777799</v>
      </c>
      <c r="Q26" s="219">
        <f>P26*(1+Assumptions!$L$14)</f>
        <v>2374990.5348373353</v>
      </c>
      <c r="R26" s="219">
        <f>Q26*(1+Assumptions!$L$14)</f>
        <v>2422490.345534082</v>
      </c>
      <c r="S26" s="219">
        <f>R26*(1+Assumptions!$L$14)</f>
        <v>2470940.1524447636</v>
      </c>
      <c r="T26" s="219">
        <f>S26*(1+Assumptions!$L$14)</f>
        <v>2520358.9554936588</v>
      </c>
      <c r="U26" s="219">
        <f>T26*(1+Assumptions!$L$14)</f>
        <v>2570766.134603532</v>
      </c>
      <c r="V26" s="219">
        <f>U26*(1+Assumptions!$L$14)</f>
        <v>2622181.4572956027</v>
      </c>
    </row>
    <row r="27" spans="1:22" s="9" customFormat="1" x14ac:dyDescent="0.2">
      <c r="A27" s="9">
        <f>Summary!A34</f>
        <v>18</v>
      </c>
      <c r="B27" s="9" t="s">
        <v>72</v>
      </c>
      <c r="C27" s="217">
        <f>UnitData!H27*UnitData!F27*1000</f>
        <v>10698072.919905817</v>
      </c>
      <c r="D27" s="219">
        <f>C27*(1+Assumptions!$L$14)</f>
        <v>10912034.378303934</v>
      </c>
      <c r="E27" s="219">
        <f>D27*(1+Assumptions!$L$14)</f>
        <v>11130275.065870013</v>
      </c>
      <c r="F27" s="219">
        <f>E27*(1+Assumptions!$L$14)</f>
        <v>11352880.567187414</v>
      </c>
      <c r="G27" s="219">
        <f>F27*(1+Assumptions!$L$14)</f>
        <v>11579938.178531162</v>
      </c>
      <c r="H27" s="219">
        <f>G27*(1+Assumptions!$L$14)</f>
        <v>11811536.942101786</v>
      </c>
      <c r="I27" s="219">
        <f>H27*(1+Assumptions!$L$14)</f>
        <v>12047767.680943822</v>
      </c>
      <c r="J27" s="219">
        <f>I27*(1+Assumptions!$L$14)</f>
        <v>12288723.034562699</v>
      </c>
      <c r="K27" s="219">
        <f>J27*(1+Assumptions!$L$14)</f>
        <v>12534497.495253954</v>
      </c>
      <c r="L27" s="219">
        <f>K27*(1+Assumptions!$L$14)</f>
        <v>12785187.445159033</v>
      </c>
      <c r="M27" s="219">
        <f>L27*(1+Assumptions!$L$14)</f>
        <v>13040891.194062214</v>
      </c>
      <c r="N27" s="219">
        <f>M27*(1+Assumptions!$L$14)</f>
        <v>13301709.017943459</v>
      </c>
      <c r="O27" s="219">
        <f>N27*(1+Assumptions!$L$14)</f>
        <v>13567743.198302329</v>
      </c>
      <c r="P27" s="219">
        <f>O27*(1+Assumptions!$L$14)</f>
        <v>13839098.062268374</v>
      </c>
      <c r="Q27" s="219">
        <f>P27*(1+Assumptions!$L$14)</f>
        <v>14115880.023513742</v>
      </c>
      <c r="R27" s="219">
        <f>Q27*(1+Assumptions!$L$14)</f>
        <v>14398197.623984016</v>
      </c>
      <c r="S27" s="219">
        <f>R27*(1+Assumptions!$L$14)</f>
        <v>14686161.576463697</v>
      </c>
      <c r="T27" s="219">
        <f>S27*(1+Assumptions!$L$14)</f>
        <v>14979884.807992972</v>
      </c>
      <c r="U27" s="219">
        <f>T27*(1+Assumptions!$L$14)</f>
        <v>15279482.504152833</v>
      </c>
      <c r="V27" s="219">
        <f>U27*(1+Assumptions!$L$14)</f>
        <v>15585072.15423589</v>
      </c>
    </row>
    <row r="28" spans="1:22" s="9" customFormat="1" x14ac:dyDescent="0.2">
      <c r="A28" s="9">
        <f>Summary!A35</f>
        <v>19</v>
      </c>
      <c r="B28" s="9" t="s">
        <v>73</v>
      </c>
      <c r="C28" s="217">
        <f>UnitData!H28*UnitData!F28*1000</f>
        <v>264786.62398246111</v>
      </c>
      <c r="D28" s="219">
        <f>C28*(1+Assumptions!$L$14)</f>
        <v>270082.35646211036</v>
      </c>
      <c r="E28" s="219">
        <f>D28*(1+Assumptions!$L$14)</f>
        <v>275484.00359135255</v>
      </c>
      <c r="F28" s="219">
        <f>E28*(1+Assumptions!$L$14)</f>
        <v>280993.68366317963</v>
      </c>
      <c r="G28" s="219">
        <f>F28*(1+Assumptions!$L$14)</f>
        <v>286613.55733644322</v>
      </c>
      <c r="H28" s="219">
        <f>G28*(1+Assumptions!$L$14)</f>
        <v>292345.82848317211</v>
      </c>
      <c r="I28" s="219">
        <f>H28*(1+Assumptions!$L$14)</f>
        <v>298192.74505283555</v>
      </c>
      <c r="J28" s="219">
        <f>I28*(1+Assumptions!$L$14)</f>
        <v>304156.59995389229</v>
      </c>
      <c r="K28" s="219">
        <f>J28*(1+Assumptions!$L$14)</f>
        <v>310239.73195297015</v>
      </c>
      <c r="L28" s="219">
        <f>K28*(1+Assumptions!$L$14)</f>
        <v>316444.52659202955</v>
      </c>
      <c r="M28" s="219">
        <f>L28*(1+Assumptions!$L$14)</f>
        <v>322773.41712387017</v>
      </c>
      <c r="N28" s="219">
        <f>M28*(1+Assumptions!$L$14)</f>
        <v>329228.88546634756</v>
      </c>
      <c r="O28" s="219">
        <f>N28*(1+Assumptions!$L$14)</f>
        <v>335813.46317567455</v>
      </c>
      <c r="P28" s="219">
        <f>O28*(1+Assumptions!$L$14)</f>
        <v>342529.73243918805</v>
      </c>
      <c r="Q28" s="219">
        <f>P28*(1+Assumptions!$L$14)</f>
        <v>349380.32708797185</v>
      </c>
      <c r="R28" s="219">
        <f>Q28*(1+Assumptions!$L$14)</f>
        <v>356367.9336297313</v>
      </c>
      <c r="S28" s="219">
        <f>R28*(1+Assumptions!$L$14)</f>
        <v>363495.29230232595</v>
      </c>
      <c r="T28" s="219">
        <f>S28*(1+Assumptions!$L$14)</f>
        <v>370765.19814837247</v>
      </c>
      <c r="U28" s="219">
        <f>T28*(1+Assumptions!$L$14)</f>
        <v>378180.50211133994</v>
      </c>
      <c r="V28" s="219">
        <f>U28*(1+Assumptions!$L$14)</f>
        <v>385744.11215356673</v>
      </c>
    </row>
    <row r="29" spans="1:22" s="9" customFormat="1" x14ac:dyDescent="0.2">
      <c r="A29" s="9">
        <f>Summary!A36</f>
        <v>20</v>
      </c>
      <c r="B29" s="9" t="s">
        <v>74</v>
      </c>
      <c r="C29" s="217">
        <f>UnitData!H29*UnitData!F29*1000</f>
        <v>42776.584963503214</v>
      </c>
      <c r="D29" s="219">
        <f>C29*(1+Assumptions!$L$14)</f>
        <v>43632.116662773282</v>
      </c>
      <c r="E29" s="219">
        <f>D29*(1+Assumptions!$L$14)</f>
        <v>44504.758996028751</v>
      </c>
      <c r="F29" s="219">
        <f>E29*(1+Assumptions!$L$14)</f>
        <v>45394.854175949324</v>
      </c>
      <c r="G29" s="219">
        <f>F29*(1+Assumptions!$L$14)</f>
        <v>46302.751259468314</v>
      </c>
      <c r="H29" s="219">
        <f>G29*(1+Assumptions!$L$14)</f>
        <v>47228.806284657679</v>
      </c>
      <c r="I29" s="219">
        <f>H29*(1+Assumptions!$L$14)</f>
        <v>48173.38241035083</v>
      </c>
      <c r="J29" s="219">
        <f>I29*(1+Assumptions!$L$14)</f>
        <v>49136.850058557851</v>
      </c>
      <c r="K29" s="219">
        <f>J29*(1+Assumptions!$L$14)</f>
        <v>50119.587059729012</v>
      </c>
      <c r="L29" s="219">
        <f>K29*(1+Assumptions!$L$14)</f>
        <v>51121.978800923593</v>
      </c>
      <c r="M29" s="219">
        <f>L29*(1+Assumptions!$L$14)</f>
        <v>52144.418376942063</v>
      </c>
      <c r="N29" s="219">
        <f>M29*(1+Assumptions!$L$14)</f>
        <v>53187.306744480906</v>
      </c>
      <c r="O29" s="219">
        <f>N29*(1+Assumptions!$L$14)</f>
        <v>54251.052879370523</v>
      </c>
      <c r="P29" s="219">
        <f>O29*(1+Assumptions!$L$14)</f>
        <v>55336.073936957931</v>
      </c>
      <c r="Q29" s="219">
        <f>P29*(1+Assumptions!$L$14)</f>
        <v>56442.795415697088</v>
      </c>
      <c r="R29" s="219">
        <f>Q29*(1+Assumptions!$L$14)</f>
        <v>57571.651324011029</v>
      </c>
      <c r="S29" s="219">
        <f>R29*(1+Assumptions!$L$14)</f>
        <v>58723.084350491248</v>
      </c>
      <c r="T29" s="219">
        <f>S29*(1+Assumptions!$L$14)</f>
        <v>59897.546037501073</v>
      </c>
      <c r="U29" s="219">
        <f>T29*(1+Assumptions!$L$14)</f>
        <v>61095.496958251097</v>
      </c>
      <c r="V29" s="219">
        <f>U29*(1+Assumptions!$L$14)</f>
        <v>62317.40689741612</v>
      </c>
    </row>
    <row r="30" spans="1:22" s="9" customFormat="1" x14ac:dyDescent="0.2">
      <c r="A30" s="9">
        <f>Summary!A37</f>
        <v>21</v>
      </c>
      <c r="B30" s="9" t="s">
        <v>75</v>
      </c>
      <c r="C30" s="217">
        <f>UnitData!H30*UnitData!F30*1000</f>
        <v>94001.390946720625</v>
      </c>
      <c r="D30" s="219">
        <f>C30*(1+Assumptions!$L$14)</f>
        <v>95881.418765655035</v>
      </c>
      <c r="E30" s="219">
        <f>D30*(1+Assumptions!$L$14)</f>
        <v>97799.047140968134</v>
      </c>
      <c r="F30" s="219">
        <f>E30*(1+Assumptions!$L$14)</f>
        <v>99755.028083787503</v>
      </c>
      <c r="G30" s="219">
        <f>F30*(1+Assumptions!$L$14)</f>
        <v>101750.12864546325</v>
      </c>
      <c r="H30" s="219">
        <f>G30*(1+Assumptions!$L$14)</f>
        <v>103785.13121837252</v>
      </c>
      <c r="I30" s="219">
        <f>H30*(1+Assumptions!$L$14)</f>
        <v>105860.83384273997</v>
      </c>
      <c r="J30" s="219">
        <f>I30*(1+Assumptions!$L$14)</f>
        <v>107978.05051959478</v>
      </c>
      <c r="K30" s="219">
        <f>J30*(1+Assumptions!$L$14)</f>
        <v>110137.61152998668</v>
      </c>
      <c r="L30" s="219">
        <f>K30*(1+Assumptions!$L$14)</f>
        <v>112340.36376058642</v>
      </c>
      <c r="M30" s="219">
        <f>L30*(1+Assumptions!$L$14)</f>
        <v>114587.17103579815</v>
      </c>
      <c r="N30" s="219">
        <f>M30*(1+Assumptions!$L$14)</f>
        <v>116878.91445651412</v>
      </c>
      <c r="O30" s="219">
        <f>N30*(1+Assumptions!$L$14)</f>
        <v>119216.4927456444</v>
      </c>
      <c r="P30" s="219">
        <f>O30*(1+Assumptions!$L$14)</f>
        <v>121600.82260055729</v>
      </c>
      <c r="Q30" s="219">
        <f>P30*(1+Assumptions!$L$14)</f>
        <v>124032.83905256844</v>
      </c>
      <c r="R30" s="219">
        <f>Q30*(1+Assumptions!$L$14)</f>
        <v>126513.4958336198</v>
      </c>
      <c r="S30" s="219">
        <f>R30*(1+Assumptions!$L$14)</f>
        <v>129043.76575029221</v>
      </c>
      <c r="T30" s="219">
        <f>S30*(1+Assumptions!$L$14)</f>
        <v>131624.64106529806</v>
      </c>
      <c r="U30" s="219">
        <f>T30*(1+Assumptions!$L$14)</f>
        <v>134257.13388660402</v>
      </c>
      <c r="V30" s="219">
        <f>U30*(1+Assumptions!$L$14)</f>
        <v>136942.27656433609</v>
      </c>
    </row>
    <row r="31" spans="1:22" s="9" customFormat="1" x14ac:dyDescent="0.2">
      <c r="A31" s="9">
        <f>Summary!A38</f>
        <v>22</v>
      </c>
      <c r="B31" s="9" t="s">
        <v>86</v>
      </c>
      <c r="C31" s="217">
        <f>UnitData!H31*UnitData!F31*1000</f>
        <v>188970.50527009956</v>
      </c>
      <c r="D31" s="219">
        <f>C31*(1+Assumptions!$L$14)</f>
        <v>192749.91537550156</v>
      </c>
      <c r="E31" s="219">
        <f>D31*(1+Assumptions!$L$14)</f>
        <v>196604.9136830116</v>
      </c>
      <c r="F31" s="219">
        <f>E31*(1+Assumptions!$L$14)</f>
        <v>200537.01195667183</v>
      </c>
      <c r="G31" s="219">
        <f>F31*(1+Assumptions!$L$14)</f>
        <v>204547.75219580528</v>
      </c>
      <c r="H31" s="219">
        <f>G31*(1+Assumptions!$L$14)</f>
        <v>208638.70723972138</v>
      </c>
      <c r="I31" s="219">
        <f>H31*(1+Assumptions!$L$14)</f>
        <v>212811.48138451582</v>
      </c>
      <c r="J31" s="219">
        <f>I31*(1+Assumptions!$L$14)</f>
        <v>217067.71101220613</v>
      </c>
      <c r="K31" s="219">
        <f>J31*(1+Assumptions!$L$14)</f>
        <v>221409.06523245026</v>
      </c>
      <c r="L31" s="219">
        <f>K31*(1+Assumptions!$L$14)</f>
        <v>225837.24653709927</v>
      </c>
      <c r="M31" s="219">
        <f>L31*(1+Assumptions!$L$14)</f>
        <v>230353.99146784126</v>
      </c>
      <c r="N31" s="219">
        <f>M31*(1+Assumptions!$L$14)</f>
        <v>234961.0712971981</v>
      </c>
      <c r="O31" s="219">
        <f>N31*(1+Assumptions!$L$14)</f>
        <v>239660.29272314208</v>
      </c>
      <c r="P31" s="219">
        <f>O31*(1+Assumptions!$L$14)</f>
        <v>244453.49857760491</v>
      </c>
      <c r="Q31" s="219">
        <f>P31*(1+Assumptions!$L$14)</f>
        <v>249342.568549157</v>
      </c>
      <c r="R31" s="219">
        <f>Q31*(1+Assumptions!$L$14)</f>
        <v>254329.41992014015</v>
      </c>
      <c r="S31" s="219">
        <f>R31*(1+Assumptions!$L$14)</f>
        <v>259416.00831854297</v>
      </c>
      <c r="T31" s="219">
        <f>S31*(1+Assumptions!$L$14)</f>
        <v>264604.32848491386</v>
      </c>
      <c r="U31" s="219">
        <f>T31*(1+Assumptions!$L$14)</f>
        <v>269896.41505461215</v>
      </c>
      <c r="V31" s="219">
        <f>U31*(1+Assumptions!$L$14)</f>
        <v>275294.34335570439</v>
      </c>
    </row>
    <row r="32" spans="1:22" s="9" customFormat="1" x14ac:dyDescent="0.2">
      <c r="A32" s="9">
        <f>Summary!A39</f>
        <v>23</v>
      </c>
      <c r="B32" s="9" t="s">
        <v>76</v>
      </c>
      <c r="C32" s="217">
        <f>UnitData!H32*UnitData!F32*1000</f>
        <v>89770.854293083001</v>
      </c>
      <c r="D32" s="219">
        <f>C32*(1+Assumptions!$L$14)</f>
        <v>91566.271378944657</v>
      </c>
      <c r="E32" s="219">
        <f>D32*(1+Assumptions!$L$14)</f>
        <v>93397.59680652355</v>
      </c>
      <c r="F32" s="219">
        <f>E32*(1+Assumptions!$L$14)</f>
        <v>95265.54874265402</v>
      </c>
      <c r="G32" s="219">
        <f>F32*(1+Assumptions!$L$14)</f>
        <v>97170.859717507105</v>
      </c>
      <c r="H32" s="219">
        <f>G32*(1+Assumptions!$L$14)</f>
        <v>99114.276911857247</v>
      </c>
      <c r="I32" s="219">
        <f>H32*(1+Assumptions!$L$14)</f>
        <v>101096.5624500944</v>
      </c>
      <c r="J32" s="219">
        <f>I32*(1+Assumptions!$L$14)</f>
        <v>103118.49369909629</v>
      </c>
      <c r="K32" s="219">
        <f>J32*(1+Assumptions!$L$14)</f>
        <v>105180.86357307821</v>
      </c>
      <c r="L32" s="219">
        <f>K32*(1+Assumptions!$L$14)</f>
        <v>107284.48084453978</v>
      </c>
      <c r="M32" s="219">
        <f>L32*(1+Assumptions!$L$14)</f>
        <v>109430.17046143058</v>
      </c>
      <c r="N32" s="219">
        <f>M32*(1+Assumptions!$L$14)</f>
        <v>111618.77387065919</v>
      </c>
      <c r="O32" s="219">
        <f>N32*(1+Assumptions!$L$14)</f>
        <v>113851.14934807237</v>
      </c>
      <c r="P32" s="219">
        <f>O32*(1+Assumptions!$L$14)</f>
        <v>116128.17233503383</v>
      </c>
      <c r="Q32" s="219">
        <f>P32*(1+Assumptions!$L$14)</f>
        <v>118450.7357817345</v>
      </c>
      <c r="R32" s="219">
        <f>Q32*(1+Assumptions!$L$14)</f>
        <v>120819.7504973692</v>
      </c>
      <c r="S32" s="219">
        <f>R32*(1+Assumptions!$L$14)</f>
        <v>123236.14550731659</v>
      </c>
      <c r="T32" s="219">
        <f>S32*(1+Assumptions!$L$14)</f>
        <v>125700.86841746292</v>
      </c>
      <c r="U32" s="219">
        <f>T32*(1+Assumptions!$L$14)</f>
        <v>128214.88578581218</v>
      </c>
      <c r="V32" s="219">
        <f>U32*(1+Assumptions!$L$14)</f>
        <v>130779.18350152842</v>
      </c>
    </row>
    <row r="33" spans="1:22" s="9" customFormat="1" x14ac:dyDescent="0.2">
      <c r="A33" s="9">
        <f>Summary!A40</f>
        <v>24</v>
      </c>
      <c r="B33" s="9" t="s">
        <v>77</v>
      </c>
      <c r="C33" s="217">
        <f>UnitData!H33*UnitData!F33*1000</f>
        <v>89770.854293083001</v>
      </c>
      <c r="D33" s="219">
        <f>C33*(1+Assumptions!$L$14)</f>
        <v>91566.271378944657</v>
      </c>
      <c r="E33" s="219">
        <f>D33*(1+Assumptions!$L$14)</f>
        <v>93397.59680652355</v>
      </c>
      <c r="F33" s="219">
        <f>E33*(1+Assumptions!$L$14)</f>
        <v>95265.54874265402</v>
      </c>
      <c r="G33" s="219">
        <f>F33*(1+Assumptions!$L$14)</f>
        <v>97170.859717507105</v>
      </c>
      <c r="H33" s="219">
        <f>G33*(1+Assumptions!$L$14)</f>
        <v>99114.276911857247</v>
      </c>
      <c r="I33" s="219">
        <f>H33*(1+Assumptions!$L$14)</f>
        <v>101096.5624500944</v>
      </c>
      <c r="J33" s="219">
        <f>I33*(1+Assumptions!$L$14)</f>
        <v>103118.49369909629</v>
      </c>
      <c r="K33" s="219">
        <f>J33*(1+Assumptions!$L$14)</f>
        <v>105180.86357307821</v>
      </c>
      <c r="L33" s="219">
        <f>K33*(1+Assumptions!$L$14)</f>
        <v>107284.48084453978</v>
      </c>
      <c r="M33" s="219">
        <f>L33*(1+Assumptions!$L$14)</f>
        <v>109430.17046143058</v>
      </c>
      <c r="N33" s="219">
        <f>M33*(1+Assumptions!$L$14)</f>
        <v>111618.77387065919</v>
      </c>
      <c r="O33" s="219">
        <f>N33*(1+Assumptions!$L$14)</f>
        <v>113851.14934807237</v>
      </c>
      <c r="P33" s="219">
        <f>O33*(1+Assumptions!$L$14)</f>
        <v>116128.17233503383</v>
      </c>
      <c r="Q33" s="219">
        <f>P33*(1+Assumptions!$L$14)</f>
        <v>118450.7357817345</v>
      </c>
      <c r="R33" s="219">
        <f>Q33*(1+Assumptions!$L$14)</f>
        <v>120819.7504973692</v>
      </c>
      <c r="S33" s="219">
        <f>R33*(1+Assumptions!$L$14)</f>
        <v>123236.14550731659</v>
      </c>
      <c r="T33" s="219">
        <f>S33*(1+Assumptions!$L$14)</f>
        <v>125700.86841746292</v>
      </c>
      <c r="U33" s="219">
        <f>T33*(1+Assumptions!$L$14)</f>
        <v>128214.88578581218</v>
      </c>
      <c r="V33" s="219">
        <f>U33*(1+Assumptions!$L$14)</f>
        <v>130779.18350152842</v>
      </c>
    </row>
    <row r="34" spans="1:22" s="9" customFormat="1" x14ac:dyDescent="0.2">
      <c r="A34" s="9">
        <f>Summary!A41</f>
        <v>25</v>
      </c>
      <c r="B34" s="9" t="s">
        <v>78</v>
      </c>
      <c r="C34" s="217">
        <f>UnitData!H34*UnitData!F34*1000</f>
        <v>89770.854293083001</v>
      </c>
      <c r="D34" s="219">
        <f>C34*(1+Assumptions!$L$14)</f>
        <v>91566.271378944657</v>
      </c>
      <c r="E34" s="219">
        <f>D34*(1+Assumptions!$L$14)</f>
        <v>93397.59680652355</v>
      </c>
      <c r="F34" s="219">
        <f>E34*(1+Assumptions!$L$14)</f>
        <v>95265.54874265402</v>
      </c>
      <c r="G34" s="219">
        <f>F34*(1+Assumptions!$L$14)</f>
        <v>97170.859717507105</v>
      </c>
      <c r="H34" s="219">
        <f>G34*(1+Assumptions!$L$14)</f>
        <v>99114.276911857247</v>
      </c>
      <c r="I34" s="219">
        <f>H34*(1+Assumptions!$L$14)</f>
        <v>101096.5624500944</v>
      </c>
      <c r="J34" s="219">
        <f>I34*(1+Assumptions!$L$14)</f>
        <v>103118.49369909629</v>
      </c>
      <c r="K34" s="219">
        <f>J34*(1+Assumptions!$L$14)</f>
        <v>105180.86357307821</v>
      </c>
      <c r="L34" s="219">
        <f>K34*(1+Assumptions!$L$14)</f>
        <v>107284.48084453978</v>
      </c>
      <c r="M34" s="219">
        <f>L34*(1+Assumptions!$L$14)</f>
        <v>109430.17046143058</v>
      </c>
      <c r="N34" s="219">
        <f>M34*(1+Assumptions!$L$14)</f>
        <v>111618.77387065919</v>
      </c>
      <c r="O34" s="219">
        <f>N34*(1+Assumptions!$L$14)</f>
        <v>113851.14934807237</v>
      </c>
      <c r="P34" s="219">
        <f>O34*(1+Assumptions!$L$14)</f>
        <v>116128.17233503383</v>
      </c>
      <c r="Q34" s="219">
        <f>P34*(1+Assumptions!$L$14)</f>
        <v>118450.7357817345</v>
      </c>
      <c r="R34" s="219">
        <f>Q34*(1+Assumptions!$L$14)</f>
        <v>120819.7504973692</v>
      </c>
      <c r="S34" s="219">
        <f>R34*(1+Assumptions!$L$14)</f>
        <v>123236.14550731659</v>
      </c>
      <c r="T34" s="219">
        <f>S34*(1+Assumptions!$L$14)</f>
        <v>125700.86841746292</v>
      </c>
      <c r="U34" s="219">
        <f>T34*(1+Assumptions!$L$14)</f>
        <v>128214.88578581218</v>
      </c>
      <c r="V34" s="219">
        <f>U34*(1+Assumptions!$L$14)</f>
        <v>130779.18350152842</v>
      </c>
    </row>
    <row r="35" spans="1:22" s="9" customFormat="1" x14ac:dyDescent="0.2">
      <c r="A35" s="9">
        <f>Summary!A42</f>
        <v>26</v>
      </c>
      <c r="B35" s="9" t="s">
        <v>79</v>
      </c>
      <c r="C35" s="217">
        <f>UnitData!H35*UnitData!F35*1000</f>
        <v>89770.854293083001</v>
      </c>
      <c r="D35" s="219">
        <f>C35*(1+Assumptions!$L$14)</f>
        <v>91566.271378944657</v>
      </c>
      <c r="E35" s="219">
        <f>D35*(1+Assumptions!$L$14)</f>
        <v>93397.59680652355</v>
      </c>
      <c r="F35" s="219">
        <f>E35*(1+Assumptions!$L$14)</f>
        <v>95265.54874265402</v>
      </c>
      <c r="G35" s="219">
        <f>F35*(1+Assumptions!$L$14)</f>
        <v>97170.859717507105</v>
      </c>
      <c r="H35" s="219">
        <f>G35*(1+Assumptions!$L$14)</f>
        <v>99114.276911857247</v>
      </c>
      <c r="I35" s="219">
        <f>H35*(1+Assumptions!$L$14)</f>
        <v>101096.5624500944</v>
      </c>
      <c r="J35" s="219">
        <f>I35*(1+Assumptions!$L$14)</f>
        <v>103118.49369909629</v>
      </c>
      <c r="K35" s="219">
        <f>J35*(1+Assumptions!$L$14)</f>
        <v>105180.86357307821</v>
      </c>
      <c r="L35" s="219">
        <f>K35*(1+Assumptions!$L$14)</f>
        <v>107284.48084453978</v>
      </c>
      <c r="M35" s="219">
        <f>L35*(1+Assumptions!$L$14)</f>
        <v>109430.17046143058</v>
      </c>
      <c r="N35" s="219">
        <f>M35*(1+Assumptions!$L$14)</f>
        <v>111618.77387065919</v>
      </c>
      <c r="O35" s="219">
        <f>N35*(1+Assumptions!$L$14)</f>
        <v>113851.14934807237</v>
      </c>
      <c r="P35" s="219">
        <f>O35*(1+Assumptions!$L$14)</f>
        <v>116128.17233503383</v>
      </c>
      <c r="Q35" s="219">
        <f>P35*(1+Assumptions!$L$14)</f>
        <v>118450.7357817345</v>
      </c>
      <c r="R35" s="219">
        <f>Q35*(1+Assumptions!$L$14)</f>
        <v>120819.7504973692</v>
      </c>
      <c r="S35" s="219">
        <f>R35*(1+Assumptions!$L$14)</f>
        <v>123236.14550731659</v>
      </c>
      <c r="T35" s="219">
        <f>S35*(1+Assumptions!$L$14)</f>
        <v>125700.86841746292</v>
      </c>
      <c r="U35" s="219">
        <f>T35*(1+Assumptions!$L$14)</f>
        <v>128214.88578581218</v>
      </c>
      <c r="V35" s="219">
        <f>U35*(1+Assumptions!$L$14)</f>
        <v>130779.18350152842</v>
      </c>
    </row>
    <row r="36" spans="1:22" s="9" customFormat="1" x14ac:dyDescent="0.2">
      <c r="A36" s="9">
        <f>Summary!A43</f>
        <v>27</v>
      </c>
      <c r="B36" s="9" t="s">
        <v>80</v>
      </c>
      <c r="C36" s="217">
        <f>UnitData!H36*UnitData!F36*1000</f>
        <v>348563.88506939274</v>
      </c>
      <c r="D36" s="219">
        <f>C36*(1+Assumptions!$L$14)</f>
        <v>355535.16277078062</v>
      </c>
      <c r="E36" s="219">
        <f>D36*(1+Assumptions!$L$14)</f>
        <v>362645.86602619622</v>
      </c>
      <c r="F36" s="219">
        <f>E36*(1+Assumptions!$L$14)</f>
        <v>369898.78334672016</v>
      </c>
      <c r="G36" s="219">
        <f>F36*(1+Assumptions!$L$14)</f>
        <v>377296.75901365455</v>
      </c>
      <c r="H36" s="219">
        <f>G36*(1+Assumptions!$L$14)</f>
        <v>384842.69419392763</v>
      </c>
      <c r="I36" s="219">
        <f>H36*(1+Assumptions!$L$14)</f>
        <v>392539.54807780619</v>
      </c>
      <c r="J36" s="219">
        <f>I36*(1+Assumptions!$L$14)</f>
        <v>400390.33903936233</v>
      </c>
      <c r="K36" s="219">
        <f>J36*(1+Assumptions!$L$14)</f>
        <v>408398.14582014957</v>
      </c>
      <c r="L36" s="219">
        <f>K36*(1+Assumptions!$L$14)</f>
        <v>416566.10873655259</v>
      </c>
      <c r="M36" s="219">
        <f>L36*(1+Assumptions!$L$14)</f>
        <v>424897.43091128365</v>
      </c>
      <c r="N36" s="219">
        <f>M36*(1+Assumptions!$L$14)</f>
        <v>433395.37952950934</v>
      </c>
      <c r="O36" s="219">
        <f>N36*(1+Assumptions!$L$14)</f>
        <v>442063.28712009953</v>
      </c>
      <c r="P36" s="219">
        <f>O36*(1+Assumptions!$L$14)</f>
        <v>450904.55286250153</v>
      </c>
      <c r="Q36" s="219">
        <f>P36*(1+Assumptions!$L$14)</f>
        <v>459922.64391975157</v>
      </c>
      <c r="R36" s="219">
        <f>Q36*(1+Assumptions!$L$14)</f>
        <v>469121.09679814661</v>
      </c>
      <c r="S36" s="219">
        <f>R36*(1+Assumptions!$L$14)</f>
        <v>478503.51873410953</v>
      </c>
      <c r="T36" s="219">
        <f>S36*(1+Assumptions!$L$14)</f>
        <v>488073.58910879173</v>
      </c>
      <c r="U36" s="219">
        <f>T36*(1+Assumptions!$L$14)</f>
        <v>497835.06089096755</v>
      </c>
      <c r="V36" s="219">
        <f>U36*(1+Assumptions!$L$14)</f>
        <v>507791.7621087869</v>
      </c>
    </row>
    <row r="37" spans="1:22" s="9" customFormat="1" x14ac:dyDescent="0.2">
      <c r="A37" s="9">
        <f>Summary!A44</f>
        <v>28</v>
      </c>
      <c r="B37" s="9" t="s">
        <v>81</v>
      </c>
      <c r="C37" s="217">
        <f>UnitData!H37*UnitData!F37*1000</f>
        <v>348563.88506939274</v>
      </c>
      <c r="D37" s="219">
        <f>C37*(1+Assumptions!$L$14)</f>
        <v>355535.16277078062</v>
      </c>
      <c r="E37" s="219">
        <f>D37*(1+Assumptions!$L$14)</f>
        <v>362645.86602619622</v>
      </c>
      <c r="F37" s="219">
        <f>E37*(1+Assumptions!$L$14)</f>
        <v>369898.78334672016</v>
      </c>
      <c r="G37" s="219">
        <f>F37*(1+Assumptions!$L$14)</f>
        <v>377296.75901365455</v>
      </c>
      <c r="H37" s="219">
        <f>G37*(1+Assumptions!$L$14)</f>
        <v>384842.69419392763</v>
      </c>
      <c r="I37" s="219">
        <f>H37*(1+Assumptions!$L$14)</f>
        <v>392539.54807780619</v>
      </c>
      <c r="J37" s="219">
        <f>I37*(1+Assumptions!$L$14)</f>
        <v>400390.33903936233</v>
      </c>
      <c r="K37" s="219">
        <f>J37*(1+Assumptions!$L$14)</f>
        <v>408398.14582014957</v>
      </c>
      <c r="L37" s="219">
        <f>K37*(1+Assumptions!$L$14)</f>
        <v>416566.10873655259</v>
      </c>
      <c r="M37" s="219">
        <f>L37*(1+Assumptions!$L$14)</f>
        <v>424897.43091128365</v>
      </c>
      <c r="N37" s="219">
        <f>M37*(1+Assumptions!$L$14)</f>
        <v>433395.37952950934</v>
      </c>
      <c r="O37" s="219">
        <f>N37*(1+Assumptions!$L$14)</f>
        <v>442063.28712009953</v>
      </c>
      <c r="P37" s="219">
        <f>O37*(1+Assumptions!$L$14)</f>
        <v>450904.55286250153</v>
      </c>
      <c r="Q37" s="219">
        <f>P37*(1+Assumptions!$L$14)</f>
        <v>459922.64391975157</v>
      </c>
      <c r="R37" s="219">
        <f>Q37*(1+Assumptions!$L$14)</f>
        <v>469121.09679814661</v>
      </c>
      <c r="S37" s="219">
        <f>R37*(1+Assumptions!$L$14)</f>
        <v>478503.51873410953</v>
      </c>
      <c r="T37" s="219">
        <f>S37*(1+Assumptions!$L$14)</f>
        <v>488073.58910879173</v>
      </c>
      <c r="U37" s="219">
        <f>T37*(1+Assumptions!$L$14)</f>
        <v>497835.06089096755</v>
      </c>
      <c r="V37" s="219">
        <f>U37*(1+Assumptions!$L$14)</f>
        <v>507791.7621087869</v>
      </c>
    </row>
    <row r="38" spans="1:22" s="9" customFormat="1" x14ac:dyDescent="0.2">
      <c r="A38" s="9">
        <f>Summary!A45</f>
        <v>29</v>
      </c>
      <c r="B38" s="9" t="s">
        <v>82</v>
      </c>
      <c r="C38" s="217">
        <f>UnitData!H38*UnitData!F38*1000</f>
        <v>348563.88506939274</v>
      </c>
      <c r="D38" s="219">
        <f>C38*(1+Assumptions!$L$14)</f>
        <v>355535.16277078062</v>
      </c>
      <c r="E38" s="219">
        <f>D38*(1+Assumptions!$L$14)</f>
        <v>362645.86602619622</v>
      </c>
      <c r="F38" s="219">
        <f>E38*(1+Assumptions!$L$14)</f>
        <v>369898.78334672016</v>
      </c>
      <c r="G38" s="219">
        <f>F38*(1+Assumptions!$L$14)</f>
        <v>377296.75901365455</v>
      </c>
      <c r="H38" s="219">
        <f>G38*(1+Assumptions!$L$14)</f>
        <v>384842.69419392763</v>
      </c>
      <c r="I38" s="219">
        <f>H38*(1+Assumptions!$L$14)</f>
        <v>392539.54807780619</v>
      </c>
      <c r="J38" s="219">
        <f>I38*(1+Assumptions!$L$14)</f>
        <v>400390.33903936233</v>
      </c>
      <c r="K38" s="219">
        <f>J38*(1+Assumptions!$L$14)</f>
        <v>408398.14582014957</v>
      </c>
      <c r="L38" s="219">
        <f>K38*(1+Assumptions!$L$14)</f>
        <v>416566.10873655259</v>
      </c>
      <c r="M38" s="219">
        <f>L38*(1+Assumptions!$L$14)</f>
        <v>424897.43091128365</v>
      </c>
      <c r="N38" s="219">
        <f>M38*(1+Assumptions!$L$14)</f>
        <v>433395.37952950934</v>
      </c>
      <c r="O38" s="219">
        <f>N38*(1+Assumptions!$L$14)</f>
        <v>442063.28712009953</v>
      </c>
      <c r="P38" s="219">
        <f>O38*(1+Assumptions!$L$14)</f>
        <v>450904.55286250153</v>
      </c>
      <c r="Q38" s="219">
        <f>P38*(1+Assumptions!$L$14)</f>
        <v>459922.64391975157</v>
      </c>
      <c r="R38" s="219">
        <f>Q38*(1+Assumptions!$L$14)</f>
        <v>469121.09679814661</v>
      </c>
      <c r="S38" s="219">
        <f>R38*(1+Assumptions!$L$14)</f>
        <v>478503.51873410953</v>
      </c>
      <c r="T38" s="219">
        <f>S38*(1+Assumptions!$L$14)</f>
        <v>488073.58910879173</v>
      </c>
      <c r="U38" s="219">
        <f>T38*(1+Assumptions!$L$14)</f>
        <v>497835.06089096755</v>
      </c>
      <c r="V38" s="219">
        <f>U38*(1+Assumptions!$L$14)</f>
        <v>507791.7621087869</v>
      </c>
    </row>
    <row r="39" spans="1:22" s="9" customFormat="1" x14ac:dyDescent="0.2">
      <c r="A39" s="9">
        <f>Summary!A46</f>
        <v>30</v>
      </c>
      <c r="B39" s="9" t="s">
        <v>83</v>
      </c>
      <c r="C39" s="217">
        <f>UnitData!H39*UnitData!F39*1000</f>
        <v>348563.88506939274</v>
      </c>
      <c r="D39" s="219">
        <f>C39*(1+Assumptions!$L$14)</f>
        <v>355535.16277078062</v>
      </c>
      <c r="E39" s="219">
        <f>D39*(1+Assumptions!$L$14)</f>
        <v>362645.86602619622</v>
      </c>
      <c r="F39" s="219">
        <f>E39*(1+Assumptions!$L$14)</f>
        <v>369898.78334672016</v>
      </c>
      <c r="G39" s="219">
        <f>F39*(1+Assumptions!$L$14)</f>
        <v>377296.75901365455</v>
      </c>
      <c r="H39" s="219">
        <f>G39*(1+Assumptions!$L$14)</f>
        <v>384842.69419392763</v>
      </c>
      <c r="I39" s="219">
        <f>H39*(1+Assumptions!$L$14)</f>
        <v>392539.54807780619</v>
      </c>
      <c r="J39" s="219">
        <f>I39*(1+Assumptions!$L$14)</f>
        <v>400390.33903936233</v>
      </c>
      <c r="K39" s="219">
        <f>J39*(1+Assumptions!$L$14)</f>
        <v>408398.14582014957</v>
      </c>
      <c r="L39" s="219">
        <f>K39*(1+Assumptions!$L$14)</f>
        <v>416566.10873655259</v>
      </c>
      <c r="M39" s="219">
        <f>L39*(1+Assumptions!$L$14)</f>
        <v>424897.43091128365</v>
      </c>
      <c r="N39" s="219">
        <f>M39*(1+Assumptions!$L$14)</f>
        <v>433395.37952950934</v>
      </c>
      <c r="O39" s="219">
        <f>N39*(1+Assumptions!$L$14)</f>
        <v>442063.28712009953</v>
      </c>
      <c r="P39" s="219">
        <f>O39*(1+Assumptions!$L$14)</f>
        <v>450904.55286250153</v>
      </c>
      <c r="Q39" s="219">
        <f>P39*(1+Assumptions!$L$14)</f>
        <v>459922.64391975157</v>
      </c>
      <c r="R39" s="219">
        <f>Q39*(1+Assumptions!$L$14)</f>
        <v>469121.09679814661</v>
      </c>
      <c r="S39" s="219">
        <f>R39*(1+Assumptions!$L$14)</f>
        <v>478503.51873410953</v>
      </c>
      <c r="T39" s="219">
        <f>S39*(1+Assumptions!$L$14)</f>
        <v>488073.58910879173</v>
      </c>
      <c r="U39" s="219">
        <f>T39*(1+Assumptions!$L$14)</f>
        <v>497835.06089096755</v>
      </c>
      <c r="V39" s="219">
        <f>U39*(1+Assumptions!$L$14)</f>
        <v>507791.7621087869</v>
      </c>
    </row>
    <row r="40" spans="1:22" s="9" customFormat="1" x14ac:dyDescent="0.2">
      <c r="A40" s="9">
        <f>Summary!A47</f>
        <v>31</v>
      </c>
      <c r="B40" s="9" t="s">
        <v>84</v>
      </c>
      <c r="C40" s="217">
        <f>UnitData!H40*UnitData!F40*1000</f>
        <v>348563.88506939274</v>
      </c>
      <c r="D40" s="219">
        <f>C40*(1+Assumptions!$L$14)</f>
        <v>355535.16277078062</v>
      </c>
      <c r="E40" s="219">
        <f>D40*(1+Assumptions!$L$14)</f>
        <v>362645.86602619622</v>
      </c>
      <c r="F40" s="219">
        <f>E40*(1+Assumptions!$L$14)</f>
        <v>369898.78334672016</v>
      </c>
      <c r="G40" s="219">
        <f>F40*(1+Assumptions!$L$14)</f>
        <v>377296.75901365455</v>
      </c>
      <c r="H40" s="219">
        <f>G40*(1+Assumptions!$L$14)</f>
        <v>384842.69419392763</v>
      </c>
      <c r="I40" s="219">
        <f>H40*(1+Assumptions!$L$14)</f>
        <v>392539.54807780619</v>
      </c>
      <c r="J40" s="219">
        <f>I40*(1+Assumptions!$L$14)</f>
        <v>400390.33903936233</v>
      </c>
      <c r="K40" s="219">
        <f>J40*(1+Assumptions!$L$14)</f>
        <v>408398.14582014957</v>
      </c>
      <c r="L40" s="219">
        <f>K40*(1+Assumptions!$L$14)</f>
        <v>416566.10873655259</v>
      </c>
      <c r="M40" s="219">
        <f>L40*(1+Assumptions!$L$14)</f>
        <v>424897.43091128365</v>
      </c>
      <c r="N40" s="219">
        <f>M40*(1+Assumptions!$L$14)</f>
        <v>433395.37952950934</v>
      </c>
      <c r="O40" s="219">
        <f>N40*(1+Assumptions!$L$14)</f>
        <v>442063.28712009953</v>
      </c>
      <c r="P40" s="219">
        <f>O40*(1+Assumptions!$L$14)</f>
        <v>450904.55286250153</v>
      </c>
      <c r="Q40" s="219">
        <f>P40*(1+Assumptions!$L$14)</f>
        <v>459922.64391975157</v>
      </c>
      <c r="R40" s="219">
        <f>Q40*(1+Assumptions!$L$14)</f>
        <v>469121.09679814661</v>
      </c>
      <c r="S40" s="219">
        <f>R40*(1+Assumptions!$L$14)</f>
        <v>478503.51873410953</v>
      </c>
      <c r="T40" s="219">
        <f>S40*(1+Assumptions!$L$14)</f>
        <v>488073.58910879173</v>
      </c>
      <c r="U40" s="219">
        <f>T40*(1+Assumptions!$L$14)</f>
        <v>497835.06089096755</v>
      </c>
      <c r="V40" s="219">
        <f>U40*(1+Assumptions!$L$14)</f>
        <v>507791.7621087869</v>
      </c>
    </row>
    <row r="41" spans="1:22" s="9" customFormat="1" x14ac:dyDescent="0.2">
      <c r="A41" s="9">
        <f>Summary!A48</f>
        <v>32</v>
      </c>
      <c r="B41" s="9" t="s">
        <v>85</v>
      </c>
      <c r="C41" s="217">
        <f>UnitData!H41*UnitData!F41*1000</f>
        <v>348563.88506939274</v>
      </c>
      <c r="D41" s="219">
        <f>C41*(1+Assumptions!$L$14)</f>
        <v>355535.16277078062</v>
      </c>
      <c r="E41" s="219">
        <f>D41*(1+Assumptions!$L$14)</f>
        <v>362645.86602619622</v>
      </c>
      <c r="F41" s="219">
        <f>E41*(1+Assumptions!$L$14)</f>
        <v>369898.78334672016</v>
      </c>
      <c r="G41" s="219">
        <f>F41*(1+Assumptions!$L$14)</f>
        <v>377296.75901365455</v>
      </c>
      <c r="H41" s="219">
        <f>G41*(1+Assumptions!$L$14)</f>
        <v>384842.69419392763</v>
      </c>
      <c r="I41" s="219">
        <f>H41*(1+Assumptions!$L$14)</f>
        <v>392539.54807780619</v>
      </c>
      <c r="J41" s="219">
        <f>I41*(1+Assumptions!$L$14)</f>
        <v>400390.33903936233</v>
      </c>
      <c r="K41" s="219">
        <f>J41*(1+Assumptions!$L$14)</f>
        <v>408398.14582014957</v>
      </c>
      <c r="L41" s="219">
        <f>K41*(1+Assumptions!$L$14)</f>
        <v>416566.10873655259</v>
      </c>
      <c r="M41" s="219">
        <f>L41*(1+Assumptions!$L$14)</f>
        <v>424897.43091128365</v>
      </c>
      <c r="N41" s="219">
        <f>M41*(1+Assumptions!$L$14)</f>
        <v>433395.37952950934</v>
      </c>
      <c r="O41" s="219">
        <f>N41*(1+Assumptions!$L$14)</f>
        <v>442063.28712009953</v>
      </c>
      <c r="P41" s="219">
        <f>O41*(1+Assumptions!$L$14)</f>
        <v>450904.55286250153</v>
      </c>
      <c r="Q41" s="219">
        <f>P41*(1+Assumptions!$L$14)</f>
        <v>459922.64391975157</v>
      </c>
      <c r="R41" s="219">
        <f>Q41*(1+Assumptions!$L$14)</f>
        <v>469121.09679814661</v>
      </c>
      <c r="S41" s="219">
        <f>R41*(1+Assumptions!$L$14)</f>
        <v>478503.51873410953</v>
      </c>
      <c r="T41" s="219">
        <f>S41*(1+Assumptions!$L$14)</f>
        <v>488073.58910879173</v>
      </c>
      <c r="U41" s="219">
        <f>T41*(1+Assumptions!$L$14)</f>
        <v>497835.06089096755</v>
      </c>
      <c r="V41" s="219">
        <f>U41*(1+Assumptions!$L$14)</f>
        <v>507791.7621087869</v>
      </c>
    </row>
    <row r="42" spans="1:22" s="9" customFormat="1" ht="13.5" thickBot="1" x14ac:dyDescent="0.25">
      <c r="A42" s="9">
        <f>Summary!A49</f>
        <v>33</v>
      </c>
      <c r="B42" s="222" t="s">
        <v>181</v>
      </c>
      <c r="C42" s="217">
        <f>UnitData!H42*UnitData!F42*1000</f>
        <v>3172500</v>
      </c>
      <c r="D42" s="221">
        <f>C42*(1+Assumptions!$L$14)</f>
        <v>3235950</v>
      </c>
      <c r="E42" s="221">
        <f>D42*(1+Assumptions!$L$14)</f>
        <v>3300669</v>
      </c>
      <c r="F42" s="221">
        <f>E42*(1+Assumptions!$L$14)</f>
        <v>3366682.38</v>
      </c>
      <c r="G42" s="221">
        <f>F42*(1+Assumptions!$L$14)</f>
        <v>3434016.0276000001</v>
      </c>
      <c r="H42" s="221">
        <f>G42*(1+Assumptions!$L$14)</f>
        <v>3502696.348152</v>
      </c>
      <c r="I42" s="221">
        <f>H42*(1+Assumptions!$L$14)</f>
        <v>3572750.2751150401</v>
      </c>
      <c r="J42" s="221">
        <f>I42*(1+Assumptions!$L$14)</f>
        <v>3644205.2806173409</v>
      </c>
      <c r="K42" s="221">
        <f>J42*(1+Assumptions!$L$14)</f>
        <v>3717089.3862296878</v>
      </c>
      <c r="L42" s="221">
        <f>K42*(1+Assumptions!$L$14)</f>
        <v>3791431.1739542815</v>
      </c>
      <c r="M42" s="221">
        <f>L42*(1+Assumptions!$L$14)</f>
        <v>3867259.797433367</v>
      </c>
      <c r="N42" s="221">
        <f>M42*(1+Assumptions!$L$14)</f>
        <v>3944604.9933820344</v>
      </c>
      <c r="O42" s="221">
        <f>N42*(1+Assumptions!$L$14)</f>
        <v>4023497.0932496749</v>
      </c>
      <c r="P42" s="221">
        <f>O42*(1+Assumptions!$L$14)</f>
        <v>4103967.0351146683</v>
      </c>
      <c r="Q42" s="221">
        <f>P42*(1+Assumptions!$L$14)</f>
        <v>4186046.3758169618</v>
      </c>
      <c r="R42" s="221">
        <f>Q42*(1+Assumptions!$L$14)</f>
        <v>4269767.3033333011</v>
      </c>
      <c r="S42" s="221">
        <f>R42*(1+Assumptions!$L$14)</f>
        <v>4355162.6493999669</v>
      </c>
      <c r="T42" s="221">
        <f>S42*(1+Assumptions!$L$14)</f>
        <v>4442265.9023879664</v>
      </c>
      <c r="U42" s="221">
        <f>T42*(1+Assumptions!$L$14)</f>
        <v>4531111.2204357255</v>
      </c>
      <c r="V42" s="221">
        <f>U42*(1+Assumptions!$L$14)</f>
        <v>4621733.4448444406</v>
      </c>
    </row>
    <row r="43" spans="1:22" ht="13.5" thickTop="1" x14ac:dyDescent="0.2">
      <c r="B43" s="9" t="s">
        <v>135</v>
      </c>
      <c r="C43" s="83">
        <f>SUM(C10:C42)</f>
        <v>67348040.967062265</v>
      </c>
      <c r="D43" s="83">
        <f t="shared" ref="D43:V43" si="0">SUM(D10:D42)</f>
        <v>68695001.786403477</v>
      </c>
      <c r="E43" s="83">
        <f t="shared" si="0"/>
        <v>70068901.822131574</v>
      </c>
      <c r="F43" s="83">
        <f t="shared" si="0"/>
        <v>71470279.858574212</v>
      </c>
      <c r="G43" s="83">
        <f t="shared" si="0"/>
        <v>72899685.455745697</v>
      </c>
      <c r="H43" s="83">
        <f t="shared" si="0"/>
        <v>74357679.164860606</v>
      </c>
      <c r="I43" s="83">
        <f t="shared" si="0"/>
        <v>75844832.748157829</v>
      </c>
      <c r="J43" s="83">
        <f t="shared" si="0"/>
        <v>77361729.403120965</v>
      </c>
      <c r="K43" s="83">
        <f t="shared" si="0"/>
        <v>78908963.991183445</v>
      </c>
      <c r="L43" s="83">
        <f t="shared" si="0"/>
        <v>80487143.271007121</v>
      </c>
      <c r="M43" s="83">
        <f t="shared" si="0"/>
        <v>82096886.136427224</v>
      </c>
      <c r="N43" s="83">
        <f t="shared" si="0"/>
        <v>83738823.859155759</v>
      </c>
      <c r="O43" s="83">
        <f t="shared" si="0"/>
        <v>85413600.336338863</v>
      </c>
      <c r="P43" s="83">
        <f t="shared" si="0"/>
        <v>87121872.34306559</v>
      </c>
      <c r="Q43" s="83">
        <f t="shared" si="0"/>
        <v>88864309.789926946</v>
      </c>
      <c r="R43" s="83">
        <f t="shared" si="0"/>
        <v>90641595.985725537</v>
      </c>
      <c r="S43" s="83">
        <f t="shared" si="0"/>
        <v>92454427.905440047</v>
      </c>
      <c r="T43" s="83">
        <f t="shared" si="0"/>
        <v>94303516.463548809</v>
      </c>
      <c r="U43" s="83">
        <f t="shared" si="0"/>
        <v>96189586.792819887</v>
      </c>
      <c r="V43" s="83">
        <f t="shared" si="0"/>
        <v>98113378.528676152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08"/>
  <sheetViews>
    <sheetView workbookViewId="0"/>
  </sheetViews>
  <sheetFormatPr defaultRowHeight="12.75" x14ac:dyDescent="0.2"/>
  <cols>
    <col min="1" max="1" width="3.5703125" customWidth="1"/>
    <col min="2" max="2" width="15.42578125" bestFit="1" customWidth="1"/>
    <col min="3" max="4" width="11.140625" bestFit="1" customWidth="1"/>
    <col min="5" max="5" width="13.42578125" bestFit="1" customWidth="1"/>
    <col min="6" max="6" width="13.28515625" bestFit="1" customWidth="1"/>
    <col min="7" max="7" width="13.42578125" bestFit="1" customWidth="1"/>
    <col min="8" max="11" width="13.7109375" bestFit="1" customWidth="1"/>
    <col min="12" max="12" width="13.42578125" bestFit="1" customWidth="1"/>
    <col min="13" max="13" width="13.85546875" bestFit="1" customWidth="1"/>
    <col min="14" max="14" width="13.7109375" bestFit="1" customWidth="1"/>
    <col min="15" max="15" width="13.85546875" bestFit="1" customWidth="1"/>
    <col min="16" max="16" width="13.7109375" bestFit="1" customWidth="1"/>
    <col min="17" max="17" width="13.85546875" bestFit="1" customWidth="1"/>
    <col min="18" max="18" width="13.85546875" customWidth="1"/>
    <col min="19" max="19" width="15.140625" customWidth="1"/>
    <col min="20" max="20" width="17.7109375" customWidth="1"/>
    <col min="21" max="21" width="12.85546875" customWidth="1"/>
    <col min="22" max="22" width="9.85546875" bestFit="1" customWidth="1"/>
  </cols>
  <sheetData>
    <row r="1" spans="1:22" x14ac:dyDescent="0.2">
      <c r="A1" s="138" t="s">
        <v>207</v>
      </c>
    </row>
    <row r="2" spans="1:22" x14ac:dyDescent="0.2">
      <c r="A2" s="138"/>
    </row>
    <row r="3" spans="1:22" x14ac:dyDescent="0.2">
      <c r="A3" s="138"/>
    </row>
    <row r="4" spans="1:22" x14ac:dyDescent="0.2">
      <c r="A4" s="138"/>
    </row>
    <row r="5" spans="1:22" x14ac:dyDescent="0.2">
      <c r="A5" s="138"/>
    </row>
    <row r="6" spans="1:22" x14ac:dyDescent="0.2">
      <c r="A6" s="138"/>
    </row>
    <row r="8" spans="1:22" x14ac:dyDescent="0.2">
      <c r="C8" s="12">
        <v>2000</v>
      </c>
      <c r="D8" s="12">
        <v>2001</v>
      </c>
      <c r="E8" s="12">
        <v>2002</v>
      </c>
      <c r="F8" s="12">
        <v>2003</v>
      </c>
      <c r="G8" s="12">
        <v>2004</v>
      </c>
      <c r="H8" s="12">
        <v>2005</v>
      </c>
      <c r="I8" s="12">
        <v>2006</v>
      </c>
      <c r="J8" s="12">
        <v>2007</v>
      </c>
      <c r="K8" s="12">
        <v>2008</v>
      </c>
      <c r="L8" s="12">
        <v>2009</v>
      </c>
      <c r="M8" s="12">
        <v>2010</v>
      </c>
      <c r="N8" s="12">
        <v>2011</v>
      </c>
      <c r="O8" s="12">
        <v>2012</v>
      </c>
      <c r="P8" s="12">
        <v>2013</v>
      </c>
      <c r="Q8" s="12">
        <v>2014</v>
      </c>
      <c r="R8" s="12">
        <v>2015</v>
      </c>
      <c r="S8" s="12">
        <v>2016</v>
      </c>
      <c r="T8" s="12">
        <v>2017</v>
      </c>
      <c r="U8" s="12">
        <v>2018</v>
      </c>
      <c r="V8" s="12">
        <v>2019</v>
      </c>
    </row>
    <row r="10" spans="1:22" x14ac:dyDescent="0.2">
      <c r="A10">
        <f>Summary!A17</f>
        <v>1</v>
      </c>
      <c r="B10" t="s">
        <v>55</v>
      </c>
      <c r="C10" s="224">
        <v>1296887</v>
      </c>
      <c r="D10" s="225">
        <v>1263820</v>
      </c>
      <c r="E10" s="225">
        <v>1233305</v>
      </c>
      <c r="F10" s="225">
        <v>1223334</v>
      </c>
      <c r="G10" s="225">
        <v>1216952</v>
      </c>
      <c r="H10" s="225">
        <v>1210984</v>
      </c>
      <c r="I10" s="225">
        <v>1205530</v>
      </c>
      <c r="J10" s="225">
        <v>1204607</v>
      </c>
      <c r="K10" s="225">
        <v>892019</v>
      </c>
      <c r="L10" s="225">
        <v>579551</v>
      </c>
      <c r="M10" s="225">
        <v>579421</v>
      </c>
      <c r="N10" s="225">
        <v>432924</v>
      </c>
      <c r="O10" s="225">
        <v>286238</v>
      </c>
      <c r="P10" s="225">
        <v>286302</v>
      </c>
      <c r="Q10" s="225">
        <v>286238</v>
      </c>
      <c r="R10" s="225">
        <v>176547</v>
      </c>
      <c r="S10" s="225">
        <v>66780</v>
      </c>
      <c r="T10" s="225">
        <v>66795</v>
      </c>
      <c r="U10" s="225">
        <v>66780</v>
      </c>
      <c r="V10" s="225">
        <v>33397</v>
      </c>
    </row>
    <row r="11" spans="1:22" x14ac:dyDescent="0.2">
      <c r="A11">
        <f>Summary!A18</f>
        <v>2</v>
      </c>
      <c r="B11" t="s">
        <v>56</v>
      </c>
      <c r="C11" s="226">
        <v>1525702</v>
      </c>
      <c r="D11" s="227">
        <v>1413972</v>
      </c>
      <c r="E11" s="227">
        <v>1334000</v>
      </c>
      <c r="F11" s="227">
        <v>1251360</v>
      </c>
      <c r="G11" s="227">
        <v>1224779</v>
      </c>
      <c r="H11" s="227">
        <v>1200336</v>
      </c>
      <c r="I11" s="227">
        <v>1194913</v>
      </c>
      <c r="J11" s="227">
        <v>1194616</v>
      </c>
      <c r="K11" s="227">
        <v>1194635</v>
      </c>
      <c r="L11" s="227">
        <v>1194616</v>
      </c>
      <c r="M11" s="227">
        <v>1194635</v>
      </c>
      <c r="N11" s="227">
        <v>928375</v>
      </c>
      <c r="O11" s="227">
        <v>662277</v>
      </c>
      <c r="P11" s="227">
        <v>662138</v>
      </c>
      <c r="Q11" s="227">
        <v>479505</v>
      </c>
      <c r="R11" s="227">
        <v>296665</v>
      </c>
      <c r="S11" s="227">
        <v>296722</v>
      </c>
      <c r="T11" s="227">
        <v>296665</v>
      </c>
      <c r="U11" s="227">
        <v>158529</v>
      </c>
      <c r="V11" s="227">
        <v>10170</v>
      </c>
    </row>
    <row r="12" spans="1:22" x14ac:dyDescent="0.2">
      <c r="A12">
        <f>Summary!A19</f>
        <v>3</v>
      </c>
      <c r="B12" s="9" t="s">
        <v>57</v>
      </c>
      <c r="C12" s="226">
        <v>1577681.75</v>
      </c>
      <c r="D12" s="227">
        <v>1448514.75</v>
      </c>
      <c r="E12" s="227">
        <v>1385844</v>
      </c>
      <c r="F12" s="227">
        <v>1191770.25</v>
      </c>
      <c r="G12" s="227">
        <v>1066151</v>
      </c>
      <c r="H12" s="227">
        <v>1032763.5</v>
      </c>
      <c r="I12" s="227">
        <v>1028237.25</v>
      </c>
      <c r="J12" s="227">
        <v>1004065.5</v>
      </c>
      <c r="K12" s="227">
        <v>980752.5</v>
      </c>
      <c r="L12" s="227">
        <v>823280.25</v>
      </c>
      <c r="M12" s="227">
        <v>665987.5</v>
      </c>
      <c r="N12" s="227">
        <v>665863.25</v>
      </c>
      <c r="O12" s="227">
        <v>548538.25</v>
      </c>
      <c r="P12" s="227">
        <v>431016.75</v>
      </c>
      <c r="Q12" s="227">
        <v>362563.5</v>
      </c>
      <c r="R12" s="227">
        <v>293995.25</v>
      </c>
      <c r="S12" s="227">
        <v>174942</v>
      </c>
      <c r="T12" s="227">
        <v>55860.75</v>
      </c>
      <c r="U12" s="227">
        <v>55848.25</v>
      </c>
      <c r="V12" s="227">
        <v>27929.75</v>
      </c>
    </row>
    <row r="13" spans="1:22" x14ac:dyDescent="0.2">
      <c r="A13">
        <f>Summary!A20</f>
        <v>4</v>
      </c>
      <c r="B13" s="9" t="s">
        <v>58</v>
      </c>
      <c r="C13" s="226">
        <v>1577681.75</v>
      </c>
      <c r="D13" s="227">
        <v>1448514.75</v>
      </c>
      <c r="E13" s="227">
        <v>1385844</v>
      </c>
      <c r="F13" s="227">
        <v>1191770.25</v>
      </c>
      <c r="G13" s="227">
        <v>1066151</v>
      </c>
      <c r="H13" s="227">
        <v>1032763.5</v>
      </c>
      <c r="I13" s="227">
        <v>1028237.25</v>
      </c>
      <c r="J13" s="227">
        <v>1004065.5</v>
      </c>
      <c r="K13" s="227">
        <v>980752.5</v>
      </c>
      <c r="L13" s="227">
        <v>823280.25</v>
      </c>
      <c r="M13" s="227">
        <v>665987.5</v>
      </c>
      <c r="N13" s="227">
        <v>665863.25</v>
      </c>
      <c r="O13" s="227">
        <v>548538.25</v>
      </c>
      <c r="P13" s="227">
        <v>431016.75</v>
      </c>
      <c r="Q13" s="227">
        <v>362563.5</v>
      </c>
      <c r="R13" s="227">
        <v>293995.25</v>
      </c>
      <c r="S13" s="227">
        <v>174942</v>
      </c>
      <c r="T13" s="227">
        <v>55860.75</v>
      </c>
      <c r="U13" s="227">
        <v>55848.25</v>
      </c>
      <c r="V13" s="227">
        <v>27929.75</v>
      </c>
    </row>
    <row r="14" spans="1:22" x14ac:dyDescent="0.2">
      <c r="A14">
        <f>Summary!A21</f>
        <v>5</v>
      </c>
      <c r="B14" s="9" t="s">
        <v>59</v>
      </c>
      <c r="C14" s="226">
        <v>1577681.75</v>
      </c>
      <c r="D14" s="227">
        <v>1448514.75</v>
      </c>
      <c r="E14" s="227">
        <v>1385844</v>
      </c>
      <c r="F14" s="227">
        <v>1191770.25</v>
      </c>
      <c r="G14" s="227">
        <v>1066151</v>
      </c>
      <c r="H14" s="227">
        <v>1032763.5</v>
      </c>
      <c r="I14" s="227">
        <v>1028237.25</v>
      </c>
      <c r="J14" s="227">
        <v>1004065.5</v>
      </c>
      <c r="K14" s="227">
        <v>980752.5</v>
      </c>
      <c r="L14" s="227">
        <v>823280.25</v>
      </c>
      <c r="M14" s="227">
        <v>665987.5</v>
      </c>
      <c r="N14" s="227">
        <v>665863.25</v>
      </c>
      <c r="O14" s="227">
        <v>548538.25</v>
      </c>
      <c r="P14" s="227">
        <v>431016.75</v>
      </c>
      <c r="Q14" s="227">
        <v>362563.5</v>
      </c>
      <c r="R14" s="227">
        <v>293995.25</v>
      </c>
      <c r="S14" s="227">
        <v>174942</v>
      </c>
      <c r="T14" s="227">
        <v>55860.75</v>
      </c>
      <c r="U14" s="227">
        <v>55848.25</v>
      </c>
      <c r="V14" s="227">
        <v>27929.75</v>
      </c>
    </row>
    <row r="15" spans="1:22" x14ac:dyDescent="0.2">
      <c r="A15">
        <f>Summary!A22</f>
        <v>6</v>
      </c>
      <c r="B15" s="9" t="s">
        <v>60</v>
      </c>
      <c r="C15" s="226">
        <v>1577681.75</v>
      </c>
      <c r="D15" s="227">
        <v>1448514.75</v>
      </c>
      <c r="E15" s="227">
        <v>1385844</v>
      </c>
      <c r="F15" s="227">
        <v>1191770.25</v>
      </c>
      <c r="G15" s="227">
        <v>1066151</v>
      </c>
      <c r="H15" s="227">
        <v>1032763.5</v>
      </c>
      <c r="I15" s="227">
        <v>1028237.25</v>
      </c>
      <c r="J15" s="227">
        <v>1004065.5</v>
      </c>
      <c r="K15" s="227">
        <v>980752.5</v>
      </c>
      <c r="L15" s="227">
        <v>823280.25</v>
      </c>
      <c r="M15" s="227">
        <v>665987.5</v>
      </c>
      <c r="N15" s="227">
        <v>665863.25</v>
      </c>
      <c r="O15" s="227">
        <v>548538.25</v>
      </c>
      <c r="P15" s="227">
        <v>431016.75</v>
      </c>
      <c r="Q15" s="227">
        <v>362563.5</v>
      </c>
      <c r="R15" s="227">
        <v>293995.25</v>
      </c>
      <c r="S15" s="227">
        <v>174942</v>
      </c>
      <c r="T15" s="227">
        <v>55860.75</v>
      </c>
      <c r="U15" s="227">
        <v>55848.25</v>
      </c>
      <c r="V15" s="227">
        <v>27929.75</v>
      </c>
    </row>
    <row r="16" spans="1:22" x14ac:dyDescent="0.2">
      <c r="A16">
        <f>Summary!A23</f>
        <v>7</v>
      </c>
      <c r="B16" t="s">
        <v>61</v>
      </c>
      <c r="C16" s="226">
        <v>246412</v>
      </c>
      <c r="D16" s="227">
        <v>239171</v>
      </c>
      <c r="E16" s="227">
        <v>232560</v>
      </c>
      <c r="F16" s="227">
        <v>231437</v>
      </c>
      <c r="G16" s="227">
        <v>231452</v>
      </c>
      <c r="H16" s="227">
        <v>231437</v>
      </c>
      <c r="I16" s="227">
        <v>231452</v>
      </c>
      <c r="J16" s="227">
        <v>231437</v>
      </c>
      <c r="K16" s="227">
        <v>231452</v>
      </c>
      <c r="L16" s="227">
        <v>231437</v>
      </c>
      <c r="M16" s="227">
        <v>156221</v>
      </c>
      <c r="N16" s="227">
        <v>81008</v>
      </c>
      <c r="O16" s="227">
        <v>80990</v>
      </c>
      <c r="P16" s="227">
        <v>81008</v>
      </c>
      <c r="Q16" s="227">
        <v>80990</v>
      </c>
      <c r="R16" s="227">
        <v>40508</v>
      </c>
      <c r="S16" s="227">
        <v>0</v>
      </c>
      <c r="T16" s="227">
        <v>0</v>
      </c>
      <c r="U16" s="227">
        <v>0</v>
      </c>
      <c r="V16" s="227">
        <v>0</v>
      </c>
    </row>
    <row r="17" spans="1:22" x14ac:dyDescent="0.2">
      <c r="A17">
        <f>Summary!A24</f>
        <v>8</v>
      </c>
      <c r="B17" t="s">
        <v>62</v>
      </c>
      <c r="C17" s="226">
        <v>777615.14403292176</v>
      </c>
      <c r="D17" s="227">
        <v>689717.86008230457</v>
      </c>
      <c r="E17" s="227">
        <v>667884.4444444445</v>
      </c>
      <c r="F17" s="227">
        <v>663419.58847736625</v>
      </c>
      <c r="G17" s="227">
        <v>661996.37860082299</v>
      </c>
      <c r="H17" s="227">
        <v>660704.19753086416</v>
      </c>
      <c r="I17" s="227">
        <v>659665.18518518517</v>
      </c>
      <c r="J17" s="227">
        <v>659507.81893004116</v>
      </c>
      <c r="K17" s="227">
        <v>659413.99176954734</v>
      </c>
      <c r="L17" s="227">
        <v>659507.81893004116</v>
      </c>
      <c r="M17" s="227">
        <v>598991.60493827157</v>
      </c>
      <c r="N17" s="227">
        <v>538687.73662551446</v>
      </c>
      <c r="O17" s="227">
        <v>538566.91358024697</v>
      </c>
      <c r="P17" s="227">
        <v>385627.65432098764</v>
      </c>
      <c r="Q17" s="227">
        <v>232515.88477366255</v>
      </c>
      <c r="R17" s="227">
        <v>118710.78189300411</v>
      </c>
      <c r="S17" s="227">
        <v>4848.7242798353909</v>
      </c>
      <c r="T17" s="227">
        <v>4850.0411522633749</v>
      </c>
      <c r="U17" s="227">
        <v>4848.7242798353909</v>
      </c>
      <c r="V17" s="227">
        <v>2424.3621399176955</v>
      </c>
    </row>
    <row r="18" spans="1:22" x14ac:dyDescent="0.2">
      <c r="A18">
        <f>Summary!A25</f>
        <v>9</v>
      </c>
      <c r="B18" t="s">
        <v>63</v>
      </c>
      <c r="C18" s="226">
        <v>1584390.8559670784</v>
      </c>
      <c r="D18" s="227">
        <v>1405300.1399176957</v>
      </c>
      <c r="E18" s="227">
        <v>1360814.5555555557</v>
      </c>
      <c r="F18" s="227">
        <v>1351717.4115226339</v>
      </c>
      <c r="G18" s="227">
        <v>1348817.621399177</v>
      </c>
      <c r="H18" s="227">
        <v>1346184.802469136</v>
      </c>
      <c r="I18" s="227">
        <v>1344067.8148148148</v>
      </c>
      <c r="J18" s="227">
        <v>1343747.181069959</v>
      </c>
      <c r="K18" s="227">
        <v>1343556.0082304529</v>
      </c>
      <c r="L18" s="227">
        <v>1343747.181069959</v>
      </c>
      <c r="M18" s="227">
        <v>1220445.3950617285</v>
      </c>
      <c r="N18" s="227">
        <v>1097576.2633744858</v>
      </c>
      <c r="O18" s="227">
        <v>1097330.0864197533</v>
      </c>
      <c r="P18" s="227">
        <v>785716.34567901236</v>
      </c>
      <c r="Q18" s="227">
        <v>473751.11522633751</v>
      </c>
      <c r="R18" s="227">
        <v>241873.21810699592</v>
      </c>
      <c r="S18" s="227">
        <v>9879.2757201646091</v>
      </c>
      <c r="T18" s="227">
        <v>9881.9588477366269</v>
      </c>
      <c r="U18" s="227">
        <v>9879.2757201646091</v>
      </c>
      <c r="V18" s="227">
        <v>4939.6378600823045</v>
      </c>
    </row>
    <row r="19" spans="1:22" x14ac:dyDescent="0.2">
      <c r="A19">
        <f>Summary!A26</f>
        <v>10</v>
      </c>
      <c r="B19" t="s">
        <v>64</v>
      </c>
      <c r="C19" s="226">
        <v>1125172</v>
      </c>
      <c r="D19" s="227">
        <v>964501.5</v>
      </c>
      <c r="E19" s="227">
        <v>932085.5</v>
      </c>
      <c r="F19" s="227">
        <v>906047.5</v>
      </c>
      <c r="G19" s="227">
        <v>882160</v>
      </c>
      <c r="H19" s="227">
        <v>859874</v>
      </c>
      <c r="I19" s="227">
        <v>854973</v>
      </c>
      <c r="J19" s="227">
        <v>854507</v>
      </c>
      <c r="K19" s="227">
        <v>854689</v>
      </c>
      <c r="L19" s="227">
        <v>854507</v>
      </c>
      <c r="M19" s="227">
        <v>725222</v>
      </c>
      <c r="N19" s="227">
        <v>595629</v>
      </c>
      <c r="O19" s="227">
        <v>595753</v>
      </c>
      <c r="P19" s="227">
        <v>595629</v>
      </c>
      <c r="Q19" s="227">
        <v>432041</v>
      </c>
      <c r="R19" s="227">
        <v>268279.5</v>
      </c>
      <c r="S19" s="227">
        <v>268330</v>
      </c>
      <c r="T19" s="227">
        <v>268279.5</v>
      </c>
      <c r="U19" s="227">
        <v>144543</v>
      </c>
      <c r="V19" s="227">
        <v>10384</v>
      </c>
    </row>
    <row r="20" spans="1:22" x14ac:dyDescent="0.2">
      <c r="A20">
        <f>Summary!A27</f>
        <v>11</v>
      </c>
      <c r="B20" t="s">
        <v>65</v>
      </c>
      <c r="C20" s="226">
        <v>1125172</v>
      </c>
      <c r="D20" s="227">
        <v>964501.5</v>
      </c>
      <c r="E20" s="227">
        <v>932085.5</v>
      </c>
      <c r="F20" s="227">
        <v>906047.5</v>
      </c>
      <c r="G20" s="227">
        <v>882160</v>
      </c>
      <c r="H20" s="227">
        <v>859874</v>
      </c>
      <c r="I20" s="227">
        <v>854973</v>
      </c>
      <c r="J20" s="227">
        <v>854507</v>
      </c>
      <c r="K20" s="227">
        <v>854689</v>
      </c>
      <c r="L20" s="227">
        <v>854507</v>
      </c>
      <c r="M20" s="227">
        <v>725222</v>
      </c>
      <c r="N20" s="227">
        <v>595629</v>
      </c>
      <c r="O20" s="227">
        <v>595753</v>
      </c>
      <c r="P20" s="227">
        <v>595629</v>
      </c>
      <c r="Q20" s="227">
        <v>432041</v>
      </c>
      <c r="R20" s="227">
        <v>268279.5</v>
      </c>
      <c r="S20" s="227">
        <v>268330</v>
      </c>
      <c r="T20" s="227">
        <v>268279.5</v>
      </c>
      <c r="U20" s="227">
        <v>144543</v>
      </c>
      <c r="V20" s="227">
        <v>10384</v>
      </c>
    </row>
    <row r="21" spans="1:22" x14ac:dyDescent="0.2">
      <c r="A21">
        <f>Summary!A28</f>
        <v>12</v>
      </c>
      <c r="B21" t="s">
        <v>66</v>
      </c>
      <c r="C21" s="226">
        <v>831295.27556818177</v>
      </c>
      <c r="D21" s="227">
        <v>686122.95738636365</v>
      </c>
      <c r="E21" s="227">
        <v>673172.1875</v>
      </c>
      <c r="F21" s="227">
        <v>660496.34090909082</v>
      </c>
      <c r="G21" s="227">
        <v>657320.50284090906</v>
      </c>
      <c r="H21" s="227">
        <v>654852.86931818177</v>
      </c>
      <c r="I21" s="227">
        <v>653870.00852272729</v>
      </c>
      <c r="J21" s="227">
        <v>592682.28409090906</v>
      </c>
      <c r="K21" s="227">
        <v>465822.20738636359</v>
      </c>
      <c r="L21" s="227">
        <v>349460.75568181818</v>
      </c>
      <c r="M21" s="227">
        <v>299030.28977272724</v>
      </c>
      <c r="N21" s="227">
        <v>265541.32102272724</v>
      </c>
      <c r="O21" s="227">
        <v>204495.26420454544</v>
      </c>
      <c r="P21" s="227">
        <v>176826.68465909091</v>
      </c>
      <c r="Q21" s="227">
        <v>125657.97159090909</v>
      </c>
      <c r="R21" s="227">
        <v>74443.860795454544</v>
      </c>
      <c r="S21" s="227">
        <v>43301.954545454544</v>
      </c>
      <c r="T21" s="227">
        <v>12152.036931818182</v>
      </c>
      <c r="U21" s="227">
        <v>12149.366477272726</v>
      </c>
      <c r="V21" s="227">
        <v>6075.8181818181811</v>
      </c>
    </row>
    <row r="22" spans="1:22" x14ac:dyDescent="0.2">
      <c r="A22">
        <f>Summary!A29</f>
        <v>13</v>
      </c>
      <c r="B22" t="s">
        <v>67</v>
      </c>
      <c r="C22" s="226">
        <v>831295.27556818177</v>
      </c>
      <c r="D22" s="227">
        <v>686122.95738636365</v>
      </c>
      <c r="E22" s="227">
        <v>673172.1875</v>
      </c>
      <c r="F22" s="227">
        <v>660496.34090909082</v>
      </c>
      <c r="G22" s="227">
        <v>657320.50284090906</v>
      </c>
      <c r="H22" s="227">
        <v>654852.86931818177</v>
      </c>
      <c r="I22" s="227">
        <v>653870.00852272729</v>
      </c>
      <c r="J22" s="227">
        <v>592682.28409090906</v>
      </c>
      <c r="K22" s="227">
        <v>465822.20738636359</v>
      </c>
      <c r="L22" s="227">
        <v>349460.75568181818</v>
      </c>
      <c r="M22" s="227">
        <v>299030.28977272724</v>
      </c>
      <c r="N22" s="227">
        <v>265541.32102272724</v>
      </c>
      <c r="O22" s="227">
        <v>204495.26420454544</v>
      </c>
      <c r="P22" s="227">
        <v>176826.68465909091</v>
      </c>
      <c r="Q22" s="227">
        <v>125657.97159090909</v>
      </c>
      <c r="R22" s="227">
        <v>74443.860795454544</v>
      </c>
      <c r="S22" s="227">
        <v>43301.954545454544</v>
      </c>
      <c r="T22" s="227">
        <v>12152.036931818182</v>
      </c>
      <c r="U22" s="227">
        <v>12149.366477272726</v>
      </c>
      <c r="V22" s="227">
        <v>6075.8181818181811</v>
      </c>
    </row>
    <row r="23" spans="1:22" x14ac:dyDescent="0.2">
      <c r="A23">
        <f>Summary!A30</f>
        <v>14</v>
      </c>
      <c r="B23" t="s">
        <v>70</v>
      </c>
      <c r="C23" s="226">
        <v>1131976.5454545454</v>
      </c>
      <c r="D23" s="227">
        <v>934295.09090909094</v>
      </c>
      <c r="E23" s="227">
        <v>916660</v>
      </c>
      <c r="F23" s="227">
        <v>899399.27272727271</v>
      </c>
      <c r="G23" s="227">
        <v>895074.72727272729</v>
      </c>
      <c r="H23" s="227">
        <v>891714.54545454553</v>
      </c>
      <c r="I23" s="227">
        <v>890376.18181818188</v>
      </c>
      <c r="J23" s="227">
        <v>807056.72727272729</v>
      </c>
      <c r="K23" s="227">
        <v>634311.09090909094</v>
      </c>
      <c r="L23" s="227">
        <v>475861.45454545453</v>
      </c>
      <c r="M23" s="227">
        <v>407190.18181818182</v>
      </c>
      <c r="N23" s="227">
        <v>361588.18181818182</v>
      </c>
      <c r="O23" s="227">
        <v>278461.63636363635</v>
      </c>
      <c r="P23" s="227">
        <v>240785.27272727274</v>
      </c>
      <c r="Q23" s="227">
        <v>171108.72727272726</v>
      </c>
      <c r="R23" s="227">
        <v>101370.36363636363</v>
      </c>
      <c r="S23" s="227">
        <v>58964.36363636364</v>
      </c>
      <c r="T23" s="227">
        <v>16547.454545454544</v>
      </c>
      <c r="U23" s="227">
        <v>16543.818181818184</v>
      </c>
      <c r="V23" s="227">
        <v>8273.454545454546</v>
      </c>
    </row>
    <row r="24" spans="1:22" x14ac:dyDescent="0.2">
      <c r="A24">
        <f>Summary!A31</f>
        <v>15</v>
      </c>
      <c r="B24" t="s">
        <v>68</v>
      </c>
      <c r="C24" s="226">
        <v>1326535.0142045454</v>
      </c>
      <c r="D24" s="227">
        <v>1094877.0596590908</v>
      </c>
      <c r="E24" s="227">
        <v>1074210.9375</v>
      </c>
      <c r="F24" s="227">
        <v>1053983.5227272727</v>
      </c>
      <c r="G24" s="227">
        <v>1048915.6960227273</v>
      </c>
      <c r="H24" s="227">
        <v>1044977.9829545455</v>
      </c>
      <c r="I24" s="227">
        <v>1043409.5880681819</v>
      </c>
      <c r="J24" s="227">
        <v>945769.60227272729</v>
      </c>
      <c r="K24" s="227">
        <v>743333.30965909094</v>
      </c>
      <c r="L24" s="227">
        <v>557650.14204545459</v>
      </c>
      <c r="M24" s="227">
        <v>477175.99431818182</v>
      </c>
      <c r="N24" s="227">
        <v>423736.15056818182</v>
      </c>
      <c r="O24" s="227">
        <v>326322.23011363635</v>
      </c>
      <c r="P24" s="227">
        <v>282170.24147727271</v>
      </c>
      <c r="Q24" s="227">
        <v>200518.03977272726</v>
      </c>
      <c r="R24" s="227">
        <v>118793.39488636363</v>
      </c>
      <c r="S24" s="227">
        <v>69098.863636363632</v>
      </c>
      <c r="T24" s="227">
        <v>19391.548295454544</v>
      </c>
      <c r="U24" s="227">
        <v>19387.286931818184</v>
      </c>
      <c r="V24" s="227">
        <v>9695.454545454546</v>
      </c>
    </row>
    <row r="25" spans="1:22" x14ac:dyDescent="0.2">
      <c r="A25">
        <f>Summary!A32</f>
        <v>16</v>
      </c>
      <c r="B25" t="s">
        <v>69</v>
      </c>
      <c r="C25" s="226">
        <v>2104768.8892045454</v>
      </c>
      <c r="D25" s="227">
        <v>1737204.9346590908</v>
      </c>
      <c r="E25" s="227">
        <v>1704414.6875</v>
      </c>
      <c r="F25" s="227">
        <v>1672320.5227272727</v>
      </c>
      <c r="G25" s="227">
        <v>1664279.5710227273</v>
      </c>
      <c r="H25" s="227">
        <v>1658031.7329545454</v>
      </c>
      <c r="I25" s="227">
        <v>1655543.2130681819</v>
      </c>
      <c r="J25" s="227">
        <v>1500621.1022727273</v>
      </c>
      <c r="K25" s="227">
        <v>1179422.1846590908</v>
      </c>
      <c r="L25" s="227">
        <v>884804.89204545459</v>
      </c>
      <c r="M25" s="227">
        <v>757119.24431818188</v>
      </c>
      <c r="N25" s="227">
        <v>672328.02556818188</v>
      </c>
      <c r="O25" s="227">
        <v>517764.60511363635</v>
      </c>
      <c r="P25" s="227">
        <v>447710.11647727271</v>
      </c>
      <c r="Q25" s="227">
        <v>318155.28977272729</v>
      </c>
      <c r="R25" s="227">
        <v>188485.51988636365</v>
      </c>
      <c r="S25" s="227">
        <v>109636.86363636363</v>
      </c>
      <c r="T25" s="227">
        <v>30767.923295454544</v>
      </c>
      <c r="U25" s="227">
        <v>30761.161931818184</v>
      </c>
      <c r="V25" s="227">
        <v>15383.454545454546</v>
      </c>
    </row>
    <row r="26" spans="1:22" x14ac:dyDescent="0.2">
      <c r="A26">
        <f>Summary!A33</f>
        <v>17</v>
      </c>
      <c r="B26" t="s">
        <v>71</v>
      </c>
      <c r="C26" s="226">
        <v>515079</v>
      </c>
      <c r="D26" s="227">
        <v>472129</v>
      </c>
      <c r="E26" s="227">
        <v>467567</v>
      </c>
      <c r="F26" s="227">
        <v>466076</v>
      </c>
      <c r="G26" s="227">
        <v>464694</v>
      </c>
      <c r="H26" s="227">
        <v>463419</v>
      </c>
      <c r="I26" s="227">
        <v>462236</v>
      </c>
      <c r="J26" s="227">
        <v>462047</v>
      </c>
      <c r="K26" s="227">
        <v>462040</v>
      </c>
      <c r="L26" s="227">
        <v>346061</v>
      </c>
      <c r="M26" s="227">
        <v>230119</v>
      </c>
      <c r="N26" s="227">
        <v>230074</v>
      </c>
      <c r="O26" s="227">
        <v>230119</v>
      </c>
      <c r="P26" s="227">
        <v>230074</v>
      </c>
      <c r="Q26" s="227">
        <v>122244</v>
      </c>
      <c r="R26" s="227">
        <v>14371</v>
      </c>
      <c r="S26" s="227">
        <v>14368</v>
      </c>
      <c r="T26" s="227">
        <v>14371</v>
      </c>
      <c r="U26" s="227">
        <v>14368</v>
      </c>
      <c r="V26" s="227">
        <v>7187</v>
      </c>
    </row>
    <row r="27" spans="1:22" x14ac:dyDescent="0.2">
      <c r="A27">
        <f>Summary!A34</f>
        <v>18</v>
      </c>
      <c r="B27" t="s">
        <v>72</v>
      </c>
      <c r="C27" s="226">
        <v>44131884</v>
      </c>
      <c r="D27" s="227">
        <v>44077604</v>
      </c>
      <c r="E27" s="227">
        <v>44031299</v>
      </c>
      <c r="F27" s="227">
        <v>43988620</v>
      </c>
      <c r="G27" s="227">
        <v>43966930</v>
      </c>
      <c r="H27" s="227">
        <v>2134499</v>
      </c>
      <c r="I27" s="227">
        <v>794710</v>
      </c>
      <c r="J27" s="227">
        <v>792227</v>
      </c>
      <c r="K27" s="227">
        <v>792178</v>
      </c>
      <c r="L27" s="227">
        <v>792227</v>
      </c>
      <c r="M27" s="227">
        <v>792178</v>
      </c>
      <c r="N27" s="227">
        <v>792227</v>
      </c>
      <c r="O27" s="227">
        <v>792178</v>
      </c>
      <c r="P27" s="227">
        <v>631869</v>
      </c>
      <c r="Q27" s="227">
        <v>471531</v>
      </c>
      <c r="R27" s="227">
        <v>471508</v>
      </c>
      <c r="S27" s="227">
        <v>328366</v>
      </c>
      <c r="T27" s="227">
        <v>185242</v>
      </c>
      <c r="U27" s="227">
        <v>185201</v>
      </c>
      <c r="V27" s="227">
        <v>92624</v>
      </c>
    </row>
    <row r="28" spans="1:22" x14ac:dyDescent="0.2">
      <c r="A28">
        <f>Summary!A35</f>
        <v>19</v>
      </c>
      <c r="B28" t="s">
        <v>73</v>
      </c>
      <c r="C28" s="226">
        <v>510076.06822057982</v>
      </c>
      <c r="D28" s="227">
        <v>468779.18362706079</v>
      </c>
      <c r="E28" s="227">
        <v>430045.71233655483</v>
      </c>
      <c r="F28" s="227">
        <v>375007.3155201819</v>
      </c>
      <c r="G28" s="227">
        <v>319224.07959067647</v>
      </c>
      <c r="H28" s="227">
        <v>286156.25469016482</v>
      </c>
      <c r="I28" s="227">
        <v>265388.95508811821</v>
      </c>
      <c r="J28" s="227">
        <v>265670.07845366682</v>
      </c>
      <c r="K28" s="227">
        <v>265388.95508811821</v>
      </c>
      <c r="L28" s="227">
        <v>265670.07845366682</v>
      </c>
      <c r="M28" s="227">
        <v>265388.95508811821</v>
      </c>
      <c r="N28" s="227">
        <v>240837.28482092096</v>
      </c>
      <c r="O28" s="227">
        <v>215639.07674815232</v>
      </c>
      <c r="P28" s="227">
        <v>216004.49118817507</v>
      </c>
      <c r="Q28" s="227">
        <v>107819.07902217167</v>
      </c>
      <c r="R28" s="227">
        <v>0</v>
      </c>
      <c r="S28" s="227">
        <v>0</v>
      </c>
      <c r="T28" s="227">
        <v>0</v>
      </c>
      <c r="U28" s="227">
        <v>0</v>
      </c>
      <c r="V28" s="227">
        <v>0</v>
      </c>
    </row>
    <row r="29" spans="1:22" x14ac:dyDescent="0.2">
      <c r="A29">
        <f>Summary!A36</f>
        <v>20</v>
      </c>
      <c r="B29" t="s">
        <v>74</v>
      </c>
      <c r="C29" s="226">
        <v>82403.378017813142</v>
      </c>
      <c r="D29" s="227">
        <v>75731.818609058158</v>
      </c>
      <c r="E29" s="227">
        <v>69474.381580443427</v>
      </c>
      <c r="F29" s="227">
        <v>60582.864999052479</v>
      </c>
      <c r="G29" s="227">
        <v>51571.01879855978</v>
      </c>
      <c r="H29" s="227">
        <v>46228.873488724646</v>
      </c>
      <c r="I29" s="227">
        <v>42873.892249384109</v>
      </c>
      <c r="J29" s="227">
        <v>42919.308053818451</v>
      </c>
      <c r="K29" s="227">
        <v>42873.892249384109</v>
      </c>
      <c r="L29" s="227">
        <v>42919.308053818451</v>
      </c>
      <c r="M29" s="227">
        <v>42873.892249384109</v>
      </c>
      <c r="N29" s="227">
        <v>38907.541557703233</v>
      </c>
      <c r="O29" s="227">
        <v>34836.741936706458</v>
      </c>
      <c r="P29" s="227">
        <v>34895.775061588014</v>
      </c>
      <c r="Q29" s="227">
        <v>17418.296759522451</v>
      </c>
      <c r="R29" s="227">
        <v>0</v>
      </c>
      <c r="S29" s="227">
        <v>0</v>
      </c>
      <c r="T29" s="227">
        <v>0</v>
      </c>
      <c r="U29" s="227">
        <v>0</v>
      </c>
      <c r="V29" s="227">
        <v>0</v>
      </c>
    </row>
    <row r="30" spans="1:22" x14ac:dyDescent="0.2">
      <c r="A30">
        <f>Summary!A37</f>
        <v>21</v>
      </c>
      <c r="B30" t="s">
        <v>75</v>
      </c>
      <c r="C30" s="226">
        <v>183156.02713663061</v>
      </c>
      <c r="D30" s="227">
        <v>168327.31082054193</v>
      </c>
      <c r="E30" s="227">
        <v>154419.0544627629</v>
      </c>
      <c r="F30" s="227">
        <v>134656.09217358346</v>
      </c>
      <c r="G30" s="227">
        <v>114625.67610384685</v>
      </c>
      <c r="H30" s="227">
        <v>102751.81686564334</v>
      </c>
      <c r="I30" s="227">
        <v>95294.779912829239</v>
      </c>
      <c r="J30" s="227">
        <v>95395.72454045857</v>
      </c>
      <c r="K30" s="227">
        <v>95294.779912829239</v>
      </c>
      <c r="L30" s="227">
        <v>95395.72454045857</v>
      </c>
      <c r="M30" s="227">
        <v>95294.779912829239</v>
      </c>
      <c r="N30" s="227">
        <v>86478.866628766322</v>
      </c>
      <c r="O30" s="227">
        <v>77430.797195376144</v>
      </c>
      <c r="P30" s="227">
        <v>77562.008717074074</v>
      </c>
      <c r="Q30" s="227">
        <v>38715.233655486059</v>
      </c>
      <c r="R30" s="227">
        <v>0</v>
      </c>
      <c r="S30" s="227">
        <v>0</v>
      </c>
      <c r="T30" s="227">
        <v>0</v>
      </c>
      <c r="U30" s="227">
        <v>0</v>
      </c>
      <c r="V30" s="227">
        <v>0</v>
      </c>
    </row>
    <row r="31" spans="1:22" x14ac:dyDescent="0.2">
      <c r="A31">
        <f>Summary!A38</f>
        <v>22</v>
      </c>
      <c r="B31" t="s">
        <v>86</v>
      </c>
      <c r="C31" s="226">
        <v>329613.51207125257</v>
      </c>
      <c r="D31" s="227">
        <v>302927.27443623263</v>
      </c>
      <c r="E31" s="227">
        <v>277897.52632177371</v>
      </c>
      <c r="F31" s="227">
        <v>242331.45999620992</v>
      </c>
      <c r="G31" s="227">
        <v>206284.07519423912</v>
      </c>
      <c r="H31" s="227">
        <v>184915.49395489859</v>
      </c>
      <c r="I31" s="227">
        <v>171495.56899753644</v>
      </c>
      <c r="J31" s="227">
        <v>171677.23221527381</v>
      </c>
      <c r="K31" s="227">
        <v>171495.56899753644</v>
      </c>
      <c r="L31" s="227">
        <v>171677.23221527381</v>
      </c>
      <c r="M31" s="227">
        <v>171495.56899753644</v>
      </c>
      <c r="N31" s="227">
        <v>155630.16623081293</v>
      </c>
      <c r="O31" s="227">
        <v>139346.96774682583</v>
      </c>
      <c r="P31" s="227">
        <v>139583.10024635206</v>
      </c>
      <c r="Q31" s="227">
        <v>69673.187038089804</v>
      </c>
      <c r="R31" s="227">
        <v>0</v>
      </c>
      <c r="S31" s="227">
        <v>0</v>
      </c>
      <c r="T31" s="227">
        <v>0</v>
      </c>
      <c r="U31" s="227">
        <v>0</v>
      </c>
      <c r="V31" s="227">
        <v>0</v>
      </c>
    </row>
    <row r="32" spans="1:22" x14ac:dyDescent="0.2">
      <c r="A32">
        <f>Summary!A39</f>
        <v>23</v>
      </c>
      <c r="B32" t="s">
        <v>76</v>
      </c>
      <c r="C32" s="226">
        <v>278900.50363843091</v>
      </c>
      <c r="D32" s="227">
        <v>256320.10312677658</v>
      </c>
      <c r="E32" s="227">
        <v>235141.33132461624</v>
      </c>
      <c r="F32" s="227">
        <v>205047.31682774302</v>
      </c>
      <c r="G32" s="227">
        <v>174546.0375781694</v>
      </c>
      <c r="H32" s="227">
        <v>156465.14025014211</v>
      </c>
      <c r="I32" s="227">
        <v>145109.95093803297</v>
      </c>
      <c r="J32" s="227">
        <v>145263.66418419557</v>
      </c>
      <c r="K32" s="227">
        <v>145109.95093803297</v>
      </c>
      <c r="L32" s="227">
        <v>145263.66418419557</v>
      </c>
      <c r="M32" s="227">
        <v>145109.95093803297</v>
      </c>
      <c r="N32" s="227">
        <v>131685.53519044913</v>
      </c>
      <c r="O32" s="227">
        <v>117907.60409323478</v>
      </c>
      <c r="P32" s="227">
        <v>118107.40619670266</v>
      </c>
      <c r="Q32" s="227">
        <v>58953.550881182491</v>
      </c>
      <c r="R32" s="227">
        <v>0</v>
      </c>
      <c r="S32" s="227">
        <v>0</v>
      </c>
      <c r="T32" s="227">
        <v>0</v>
      </c>
      <c r="U32" s="227">
        <v>0</v>
      </c>
      <c r="V32" s="227">
        <v>0</v>
      </c>
    </row>
    <row r="33" spans="1:22" x14ac:dyDescent="0.2">
      <c r="A33">
        <f>Summary!A40</f>
        <v>24</v>
      </c>
      <c r="B33" t="s">
        <v>77</v>
      </c>
      <c r="C33" s="226">
        <v>278900.50363843091</v>
      </c>
      <c r="D33" s="227">
        <v>256320.10312677658</v>
      </c>
      <c r="E33" s="227">
        <v>235141.33132461624</v>
      </c>
      <c r="F33" s="227">
        <v>205047.31682774302</v>
      </c>
      <c r="G33" s="227">
        <v>174546.0375781694</v>
      </c>
      <c r="H33" s="227">
        <v>156465.14025014211</v>
      </c>
      <c r="I33" s="227">
        <v>145109.95093803297</v>
      </c>
      <c r="J33" s="227">
        <v>145263.66418419557</v>
      </c>
      <c r="K33" s="227">
        <v>145109.95093803297</v>
      </c>
      <c r="L33" s="227">
        <v>145263.66418419557</v>
      </c>
      <c r="M33" s="227">
        <v>145109.95093803297</v>
      </c>
      <c r="N33" s="227">
        <v>131685.53519044913</v>
      </c>
      <c r="O33" s="227">
        <v>117907.60409323478</v>
      </c>
      <c r="P33" s="227">
        <v>118107.40619670266</v>
      </c>
      <c r="Q33" s="227">
        <v>58953.550881182491</v>
      </c>
      <c r="R33" s="227">
        <v>0</v>
      </c>
      <c r="S33" s="227">
        <v>0</v>
      </c>
      <c r="T33" s="227">
        <v>0</v>
      </c>
      <c r="U33" s="227">
        <v>0</v>
      </c>
      <c r="V33" s="227">
        <v>0</v>
      </c>
    </row>
    <row r="34" spans="1:22" x14ac:dyDescent="0.2">
      <c r="A34">
        <f>Summary!A41</f>
        <v>25</v>
      </c>
      <c r="B34" t="s">
        <v>78</v>
      </c>
      <c r="C34" s="226">
        <v>278900.50363843091</v>
      </c>
      <c r="D34" s="227">
        <v>256320.10312677658</v>
      </c>
      <c r="E34" s="227">
        <v>235141.33132461624</v>
      </c>
      <c r="F34" s="227">
        <v>205047.31682774302</v>
      </c>
      <c r="G34" s="227">
        <v>174546.0375781694</v>
      </c>
      <c r="H34" s="227">
        <v>156465.14025014211</v>
      </c>
      <c r="I34" s="227">
        <v>145109.95093803297</v>
      </c>
      <c r="J34" s="227">
        <v>145263.66418419557</v>
      </c>
      <c r="K34" s="227">
        <v>145109.95093803297</v>
      </c>
      <c r="L34" s="227">
        <v>145263.66418419557</v>
      </c>
      <c r="M34" s="227">
        <v>145109.95093803297</v>
      </c>
      <c r="N34" s="227">
        <v>131685.53519044913</v>
      </c>
      <c r="O34" s="227">
        <v>117907.60409323478</v>
      </c>
      <c r="P34" s="227">
        <v>118107.40619670266</v>
      </c>
      <c r="Q34" s="227">
        <v>58953.550881182491</v>
      </c>
      <c r="R34" s="227">
        <v>0</v>
      </c>
      <c r="S34" s="227">
        <v>0</v>
      </c>
      <c r="T34" s="227">
        <v>0</v>
      </c>
      <c r="U34" s="227">
        <v>0</v>
      </c>
      <c r="V34" s="227">
        <v>0</v>
      </c>
    </row>
    <row r="35" spans="1:22" x14ac:dyDescent="0.2">
      <c r="A35">
        <f>Summary!A42</f>
        <v>26</v>
      </c>
      <c r="B35" t="s">
        <v>79</v>
      </c>
      <c r="C35" s="226">
        <v>278900.50363843091</v>
      </c>
      <c r="D35" s="227">
        <v>256320.10312677658</v>
      </c>
      <c r="E35" s="227">
        <v>235141.33132461624</v>
      </c>
      <c r="F35" s="227">
        <v>205047.31682774302</v>
      </c>
      <c r="G35" s="227">
        <v>174546.0375781694</v>
      </c>
      <c r="H35" s="227">
        <v>156465.14025014211</v>
      </c>
      <c r="I35" s="227">
        <v>145109.95093803297</v>
      </c>
      <c r="J35" s="227">
        <v>145263.66418419557</v>
      </c>
      <c r="K35" s="227">
        <v>145109.95093803297</v>
      </c>
      <c r="L35" s="227">
        <v>145263.66418419557</v>
      </c>
      <c r="M35" s="227">
        <v>145109.95093803297</v>
      </c>
      <c r="N35" s="227">
        <v>131685.53519044913</v>
      </c>
      <c r="O35" s="227">
        <v>117907.60409323478</v>
      </c>
      <c r="P35" s="227">
        <v>118107.40619670266</v>
      </c>
      <c r="Q35" s="227">
        <v>58953.550881182491</v>
      </c>
      <c r="R35" s="227">
        <v>0</v>
      </c>
      <c r="S35" s="227">
        <v>0</v>
      </c>
      <c r="T35" s="227">
        <v>0</v>
      </c>
      <c r="U35" s="227">
        <v>0</v>
      </c>
      <c r="V35" s="227">
        <v>0</v>
      </c>
    </row>
    <row r="36" spans="1:22" x14ac:dyDescent="0.2">
      <c r="A36">
        <f>Summary!A43</f>
        <v>27</v>
      </c>
      <c r="B36" t="s">
        <v>80</v>
      </c>
      <c r="C36" s="226">
        <v>2194936.3333333335</v>
      </c>
      <c r="D36" s="227">
        <v>2191982.6666666665</v>
      </c>
      <c r="E36" s="227">
        <v>2194903.5</v>
      </c>
      <c r="F36" s="227">
        <v>2191915.3333333335</v>
      </c>
      <c r="G36" s="227">
        <v>2194842.3333333335</v>
      </c>
      <c r="H36" s="227">
        <v>2191872.5</v>
      </c>
      <c r="I36" s="227">
        <v>2194828.6666666665</v>
      </c>
      <c r="J36" s="227">
        <v>1220411.1666666667</v>
      </c>
      <c r="K36" s="227">
        <v>136829</v>
      </c>
      <c r="L36" s="227">
        <v>12625.166666666666</v>
      </c>
      <c r="M36" s="227">
        <v>245.5</v>
      </c>
      <c r="N36" s="227">
        <v>245.83333333333334</v>
      </c>
      <c r="O36" s="227">
        <v>245.5</v>
      </c>
      <c r="P36" s="227">
        <v>245.83333333333334</v>
      </c>
      <c r="Q36" s="227">
        <v>122.83333333333333</v>
      </c>
      <c r="R36" s="227">
        <v>0</v>
      </c>
      <c r="S36" s="227">
        <v>0</v>
      </c>
      <c r="T36" s="227">
        <v>0</v>
      </c>
      <c r="U36" s="227">
        <v>0</v>
      </c>
      <c r="V36" s="227">
        <v>0</v>
      </c>
    </row>
    <row r="37" spans="1:22" x14ac:dyDescent="0.2">
      <c r="A37">
        <f>Summary!A44</f>
        <v>28</v>
      </c>
      <c r="B37" t="s">
        <v>81</v>
      </c>
      <c r="C37" s="226">
        <v>2194936.3333333335</v>
      </c>
      <c r="D37" s="227">
        <v>2191982.6666666665</v>
      </c>
      <c r="E37" s="227">
        <v>2194903.5</v>
      </c>
      <c r="F37" s="227">
        <v>2191915.3333333335</v>
      </c>
      <c r="G37" s="227">
        <v>2194842.3333333335</v>
      </c>
      <c r="H37" s="227">
        <v>2191872.5</v>
      </c>
      <c r="I37" s="227">
        <v>2194828.6666666665</v>
      </c>
      <c r="J37" s="227">
        <v>1220411.1666666667</v>
      </c>
      <c r="K37" s="227">
        <v>136829</v>
      </c>
      <c r="L37" s="227">
        <v>12625.166666666666</v>
      </c>
      <c r="M37" s="227">
        <v>245.5</v>
      </c>
      <c r="N37" s="227">
        <v>245.83333333333334</v>
      </c>
      <c r="O37" s="227">
        <v>245.5</v>
      </c>
      <c r="P37" s="227">
        <v>245.83333333333334</v>
      </c>
      <c r="Q37" s="227">
        <v>122.83333333333333</v>
      </c>
      <c r="R37" s="227">
        <v>0</v>
      </c>
      <c r="S37" s="227">
        <v>0</v>
      </c>
      <c r="T37" s="227">
        <v>0</v>
      </c>
      <c r="U37" s="227">
        <v>0</v>
      </c>
      <c r="V37" s="227">
        <v>0</v>
      </c>
    </row>
    <row r="38" spans="1:22" x14ac:dyDescent="0.2">
      <c r="A38">
        <f>Summary!A45</f>
        <v>29</v>
      </c>
      <c r="B38" t="s">
        <v>82</v>
      </c>
      <c r="C38" s="226">
        <v>2194936.3333333335</v>
      </c>
      <c r="D38" s="227">
        <v>2191982.6666666665</v>
      </c>
      <c r="E38" s="227">
        <v>2194903.5</v>
      </c>
      <c r="F38" s="227">
        <v>2191915.3333333335</v>
      </c>
      <c r="G38" s="227">
        <v>2194842.3333333335</v>
      </c>
      <c r="H38" s="227">
        <v>2191872.5</v>
      </c>
      <c r="I38" s="227">
        <v>2194828.6666666665</v>
      </c>
      <c r="J38" s="227">
        <v>1220411.1666666667</v>
      </c>
      <c r="K38" s="227">
        <v>136829</v>
      </c>
      <c r="L38" s="227">
        <v>12625.166666666666</v>
      </c>
      <c r="M38" s="227">
        <v>245.5</v>
      </c>
      <c r="N38" s="227">
        <v>245.83333333333334</v>
      </c>
      <c r="O38" s="227">
        <v>245.5</v>
      </c>
      <c r="P38" s="227">
        <v>245.83333333333334</v>
      </c>
      <c r="Q38" s="227">
        <v>122.83333333333333</v>
      </c>
      <c r="R38" s="227">
        <v>0</v>
      </c>
      <c r="S38" s="227">
        <v>0</v>
      </c>
      <c r="T38" s="227">
        <v>0</v>
      </c>
      <c r="U38" s="227">
        <v>0</v>
      </c>
      <c r="V38" s="227">
        <v>0</v>
      </c>
    </row>
    <row r="39" spans="1:22" x14ac:dyDescent="0.2">
      <c r="A39">
        <f>Summary!A46</f>
        <v>30</v>
      </c>
      <c r="B39" t="s">
        <v>83</v>
      </c>
      <c r="C39" s="226">
        <v>2194936.3333333335</v>
      </c>
      <c r="D39" s="227">
        <v>2191982.6666666665</v>
      </c>
      <c r="E39" s="227">
        <v>2194903.5</v>
      </c>
      <c r="F39" s="227">
        <v>2191915.3333333335</v>
      </c>
      <c r="G39" s="227">
        <v>2194842.3333333335</v>
      </c>
      <c r="H39" s="227">
        <v>2191872.5</v>
      </c>
      <c r="I39" s="227">
        <v>2194828.6666666665</v>
      </c>
      <c r="J39" s="227">
        <v>1220411.1666666667</v>
      </c>
      <c r="K39" s="227">
        <v>136829</v>
      </c>
      <c r="L39" s="227">
        <v>12625.166666666666</v>
      </c>
      <c r="M39" s="227">
        <v>245.5</v>
      </c>
      <c r="N39" s="227">
        <v>245.83333333333334</v>
      </c>
      <c r="O39" s="227">
        <v>245.5</v>
      </c>
      <c r="P39" s="227">
        <v>245.83333333333334</v>
      </c>
      <c r="Q39" s="227">
        <v>122.83333333333333</v>
      </c>
      <c r="R39" s="227">
        <v>0</v>
      </c>
      <c r="S39" s="227">
        <v>0</v>
      </c>
      <c r="T39" s="227">
        <v>0</v>
      </c>
      <c r="U39" s="227">
        <v>0</v>
      </c>
      <c r="V39" s="227">
        <v>0</v>
      </c>
    </row>
    <row r="40" spans="1:22" x14ac:dyDescent="0.2">
      <c r="A40">
        <f>Summary!A47</f>
        <v>31</v>
      </c>
      <c r="B40" t="s">
        <v>84</v>
      </c>
      <c r="C40" s="226">
        <v>2194936.3333333335</v>
      </c>
      <c r="D40" s="227">
        <v>2191982.6666666665</v>
      </c>
      <c r="E40" s="227">
        <v>2194903.5</v>
      </c>
      <c r="F40" s="227">
        <v>2191915.3333333335</v>
      </c>
      <c r="G40" s="227">
        <v>2194842.3333333335</v>
      </c>
      <c r="H40" s="227">
        <v>2191872.5</v>
      </c>
      <c r="I40" s="227">
        <v>2194828.6666666665</v>
      </c>
      <c r="J40" s="227">
        <v>1220411.1666666667</v>
      </c>
      <c r="K40" s="227">
        <v>136829</v>
      </c>
      <c r="L40" s="227">
        <v>12625.166666666666</v>
      </c>
      <c r="M40" s="227">
        <v>245.5</v>
      </c>
      <c r="N40" s="227">
        <v>245.83333333333334</v>
      </c>
      <c r="O40" s="227">
        <v>245.5</v>
      </c>
      <c r="P40" s="227">
        <v>245.83333333333334</v>
      </c>
      <c r="Q40" s="227">
        <v>122.83333333333333</v>
      </c>
      <c r="R40" s="227">
        <v>0</v>
      </c>
      <c r="S40" s="227">
        <v>0</v>
      </c>
      <c r="T40" s="227">
        <v>0</v>
      </c>
      <c r="U40" s="227">
        <v>0</v>
      </c>
      <c r="V40" s="227">
        <v>0</v>
      </c>
    </row>
    <row r="41" spans="1:22" x14ac:dyDescent="0.2">
      <c r="A41">
        <f>Summary!A48</f>
        <v>32</v>
      </c>
      <c r="B41" t="s">
        <v>85</v>
      </c>
      <c r="C41" s="226">
        <v>2194936.3333333335</v>
      </c>
      <c r="D41" s="227">
        <v>2191982.6666666665</v>
      </c>
      <c r="E41" s="227">
        <v>2194903.5</v>
      </c>
      <c r="F41" s="227">
        <v>2191915.3333333335</v>
      </c>
      <c r="G41" s="227">
        <v>2194842.3333333335</v>
      </c>
      <c r="H41" s="227">
        <v>2191872.5</v>
      </c>
      <c r="I41" s="227">
        <v>2194828.6666666665</v>
      </c>
      <c r="J41" s="227">
        <v>1220411.1666666667</v>
      </c>
      <c r="K41" s="227">
        <v>136829</v>
      </c>
      <c r="L41" s="227">
        <v>12625.166666666666</v>
      </c>
      <c r="M41" s="227">
        <v>245.5</v>
      </c>
      <c r="N41" s="227">
        <v>245.83333333333334</v>
      </c>
      <c r="O41" s="227">
        <v>245.5</v>
      </c>
      <c r="P41" s="227">
        <v>245.83333333333334</v>
      </c>
      <c r="Q41" s="227">
        <v>122.83333333333333</v>
      </c>
      <c r="R41" s="227">
        <v>0</v>
      </c>
      <c r="S41" s="227">
        <v>0</v>
      </c>
      <c r="T41" s="227">
        <v>0</v>
      </c>
      <c r="U41" s="227">
        <v>0</v>
      </c>
      <c r="V41" s="227">
        <v>0</v>
      </c>
    </row>
    <row r="42" spans="1:22" ht="13.5" thickBot="1" x14ac:dyDescent="0.25">
      <c r="A42">
        <f>Summary!A49</f>
        <v>33</v>
      </c>
      <c r="B42" s="205" t="s">
        <v>181</v>
      </c>
      <c r="C42" s="228">
        <v>0</v>
      </c>
      <c r="D42" s="229">
        <v>32528000</v>
      </c>
      <c r="E42" s="229">
        <v>29275200</v>
      </c>
      <c r="F42" s="229">
        <v>26364800</v>
      </c>
      <c r="G42" s="229">
        <v>23728320</v>
      </c>
      <c r="H42" s="229">
        <v>21331520</v>
      </c>
      <c r="I42" s="229">
        <v>20201600</v>
      </c>
      <c r="J42" s="229">
        <v>20201600</v>
      </c>
      <c r="K42" s="229">
        <v>20235840</v>
      </c>
      <c r="L42" s="229">
        <v>20201600</v>
      </c>
      <c r="M42" s="229">
        <v>20235840</v>
      </c>
      <c r="N42" s="229">
        <v>20201600</v>
      </c>
      <c r="O42" s="229">
        <v>20235840</v>
      </c>
      <c r="P42" s="229">
        <v>20235840</v>
      </c>
      <c r="Q42" s="229">
        <v>20235840</v>
      </c>
      <c r="R42" s="229">
        <v>10100800</v>
      </c>
      <c r="S42" s="229">
        <v>10846000</v>
      </c>
      <c r="T42" s="229">
        <v>10846000</v>
      </c>
      <c r="U42" s="229">
        <v>10846000</v>
      </c>
      <c r="V42" s="229">
        <v>10846000</v>
      </c>
    </row>
    <row r="43" spans="1:22" ht="13.5" thickTop="1" x14ac:dyDescent="0.2">
      <c r="B43" t="s">
        <v>135</v>
      </c>
      <c r="C43" s="230">
        <f>SUM(C10:C42)</f>
        <v>80255380.99999997</v>
      </c>
      <c r="D43" s="230">
        <f t="shared" ref="D43:V43" si="0">SUM(D10:D42)</f>
        <v>110144341.00000003</v>
      </c>
      <c r="E43" s="230">
        <f t="shared" si="0"/>
        <v>106093630</v>
      </c>
      <c r="F43" s="230">
        <f t="shared" si="0"/>
        <v>101850895</v>
      </c>
      <c r="G43" s="230">
        <f t="shared" si="0"/>
        <v>98354719</v>
      </c>
      <c r="H43" s="230">
        <f t="shared" si="0"/>
        <v>53731464</v>
      </c>
      <c r="I43" s="230">
        <f t="shared" si="0"/>
        <v>51138603.000000015</v>
      </c>
      <c r="J43" s="230">
        <f t="shared" si="0"/>
        <v>44733061</v>
      </c>
      <c r="K43" s="230">
        <f t="shared" si="0"/>
        <v>36908700</v>
      </c>
      <c r="L43" s="230">
        <f t="shared" si="0"/>
        <v>34200588</v>
      </c>
      <c r="M43" s="230">
        <f t="shared" si="0"/>
        <v>32518757</v>
      </c>
      <c r="N43" s="230">
        <f t="shared" si="0"/>
        <v>31195989.000000007</v>
      </c>
      <c r="O43" s="230">
        <f t="shared" si="0"/>
        <v>29781094.000000004</v>
      </c>
      <c r="P43" s="230">
        <f t="shared" si="0"/>
        <v>28480168.999999996</v>
      </c>
      <c r="Q43" s="230">
        <f t="shared" si="0"/>
        <v>26108226</v>
      </c>
      <c r="R43" s="230">
        <f t="shared" si="0"/>
        <v>13731060</v>
      </c>
      <c r="S43" s="230">
        <f t="shared" si="0"/>
        <v>13127696</v>
      </c>
      <c r="T43" s="230">
        <f t="shared" si="0"/>
        <v>12274818</v>
      </c>
      <c r="U43" s="230">
        <f t="shared" si="0"/>
        <v>11889076</v>
      </c>
      <c r="V43" s="230">
        <f t="shared" si="0"/>
        <v>11174733</v>
      </c>
    </row>
    <row r="50" spans="1:22" x14ac:dyDescent="0.2">
      <c r="B50" s="10"/>
      <c r="C50" s="133">
        <v>2000</v>
      </c>
      <c r="D50" s="135">
        <v>2001</v>
      </c>
      <c r="E50" s="135">
        <v>2002</v>
      </c>
      <c r="F50" s="135">
        <v>2003</v>
      </c>
      <c r="G50" s="135">
        <v>2004</v>
      </c>
      <c r="H50" s="135">
        <v>2005</v>
      </c>
      <c r="I50" s="135">
        <v>2006</v>
      </c>
      <c r="J50" s="135">
        <v>2007</v>
      </c>
      <c r="K50" s="135">
        <v>2008</v>
      </c>
      <c r="L50" s="135">
        <v>2009</v>
      </c>
      <c r="M50" s="135">
        <v>2010</v>
      </c>
      <c r="N50" s="135">
        <v>2011</v>
      </c>
      <c r="O50" s="135">
        <v>2012</v>
      </c>
      <c r="P50" s="135">
        <v>2013</v>
      </c>
      <c r="Q50" s="135">
        <v>2014</v>
      </c>
      <c r="R50" s="135">
        <v>2015</v>
      </c>
      <c r="S50" s="135">
        <v>2016</v>
      </c>
      <c r="T50" s="135">
        <v>2017</v>
      </c>
      <c r="U50" s="135">
        <v>2018</v>
      </c>
      <c r="V50" s="135">
        <v>2019</v>
      </c>
    </row>
    <row r="51" spans="1:22" x14ac:dyDescent="0.2">
      <c r="A51" s="81" t="s">
        <v>151</v>
      </c>
      <c r="B51" s="10"/>
      <c r="C51" s="140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 ht="13.5" thickBot="1" x14ac:dyDescent="0.25">
      <c r="B52" s="10" t="s">
        <v>144</v>
      </c>
      <c r="C52" s="261">
        <f>-VLOOKUP(IS!$B$1,CapAds,C50-1997)*-1</f>
        <v>0</v>
      </c>
      <c r="D52" s="253">
        <f>-VLOOKUP(IS!$B$1,CapAds,D50-1997)*-1</f>
        <v>1242599.8999999999</v>
      </c>
      <c r="E52" s="253">
        <f>-VLOOKUP(IS!$B$1,CapAds,E50-1997)*-1</f>
        <v>239999.94999999925</v>
      </c>
      <c r="F52" s="253">
        <f>-VLOOKUP(IS!$B$1,CapAds,F50-1997)*-1</f>
        <v>399999.96</v>
      </c>
      <c r="G52" s="253">
        <f>-VLOOKUP(IS!$B$1,CapAds,G50-1997)*-1</f>
        <v>239999.88</v>
      </c>
      <c r="H52" s="253">
        <f>-VLOOKUP(IS!$B$1,CapAds,H50-1997)*-1</f>
        <v>474999.93799999991</v>
      </c>
      <c r="I52" s="253">
        <f>-VLOOKUP(IS!$B$1,CapAds,I50-1997)*-1</f>
        <v>489249.93613999989</v>
      </c>
      <c r="J52" s="253">
        <f>-VLOOKUP(IS!$B$1,CapAds,J50-1997)*-1</f>
        <v>503927.43422419991</v>
      </c>
      <c r="K52" s="253">
        <f>-VLOOKUP(IS!$B$1,CapAds,K50-1997)*-1</f>
        <v>519045.25725092593</v>
      </c>
      <c r="L52" s="253">
        <f>-VLOOKUP(IS!$B$1,CapAds,L50-1997)*-1</f>
        <v>534616.61496845377</v>
      </c>
      <c r="M52" s="253">
        <f>-VLOOKUP(IS!$B$1,CapAds,M50-1997)*-1</f>
        <v>550655.11341750738</v>
      </c>
      <c r="N52" s="253">
        <f>-VLOOKUP(IS!$B$1,CapAds,N50-1997)*-1</f>
        <v>567174.76682003262</v>
      </c>
      <c r="O52" s="253">
        <f>-VLOOKUP(IS!$B$1,CapAds,O50-1997)*-1</f>
        <v>584190.0098246336</v>
      </c>
      <c r="P52" s="253">
        <f>-VLOOKUP(IS!$B$1,CapAds,P50-1997)*-1</f>
        <v>601715.71011937258</v>
      </c>
      <c r="Q52" s="253">
        <f>-VLOOKUP(IS!$B$1,CapAds,Q50-1997)*-1</f>
        <v>619767.18142295373</v>
      </c>
      <c r="R52" s="253">
        <f>-VLOOKUP(IS!$B$1,CapAds,R50-1997)*-1</f>
        <v>638360.19686564233</v>
      </c>
      <c r="S52" s="253">
        <f>-VLOOKUP(IS!$B$1,CapAds,S50-1997)*-1</f>
        <v>657511.00277161156</v>
      </c>
      <c r="T52" s="253">
        <f>-VLOOKUP(IS!$B$1,CapAds,T50-1997)*-1</f>
        <v>677236.33285475988</v>
      </c>
      <c r="U52" s="253">
        <f>-VLOOKUP(IS!$B$1,CapAds,U50-1997)*-1</f>
        <v>697553.42284040269</v>
      </c>
      <c r="V52" s="253">
        <f>-VLOOKUP(IS!$B$1,CapAds,V50-1997)*-1</f>
        <v>718480.02552561474</v>
      </c>
    </row>
    <row r="53" spans="1:22" ht="13.5" thickTop="1" x14ac:dyDescent="0.2">
      <c r="B53" s="10" t="s">
        <v>147</v>
      </c>
      <c r="C53" s="150">
        <v>3.7499999999999999E-2</v>
      </c>
      <c r="D53" s="151">
        <v>7.2190000000000004E-2</v>
      </c>
      <c r="E53" s="151">
        <v>6.6780000000000006E-2</v>
      </c>
      <c r="F53" s="151">
        <v>6.1780000000000002E-2</v>
      </c>
      <c r="G53" s="151">
        <v>5.7149999999999999E-2</v>
      </c>
      <c r="H53" s="151">
        <v>5.2859999999999997E-2</v>
      </c>
      <c r="I53" s="151">
        <v>4.8899999999999999E-2</v>
      </c>
      <c r="J53" s="151">
        <v>4.5229999999999999E-2</v>
      </c>
      <c r="K53" s="151">
        <v>4.4609999999999997E-2</v>
      </c>
      <c r="L53" s="151">
        <v>4.4609999999999997E-2</v>
      </c>
      <c r="M53" s="151">
        <v>4.4609999999999997E-2</v>
      </c>
      <c r="N53" s="151">
        <v>4.4609999999999997E-2</v>
      </c>
      <c r="O53" s="151">
        <v>4.4609999999999997E-2</v>
      </c>
      <c r="P53" s="151">
        <v>4.4609999999999997E-2</v>
      </c>
      <c r="Q53" s="151">
        <v>4.4609999999999997E-2</v>
      </c>
      <c r="R53" s="151">
        <v>4.4609999999999997E-2</v>
      </c>
      <c r="S53" s="151">
        <v>4.4609999999999997E-2</v>
      </c>
      <c r="T53" s="151">
        <v>4.4609999999999997E-2</v>
      </c>
      <c r="U53" s="151">
        <v>4.4609999999999997E-2</v>
      </c>
      <c r="V53" s="151">
        <v>4.4609999999999997E-2</v>
      </c>
    </row>
    <row r="54" spans="1:22" x14ac:dyDescent="0.2">
      <c r="B54" s="10"/>
      <c r="C54" s="140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 x14ac:dyDescent="0.2">
      <c r="B55" s="10"/>
      <c r="C55" s="140">
        <f t="shared" ref="C55:V55" si="1">C$52*$C$53</f>
        <v>0</v>
      </c>
      <c r="D55" s="141">
        <f t="shared" si="1"/>
        <v>46597.496249999997</v>
      </c>
      <c r="E55" s="141">
        <f t="shared" si="1"/>
        <v>8999.998124999971</v>
      </c>
      <c r="F55" s="141">
        <f t="shared" si="1"/>
        <v>14999.9985</v>
      </c>
      <c r="G55" s="141">
        <f t="shared" si="1"/>
        <v>8999.9954999999991</v>
      </c>
      <c r="H55" s="141">
        <f t="shared" si="1"/>
        <v>17812.497674999995</v>
      </c>
      <c r="I55" s="141">
        <f t="shared" si="1"/>
        <v>18346.872605249995</v>
      </c>
      <c r="J55" s="141">
        <f t="shared" si="1"/>
        <v>18897.278783407495</v>
      </c>
      <c r="K55" s="141">
        <f t="shared" si="1"/>
        <v>19464.197146909723</v>
      </c>
      <c r="L55" s="141">
        <f t="shared" si="1"/>
        <v>20048.123061317016</v>
      </c>
      <c r="M55" s="141">
        <f t="shared" si="1"/>
        <v>20649.566753156527</v>
      </c>
      <c r="N55" s="141">
        <f t="shared" si="1"/>
        <v>21269.053755751222</v>
      </c>
      <c r="O55" s="141">
        <f t="shared" si="1"/>
        <v>21907.12536842376</v>
      </c>
      <c r="P55" s="141">
        <f t="shared" si="1"/>
        <v>22564.33912947647</v>
      </c>
      <c r="Q55" s="141">
        <f t="shared" si="1"/>
        <v>23241.269303360765</v>
      </c>
      <c r="R55" s="141">
        <f t="shared" si="1"/>
        <v>23938.507382461587</v>
      </c>
      <c r="S55" s="141">
        <f t="shared" si="1"/>
        <v>24656.662603935434</v>
      </c>
      <c r="T55" s="141">
        <f t="shared" si="1"/>
        <v>25396.362482053493</v>
      </c>
      <c r="U55" s="141">
        <f t="shared" si="1"/>
        <v>26158.253356515099</v>
      </c>
      <c r="V55" s="141">
        <f t="shared" si="1"/>
        <v>26943.000957210552</v>
      </c>
    </row>
    <row r="56" spans="1:22" x14ac:dyDescent="0.2">
      <c r="B56" s="10"/>
      <c r="C56" s="142"/>
      <c r="D56" s="141">
        <f t="shared" ref="D56:V56" si="2">C$52*$D$53</f>
        <v>0</v>
      </c>
      <c r="E56" s="141">
        <f t="shared" si="2"/>
        <v>89703.286781000003</v>
      </c>
      <c r="F56" s="141">
        <f t="shared" si="2"/>
        <v>17325.596390499948</v>
      </c>
      <c r="G56" s="141">
        <f t="shared" si="2"/>
        <v>28875.997112400004</v>
      </c>
      <c r="H56" s="141">
        <f t="shared" si="2"/>
        <v>17325.5913372</v>
      </c>
      <c r="I56" s="141">
        <f t="shared" si="2"/>
        <v>34290.245524219994</v>
      </c>
      <c r="J56" s="141">
        <f t="shared" si="2"/>
        <v>35318.952889946595</v>
      </c>
      <c r="K56" s="141">
        <f t="shared" si="2"/>
        <v>36378.521476644994</v>
      </c>
      <c r="L56" s="141">
        <f t="shared" si="2"/>
        <v>37469.877120944344</v>
      </c>
      <c r="M56" s="141">
        <f t="shared" si="2"/>
        <v>38593.973434572683</v>
      </c>
      <c r="N56" s="141">
        <f t="shared" si="2"/>
        <v>39751.792637609862</v>
      </c>
      <c r="O56" s="141">
        <f t="shared" si="2"/>
        <v>40944.346416738153</v>
      </c>
      <c r="P56" s="141">
        <f t="shared" si="2"/>
        <v>42172.6768092403</v>
      </c>
      <c r="Q56" s="141">
        <f t="shared" si="2"/>
        <v>43437.857113517508</v>
      </c>
      <c r="R56" s="141">
        <f t="shared" si="2"/>
        <v>44740.992826923029</v>
      </c>
      <c r="S56" s="141">
        <f t="shared" si="2"/>
        <v>46083.222611730722</v>
      </c>
      <c r="T56" s="141">
        <f t="shared" si="2"/>
        <v>47465.719290082641</v>
      </c>
      <c r="U56" s="141">
        <f t="shared" si="2"/>
        <v>48889.690868785117</v>
      </c>
      <c r="V56" s="141">
        <f t="shared" si="2"/>
        <v>50356.381594848674</v>
      </c>
    </row>
    <row r="57" spans="1:22" x14ac:dyDescent="0.2">
      <c r="B57" s="10"/>
      <c r="C57" s="142"/>
      <c r="D57" s="143"/>
      <c r="E57" s="141">
        <f t="shared" ref="E57:V57" si="3">C$52*$E$53</f>
        <v>0</v>
      </c>
      <c r="F57" s="141">
        <f t="shared" si="3"/>
        <v>82980.821322000003</v>
      </c>
      <c r="G57" s="141">
        <f t="shared" si="3"/>
        <v>16027.196660999951</v>
      </c>
      <c r="H57" s="141">
        <f t="shared" si="3"/>
        <v>26711.997328800004</v>
      </c>
      <c r="I57" s="141">
        <f t="shared" si="3"/>
        <v>16027.191986400001</v>
      </c>
      <c r="J57" s="141">
        <f t="shared" si="3"/>
        <v>31720.495859639996</v>
      </c>
      <c r="K57" s="141">
        <f t="shared" si="3"/>
        <v>32672.110735429196</v>
      </c>
      <c r="L57" s="141">
        <f t="shared" si="3"/>
        <v>33652.274057492075</v>
      </c>
      <c r="M57" s="141">
        <f t="shared" si="3"/>
        <v>34661.842279216835</v>
      </c>
      <c r="N57" s="141">
        <f t="shared" si="3"/>
        <v>35701.697547593343</v>
      </c>
      <c r="O57" s="141">
        <f t="shared" si="3"/>
        <v>36772.748474021144</v>
      </c>
      <c r="P57" s="141">
        <f t="shared" si="3"/>
        <v>37875.930928241782</v>
      </c>
      <c r="Q57" s="141">
        <f t="shared" si="3"/>
        <v>39012.208856089033</v>
      </c>
      <c r="R57" s="141">
        <f t="shared" si="3"/>
        <v>40182.575121771704</v>
      </c>
      <c r="S57" s="141">
        <f t="shared" si="3"/>
        <v>41388.052375424857</v>
      </c>
      <c r="T57" s="141">
        <f t="shared" si="3"/>
        <v>42629.693946687599</v>
      </c>
      <c r="U57" s="141">
        <f t="shared" si="3"/>
        <v>43908.584765088221</v>
      </c>
      <c r="V57" s="141">
        <f t="shared" si="3"/>
        <v>45225.842308040868</v>
      </c>
    </row>
    <row r="58" spans="1:22" x14ac:dyDescent="0.2">
      <c r="B58" s="10"/>
      <c r="C58" s="142"/>
      <c r="D58" s="143"/>
      <c r="E58" s="143"/>
      <c r="F58" s="141">
        <f t="shared" ref="F58:V58" si="4">C$52*$F$53</f>
        <v>0</v>
      </c>
      <c r="G58" s="141">
        <f t="shared" si="4"/>
        <v>76767.821821999998</v>
      </c>
      <c r="H58" s="141">
        <f t="shared" si="4"/>
        <v>14827.196910999954</v>
      </c>
      <c r="I58" s="141">
        <f>F$52*$F$53</f>
        <v>24711.997528800002</v>
      </c>
      <c r="J58" s="141">
        <f t="shared" si="4"/>
        <v>14827.1925864</v>
      </c>
      <c r="K58" s="141">
        <f t="shared" si="4"/>
        <v>29345.496169639995</v>
      </c>
      <c r="L58" s="141">
        <f t="shared" si="4"/>
        <v>30225.861054729194</v>
      </c>
      <c r="M58" s="141">
        <f t="shared" si="4"/>
        <v>31132.63688637107</v>
      </c>
      <c r="N58" s="141">
        <f t="shared" si="4"/>
        <v>32066.615992962204</v>
      </c>
      <c r="O58" s="141">
        <f t="shared" si="4"/>
        <v>33028.614472751076</v>
      </c>
      <c r="P58" s="141">
        <f t="shared" si="4"/>
        <v>34019.47290693361</v>
      </c>
      <c r="Q58" s="141">
        <f t="shared" si="4"/>
        <v>35040.057094141615</v>
      </c>
      <c r="R58" s="141">
        <f t="shared" si="4"/>
        <v>36091.258806965867</v>
      </c>
      <c r="S58" s="141">
        <f t="shared" si="4"/>
        <v>37173.996571174837</v>
      </c>
      <c r="T58" s="141">
        <f t="shared" si="4"/>
        <v>38289.216468310085</v>
      </c>
      <c r="U58" s="141">
        <f t="shared" si="4"/>
        <v>39437.892962359387</v>
      </c>
      <c r="V58" s="141">
        <f t="shared" si="4"/>
        <v>40621.029751230162</v>
      </c>
    </row>
    <row r="59" spans="1:22" x14ac:dyDescent="0.2">
      <c r="B59" s="10"/>
      <c r="C59" s="142"/>
      <c r="D59" s="143"/>
      <c r="E59" s="143"/>
      <c r="F59" s="143"/>
      <c r="G59" s="141">
        <f t="shared" ref="G59:V59" si="5">C$52*$G$53</f>
        <v>0</v>
      </c>
      <c r="H59" s="141">
        <f t="shared" si="5"/>
        <v>71014.58428499999</v>
      </c>
      <c r="I59" s="141">
        <f t="shared" si="5"/>
        <v>13715.997142499957</v>
      </c>
      <c r="J59" s="141">
        <f t="shared" si="5"/>
        <v>22859.997714000001</v>
      </c>
      <c r="K59" s="141">
        <f t="shared" si="5"/>
        <v>13715.993141999999</v>
      </c>
      <c r="L59" s="141">
        <f t="shared" si="5"/>
        <v>27146.246456699995</v>
      </c>
      <c r="M59" s="141">
        <f t="shared" si="5"/>
        <v>27960.633850400995</v>
      </c>
      <c r="N59" s="141">
        <f t="shared" si="5"/>
        <v>28799.452865913023</v>
      </c>
      <c r="O59" s="141">
        <f t="shared" si="5"/>
        <v>29663.436451890419</v>
      </c>
      <c r="P59" s="141">
        <f t="shared" si="5"/>
        <v>30553.339545447132</v>
      </c>
      <c r="Q59" s="141">
        <f t="shared" si="5"/>
        <v>31469.939731810548</v>
      </c>
      <c r="R59" s="141">
        <f t="shared" si="5"/>
        <v>32414.037923764863</v>
      </c>
      <c r="S59" s="141">
        <f t="shared" si="5"/>
        <v>33386.459061477806</v>
      </c>
      <c r="T59" s="141">
        <f t="shared" si="5"/>
        <v>34388.052833322145</v>
      </c>
      <c r="U59" s="141">
        <f t="shared" si="5"/>
        <v>35419.694418321807</v>
      </c>
      <c r="V59" s="141">
        <f t="shared" si="5"/>
        <v>36482.285250871457</v>
      </c>
    </row>
    <row r="60" spans="1:22" x14ac:dyDescent="0.2">
      <c r="B60" s="10"/>
      <c r="C60" s="142"/>
      <c r="D60" s="143"/>
      <c r="E60" s="143"/>
      <c r="F60" s="143"/>
      <c r="G60" s="143"/>
      <c r="H60" s="141">
        <f t="shared" ref="H60:V60" si="6">C$52*$H$53</f>
        <v>0</v>
      </c>
      <c r="I60" s="141">
        <f t="shared" si="6"/>
        <v>65683.830713999996</v>
      </c>
      <c r="J60" s="141">
        <f t="shared" si="6"/>
        <v>12686.39735699996</v>
      </c>
      <c r="K60" s="141">
        <f t="shared" si="6"/>
        <v>21143.997885600002</v>
      </c>
      <c r="L60" s="141">
        <f t="shared" si="6"/>
        <v>12686.393656799999</v>
      </c>
      <c r="M60" s="141">
        <f t="shared" si="6"/>
        <v>25108.496722679993</v>
      </c>
      <c r="N60" s="141">
        <f t="shared" si="6"/>
        <v>25861.751624360393</v>
      </c>
      <c r="O60" s="141">
        <f t="shared" si="6"/>
        <v>26637.604173091207</v>
      </c>
      <c r="P60" s="141">
        <f t="shared" si="6"/>
        <v>27436.732298283943</v>
      </c>
      <c r="Q60" s="141">
        <f t="shared" si="6"/>
        <v>28259.834267232465</v>
      </c>
      <c r="R60" s="141">
        <f t="shared" si="6"/>
        <v>29107.62929524944</v>
      </c>
      <c r="S60" s="141">
        <f t="shared" si="6"/>
        <v>29980.858174106921</v>
      </c>
      <c r="T60" s="141">
        <f t="shared" si="6"/>
        <v>30880.28391933013</v>
      </c>
      <c r="U60" s="141">
        <f t="shared" si="6"/>
        <v>31806.692436910034</v>
      </c>
      <c r="V60" s="141">
        <f t="shared" si="6"/>
        <v>32760.893210017333</v>
      </c>
    </row>
    <row r="61" spans="1:22" x14ac:dyDescent="0.2">
      <c r="B61" s="10"/>
      <c r="C61" s="142"/>
      <c r="D61" s="143"/>
      <c r="E61" s="143"/>
      <c r="F61" s="143"/>
      <c r="G61" s="143"/>
      <c r="H61" s="143"/>
      <c r="I61" s="141">
        <f t="shared" ref="I61:V61" si="7">C$52*$I$53</f>
        <v>0</v>
      </c>
      <c r="J61" s="141">
        <f t="shared" si="7"/>
        <v>60763.135109999996</v>
      </c>
      <c r="K61" s="141">
        <f t="shared" si="7"/>
        <v>11735.997554999964</v>
      </c>
      <c r="L61" s="141">
        <f t="shared" si="7"/>
        <v>19559.998044</v>
      </c>
      <c r="M61" s="141">
        <f t="shared" si="7"/>
        <v>11735.994132</v>
      </c>
      <c r="N61" s="141">
        <f t="shared" si="7"/>
        <v>23227.496968199994</v>
      </c>
      <c r="O61" s="141">
        <f t="shared" si="7"/>
        <v>23924.321877245995</v>
      </c>
      <c r="P61" s="141">
        <f t="shared" si="7"/>
        <v>24642.051533563375</v>
      </c>
      <c r="Q61" s="141">
        <f t="shared" si="7"/>
        <v>25381.313079570278</v>
      </c>
      <c r="R61" s="141">
        <f t="shared" si="7"/>
        <v>26142.752471957388</v>
      </c>
      <c r="S61" s="141">
        <f t="shared" si="7"/>
        <v>26927.035046116111</v>
      </c>
      <c r="T61" s="141">
        <f t="shared" si="7"/>
        <v>27734.846097499594</v>
      </c>
      <c r="U61" s="141">
        <f t="shared" si="7"/>
        <v>28566.891480424583</v>
      </c>
      <c r="V61" s="141">
        <f t="shared" si="7"/>
        <v>29423.898224837318</v>
      </c>
    </row>
    <row r="62" spans="1:22" x14ac:dyDescent="0.2">
      <c r="B62" s="10"/>
      <c r="C62" s="142"/>
      <c r="D62" s="143"/>
      <c r="E62" s="143"/>
      <c r="F62" s="143"/>
      <c r="G62" s="143"/>
      <c r="H62" s="143"/>
      <c r="I62" s="143"/>
      <c r="J62" s="141">
        <f t="shared" ref="J62:V62" si="8">C$52*$J$53</f>
        <v>0</v>
      </c>
      <c r="K62" s="141">
        <f t="shared" si="8"/>
        <v>56202.793476999992</v>
      </c>
      <c r="L62" s="141">
        <f t="shared" si="8"/>
        <v>10855.197738499966</v>
      </c>
      <c r="M62" s="141">
        <f t="shared" si="8"/>
        <v>18091.998190800001</v>
      </c>
      <c r="N62" s="141">
        <f t="shared" si="8"/>
        <v>10855.1945724</v>
      </c>
      <c r="O62" s="141">
        <f t="shared" si="8"/>
        <v>21484.247195739994</v>
      </c>
      <c r="P62" s="141">
        <f t="shared" si="8"/>
        <v>22128.774611612196</v>
      </c>
      <c r="Q62" s="141">
        <f t="shared" si="8"/>
        <v>22792.637849960563</v>
      </c>
      <c r="R62" s="141">
        <f t="shared" si="8"/>
        <v>23476.416985459378</v>
      </c>
      <c r="S62" s="141">
        <f t="shared" si="8"/>
        <v>24180.709495023162</v>
      </c>
      <c r="T62" s="141">
        <f t="shared" si="8"/>
        <v>24906.13077987386</v>
      </c>
      <c r="U62" s="141">
        <f t="shared" si="8"/>
        <v>25653.314703270076</v>
      </c>
      <c r="V62" s="141">
        <f t="shared" si="8"/>
        <v>26422.914144368176</v>
      </c>
    </row>
    <row r="63" spans="1:22" x14ac:dyDescent="0.2">
      <c r="B63" s="10"/>
      <c r="C63" s="142"/>
      <c r="D63" s="143"/>
      <c r="E63" s="143"/>
      <c r="F63" s="143"/>
      <c r="G63" s="143"/>
      <c r="H63" s="143"/>
      <c r="I63" s="143"/>
      <c r="J63" s="143"/>
      <c r="K63" s="141">
        <f t="shared" ref="K63:V63" si="9">C$52*$K$53</f>
        <v>0</v>
      </c>
      <c r="L63" s="141">
        <f t="shared" si="9"/>
        <v>55432.381538999995</v>
      </c>
      <c r="M63" s="141">
        <f t="shared" si="9"/>
        <v>10706.397769499967</v>
      </c>
      <c r="N63" s="141">
        <f t="shared" si="9"/>
        <v>17843.998215600001</v>
      </c>
      <c r="O63" s="141">
        <f t="shared" si="9"/>
        <v>10706.394646799999</v>
      </c>
      <c r="P63" s="141">
        <f t="shared" si="9"/>
        <v>21189.747234179995</v>
      </c>
      <c r="Q63" s="141">
        <f t="shared" si="9"/>
        <v>21825.439651205394</v>
      </c>
      <c r="R63" s="141">
        <f t="shared" si="9"/>
        <v>22480.202840741556</v>
      </c>
      <c r="S63" s="141">
        <f t="shared" si="9"/>
        <v>23154.608925963803</v>
      </c>
      <c r="T63" s="141">
        <f t="shared" si="9"/>
        <v>23849.247193742722</v>
      </c>
      <c r="U63" s="141">
        <f t="shared" si="9"/>
        <v>24564.724609555004</v>
      </c>
      <c r="V63" s="141">
        <f t="shared" si="9"/>
        <v>25301.666347841652</v>
      </c>
    </row>
    <row r="64" spans="1:22" x14ac:dyDescent="0.2">
      <c r="B64" s="10"/>
      <c r="C64" s="142"/>
      <c r="D64" s="143"/>
      <c r="E64" s="143"/>
      <c r="F64" s="143"/>
      <c r="G64" s="143"/>
      <c r="H64" s="143"/>
      <c r="I64" s="143"/>
      <c r="J64" s="143"/>
      <c r="K64" s="143"/>
      <c r="L64" s="141">
        <f t="shared" ref="L64:V64" si="10">C$52*$L$53</f>
        <v>0</v>
      </c>
      <c r="M64" s="141">
        <f t="shared" si="10"/>
        <v>55432.381538999995</v>
      </c>
      <c r="N64" s="141">
        <f t="shared" si="10"/>
        <v>10706.397769499967</v>
      </c>
      <c r="O64" s="141">
        <f t="shared" si="10"/>
        <v>17843.998215600001</v>
      </c>
      <c r="P64" s="141">
        <f t="shared" si="10"/>
        <v>10706.394646799999</v>
      </c>
      <c r="Q64" s="141">
        <f t="shared" si="10"/>
        <v>21189.747234179995</v>
      </c>
      <c r="R64" s="141">
        <f t="shared" si="10"/>
        <v>21825.439651205394</v>
      </c>
      <c r="S64" s="141">
        <f t="shared" si="10"/>
        <v>22480.202840741556</v>
      </c>
      <c r="T64" s="141">
        <f t="shared" si="10"/>
        <v>23154.608925963803</v>
      </c>
      <c r="U64" s="141">
        <f t="shared" si="10"/>
        <v>23849.247193742722</v>
      </c>
      <c r="V64" s="141">
        <f t="shared" si="10"/>
        <v>24564.724609555004</v>
      </c>
    </row>
    <row r="65" spans="1:22" x14ac:dyDescent="0.2">
      <c r="B65" s="10"/>
      <c r="C65" s="142"/>
      <c r="D65" s="143"/>
      <c r="E65" s="143"/>
      <c r="F65" s="143"/>
      <c r="G65" s="143"/>
      <c r="H65" s="143"/>
      <c r="I65" s="143"/>
      <c r="J65" s="143"/>
      <c r="K65" s="143"/>
      <c r="L65" s="143"/>
      <c r="M65" s="141">
        <f t="shared" ref="M65:V65" si="11">C$52*$M$53</f>
        <v>0</v>
      </c>
      <c r="N65" s="141">
        <f t="shared" si="11"/>
        <v>55432.381538999995</v>
      </c>
      <c r="O65" s="141">
        <f t="shared" si="11"/>
        <v>10706.397769499967</v>
      </c>
      <c r="P65" s="141">
        <f t="shared" si="11"/>
        <v>17843.998215600001</v>
      </c>
      <c r="Q65" s="141">
        <f t="shared" si="11"/>
        <v>10706.394646799999</v>
      </c>
      <c r="R65" s="141">
        <f t="shared" si="11"/>
        <v>21189.747234179995</v>
      </c>
      <c r="S65" s="141">
        <f t="shared" si="11"/>
        <v>21825.439651205394</v>
      </c>
      <c r="T65" s="141">
        <f t="shared" si="11"/>
        <v>22480.202840741556</v>
      </c>
      <c r="U65" s="141">
        <f t="shared" si="11"/>
        <v>23154.608925963803</v>
      </c>
      <c r="V65" s="141">
        <f t="shared" si="11"/>
        <v>23849.247193742722</v>
      </c>
    </row>
    <row r="66" spans="1:22" x14ac:dyDescent="0.2">
      <c r="B66" s="10"/>
      <c r="C66" s="142"/>
      <c r="D66" s="143"/>
      <c r="E66" s="143"/>
      <c r="F66" s="143"/>
      <c r="G66" s="143"/>
      <c r="H66" s="143"/>
      <c r="I66" s="143"/>
      <c r="J66" s="143"/>
      <c r="K66" s="143"/>
      <c r="L66" s="143"/>
      <c r="M66" s="136"/>
      <c r="N66" s="141">
        <f t="shared" ref="N66:V66" si="12">C$52*$N$53</f>
        <v>0</v>
      </c>
      <c r="O66" s="141">
        <f t="shared" si="12"/>
        <v>55432.381538999995</v>
      </c>
      <c r="P66" s="141">
        <f t="shared" si="12"/>
        <v>10706.397769499967</v>
      </c>
      <c r="Q66" s="141">
        <f t="shared" si="12"/>
        <v>17843.998215600001</v>
      </c>
      <c r="R66" s="141">
        <f t="shared" si="12"/>
        <v>10706.394646799999</v>
      </c>
      <c r="S66" s="141">
        <f t="shared" si="12"/>
        <v>21189.747234179995</v>
      </c>
      <c r="T66" s="141">
        <f t="shared" si="12"/>
        <v>21825.439651205394</v>
      </c>
      <c r="U66" s="141">
        <f t="shared" si="12"/>
        <v>22480.202840741556</v>
      </c>
      <c r="V66" s="141">
        <f t="shared" si="12"/>
        <v>23154.608925963803</v>
      </c>
    </row>
    <row r="67" spans="1:22" x14ac:dyDescent="0.2">
      <c r="B67" s="10"/>
      <c r="C67" s="142"/>
      <c r="D67" s="143"/>
      <c r="E67" s="143"/>
      <c r="F67" s="143"/>
      <c r="G67" s="143"/>
      <c r="H67" s="143"/>
      <c r="I67" s="143"/>
      <c r="J67" s="143"/>
      <c r="K67" s="143"/>
      <c r="L67" s="143"/>
      <c r="M67" s="136"/>
      <c r="N67" s="136"/>
      <c r="O67" s="141">
        <f t="shared" ref="O67:V67" si="13">C$52*$O$53</f>
        <v>0</v>
      </c>
      <c r="P67" s="141">
        <f t="shared" si="13"/>
        <v>55432.381538999995</v>
      </c>
      <c r="Q67" s="141">
        <f t="shared" si="13"/>
        <v>10706.397769499967</v>
      </c>
      <c r="R67" s="141">
        <f t="shared" si="13"/>
        <v>17843.998215600001</v>
      </c>
      <c r="S67" s="141">
        <f t="shared" si="13"/>
        <v>10706.394646799999</v>
      </c>
      <c r="T67" s="141">
        <f t="shared" si="13"/>
        <v>21189.747234179995</v>
      </c>
      <c r="U67" s="141">
        <f t="shared" si="13"/>
        <v>21825.439651205394</v>
      </c>
      <c r="V67" s="141">
        <f t="shared" si="13"/>
        <v>22480.202840741556</v>
      </c>
    </row>
    <row r="68" spans="1:22" x14ac:dyDescent="0.2">
      <c r="B68" s="10"/>
      <c r="C68" s="142"/>
      <c r="D68" s="143"/>
      <c r="E68" s="143"/>
      <c r="F68" s="143"/>
      <c r="G68" s="143"/>
      <c r="H68" s="143"/>
      <c r="I68" s="143"/>
      <c r="J68" s="143"/>
      <c r="K68" s="143"/>
      <c r="L68" s="143"/>
      <c r="M68" s="136"/>
      <c r="N68" s="136"/>
      <c r="O68" s="136"/>
      <c r="P68" s="141">
        <f t="shared" ref="P68:V68" si="14">C$52*$P$53</f>
        <v>0</v>
      </c>
      <c r="Q68" s="141">
        <f t="shared" si="14"/>
        <v>55432.381538999995</v>
      </c>
      <c r="R68" s="141">
        <f t="shared" si="14"/>
        <v>10706.397769499967</v>
      </c>
      <c r="S68" s="141">
        <f t="shared" si="14"/>
        <v>17843.998215600001</v>
      </c>
      <c r="T68" s="141">
        <f t="shared" si="14"/>
        <v>10706.394646799999</v>
      </c>
      <c r="U68" s="141">
        <f t="shared" si="14"/>
        <v>21189.747234179995</v>
      </c>
      <c r="V68" s="141">
        <f t="shared" si="14"/>
        <v>21825.439651205394</v>
      </c>
    </row>
    <row r="69" spans="1:22" x14ac:dyDescent="0.2">
      <c r="B69" s="10"/>
      <c r="C69" s="142"/>
      <c r="D69" s="143"/>
      <c r="E69" s="143"/>
      <c r="F69" s="143"/>
      <c r="G69" s="143"/>
      <c r="H69" s="143"/>
      <c r="I69" s="143"/>
      <c r="J69" s="143"/>
      <c r="K69" s="143"/>
      <c r="L69" s="143"/>
      <c r="M69" s="136"/>
      <c r="N69" s="136"/>
      <c r="O69" s="136"/>
      <c r="P69" s="136"/>
      <c r="Q69" s="141">
        <f t="shared" ref="Q69:V69" si="15">C$52*$Q$53</f>
        <v>0</v>
      </c>
      <c r="R69" s="141">
        <f t="shared" si="15"/>
        <v>55432.381538999995</v>
      </c>
      <c r="S69" s="141">
        <f t="shared" si="15"/>
        <v>10706.397769499967</v>
      </c>
      <c r="T69" s="141">
        <f t="shared" si="15"/>
        <v>17843.998215600001</v>
      </c>
      <c r="U69" s="141">
        <f t="shared" si="15"/>
        <v>10706.394646799999</v>
      </c>
      <c r="V69" s="141">
        <f t="shared" si="15"/>
        <v>21189.747234179995</v>
      </c>
    </row>
    <row r="70" spans="1:22" x14ac:dyDescent="0.2">
      <c r="B70" s="10"/>
      <c r="C70" s="142"/>
      <c r="D70" s="143"/>
      <c r="E70" s="143"/>
      <c r="F70" s="143"/>
      <c r="G70" s="143"/>
      <c r="H70" s="143"/>
      <c r="I70" s="143"/>
      <c r="J70" s="143"/>
      <c r="K70" s="143"/>
      <c r="L70" s="143"/>
      <c r="M70" s="136"/>
      <c r="N70" s="136"/>
      <c r="O70" s="136"/>
      <c r="P70" s="136"/>
      <c r="Q70" s="136"/>
      <c r="R70" s="141">
        <f>C$52*$R$53</f>
        <v>0</v>
      </c>
      <c r="S70" s="141">
        <f>D$52*$R$53</f>
        <v>55432.381538999995</v>
      </c>
      <c r="T70" s="141">
        <f>E$52*$R$53</f>
        <v>10706.397769499967</v>
      </c>
      <c r="U70" s="141">
        <f>F$52*$R$53</f>
        <v>17843.998215600001</v>
      </c>
      <c r="V70" s="141">
        <f>G$52*$R$53</f>
        <v>10706.394646799999</v>
      </c>
    </row>
    <row r="71" spans="1:22" x14ac:dyDescent="0.2">
      <c r="B71" s="10"/>
      <c r="C71" s="142"/>
      <c r="D71" s="143"/>
      <c r="E71" s="143"/>
      <c r="F71" s="143"/>
      <c r="G71" s="143"/>
      <c r="H71" s="143"/>
      <c r="I71" s="143"/>
      <c r="J71" s="143"/>
      <c r="K71" s="143"/>
      <c r="L71" s="143"/>
      <c r="M71" s="136"/>
      <c r="N71" s="136"/>
      <c r="O71" s="136"/>
      <c r="P71" s="136"/>
      <c r="Q71" s="136"/>
      <c r="R71" s="136"/>
      <c r="S71" s="141">
        <f>C$52*$S$53</f>
        <v>0</v>
      </c>
      <c r="T71" s="141">
        <f>D$52*$S$53</f>
        <v>55432.381538999995</v>
      </c>
      <c r="U71" s="141">
        <f>E$52*$S$53</f>
        <v>10706.397769499967</v>
      </c>
      <c r="V71" s="141">
        <f>F$52*$S$53</f>
        <v>17843.998215600001</v>
      </c>
    </row>
    <row r="72" spans="1:22" x14ac:dyDescent="0.2">
      <c r="B72" s="10"/>
      <c r="C72" s="142"/>
      <c r="D72" s="143"/>
      <c r="E72" s="143"/>
      <c r="F72" s="143"/>
      <c r="G72" s="143"/>
      <c r="H72" s="143"/>
      <c r="I72" s="143"/>
      <c r="J72" s="143"/>
      <c r="K72" s="143"/>
      <c r="L72" s="143"/>
      <c r="M72" s="136"/>
      <c r="N72" s="136"/>
      <c r="O72" s="136"/>
      <c r="P72" s="136"/>
      <c r="Q72" s="136"/>
      <c r="R72" s="136"/>
      <c r="S72" s="136"/>
      <c r="T72" s="141">
        <f>C$52*$T$53</f>
        <v>0</v>
      </c>
      <c r="U72" s="141">
        <f>D$52*$T$53</f>
        <v>55432.381538999995</v>
      </c>
      <c r="V72" s="141">
        <f>E$52*$T$53</f>
        <v>10706.397769499967</v>
      </c>
    </row>
    <row r="73" spans="1:22" x14ac:dyDescent="0.2">
      <c r="B73" s="10"/>
      <c r="C73" s="142"/>
      <c r="D73" s="143"/>
      <c r="E73" s="143"/>
      <c r="F73" s="143"/>
      <c r="G73" s="143"/>
      <c r="H73" s="143"/>
      <c r="I73" s="143"/>
      <c r="J73" s="143"/>
      <c r="K73" s="143"/>
      <c r="L73" s="143"/>
      <c r="M73" s="136"/>
      <c r="N73" s="136"/>
      <c r="O73" s="136"/>
      <c r="P73" s="136"/>
      <c r="Q73" s="136"/>
      <c r="R73" s="136"/>
      <c r="S73" s="136"/>
      <c r="T73" s="136"/>
      <c r="U73" s="141">
        <f>C$52*$U$53</f>
        <v>0</v>
      </c>
      <c r="V73" s="141">
        <f>D$52*$U$53</f>
        <v>55432.381538999995</v>
      </c>
    </row>
    <row r="74" spans="1:22" x14ac:dyDescent="0.2">
      <c r="B74" s="10"/>
      <c r="C74" s="144"/>
      <c r="D74" s="145"/>
      <c r="E74" s="145"/>
      <c r="F74" s="145"/>
      <c r="G74" s="145"/>
      <c r="H74" s="145"/>
      <c r="I74" s="145"/>
      <c r="J74" s="145"/>
      <c r="K74" s="145"/>
      <c r="L74" s="145"/>
      <c r="M74" s="146"/>
      <c r="N74" s="146"/>
      <c r="O74" s="146"/>
      <c r="P74" s="146"/>
      <c r="Q74" s="146"/>
      <c r="R74" s="146"/>
      <c r="S74" s="146"/>
      <c r="T74" s="146"/>
      <c r="U74" s="146"/>
      <c r="V74" s="141">
        <f>C$52*$V$53</f>
        <v>0</v>
      </c>
    </row>
    <row r="75" spans="1:22" ht="13.5" thickBot="1" x14ac:dyDescent="0.25">
      <c r="A75" s="2" t="s">
        <v>145</v>
      </c>
      <c r="B75" s="10"/>
      <c r="C75" s="147">
        <f t="shared" ref="C75:V75" si="16">SUM(C55:C74)</f>
        <v>0</v>
      </c>
      <c r="D75" s="148">
        <f t="shared" si="16"/>
        <v>46597.496249999997</v>
      </c>
      <c r="E75" s="148">
        <f t="shared" si="16"/>
        <v>98703.284905999972</v>
      </c>
      <c r="F75" s="148">
        <f t="shared" si="16"/>
        <v>115306.41621249996</v>
      </c>
      <c r="G75" s="148">
        <f t="shared" si="16"/>
        <v>130671.01109539995</v>
      </c>
      <c r="H75" s="148">
        <f t="shared" si="16"/>
        <v>147691.86753699993</v>
      </c>
      <c r="I75" s="148">
        <f t="shared" si="16"/>
        <v>172776.13550116995</v>
      </c>
      <c r="J75" s="148">
        <f t="shared" si="16"/>
        <v>197073.45030039403</v>
      </c>
      <c r="K75" s="148">
        <f t="shared" si="16"/>
        <v>220659.10758822385</v>
      </c>
      <c r="L75" s="148">
        <f t="shared" si="16"/>
        <v>247076.35272948258</v>
      </c>
      <c r="M75" s="148">
        <f t="shared" si="16"/>
        <v>274073.92155769805</v>
      </c>
      <c r="N75" s="148">
        <f t="shared" si="16"/>
        <v>301515.83348889003</v>
      </c>
      <c r="O75" s="148">
        <f t="shared" si="16"/>
        <v>329051.6166008017</v>
      </c>
      <c r="P75" s="148">
        <f t="shared" si="16"/>
        <v>357272.23716787877</v>
      </c>
      <c r="Q75" s="148">
        <f t="shared" si="16"/>
        <v>386339.47635196813</v>
      </c>
      <c r="R75" s="148">
        <f t="shared" si="16"/>
        <v>416278.73271158012</v>
      </c>
      <c r="S75" s="148">
        <f t="shared" si="16"/>
        <v>447116.16676198051</v>
      </c>
      <c r="T75" s="148">
        <f t="shared" si="16"/>
        <v>478878.72383389296</v>
      </c>
      <c r="U75" s="148">
        <f t="shared" si="16"/>
        <v>511594.15761796269</v>
      </c>
      <c r="V75" s="149">
        <f t="shared" si="16"/>
        <v>545291.05441555462</v>
      </c>
    </row>
    <row r="76" spans="1:22" ht="13.5" thickTop="1" x14ac:dyDescent="0.2">
      <c r="B76" s="10"/>
      <c r="C76" s="7"/>
    </row>
    <row r="77" spans="1:22" x14ac:dyDescent="0.2">
      <c r="B77" s="10"/>
      <c r="C77" s="7"/>
    </row>
    <row r="78" spans="1:22" x14ac:dyDescent="0.2">
      <c r="B78" s="10"/>
      <c r="C78" s="12">
        <v>2000</v>
      </c>
      <c r="D78" s="12">
        <v>2001</v>
      </c>
      <c r="E78" s="12">
        <v>2002</v>
      </c>
      <c r="F78" s="12">
        <v>2003</v>
      </c>
      <c r="G78" s="12">
        <v>2004</v>
      </c>
      <c r="H78" s="12">
        <v>2005</v>
      </c>
      <c r="I78" s="12">
        <v>2006</v>
      </c>
      <c r="J78" s="12">
        <v>2007</v>
      </c>
      <c r="K78" s="12">
        <v>2008</v>
      </c>
      <c r="L78" s="12">
        <v>2009</v>
      </c>
      <c r="M78" s="12">
        <v>2010</v>
      </c>
      <c r="N78" s="12">
        <v>2011</v>
      </c>
      <c r="O78" s="12">
        <v>2012</v>
      </c>
      <c r="P78" s="12">
        <v>2013</v>
      </c>
      <c r="Q78" s="12">
        <v>2014</v>
      </c>
      <c r="R78" s="12">
        <v>2015</v>
      </c>
      <c r="S78" s="12">
        <v>2016</v>
      </c>
      <c r="T78" s="12">
        <v>2017</v>
      </c>
      <c r="U78" s="12">
        <v>2018</v>
      </c>
      <c r="V78" s="12">
        <v>2019</v>
      </c>
    </row>
    <row r="79" spans="1:22" x14ac:dyDescent="0.2">
      <c r="A79" s="81" t="s">
        <v>152</v>
      </c>
      <c r="B79" s="10"/>
      <c r="C79" s="7"/>
    </row>
    <row r="80" spans="1:22" x14ac:dyDescent="0.2">
      <c r="B80" s="10" t="s">
        <v>148</v>
      </c>
      <c r="C80" s="140">
        <f>-VLOOKUP(IS!$B$1,ECapAds,C78-1997)*-1</f>
        <v>94409.16</v>
      </c>
      <c r="D80" s="140">
        <f>-VLOOKUP(IS!$B$1,ECapAds,D78-1997)*-1</f>
        <v>1471963.2</v>
      </c>
      <c r="E80" s="140">
        <f>-VLOOKUP(IS!$B$1,ECapAds,E78-1997)*-1</f>
        <v>21211947.960000001</v>
      </c>
      <c r="F80" s="140">
        <f>-VLOOKUP(IS!$B$1,ECapAds,F78-1997)*-1</f>
        <v>2835914.52</v>
      </c>
      <c r="G80" s="140">
        <f>-VLOOKUP(IS!$B$1,ECapAds,G78-1997)*-1</f>
        <v>0</v>
      </c>
      <c r="H80" s="140">
        <f>-VLOOKUP(IS!$B$1,ECapAds,H78-1997)*-1</f>
        <v>0</v>
      </c>
      <c r="I80" s="140">
        <f>-VLOOKUP(IS!$B$1,ECapAds,I78-1997)*-1</f>
        <v>0</v>
      </c>
      <c r="J80" s="140">
        <f>-VLOOKUP(IS!$B$1,ECapAds,J78-1997)*-1</f>
        <v>0</v>
      </c>
      <c r="K80" s="140">
        <f>-VLOOKUP(IS!$B$1,ECapAds,K78-1997)*-1</f>
        <v>0</v>
      </c>
      <c r="L80" s="140">
        <f>-VLOOKUP(IS!$B$1,ECapAds,L78-1997)*-1</f>
        <v>0</v>
      </c>
      <c r="M80" s="140">
        <f>-VLOOKUP(IS!$B$1,ECapAds,M78-1997)*-1</f>
        <v>0</v>
      </c>
      <c r="N80" s="140">
        <f>-VLOOKUP(IS!$B$1,ECapAds,N78-1997)*-1</f>
        <v>0</v>
      </c>
      <c r="O80" s="140">
        <f>-VLOOKUP(IS!$B$1,ECapAds,O78-1997)*-1</f>
        <v>0</v>
      </c>
      <c r="P80" s="140">
        <f>-VLOOKUP(IS!$B$1,ECapAds,P78-1997)*-1</f>
        <v>0</v>
      </c>
      <c r="Q80" s="140">
        <f>-VLOOKUP(IS!$B$1,ECapAds,Q78-1997)*-1</f>
        <v>0</v>
      </c>
      <c r="R80" s="140">
        <f>-VLOOKUP(IS!$B$1,ECapAds,R78-1997)*-1</f>
        <v>0</v>
      </c>
      <c r="S80" s="140">
        <f>-VLOOKUP(IS!$B$1,ECapAds,S78-1997)*-1</f>
        <v>0</v>
      </c>
      <c r="T80" s="140">
        <f>-VLOOKUP(IS!$B$1,ECapAds,T78-1997)*-1</f>
        <v>0</v>
      </c>
      <c r="U80" s="140">
        <f>-VLOOKUP(IS!$B$1,ECapAds,U78-1997)*-1</f>
        <v>0</v>
      </c>
      <c r="V80" s="140">
        <f>-VLOOKUP(IS!$B$1,ECapAds,V78-1997)*-1</f>
        <v>0</v>
      </c>
    </row>
    <row r="81" spans="2:22" x14ac:dyDescent="0.2">
      <c r="B81" s="10" t="s">
        <v>149</v>
      </c>
      <c r="C81" s="150">
        <v>7.4999999999999997E-2</v>
      </c>
      <c r="D81" s="151">
        <v>0.1489</v>
      </c>
      <c r="E81" s="151">
        <v>0.1467</v>
      </c>
      <c r="F81" s="151">
        <v>0.1447</v>
      </c>
      <c r="G81" s="151">
        <v>0.1429</v>
      </c>
      <c r="H81" s="151">
        <v>8.1100000000000005E-2</v>
      </c>
      <c r="I81" s="151">
        <v>1.9599999999999999E-2</v>
      </c>
      <c r="J81" s="151">
        <v>1.8100000000000002E-2</v>
      </c>
      <c r="K81" s="151">
        <v>1.78E-2</v>
      </c>
      <c r="L81" s="151">
        <v>1.78E-2</v>
      </c>
      <c r="M81" s="151">
        <v>1.78E-2</v>
      </c>
      <c r="N81" s="151">
        <v>1.78E-2</v>
      </c>
      <c r="O81" s="151">
        <v>1.78E-2</v>
      </c>
      <c r="P81" s="151">
        <v>1.78E-2</v>
      </c>
      <c r="Q81" s="151">
        <v>1.78E-2</v>
      </c>
      <c r="R81" s="151">
        <v>1.78E-2</v>
      </c>
      <c r="S81" s="151">
        <v>1.78E-2</v>
      </c>
      <c r="T81" s="151">
        <v>1.78E-2</v>
      </c>
      <c r="U81" s="151">
        <v>1.78E-2</v>
      </c>
      <c r="V81" s="151">
        <v>1.78E-2</v>
      </c>
    </row>
    <row r="82" spans="2:22" x14ac:dyDescent="0.2">
      <c r="B82" s="10"/>
      <c r="C82" s="140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</row>
    <row r="83" spans="2:22" x14ac:dyDescent="0.2">
      <c r="B83" s="10"/>
      <c r="C83" s="140">
        <f t="shared" ref="C83:V83" si="17">C$80*$C$81</f>
        <v>7080.6869999999999</v>
      </c>
      <c r="D83" s="141">
        <f t="shared" si="17"/>
        <v>110397.23999999999</v>
      </c>
      <c r="E83" s="141">
        <f t="shared" si="17"/>
        <v>1590896.0970000001</v>
      </c>
      <c r="F83" s="141">
        <f t="shared" si="17"/>
        <v>212693.58900000001</v>
      </c>
      <c r="G83" s="141">
        <f t="shared" si="17"/>
        <v>0</v>
      </c>
      <c r="H83" s="141">
        <f t="shared" si="17"/>
        <v>0</v>
      </c>
      <c r="I83" s="141">
        <f t="shared" si="17"/>
        <v>0</v>
      </c>
      <c r="J83" s="141">
        <f t="shared" si="17"/>
        <v>0</v>
      </c>
      <c r="K83" s="141">
        <f t="shared" si="17"/>
        <v>0</v>
      </c>
      <c r="L83" s="141">
        <f t="shared" si="17"/>
        <v>0</v>
      </c>
      <c r="M83" s="141">
        <f t="shared" si="17"/>
        <v>0</v>
      </c>
      <c r="N83" s="141">
        <f t="shared" si="17"/>
        <v>0</v>
      </c>
      <c r="O83" s="141">
        <f t="shared" si="17"/>
        <v>0</v>
      </c>
      <c r="P83" s="141">
        <f t="shared" si="17"/>
        <v>0</v>
      </c>
      <c r="Q83" s="141">
        <f t="shared" si="17"/>
        <v>0</v>
      </c>
      <c r="R83" s="141">
        <f t="shared" si="17"/>
        <v>0</v>
      </c>
      <c r="S83" s="141">
        <f t="shared" si="17"/>
        <v>0</v>
      </c>
      <c r="T83" s="141">
        <f t="shared" si="17"/>
        <v>0</v>
      </c>
      <c r="U83" s="141">
        <f t="shared" si="17"/>
        <v>0</v>
      </c>
      <c r="V83" s="141">
        <f t="shared" si="17"/>
        <v>0</v>
      </c>
    </row>
    <row r="84" spans="2:22" x14ac:dyDescent="0.2">
      <c r="B84" s="10"/>
      <c r="C84" s="142"/>
      <c r="D84" s="141">
        <f t="shared" ref="D84:V84" si="18">C$80*$D$81</f>
        <v>14057.523924000001</v>
      </c>
      <c r="E84" s="141">
        <f t="shared" si="18"/>
        <v>219175.32047999999</v>
      </c>
      <c r="F84" s="141">
        <f t="shared" si="18"/>
        <v>3158459.0512440004</v>
      </c>
      <c r="G84" s="141">
        <f t="shared" si="18"/>
        <v>422267.672028</v>
      </c>
      <c r="H84" s="141">
        <f t="shared" si="18"/>
        <v>0</v>
      </c>
      <c r="I84" s="141">
        <f t="shared" si="18"/>
        <v>0</v>
      </c>
      <c r="J84" s="141">
        <f t="shared" si="18"/>
        <v>0</v>
      </c>
      <c r="K84" s="141">
        <f t="shared" si="18"/>
        <v>0</v>
      </c>
      <c r="L84" s="141">
        <f t="shared" si="18"/>
        <v>0</v>
      </c>
      <c r="M84" s="141">
        <f t="shared" si="18"/>
        <v>0</v>
      </c>
      <c r="N84" s="141">
        <f t="shared" si="18"/>
        <v>0</v>
      </c>
      <c r="O84" s="141">
        <f t="shared" si="18"/>
        <v>0</v>
      </c>
      <c r="P84" s="141">
        <f t="shared" si="18"/>
        <v>0</v>
      </c>
      <c r="Q84" s="141">
        <f t="shared" si="18"/>
        <v>0</v>
      </c>
      <c r="R84" s="141">
        <f t="shared" si="18"/>
        <v>0</v>
      </c>
      <c r="S84" s="141">
        <f t="shared" si="18"/>
        <v>0</v>
      </c>
      <c r="T84" s="141">
        <f t="shared" si="18"/>
        <v>0</v>
      </c>
      <c r="U84" s="141">
        <f t="shared" si="18"/>
        <v>0</v>
      </c>
      <c r="V84" s="141">
        <f t="shared" si="18"/>
        <v>0</v>
      </c>
    </row>
    <row r="85" spans="2:22" x14ac:dyDescent="0.2">
      <c r="B85" s="10"/>
      <c r="C85" s="142"/>
      <c r="D85" s="143"/>
      <c r="E85" s="141">
        <f t="shared" ref="E85:V85" si="19">C$80*$E$81</f>
        <v>13849.823772</v>
      </c>
      <c r="F85" s="141">
        <f t="shared" si="19"/>
        <v>215937.00143999999</v>
      </c>
      <c r="G85" s="141">
        <f t="shared" si="19"/>
        <v>3111792.7657320001</v>
      </c>
      <c r="H85" s="141">
        <f t="shared" si="19"/>
        <v>416028.66008399997</v>
      </c>
      <c r="I85" s="141">
        <f t="shared" si="19"/>
        <v>0</v>
      </c>
      <c r="J85" s="141">
        <f t="shared" si="19"/>
        <v>0</v>
      </c>
      <c r="K85" s="141">
        <f t="shared" si="19"/>
        <v>0</v>
      </c>
      <c r="L85" s="141">
        <f t="shared" si="19"/>
        <v>0</v>
      </c>
      <c r="M85" s="141">
        <f t="shared" si="19"/>
        <v>0</v>
      </c>
      <c r="N85" s="141">
        <f t="shared" si="19"/>
        <v>0</v>
      </c>
      <c r="O85" s="141">
        <f t="shared" si="19"/>
        <v>0</v>
      </c>
      <c r="P85" s="141">
        <f t="shared" si="19"/>
        <v>0</v>
      </c>
      <c r="Q85" s="141">
        <f t="shared" si="19"/>
        <v>0</v>
      </c>
      <c r="R85" s="141">
        <f t="shared" si="19"/>
        <v>0</v>
      </c>
      <c r="S85" s="141">
        <f t="shared" si="19"/>
        <v>0</v>
      </c>
      <c r="T85" s="141">
        <f t="shared" si="19"/>
        <v>0</v>
      </c>
      <c r="U85" s="141">
        <f t="shared" si="19"/>
        <v>0</v>
      </c>
      <c r="V85" s="141">
        <f t="shared" si="19"/>
        <v>0</v>
      </c>
    </row>
    <row r="86" spans="2:22" x14ac:dyDescent="0.2">
      <c r="B86" s="10"/>
      <c r="C86" s="142"/>
      <c r="D86" s="143"/>
      <c r="E86" s="143"/>
      <c r="F86" s="141">
        <f t="shared" ref="F86:V86" si="20">C$80*$F$81</f>
        <v>13661.005451999999</v>
      </c>
      <c r="G86" s="141">
        <f t="shared" si="20"/>
        <v>212993.07504</v>
      </c>
      <c r="H86" s="141">
        <f t="shared" si="20"/>
        <v>3069368.8698120001</v>
      </c>
      <c r="I86" s="141">
        <f t="shared" si="20"/>
        <v>410356.83104399999</v>
      </c>
      <c r="J86" s="141">
        <f t="shared" si="20"/>
        <v>0</v>
      </c>
      <c r="K86" s="141">
        <f t="shared" si="20"/>
        <v>0</v>
      </c>
      <c r="L86" s="141">
        <f t="shared" si="20"/>
        <v>0</v>
      </c>
      <c r="M86" s="141">
        <f t="shared" si="20"/>
        <v>0</v>
      </c>
      <c r="N86" s="141">
        <f t="shared" si="20"/>
        <v>0</v>
      </c>
      <c r="O86" s="141">
        <f t="shared" si="20"/>
        <v>0</v>
      </c>
      <c r="P86" s="141">
        <f t="shared" si="20"/>
        <v>0</v>
      </c>
      <c r="Q86" s="141">
        <f t="shared" si="20"/>
        <v>0</v>
      </c>
      <c r="R86" s="141">
        <f t="shared" si="20"/>
        <v>0</v>
      </c>
      <c r="S86" s="141">
        <f t="shared" si="20"/>
        <v>0</v>
      </c>
      <c r="T86" s="141">
        <f t="shared" si="20"/>
        <v>0</v>
      </c>
      <c r="U86" s="141">
        <f t="shared" si="20"/>
        <v>0</v>
      </c>
      <c r="V86" s="141">
        <f t="shared" si="20"/>
        <v>0</v>
      </c>
    </row>
    <row r="87" spans="2:22" x14ac:dyDescent="0.2">
      <c r="B87" s="10"/>
      <c r="C87" s="142"/>
      <c r="D87" s="143"/>
      <c r="E87" s="143"/>
      <c r="F87" s="143"/>
      <c r="G87" s="141">
        <f t="shared" ref="G87:V87" si="21">C$80*$G$81</f>
        <v>13491.068964</v>
      </c>
      <c r="H87" s="141">
        <f t="shared" si="21"/>
        <v>210343.54128</v>
      </c>
      <c r="I87" s="141">
        <f t="shared" si="21"/>
        <v>3031187.3634840003</v>
      </c>
      <c r="J87" s="141">
        <f t="shared" si="21"/>
        <v>405252.184908</v>
      </c>
      <c r="K87" s="141">
        <f t="shared" si="21"/>
        <v>0</v>
      </c>
      <c r="L87" s="141">
        <f t="shared" si="21"/>
        <v>0</v>
      </c>
      <c r="M87" s="141">
        <f t="shared" si="21"/>
        <v>0</v>
      </c>
      <c r="N87" s="141">
        <f t="shared" si="21"/>
        <v>0</v>
      </c>
      <c r="O87" s="141">
        <f t="shared" si="21"/>
        <v>0</v>
      </c>
      <c r="P87" s="141">
        <f t="shared" si="21"/>
        <v>0</v>
      </c>
      <c r="Q87" s="141">
        <f t="shared" si="21"/>
        <v>0</v>
      </c>
      <c r="R87" s="141">
        <f t="shared" si="21"/>
        <v>0</v>
      </c>
      <c r="S87" s="141">
        <f t="shared" si="21"/>
        <v>0</v>
      </c>
      <c r="T87" s="141">
        <f t="shared" si="21"/>
        <v>0</v>
      </c>
      <c r="U87" s="141">
        <f t="shared" si="21"/>
        <v>0</v>
      </c>
      <c r="V87" s="141">
        <f t="shared" si="21"/>
        <v>0</v>
      </c>
    </row>
    <row r="88" spans="2:22" x14ac:dyDescent="0.2">
      <c r="B88" s="10"/>
      <c r="C88" s="142"/>
      <c r="D88" s="143"/>
      <c r="E88" s="143"/>
      <c r="F88" s="143"/>
      <c r="G88" s="143"/>
      <c r="H88" s="141">
        <f t="shared" ref="H88:V88" si="22">C$80*$H$81</f>
        <v>7656.5828760000004</v>
      </c>
      <c r="I88" s="141">
        <f t="shared" si="22"/>
        <v>119376.21552</v>
      </c>
      <c r="J88" s="141">
        <f t="shared" si="22"/>
        <v>1720288.9795560001</v>
      </c>
      <c r="K88" s="141">
        <f t="shared" si="22"/>
        <v>229992.66757200001</v>
      </c>
      <c r="L88" s="141">
        <f t="shared" si="22"/>
        <v>0</v>
      </c>
      <c r="M88" s="141">
        <f t="shared" si="22"/>
        <v>0</v>
      </c>
      <c r="N88" s="141">
        <f t="shared" si="22"/>
        <v>0</v>
      </c>
      <c r="O88" s="141">
        <f t="shared" si="22"/>
        <v>0</v>
      </c>
      <c r="P88" s="141">
        <f t="shared" si="22"/>
        <v>0</v>
      </c>
      <c r="Q88" s="141">
        <f t="shared" si="22"/>
        <v>0</v>
      </c>
      <c r="R88" s="141">
        <f t="shared" si="22"/>
        <v>0</v>
      </c>
      <c r="S88" s="141">
        <f t="shared" si="22"/>
        <v>0</v>
      </c>
      <c r="T88" s="141">
        <f t="shared" si="22"/>
        <v>0</v>
      </c>
      <c r="U88" s="141">
        <f t="shared" si="22"/>
        <v>0</v>
      </c>
      <c r="V88" s="141">
        <f t="shared" si="22"/>
        <v>0</v>
      </c>
    </row>
    <row r="89" spans="2:22" x14ac:dyDescent="0.2">
      <c r="B89" s="10"/>
      <c r="C89" s="142"/>
      <c r="D89" s="143"/>
      <c r="E89" s="143"/>
      <c r="F89" s="143"/>
      <c r="G89" s="143"/>
      <c r="H89" s="143"/>
      <c r="I89" s="141">
        <f t="shared" ref="I89:V89" si="23">C$80*$I$81</f>
        <v>1850.4195360000001</v>
      </c>
      <c r="J89" s="141">
        <f t="shared" si="23"/>
        <v>28850.478719999999</v>
      </c>
      <c r="K89" s="141">
        <f t="shared" si="23"/>
        <v>415754.180016</v>
      </c>
      <c r="L89" s="141">
        <f t="shared" si="23"/>
        <v>55583.924591999996</v>
      </c>
      <c r="M89" s="141">
        <f t="shared" si="23"/>
        <v>0</v>
      </c>
      <c r="N89" s="141">
        <f t="shared" si="23"/>
        <v>0</v>
      </c>
      <c r="O89" s="141">
        <f t="shared" si="23"/>
        <v>0</v>
      </c>
      <c r="P89" s="141">
        <f t="shared" si="23"/>
        <v>0</v>
      </c>
      <c r="Q89" s="141">
        <f t="shared" si="23"/>
        <v>0</v>
      </c>
      <c r="R89" s="141">
        <f t="shared" si="23"/>
        <v>0</v>
      </c>
      <c r="S89" s="141">
        <f t="shared" si="23"/>
        <v>0</v>
      </c>
      <c r="T89" s="141">
        <f t="shared" si="23"/>
        <v>0</v>
      </c>
      <c r="U89" s="141">
        <f t="shared" si="23"/>
        <v>0</v>
      </c>
      <c r="V89" s="141">
        <f t="shared" si="23"/>
        <v>0</v>
      </c>
    </row>
    <row r="90" spans="2:22" x14ac:dyDescent="0.2">
      <c r="B90" s="10"/>
      <c r="C90" s="142"/>
      <c r="D90" s="143"/>
      <c r="E90" s="143"/>
      <c r="F90" s="143"/>
      <c r="G90" s="143"/>
      <c r="H90" s="143"/>
      <c r="I90" s="143"/>
      <c r="J90" s="141">
        <f t="shared" ref="J90:V90" si="24">C$80*$J$81</f>
        <v>1708.8057960000001</v>
      </c>
      <c r="K90" s="141">
        <f t="shared" si="24"/>
        <v>26642.533920000002</v>
      </c>
      <c r="L90" s="141">
        <f t="shared" si="24"/>
        <v>383936.25807600003</v>
      </c>
      <c r="M90" s="141">
        <f t="shared" si="24"/>
        <v>51330.052812000002</v>
      </c>
      <c r="N90" s="141">
        <f t="shared" si="24"/>
        <v>0</v>
      </c>
      <c r="O90" s="141">
        <f t="shared" si="24"/>
        <v>0</v>
      </c>
      <c r="P90" s="141">
        <f t="shared" si="24"/>
        <v>0</v>
      </c>
      <c r="Q90" s="141">
        <f t="shared" si="24"/>
        <v>0</v>
      </c>
      <c r="R90" s="141">
        <f t="shared" si="24"/>
        <v>0</v>
      </c>
      <c r="S90" s="141">
        <f t="shared" si="24"/>
        <v>0</v>
      </c>
      <c r="T90" s="141">
        <f t="shared" si="24"/>
        <v>0</v>
      </c>
      <c r="U90" s="141">
        <f t="shared" si="24"/>
        <v>0</v>
      </c>
      <c r="V90" s="141">
        <f t="shared" si="24"/>
        <v>0</v>
      </c>
    </row>
    <row r="91" spans="2:22" x14ac:dyDescent="0.2">
      <c r="B91" s="10"/>
      <c r="C91" s="142"/>
      <c r="D91" s="143"/>
      <c r="E91" s="143"/>
      <c r="F91" s="143"/>
      <c r="G91" s="143"/>
      <c r="H91" s="143"/>
      <c r="I91" s="143"/>
      <c r="J91" s="143"/>
      <c r="K91" s="141">
        <f t="shared" ref="K91:V91" si="25">C$80*$K$81</f>
        <v>1680.4830480000001</v>
      </c>
      <c r="L91" s="141">
        <f t="shared" si="25"/>
        <v>26200.944960000001</v>
      </c>
      <c r="M91" s="141">
        <f t="shared" si="25"/>
        <v>377572.67368800001</v>
      </c>
      <c r="N91" s="141">
        <f t="shared" si="25"/>
        <v>50479.278456</v>
      </c>
      <c r="O91" s="141">
        <f t="shared" si="25"/>
        <v>0</v>
      </c>
      <c r="P91" s="141">
        <f t="shared" si="25"/>
        <v>0</v>
      </c>
      <c r="Q91" s="141">
        <f t="shared" si="25"/>
        <v>0</v>
      </c>
      <c r="R91" s="141">
        <f t="shared" si="25"/>
        <v>0</v>
      </c>
      <c r="S91" s="141">
        <f t="shared" si="25"/>
        <v>0</v>
      </c>
      <c r="T91" s="141">
        <f t="shared" si="25"/>
        <v>0</v>
      </c>
      <c r="U91" s="141">
        <f t="shared" si="25"/>
        <v>0</v>
      </c>
      <c r="V91" s="141">
        <f t="shared" si="25"/>
        <v>0</v>
      </c>
    </row>
    <row r="92" spans="2:22" x14ac:dyDescent="0.2">
      <c r="B92" s="10"/>
      <c r="C92" s="142"/>
      <c r="D92" s="143"/>
      <c r="E92" s="143"/>
      <c r="F92" s="143"/>
      <c r="G92" s="143"/>
      <c r="H92" s="143"/>
      <c r="I92" s="143"/>
      <c r="J92" s="143"/>
      <c r="K92" s="143"/>
      <c r="L92" s="141">
        <f t="shared" ref="L92:V92" si="26">C$80*$L$81</f>
        <v>1680.4830480000001</v>
      </c>
      <c r="M92" s="141">
        <f t="shared" si="26"/>
        <v>26200.944960000001</v>
      </c>
      <c r="N92" s="141">
        <f t="shared" si="26"/>
        <v>377572.67368800001</v>
      </c>
      <c r="O92" s="141">
        <f t="shared" si="26"/>
        <v>50479.278456</v>
      </c>
      <c r="P92" s="141">
        <f t="shared" si="26"/>
        <v>0</v>
      </c>
      <c r="Q92" s="141">
        <f t="shared" si="26"/>
        <v>0</v>
      </c>
      <c r="R92" s="141">
        <f t="shared" si="26"/>
        <v>0</v>
      </c>
      <c r="S92" s="141">
        <f t="shared" si="26"/>
        <v>0</v>
      </c>
      <c r="T92" s="141">
        <f t="shared" si="26"/>
        <v>0</v>
      </c>
      <c r="U92" s="141">
        <f t="shared" si="26"/>
        <v>0</v>
      </c>
      <c r="V92" s="141">
        <f t="shared" si="26"/>
        <v>0</v>
      </c>
    </row>
    <row r="93" spans="2:22" x14ac:dyDescent="0.2">
      <c r="B93" s="10"/>
      <c r="C93" s="142"/>
      <c r="D93" s="143"/>
      <c r="E93" s="143"/>
      <c r="F93" s="143"/>
      <c r="G93" s="143"/>
      <c r="H93" s="143"/>
      <c r="I93" s="143"/>
      <c r="J93" s="143"/>
      <c r="K93" s="143"/>
      <c r="L93" s="143"/>
      <c r="M93" s="141">
        <f t="shared" ref="M93:V93" si="27">C$80*$M$81</f>
        <v>1680.4830480000001</v>
      </c>
      <c r="N93" s="141">
        <f t="shared" si="27"/>
        <v>26200.944960000001</v>
      </c>
      <c r="O93" s="141">
        <f t="shared" si="27"/>
        <v>377572.67368800001</v>
      </c>
      <c r="P93" s="141">
        <f t="shared" si="27"/>
        <v>50479.278456</v>
      </c>
      <c r="Q93" s="141">
        <f t="shared" si="27"/>
        <v>0</v>
      </c>
      <c r="R93" s="141">
        <f t="shared" si="27"/>
        <v>0</v>
      </c>
      <c r="S93" s="141">
        <f t="shared" si="27"/>
        <v>0</v>
      </c>
      <c r="T93" s="141">
        <f t="shared" si="27"/>
        <v>0</v>
      </c>
      <c r="U93" s="141">
        <f t="shared" si="27"/>
        <v>0</v>
      </c>
      <c r="V93" s="141">
        <f t="shared" si="27"/>
        <v>0</v>
      </c>
    </row>
    <row r="94" spans="2:22" x14ac:dyDescent="0.2">
      <c r="B94" s="10"/>
      <c r="C94" s="142"/>
      <c r="D94" s="143"/>
      <c r="E94" s="143"/>
      <c r="F94" s="143"/>
      <c r="G94" s="143"/>
      <c r="H94" s="143"/>
      <c r="I94" s="143"/>
      <c r="J94" s="143"/>
      <c r="K94" s="143"/>
      <c r="L94" s="143"/>
      <c r="M94" s="136"/>
      <c r="N94" s="141">
        <f t="shared" ref="N94:V94" si="28">C$80*$N$81</f>
        <v>1680.4830480000001</v>
      </c>
      <c r="O94" s="141">
        <f t="shared" si="28"/>
        <v>26200.944960000001</v>
      </c>
      <c r="P94" s="141">
        <f t="shared" si="28"/>
        <v>377572.67368800001</v>
      </c>
      <c r="Q94" s="141">
        <f t="shared" si="28"/>
        <v>50479.278456</v>
      </c>
      <c r="R94" s="141">
        <f t="shared" si="28"/>
        <v>0</v>
      </c>
      <c r="S94" s="141">
        <f t="shared" si="28"/>
        <v>0</v>
      </c>
      <c r="T94" s="141">
        <f t="shared" si="28"/>
        <v>0</v>
      </c>
      <c r="U94" s="141">
        <f t="shared" si="28"/>
        <v>0</v>
      </c>
      <c r="V94" s="141">
        <f t="shared" si="28"/>
        <v>0</v>
      </c>
    </row>
    <row r="95" spans="2:22" x14ac:dyDescent="0.2">
      <c r="B95" s="10"/>
      <c r="C95" s="142"/>
      <c r="D95" s="143"/>
      <c r="E95" s="143"/>
      <c r="F95" s="143"/>
      <c r="G95" s="143"/>
      <c r="H95" s="143"/>
      <c r="I95" s="143"/>
      <c r="J95" s="143"/>
      <c r="K95" s="143"/>
      <c r="L95" s="143"/>
      <c r="M95" s="136"/>
      <c r="N95" s="136"/>
      <c r="O95" s="141">
        <f t="shared" ref="O95:V95" si="29">C$80*$O$81</f>
        <v>1680.4830480000001</v>
      </c>
      <c r="P95" s="141">
        <f t="shared" si="29"/>
        <v>26200.944960000001</v>
      </c>
      <c r="Q95" s="141">
        <f t="shared" si="29"/>
        <v>377572.67368800001</v>
      </c>
      <c r="R95" s="141">
        <f t="shared" si="29"/>
        <v>50479.278456</v>
      </c>
      <c r="S95" s="141">
        <f t="shared" si="29"/>
        <v>0</v>
      </c>
      <c r="T95" s="141">
        <f t="shared" si="29"/>
        <v>0</v>
      </c>
      <c r="U95" s="141">
        <f t="shared" si="29"/>
        <v>0</v>
      </c>
      <c r="V95" s="141">
        <f t="shared" si="29"/>
        <v>0</v>
      </c>
    </row>
    <row r="96" spans="2:22" x14ac:dyDescent="0.2">
      <c r="B96" s="10"/>
      <c r="C96" s="142"/>
      <c r="D96" s="143"/>
      <c r="E96" s="143"/>
      <c r="F96" s="143"/>
      <c r="G96" s="143"/>
      <c r="H96" s="143"/>
      <c r="I96" s="143"/>
      <c r="J96" s="143"/>
      <c r="K96" s="143"/>
      <c r="L96" s="143"/>
      <c r="M96" s="136"/>
      <c r="N96" s="136"/>
      <c r="O96" s="136"/>
      <c r="P96" s="141">
        <f t="shared" ref="P96:V96" si="30">C$80*$P$81</f>
        <v>1680.4830480000001</v>
      </c>
      <c r="Q96" s="141">
        <f t="shared" si="30"/>
        <v>26200.944960000001</v>
      </c>
      <c r="R96" s="141">
        <f t="shared" si="30"/>
        <v>377572.67368800001</v>
      </c>
      <c r="S96" s="141">
        <f t="shared" si="30"/>
        <v>50479.278456</v>
      </c>
      <c r="T96" s="141">
        <f t="shared" si="30"/>
        <v>0</v>
      </c>
      <c r="U96" s="141">
        <f t="shared" si="30"/>
        <v>0</v>
      </c>
      <c r="V96" s="141">
        <f t="shared" si="30"/>
        <v>0</v>
      </c>
    </row>
    <row r="97" spans="1:22" x14ac:dyDescent="0.2">
      <c r="B97" s="10"/>
      <c r="C97" s="142"/>
      <c r="D97" s="143"/>
      <c r="E97" s="143"/>
      <c r="F97" s="143"/>
      <c r="G97" s="143"/>
      <c r="H97" s="143"/>
      <c r="I97" s="143"/>
      <c r="J97" s="143"/>
      <c r="K97" s="143"/>
      <c r="L97" s="143"/>
      <c r="M97" s="136"/>
      <c r="N97" s="136"/>
      <c r="O97" s="136"/>
      <c r="P97" s="136"/>
      <c r="Q97" s="141">
        <f t="shared" ref="Q97:V97" si="31">C$80*$Q$81</f>
        <v>1680.4830480000001</v>
      </c>
      <c r="R97" s="141">
        <f t="shared" si="31"/>
        <v>26200.944960000001</v>
      </c>
      <c r="S97" s="141">
        <f t="shared" si="31"/>
        <v>377572.67368800001</v>
      </c>
      <c r="T97" s="141">
        <f t="shared" si="31"/>
        <v>50479.278456</v>
      </c>
      <c r="U97" s="141">
        <f t="shared" si="31"/>
        <v>0</v>
      </c>
      <c r="V97" s="141">
        <f t="shared" si="31"/>
        <v>0</v>
      </c>
    </row>
    <row r="98" spans="1:22" x14ac:dyDescent="0.2">
      <c r="B98" s="10"/>
      <c r="C98" s="142"/>
      <c r="D98" s="143"/>
      <c r="E98" s="143"/>
      <c r="F98" s="143"/>
      <c r="G98" s="143"/>
      <c r="H98" s="143"/>
      <c r="I98" s="143"/>
      <c r="J98" s="143"/>
      <c r="K98" s="143"/>
      <c r="L98" s="143"/>
      <c r="M98" s="136"/>
      <c r="N98" s="136"/>
      <c r="O98" s="136"/>
      <c r="P98" s="136"/>
      <c r="Q98" s="136"/>
      <c r="R98" s="141">
        <f>C$80*$R$81</f>
        <v>1680.4830480000001</v>
      </c>
      <c r="S98" s="141">
        <f>D$80*$R$81</f>
        <v>26200.944960000001</v>
      </c>
      <c r="T98" s="141">
        <f>E$80*$R$81</f>
        <v>377572.67368800001</v>
      </c>
      <c r="U98" s="141">
        <f>F$80*$R$81</f>
        <v>50479.278456</v>
      </c>
      <c r="V98" s="141">
        <f>G$80*$R$81</f>
        <v>0</v>
      </c>
    </row>
    <row r="99" spans="1:22" x14ac:dyDescent="0.2">
      <c r="B99" s="10"/>
      <c r="C99" s="142"/>
      <c r="D99" s="143"/>
      <c r="E99" s="143"/>
      <c r="F99" s="143"/>
      <c r="G99" s="143"/>
      <c r="H99" s="143"/>
      <c r="I99" s="143"/>
      <c r="J99" s="143"/>
      <c r="K99" s="143"/>
      <c r="L99" s="143"/>
      <c r="M99" s="136"/>
      <c r="N99" s="136"/>
      <c r="O99" s="136"/>
      <c r="P99" s="136"/>
      <c r="Q99" s="136"/>
      <c r="R99" s="136"/>
      <c r="S99" s="141">
        <f>C$80*$S$81</f>
        <v>1680.4830480000001</v>
      </c>
      <c r="T99" s="141">
        <f>D$80*$S$81</f>
        <v>26200.944960000001</v>
      </c>
      <c r="U99" s="141">
        <f>E$80*$S$81</f>
        <v>377572.67368800001</v>
      </c>
      <c r="V99" s="141">
        <f>F$80*$S$81</f>
        <v>50479.278456</v>
      </c>
    </row>
    <row r="100" spans="1:22" x14ac:dyDescent="0.2">
      <c r="B100" s="10"/>
      <c r="C100" s="142"/>
      <c r="D100" s="143"/>
      <c r="E100" s="143"/>
      <c r="F100" s="143"/>
      <c r="G100" s="143"/>
      <c r="H100" s="143"/>
      <c r="I100" s="143"/>
      <c r="J100" s="143"/>
      <c r="K100" s="143"/>
      <c r="L100" s="143"/>
      <c r="M100" s="136"/>
      <c r="N100" s="136"/>
      <c r="O100" s="136"/>
      <c r="P100" s="136"/>
      <c r="Q100" s="136"/>
      <c r="R100" s="136"/>
      <c r="S100" s="136"/>
      <c r="T100" s="141">
        <f>C$80*$T$81</f>
        <v>1680.4830480000001</v>
      </c>
      <c r="U100" s="141">
        <f>D$80*$T$81</f>
        <v>26200.944960000001</v>
      </c>
      <c r="V100" s="141">
        <f>E$80*$T$81</f>
        <v>377572.67368800001</v>
      </c>
    </row>
    <row r="101" spans="1:22" x14ac:dyDescent="0.2">
      <c r="B101" s="10"/>
      <c r="C101" s="142"/>
      <c r="D101" s="143"/>
      <c r="E101" s="143"/>
      <c r="F101" s="143"/>
      <c r="G101" s="143"/>
      <c r="H101" s="143"/>
      <c r="I101" s="143"/>
      <c r="J101" s="143"/>
      <c r="K101" s="143"/>
      <c r="L101" s="143"/>
      <c r="M101" s="136"/>
      <c r="N101" s="136"/>
      <c r="O101" s="136"/>
      <c r="P101" s="136"/>
      <c r="Q101" s="136"/>
      <c r="R101" s="136"/>
      <c r="S101" s="136"/>
      <c r="T101" s="136"/>
      <c r="U101" s="141">
        <f>C$80*$U$81</f>
        <v>1680.4830480000001</v>
      </c>
      <c r="V101" s="141">
        <f>D$80*$U$81</f>
        <v>26200.944960000001</v>
      </c>
    </row>
    <row r="102" spans="1:22" x14ac:dyDescent="0.2">
      <c r="B102" s="10"/>
      <c r="C102" s="144"/>
      <c r="D102" s="145"/>
      <c r="E102" s="145"/>
      <c r="F102" s="145"/>
      <c r="G102" s="145"/>
      <c r="H102" s="145"/>
      <c r="I102" s="145"/>
      <c r="J102" s="145"/>
      <c r="K102" s="145"/>
      <c r="L102" s="145"/>
      <c r="M102" s="146"/>
      <c r="N102" s="146"/>
      <c r="O102" s="146"/>
      <c r="P102" s="146"/>
      <c r="Q102" s="146"/>
      <c r="R102" s="146"/>
      <c r="S102" s="146"/>
      <c r="T102" s="146"/>
      <c r="U102" s="146"/>
      <c r="V102" s="262">
        <f>C$80*$V$81</f>
        <v>1680.4830480000001</v>
      </c>
    </row>
    <row r="103" spans="1:22" ht="13.5" thickBot="1" x14ac:dyDescent="0.25">
      <c r="A103" s="2" t="s">
        <v>150</v>
      </c>
      <c r="B103" s="10"/>
      <c r="C103" s="147">
        <f t="shared" ref="C103:V103" si="32">SUM(C83:C102)</f>
        <v>7080.6869999999999</v>
      </c>
      <c r="D103" s="148">
        <f t="shared" si="32"/>
        <v>124454.763924</v>
      </c>
      <c r="E103" s="148">
        <f t="shared" si="32"/>
        <v>1823921.241252</v>
      </c>
      <c r="F103" s="148">
        <f t="shared" si="32"/>
        <v>3600750.6471360005</v>
      </c>
      <c r="G103" s="148">
        <f t="shared" si="32"/>
        <v>3760544.581764</v>
      </c>
      <c r="H103" s="148">
        <f t="shared" si="32"/>
        <v>3703397.654052</v>
      </c>
      <c r="I103" s="148">
        <f t="shared" si="32"/>
        <v>3562770.8295840006</v>
      </c>
      <c r="J103" s="148">
        <f t="shared" si="32"/>
        <v>2156100.4489800003</v>
      </c>
      <c r="K103" s="148">
        <f t="shared" si="32"/>
        <v>674069.86455599999</v>
      </c>
      <c r="L103" s="148">
        <f t="shared" si="32"/>
        <v>467401.61067600001</v>
      </c>
      <c r="M103" s="148">
        <f t="shared" si="32"/>
        <v>456784.15450800001</v>
      </c>
      <c r="N103" s="148">
        <f t="shared" si="32"/>
        <v>455933.380152</v>
      </c>
      <c r="O103" s="148">
        <f t="shared" si="32"/>
        <v>455933.380152</v>
      </c>
      <c r="P103" s="148">
        <f t="shared" si="32"/>
        <v>455933.380152</v>
      </c>
      <c r="Q103" s="148">
        <f t="shared" si="32"/>
        <v>455933.380152</v>
      </c>
      <c r="R103" s="148">
        <f t="shared" si="32"/>
        <v>455933.380152</v>
      </c>
      <c r="S103" s="148">
        <f t="shared" si="32"/>
        <v>455933.380152</v>
      </c>
      <c r="T103" s="148">
        <f t="shared" si="32"/>
        <v>455933.380152</v>
      </c>
      <c r="U103" s="148">
        <f t="shared" si="32"/>
        <v>455933.380152</v>
      </c>
      <c r="V103" s="148">
        <f t="shared" si="32"/>
        <v>455933.380152</v>
      </c>
    </row>
    <row r="104" spans="1:22" ht="13.5" thickTop="1" x14ac:dyDescent="0.2">
      <c r="B104" s="10"/>
      <c r="C104" s="7"/>
    </row>
    <row r="105" spans="1:22" x14ac:dyDescent="0.2">
      <c r="A105" s="2" t="s">
        <v>146</v>
      </c>
      <c r="B105" s="10"/>
      <c r="C105" s="7">
        <f>VLOOKUP(IS!$B$1,Depr,C78-1997)</f>
        <v>1296887</v>
      </c>
      <c r="D105" s="7">
        <f>VLOOKUP(IS!$B$1,Depr,D78-1997)</f>
        <v>1263820</v>
      </c>
      <c r="E105" s="7">
        <f>VLOOKUP(IS!$B$1,Depr,E78-1997)</f>
        <v>1233305</v>
      </c>
      <c r="F105" s="7">
        <f>VLOOKUP(IS!$B$1,Depr,F78-1997)</f>
        <v>1223334</v>
      </c>
      <c r="G105" s="7">
        <f>VLOOKUP(IS!$B$1,Depr,G78-1997)</f>
        <v>1216952</v>
      </c>
      <c r="H105" s="7">
        <f>VLOOKUP(IS!$B$1,Depr,H78-1997)</f>
        <v>1210984</v>
      </c>
      <c r="I105" s="7">
        <f>VLOOKUP(IS!$B$1,Depr,I78-1997)</f>
        <v>1205530</v>
      </c>
      <c r="J105" s="7">
        <f>VLOOKUP(IS!$B$1,Depr,J78-1997)</f>
        <v>1204607</v>
      </c>
      <c r="K105" s="7">
        <f>VLOOKUP(IS!$B$1,Depr,K78-1997)</f>
        <v>892019</v>
      </c>
      <c r="L105" s="7">
        <f>VLOOKUP(IS!$B$1,Depr,L78-1997)</f>
        <v>579551</v>
      </c>
      <c r="M105" s="7">
        <f>VLOOKUP(IS!$B$1,Depr,M78-1997)</f>
        <v>579421</v>
      </c>
      <c r="N105" s="7">
        <f>VLOOKUP(IS!$B$1,Depr,N78-1997)</f>
        <v>432924</v>
      </c>
      <c r="O105" s="7">
        <f>VLOOKUP(IS!$B$1,Depr,O78-1997)</f>
        <v>286238</v>
      </c>
      <c r="P105" s="7">
        <f>VLOOKUP(IS!$B$1,Depr,P78-1997)</f>
        <v>286302</v>
      </c>
      <c r="Q105" s="7">
        <f>VLOOKUP(IS!$B$1,Depr,Q78-1997)</f>
        <v>286238</v>
      </c>
      <c r="R105" s="7">
        <f>VLOOKUP(IS!$B$1,Depr,R78-1997)</f>
        <v>176547</v>
      </c>
      <c r="S105" s="7">
        <f>VLOOKUP(IS!$B$1,Depr,S78-1997)</f>
        <v>66780</v>
      </c>
      <c r="T105" s="7">
        <f>VLOOKUP(IS!$B$1,Depr,T78-1997)</f>
        <v>66795</v>
      </c>
      <c r="U105" s="7">
        <f>VLOOKUP(IS!$B$1,Depr,U78-1997)</f>
        <v>66780</v>
      </c>
      <c r="V105" s="7">
        <f>VLOOKUP(IS!$B$1,Depr,V78-1997)</f>
        <v>33397</v>
      </c>
    </row>
    <row r="108" spans="1:22" x14ac:dyDescent="0.2">
      <c r="A108" s="263" t="s">
        <v>218</v>
      </c>
      <c r="B108" s="263"/>
      <c r="C108" s="264">
        <f>C105+C103+C75</f>
        <v>1303967.6869999999</v>
      </c>
      <c r="D108" s="264">
        <f>D105+D103+D75</f>
        <v>1434872.2601740002</v>
      </c>
      <c r="E108" s="264">
        <f t="shared" ref="E108:V108" si="33">E105+E103+E75</f>
        <v>3155929.5261579999</v>
      </c>
      <c r="F108" s="264">
        <f t="shared" si="33"/>
        <v>4939391.063348501</v>
      </c>
      <c r="G108" s="264">
        <f t="shared" si="33"/>
        <v>5108167.5928593995</v>
      </c>
      <c r="H108" s="264">
        <f t="shared" si="33"/>
        <v>5062073.5215890007</v>
      </c>
      <c r="I108" s="264">
        <f t="shared" si="33"/>
        <v>4941076.9650851702</v>
      </c>
      <c r="J108" s="264">
        <f t="shared" si="33"/>
        <v>3557780.8992803944</v>
      </c>
      <c r="K108" s="264">
        <f t="shared" si="33"/>
        <v>1786747.972144224</v>
      </c>
      <c r="L108" s="264">
        <f t="shared" si="33"/>
        <v>1294028.9634054825</v>
      </c>
      <c r="M108" s="264">
        <f t="shared" si="33"/>
        <v>1310279.0760656982</v>
      </c>
      <c r="N108" s="264">
        <f t="shared" si="33"/>
        <v>1190373.2136408901</v>
      </c>
      <c r="O108" s="264">
        <f t="shared" si="33"/>
        <v>1071222.9967528018</v>
      </c>
      <c r="P108" s="264">
        <f t="shared" si="33"/>
        <v>1099507.6173198787</v>
      </c>
      <c r="Q108" s="264">
        <f t="shared" si="33"/>
        <v>1128510.8565039681</v>
      </c>
      <c r="R108" s="264">
        <f t="shared" si="33"/>
        <v>1048759.1128635802</v>
      </c>
      <c r="S108" s="264">
        <f t="shared" si="33"/>
        <v>969829.54691398051</v>
      </c>
      <c r="T108" s="264">
        <f t="shared" si="33"/>
        <v>1001607.103985893</v>
      </c>
      <c r="U108" s="264">
        <f t="shared" si="33"/>
        <v>1034307.5377699627</v>
      </c>
      <c r="V108" s="264">
        <f t="shared" si="33"/>
        <v>1034621.4345675546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14"/>
  <sheetViews>
    <sheetView workbookViewId="0"/>
  </sheetViews>
  <sheetFormatPr defaultRowHeight="12.75" x14ac:dyDescent="0.2"/>
  <cols>
    <col min="1" max="1" width="4.28515625" customWidth="1"/>
    <col min="2" max="2" width="15" customWidth="1"/>
    <col min="3" max="4" width="10.7109375" bestFit="1" customWidth="1"/>
    <col min="5" max="5" width="13.7109375" bestFit="1" customWidth="1"/>
    <col min="6" max="6" width="13.42578125" bestFit="1" customWidth="1"/>
    <col min="7" max="7" width="11.42578125" bestFit="1" customWidth="1"/>
    <col min="8" max="8" width="12.7109375" bestFit="1" customWidth="1"/>
    <col min="9" max="9" width="10.7109375" bestFit="1" customWidth="1"/>
    <col min="10" max="10" width="11" bestFit="1" customWidth="1"/>
    <col min="11" max="12" width="10.5703125" bestFit="1" customWidth="1"/>
    <col min="13" max="13" width="10.85546875" bestFit="1" customWidth="1"/>
    <col min="14" max="14" width="10.42578125" bestFit="1" customWidth="1"/>
    <col min="15" max="17" width="10.5703125" bestFit="1" customWidth="1"/>
    <col min="18" max="18" width="10" bestFit="1" customWidth="1"/>
    <col min="19" max="21" width="10.42578125" bestFit="1" customWidth="1"/>
    <col min="22" max="33" width="9.85546875" bestFit="1" customWidth="1"/>
  </cols>
  <sheetData>
    <row r="1" spans="1:33" x14ac:dyDescent="0.2">
      <c r="A1" s="138" t="s">
        <v>208</v>
      </c>
    </row>
    <row r="8" spans="1:33" x14ac:dyDescent="0.2">
      <c r="C8" s="12">
        <v>2000</v>
      </c>
      <c r="D8" s="12">
        <v>2001</v>
      </c>
      <c r="E8" s="12">
        <v>2002</v>
      </c>
      <c r="F8" s="12">
        <v>2003</v>
      </c>
      <c r="G8" s="12">
        <v>2004</v>
      </c>
      <c r="H8" s="12">
        <v>2005</v>
      </c>
      <c r="I8" s="12">
        <v>2006</v>
      </c>
      <c r="J8" s="12">
        <v>2007</v>
      </c>
      <c r="K8" s="12">
        <v>2008</v>
      </c>
      <c r="L8" s="12">
        <v>2009</v>
      </c>
      <c r="M8" s="12">
        <v>2010</v>
      </c>
      <c r="N8" s="12">
        <v>2011</v>
      </c>
      <c r="O8" s="12">
        <v>2012</v>
      </c>
      <c r="P8" s="12">
        <v>2013</v>
      </c>
      <c r="Q8" s="12">
        <v>2014</v>
      </c>
      <c r="R8" s="12">
        <v>2015</v>
      </c>
      <c r="S8" s="12">
        <v>2016</v>
      </c>
      <c r="T8" s="12">
        <v>2017</v>
      </c>
      <c r="U8" s="12">
        <v>2018</v>
      </c>
      <c r="V8" s="12">
        <v>2019</v>
      </c>
    </row>
    <row r="10" spans="1:33" x14ac:dyDescent="0.2">
      <c r="A10">
        <v>1</v>
      </c>
      <c r="B10" t="s">
        <v>55</v>
      </c>
      <c r="C10" s="224">
        <f>'GAAP Beg Depreciation'!K125</f>
        <v>2451554.5500730299</v>
      </c>
      <c r="D10" s="224">
        <f>'GAAP Beg Depreciation'!L125</f>
        <v>2451554.5500730299</v>
      </c>
      <c r="E10" s="224">
        <f>'GAAP Beg Depreciation'!M125</f>
        <v>2451554.5500730299</v>
      </c>
      <c r="F10" s="224">
        <f>'GAAP Beg Depreciation'!N125</f>
        <v>2451554.5500730299</v>
      </c>
      <c r="G10" s="224">
        <f>'GAAP Beg Depreciation'!O125</f>
        <v>2451554.5500730299</v>
      </c>
      <c r="H10" s="224">
        <f>'GAAP Beg Depreciation'!P125</f>
        <v>2451554.5500730299</v>
      </c>
      <c r="I10" s="224">
        <f>'GAAP Beg Depreciation'!Q125</f>
        <v>2451554.5500730299</v>
      </c>
      <c r="J10" s="224">
        <f>'GAAP Beg Depreciation'!R125</f>
        <v>2451554.5500730299</v>
      </c>
      <c r="K10" s="224">
        <f>'GAAP Beg Depreciation'!S125</f>
        <v>2451554.5500730299</v>
      </c>
      <c r="L10" s="224">
        <f>'GAAP Beg Depreciation'!T125</f>
        <v>2451554.5500730299</v>
      </c>
      <c r="M10" s="224">
        <f>'GAAP Beg Depreciation'!U125</f>
        <v>2451554.5500730299</v>
      </c>
      <c r="N10" s="224">
        <f>'GAAP Beg Depreciation'!V125</f>
        <v>2451554.5500730299</v>
      </c>
      <c r="O10" s="224">
        <f>'GAAP Beg Depreciation'!W125</f>
        <v>2451554.5500730299</v>
      </c>
      <c r="P10" s="224">
        <f>'GAAP Beg Depreciation'!X125</f>
        <v>2448742.82007303</v>
      </c>
      <c r="Q10" s="224">
        <f>'GAAP Beg Depreciation'!Y125</f>
        <v>462607.31007302692</v>
      </c>
      <c r="R10" s="224">
        <f>'GAAP Beg Depreciation'!Z125</f>
        <v>94773.350073029753</v>
      </c>
      <c r="S10" s="224">
        <f>'GAAP Beg Depreciation'!AA125</f>
        <v>94773.350073029753</v>
      </c>
      <c r="T10" s="224">
        <f>'GAAP Beg Depreciation'!AB125</f>
        <v>94773.350073029753</v>
      </c>
      <c r="U10" s="224">
        <f>'GAAP Beg Depreciation'!AC125</f>
        <v>94773.350073029753</v>
      </c>
      <c r="V10" s="224">
        <f>'GAAP Beg Depreciation'!AD125</f>
        <v>94773.350073029753</v>
      </c>
      <c r="W10" s="224">
        <f>'GAAP Beg Depreciation'!AE125</f>
        <v>94773.350073029753</v>
      </c>
      <c r="X10" s="224">
        <f>'GAAP Beg Depreciation'!AF125</f>
        <v>94773.350073029753</v>
      </c>
      <c r="Y10" s="224">
        <f>'GAAP Beg Depreciation'!AG125</f>
        <v>94773.350073029753</v>
      </c>
      <c r="Z10" s="224">
        <f>'GAAP Beg Depreciation'!AH125</f>
        <v>94773.350073029753</v>
      </c>
      <c r="AA10" s="224">
        <f>'GAAP Beg Depreciation'!AI125</f>
        <v>94773.350073029753</v>
      </c>
      <c r="AB10" s="224">
        <f>'GAAP Beg Depreciation'!AJ125</f>
        <v>94773.350073029753</v>
      </c>
      <c r="AC10" s="224">
        <f>'GAAP Beg Depreciation'!AK125</f>
        <v>94773.350073029753</v>
      </c>
      <c r="AD10" s="224">
        <f>'GAAP Beg Depreciation'!AL125</f>
        <v>94773.350073029753</v>
      </c>
      <c r="AE10" s="224">
        <f>'GAAP Beg Depreciation'!AM125</f>
        <v>94773.350073029753</v>
      </c>
      <c r="AF10" s="224">
        <f>'GAAP Beg Depreciation'!AN125</f>
        <v>94773.350073029753</v>
      </c>
      <c r="AG10" s="224">
        <f>'GAAP Beg Depreciation'!AO125</f>
        <v>0</v>
      </c>
    </row>
    <row r="11" spans="1:33" x14ac:dyDescent="0.2">
      <c r="A11">
        <v>2</v>
      </c>
      <c r="B11" t="s">
        <v>56</v>
      </c>
      <c r="C11" s="224">
        <f>'GAAP Beg Depreciation'!K126</f>
        <v>9609843.1447259802</v>
      </c>
      <c r="D11" s="224">
        <f>'GAAP Beg Depreciation'!L126</f>
        <v>9609843.1447259802</v>
      </c>
      <c r="E11" s="224">
        <f>'GAAP Beg Depreciation'!M126</f>
        <v>9609843.1447259802</v>
      </c>
      <c r="F11" s="224">
        <f>'GAAP Beg Depreciation'!N126</f>
        <v>9609843.1447259802</v>
      </c>
      <c r="G11" s="224">
        <f>'GAAP Beg Depreciation'!O126</f>
        <v>9609843.1447259802</v>
      </c>
      <c r="H11" s="224">
        <f>'GAAP Beg Depreciation'!P126</f>
        <v>9609843.1447259802</v>
      </c>
      <c r="I11" s="224">
        <f>'GAAP Beg Depreciation'!Q126</f>
        <v>9609843.1447259802</v>
      </c>
      <c r="J11" s="224">
        <f>'GAAP Beg Depreciation'!R126</f>
        <v>9609843.1447259802</v>
      </c>
      <c r="K11" s="224">
        <f>'GAAP Beg Depreciation'!S126</f>
        <v>9609843.1447259802</v>
      </c>
      <c r="L11" s="224">
        <f>'GAAP Beg Depreciation'!T126</f>
        <v>9609843.1447259802</v>
      </c>
      <c r="M11" s="224">
        <f>'GAAP Beg Depreciation'!U126</f>
        <v>9609843.1447259802</v>
      </c>
      <c r="N11" s="224">
        <f>'GAAP Beg Depreciation'!V126</f>
        <v>9609843.1447259802</v>
      </c>
      <c r="O11" s="224">
        <f>'GAAP Beg Depreciation'!W126</f>
        <v>9609843.1447259802</v>
      </c>
      <c r="P11" s="224">
        <f>'GAAP Beg Depreciation'!X126</f>
        <v>9609843.1447259802</v>
      </c>
      <c r="Q11" s="224">
        <f>'GAAP Beg Depreciation'!Y126</f>
        <v>9609843.1447259802</v>
      </c>
      <c r="R11" s="224">
        <f>'GAAP Beg Depreciation'!Z126</f>
        <v>9609843.1447259802</v>
      </c>
      <c r="S11" s="224">
        <f>'GAAP Beg Depreciation'!AA126</f>
        <v>4978067.5347258244</v>
      </c>
      <c r="T11" s="224">
        <f>'GAAP Beg Depreciation'!AB126</f>
        <v>410128.18472597934</v>
      </c>
      <c r="U11" s="224">
        <f>'GAAP Beg Depreciation'!AC126</f>
        <v>410128.18472597934</v>
      </c>
      <c r="V11" s="224">
        <f>'GAAP Beg Depreciation'!AD126</f>
        <v>410128.18472597934</v>
      </c>
      <c r="W11" s="224">
        <f>'GAAP Beg Depreciation'!AE126</f>
        <v>410128.18472597934</v>
      </c>
      <c r="X11" s="224">
        <f>'GAAP Beg Depreciation'!AF126</f>
        <v>410128.18472597934</v>
      </c>
      <c r="Y11" s="224">
        <f>'GAAP Beg Depreciation'!AG126</f>
        <v>410128.18472597934</v>
      </c>
      <c r="Z11" s="224">
        <f>'GAAP Beg Depreciation'!AH126</f>
        <v>410128.18472597934</v>
      </c>
      <c r="AA11" s="224">
        <f>'GAAP Beg Depreciation'!AI126</f>
        <v>410128.18472597934</v>
      </c>
      <c r="AB11" s="224">
        <f>'GAAP Beg Depreciation'!AJ126</f>
        <v>410128.18472597934</v>
      </c>
      <c r="AC11" s="224">
        <f>'GAAP Beg Depreciation'!AK126</f>
        <v>410128.18472597934</v>
      </c>
      <c r="AD11" s="224">
        <f>'GAAP Beg Depreciation'!AL126</f>
        <v>410128.18472597934</v>
      </c>
      <c r="AE11" s="224">
        <f>'GAAP Beg Depreciation'!AM126</f>
        <v>410128.18472597934</v>
      </c>
      <c r="AF11" s="224">
        <f>'GAAP Beg Depreciation'!AN126</f>
        <v>410128.18472597934</v>
      </c>
      <c r="AG11" s="224">
        <f>'GAAP Beg Depreciation'!AO126</f>
        <v>52936</v>
      </c>
    </row>
    <row r="12" spans="1:33" x14ac:dyDescent="0.2">
      <c r="A12">
        <v>3</v>
      </c>
      <c r="B12" s="9" t="s">
        <v>57</v>
      </c>
      <c r="C12" s="224">
        <f>'GAAP Beg Depreciation'!K$124/4</f>
        <v>2348666.55553438</v>
      </c>
      <c r="D12" s="224">
        <f>'GAAP Beg Depreciation'!L$124/4</f>
        <v>2348666.55553438</v>
      </c>
      <c r="E12" s="224">
        <f>'GAAP Beg Depreciation'!M$124/4</f>
        <v>2348666.55553438</v>
      </c>
      <c r="F12" s="224">
        <f>'GAAP Beg Depreciation'!N$124/4</f>
        <v>2348666.55553438</v>
      </c>
      <c r="G12" s="224">
        <f>'GAAP Beg Depreciation'!O$124/4</f>
        <v>2348666.55553438</v>
      </c>
      <c r="H12" s="224">
        <f>'GAAP Beg Depreciation'!P$124/4</f>
        <v>2348666.55553438</v>
      </c>
      <c r="I12" s="224">
        <f>'GAAP Beg Depreciation'!Q$124/4</f>
        <v>2348666.55553438</v>
      </c>
      <c r="J12" s="224">
        <f>'GAAP Beg Depreciation'!R$124/4</f>
        <v>2348666.55553438</v>
      </c>
      <c r="K12" s="224">
        <f>'GAAP Beg Depreciation'!S$124/4</f>
        <v>2348666.55553438</v>
      </c>
      <c r="L12" s="224">
        <f>'GAAP Beg Depreciation'!T$124/4</f>
        <v>2348666.55553438</v>
      </c>
      <c r="M12" s="224">
        <f>'GAAP Beg Depreciation'!U$124/4</f>
        <v>2348666.55553438</v>
      </c>
      <c r="N12" s="224">
        <f>'GAAP Beg Depreciation'!V$124/4</f>
        <v>2348666.55553438</v>
      </c>
      <c r="O12" s="224">
        <f>'GAAP Beg Depreciation'!W$124/4</f>
        <v>2348666.55553438</v>
      </c>
      <c r="P12" s="224">
        <f>'GAAP Beg Depreciation'!X$124/4</f>
        <v>2348666.55553438</v>
      </c>
      <c r="Q12" s="224">
        <f>'GAAP Beg Depreciation'!Y$124/4</f>
        <v>2348666.55553438</v>
      </c>
      <c r="R12" s="224">
        <f>'GAAP Beg Depreciation'!Z$124/4</f>
        <v>1419259.7180343987</v>
      </c>
      <c r="S12" s="224">
        <f>'GAAP Beg Depreciation'!AA$124/4</f>
        <v>88587.393034379958</v>
      </c>
      <c r="T12" s="224">
        <f>'GAAP Beg Depreciation'!AB$124/4</f>
        <v>87383.120534379967</v>
      </c>
      <c r="U12" s="224">
        <f>'GAAP Beg Depreciation'!AC$124/4</f>
        <v>87383.120534379967</v>
      </c>
      <c r="V12" s="224">
        <f>'GAAP Beg Depreciation'!AD$124/4</f>
        <v>87383.120534379967</v>
      </c>
      <c r="W12" s="224">
        <v>0</v>
      </c>
      <c r="X12" s="224">
        <v>0</v>
      </c>
      <c r="Y12" s="224">
        <v>0</v>
      </c>
      <c r="Z12" s="224">
        <v>0</v>
      </c>
      <c r="AA12" s="224">
        <v>0</v>
      </c>
      <c r="AB12" s="224">
        <v>0</v>
      </c>
      <c r="AC12" s="224">
        <v>0</v>
      </c>
      <c r="AD12" s="224">
        <v>0</v>
      </c>
      <c r="AE12" s="224">
        <v>0</v>
      </c>
      <c r="AF12" s="224">
        <v>0</v>
      </c>
      <c r="AG12" s="224">
        <v>0</v>
      </c>
    </row>
    <row r="13" spans="1:33" x14ac:dyDescent="0.2">
      <c r="A13">
        <v>4</v>
      </c>
      <c r="B13" s="9" t="s">
        <v>58</v>
      </c>
      <c r="C13" s="224">
        <f>'GAAP Beg Depreciation'!K$124/4</f>
        <v>2348666.55553438</v>
      </c>
      <c r="D13" s="224">
        <f>'GAAP Beg Depreciation'!L$124/4</f>
        <v>2348666.55553438</v>
      </c>
      <c r="E13" s="224">
        <f>'GAAP Beg Depreciation'!M$124/4</f>
        <v>2348666.55553438</v>
      </c>
      <c r="F13" s="224">
        <f>'GAAP Beg Depreciation'!N$124/4</f>
        <v>2348666.55553438</v>
      </c>
      <c r="G13" s="224">
        <f>'GAAP Beg Depreciation'!O$124/4</f>
        <v>2348666.55553438</v>
      </c>
      <c r="H13" s="224">
        <f>'GAAP Beg Depreciation'!P$124/4</f>
        <v>2348666.55553438</v>
      </c>
      <c r="I13" s="224">
        <f>'GAAP Beg Depreciation'!Q$124/4</f>
        <v>2348666.55553438</v>
      </c>
      <c r="J13" s="224">
        <f>'GAAP Beg Depreciation'!R$124/4</f>
        <v>2348666.55553438</v>
      </c>
      <c r="K13" s="224">
        <f>'GAAP Beg Depreciation'!S$124/4</f>
        <v>2348666.55553438</v>
      </c>
      <c r="L13" s="224">
        <f>'GAAP Beg Depreciation'!T$124/4</f>
        <v>2348666.55553438</v>
      </c>
      <c r="M13" s="224">
        <f>'GAAP Beg Depreciation'!U$124/4</f>
        <v>2348666.55553438</v>
      </c>
      <c r="N13" s="224">
        <f>'GAAP Beg Depreciation'!V$124/4</f>
        <v>2348666.55553438</v>
      </c>
      <c r="O13" s="224">
        <f>'GAAP Beg Depreciation'!W$124/4</f>
        <v>2348666.55553438</v>
      </c>
      <c r="P13" s="224">
        <f>'GAAP Beg Depreciation'!X$124/4</f>
        <v>2348666.55553438</v>
      </c>
      <c r="Q13" s="224">
        <f>'GAAP Beg Depreciation'!Y$124/4</f>
        <v>2348666.55553438</v>
      </c>
      <c r="R13" s="224">
        <f>'GAAP Beg Depreciation'!Z$124/4</f>
        <v>1419259.7180343987</v>
      </c>
      <c r="S13" s="224">
        <f>'GAAP Beg Depreciation'!AA$124/4</f>
        <v>88587.393034379958</v>
      </c>
      <c r="T13" s="224">
        <f>'GAAP Beg Depreciation'!AB$124/4</f>
        <v>87383.120534379967</v>
      </c>
      <c r="U13" s="224">
        <f>'GAAP Beg Depreciation'!AC$124/4</f>
        <v>87383.120534379967</v>
      </c>
      <c r="V13" s="224">
        <f>'GAAP Beg Depreciation'!AD$124/4</f>
        <v>87383.120534379967</v>
      </c>
      <c r="W13" s="224">
        <v>0</v>
      </c>
      <c r="X13" s="224">
        <v>0</v>
      </c>
      <c r="Y13" s="224">
        <v>0</v>
      </c>
      <c r="Z13" s="224">
        <v>0</v>
      </c>
      <c r="AA13" s="224">
        <v>0</v>
      </c>
      <c r="AB13" s="224">
        <v>0</v>
      </c>
      <c r="AC13" s="224">
        <v>0</v>
      </c>
      <c r="AD13" s="224">
        <v>0</v>
      </c>
      <c r="AE13" s="224">
        <v>0</v>
      </c>
      <c r="AF13" s="224">
        <v>0</v>
      </c>
      <c r="AG13" s="224">
        <v>0</v>
      </c>
    </row>
    <row r="14" spans="1:33" x14ac:dyDescent="0.2">
      <c r="A14">
        <v>5</v>
      </c>
      <c r="B14" s="9" t="s">
        <v>59</v>
      </c>
      <c r="C14" s="224">
        <f>'GAAP Beg Depreciation'!K$124/4</f>
        <v>2348666.55553438</v>
      </c>
      <c r="D14" s="224">
        <f>'GAAP Beg Depreciation'!L$124/4</f>
        <v>2348666.55553438</v>
      </c>
      <c r="E14" s="224">
        <f>'GAAP Beg Depreciation'!M$124/4</f>
        <v>2348666.55553438</v>
      </c>
      <c r="F14" s="224">
        <f>'GAAP Beg Depreciation'!N$124/4</f>
        <v>2348666.55553438</v>
      </c>
      <c r="G14" s="224">
        <f>'GAAP Beg Depreciation'!O$124/4</f>
        <v>2348666.55553438</v>
      </c>
      <c r="H14" s="224">
        <f>'GAAP Beg Depreciation'!P$124/4</f>
        <v>2348666.55553438</v>
      </c>
      <c r="I14" s="224">
        <f>'GAAP Beg Depreciation'!Q$124/4</f>
        <v>2348666.55553438</v>
      </c>
      <c r="J14" s="224">
        <f>'GAAP Beg Depreciation'!R$124/4</f>
        <v>2348666.55553438</v>
      </c>
      <c r="K14" s="224">
        <f>'GAAP Beg Depreciation'!S$124/4</f>
        <v>2348666.55553438</v>
      </c>
      <c r="L14" s="224">
        <f>'GAAP Beg Depreciation'!T$124/4</f>
        <v>2348666.55553438</v>
      </c>
      <c r="M14" s="224">
        <f>'GAAP Beg Depreciation'!U$124/4</f>
        <v>2348666.55553438</v>
      </c>
      <c r="N14" s="224">
        <f>'GAAP Beg Depreciation'!V$124/4</f>
        <v>2348666.55553438</v>
      </c>
      <c r="O14" s="224">
        <f>'GAAP Beg Depreciation'!W$124/4</f>
        <v>2348666.55553438</v>
      </c>
      <c r="P14" s="224">
        <f>'GAAP Beg Depreciation'!X$124/4</f>
        <v>2348666.55553438</v>
      </c>
      <c r="Q14" s="224">
        <f>'GAAP Beg Depreciation'!Y$124/4</f>
        <v>2348666.55553438</v>
      </c>
      <c r="R14" s="224">
        <f>'GAAP Beg Depreciation'!Z$124/4</f>
        <v>1419259.7180343987</v>
      </c>
      <c r="S14" s="224">
        <f>'GAAP Beg Depreciation'!AA$124/4</f>
        <v>88587.393034379958</v>
      </c>
      <c r="T14" s="224">
        <f>'GAAP Beg Depreciation'!AB$124/4</f>
        <v>87383.120534379967</v>
      </c>
      <c r="U14" s="224">
        <f>'GAAP Beg Depreciation'!AC$124/4</f>
        <v>87383.120534379967</v>
      </c>
      <c r="V14" s="224">
        <f>'GAAP Beg Depreciation'!AD$124/4</f>
        <v>87383.120534379967</v>
      </c>
      <c r="W14" s="224">
        <v>0</v>
      </c>
      <c r="X14" s="224">
        <v>0</v>
      </c>
      <c r="Y14" s="224">
        <v>0</v>
      </c>
      <c r="Z14" s="224">
        <v>0</v>
      </c>
      <c r="AA14" s="224">
        <v>0</v>
      </c>
      <c r="AB14" s="224">
        <v>0</v>
      </c>
      <c r="AC14" s="224">
        <v>0</v>
      </c>
      <c r="AD14" s="224">
        <v>0</v>
      </c>
      <c r="AE14" s="224">
        <v>0</v>
      </c>
      <c r="AF14" s="224">
        <v>0</v>
      </c>
      <c r="AG14" s="224">
        <v>0</v>
      </c>
    </row>
    <row r="15" spans="1:33" x14ac:dyDescent="0.2">
      <c r="A15">
        <v>6</v>
      </c>
      <c r="B15" s="9" t="s">
        <v>60</v>
      </c>
      <c r="C15" s="224">
        <f>'GAAP Beg Depreciation'!K$124/4</f>
        <v>2348666.55553438</v>
      </c>
      <c r="D15" s="224">
        <f>'GAAP Beg Depreciation'!L$124/4</f>
        <v>2348666.55553438</v>
      </c>
      <c r="E15" s="224">
        <f>'GAAP Beg Depreciation'!M$124/4</f>
        <v>2348666.55553438</v>
      </c>
      <c r="F15" s="224">
        <f>'GAAP Beg Depreciation'!N$124/4</f>
        <v>2348666.55553438</v>
      </c>
      <c r="G15" s="224">
        <f>'GAAP Beg Depreciation'!O$124/4</f>
        <v>2348666.55553438</v>
      </c>
      <c r="H15" s="224">
        <f>'GAAP Beg Depreciation'!P$124/4</f>
        <v>2348666.55553438</v>
      </c>
      <c r="I15" s="224">
        <f>'GAAP Beg Depreciation'!Q$124/4</f>
        <v>2348666.55553438</v>
      </c>
      <c r="J15" s="224">
        <f>'GAAP Beg Depreciation'!R$124/4</f>
        <v>2348666.55553438</v>
      </c>
      <c r="K15" s="224">
        <f>'GAAP Beg Depreciation'!S$124/4</f>
        <v>2348666.55553438</v>
      </c>
      <c r="L15" s="224">
        <f>'GAAP Beg Depreciation'!T$124/4</f>
        <v>2348666.55553438</v>
      </c>
      <c r="M15" s="224">
        <f>'GAAP Beg Depreciation'!U$124/4</f>
        <v>2348666.55553438</v>
      </c>
      <c r="N15" s="224">
        <f>'GAAP Beg Depreciation'!V$124/4</f>
        <v>2348666.55553438</v>
      </c>
      <c r="O15" s="224">
        <f>'GAAP Beg Depreciation'!W$124/4</f>
        <v>2348666.55553438</v>
      </c>
      <c r="P15" s="224">
        <f>'GAAP Beg Depreciation'!X$124/4</f>
        <v>2348666.55553438</v>
      </c>
      <c r="Q15" s="224">
        <f>'GAAP Beg Depreciation'!Y$124/4</f>
        <v>2348666.55553438</v>
      </c>
      <c r="R15" s="224">
        <f>'GAAP Beg Depreciation'!Z$124/4</f>
        <v>1419259.7180343987</v>
      </c>
      <c r="S15" s="224">
        <f>'GAAP Beg Depreciation'!AA$124/4</f>
        <v>88587.393034379958</v>
      </c>
      <c r="T15" s="224">
        <f>'GAAP Beg Depreciation'!AB$124/4</f>
        <v>87383.120534379967</v>
      </c>
      <c r="U15" s="224">
        <f>'GAAP Beg Depreciation'!AC$124/4</f>
        <v>87383.120534379967</v>
      </c>
      <c r="V15" s="224">
        <f>'GAAP Beg Depreciation'!AD$124/4</f>
        <v>87383.120534379967</v>
      </c>
      <c r="W15" s="224">
        <v>0</v>
      </c>
      <c r="X15" s="224">
        <v>0</v>
      </c>
      <c r="Y15" s="224">
        <v>0</v>
      </c>
      <c r="Z15" s="224">
        <v>0</v>
      </c>
      <c r="AA15" s="224">
        <v>0</v>
      </c>
      <c r="AB15" s="224">
        <v>0</v>
      </c>
      <c r="AC15" s="224">
        <v>0</v>
      </c>
      <c r="AD15" s="224">
        <v>0</v>
      </c>
      <c r="AE15" s="224">
        <v>0</v>
      </c>
      <c r="AF15" s="224">
        <v>0</v>
      </c>
      <c r="AG15" s="224">
        <v>0</v>
      </c>
    </row>
    <row r="16" spans="1:33" x14ac:dyDescent="0.2">
      <c r="A16">
        <v>7</v>
      </c>
      <c r="B16" t="s">
        <v>61</v>
      </c>
      <c r="C16" s="224">
        <f>'GAAP Beg Depreciation'!K127</f>
        <v>5371066.6793675004</v>
      </c>
      <c r="D16" s="224">
        <f>'GAAP Beg Depreciation'!L127</f>
        <v>5371066.6793675004</v>
      </c>
      <c r="E16" s="224">
        <f>'GAAP Beg Depreciation'!M127</f>
        <v>5371066.6793675004</v>
      </c>
      <c r="F16" s="224">
        <f>'GAAP Beg Depreciation'!N127</f>
        <v>5371066.6793675004</v>
      </c>
      <c r="G16" s="224">
        <f>'GAAP Beg Depreciation'!O127</f>
        <v>5371066.6793675004</v>
      </c>
      <c r="H16" s="224">
        <f>'GAAP Beg Depreciation'!P127</f>
        <v>5371066.6793675004</v>
      </c>
      <c r="I16" s="224">
        <f>'GAAP Beg Depreciation'!Q127</f>
        <v>5371066.6793675004</v>
      </c>
      <c r="J16" s="224">
        <f>'GAAP Beg Depreciation'!R127</f>
        <v>5371066.6793675004</v>
      </c>
      <c r="K16" s="224">
        <f>'GAAP Beg Depreciation'!S127</f>
        <v>5371066.6793675004</v>
      </c>
      <c r="L16" s="224">
        <f>'GAAP Beg Depreciation'!T127</f>
        <v>5371066.6793675004</v>
      </c>
      <c r="M16" s="224">
        <f>'GAAP Beg Depreciation'!U127</f>
        <v>5371066.6793675004</v>
      </c>
      <c r="N16" s="224">
        <f>'GAAP Beg Depreciation'!V127</f>
        <v>5371066.6793675004</v>
      </c>
      <c r="O16" s="224">
        <f>'GAAP Beg Depreciation'!W127</f>
        <v>5371066.6793675004</v>
      </c>
      <c r="P16" s="224">
        <f>'GAAP Beg Depreciation'!X127</f>
        <v>5371066.6793675004</v>
      </c>
      <c r="Q16" s="224">
        <f>'GAAP Beg Depreciation'!Y127</f>
        <v>5371066.6793675004</v>
      </c>
      <c r="R16" s="224">
        <f>'GAAP Beg Depreciation'!Z127</f>
        <v>5371066.6793675004</v>
      </c>
      <c r="S16" s="224">
        <f>'GAAP Beg Depreciation'!AA127</f>
        <v>5371066.6793675004</v>
      </c>
      <c r="T16" s="224">
        <f>'GAAP Beg Depreciation'!AB127</f>
        <v>3480718.0593675105</v>
      </c>
      <c r="U16" s="224">
        <f>'GAAP Beg Depreciation'!AC127</f>
        <v>229089.67936750036</v>
      </c>
      <c r="V16" s="224">
        <f>'GAAP Beg Depreciation'!AD127</f>
        <v>229089.67936750036</v>
      </c>
      <c r="W16" s="224">
        <f>'GAAP Beg Depreciation'!AE127</f>
        <v>229089.67936750036</v>
      </c>
      <c r="X16" s="224">
        <f>'GAAP Beg Depreciation'!AF127</f>
        <v>229089.67936750036</v>
      </c>
      <c r="Y16" s="224">
        <f>'GAAP Beg Depreciation'!AG127</f>
        <v>229089.67936750036</v>
      </c>
      <c r="Z16" s="224">
        <f>'GAAP Beg Depreciation'!AH127</f>
        <v>229089.67936750036</v>
      </c>
      <c r="AA16" s="224">
        <f>'GAAP Beg Depreciation'!AI127</f>
        <v>229089.67936750036</v>
      </c>
      <c r="AB16" s="224">
        <f>'GAAP Beg Depreciation'!AJ127</f>
        <v>229089.67936750036</v>
      </c>
      <c r="AC16" s="224">
        <f>'GAAP Beg Depreciation'!AK127</f>
        <v>229089.67936750036</v>
      </c>
      <c r="AD16" s="224">
        <f>'GAAP Beg Depreciation'!AL127</f>
        <v>229089.67936750036</v>
      </c>
      <c r="AE16" s="224">
        <f>'GAAP Beg Depreciation'!AM127</f>
        <v>229089.67936750036</v>
      </c>
      <c r="AF16" s="224">
        <f>'GAAP Beg Depreciation'!AN127</f>
        <v>229089.67936750036</v>
      </c>
      <c r="AG16" s="224">
        <f>'GAAP Beg Depreciation'!AO127</f>
        <v>0</v>
      </c>
    </row>
    <row r="17" spans="1:33" x14ac:dyDescent="0.2">
      <c r="A17">
        <v>8</v>
      </c>
      <c r="B17" t="s">
        <v>62</v>
      </c>
      <c r="C17" s="224">
        <f>('GAAP Beg Depreciation'!K$122)*(Summary!$C$24/((SUM(Summary!$C$24:$C$27)+Summary!$C$38)))</f>
        <v>880185.7683840458</v>
      </c>
      <c r="D17" s="224">
        <f>('GAAP Beg Depreciation'!L$122)*(Summary!$C$24/((SUM(Summary!$C$24:$C$27)+Summary!$C$38)))</f>
        <v>880185.7683840458</v>
      </c>
      <c r="E17" s="224">
        <f>('GAAP Beg Depreciation'!M$122)*(Summary!$C$24/((SUM(Summary!$C$24:$C$27)+Summary!$C$38)))</f>
        <v>878345.34105908312</v>
      </c>
      <c r="F17" s="224">
        <f>('GAAP Beg Depreciation'!N$122)*(Summary!$C$24/((SUM(Summary!$C$24:$C$27)+Summary!$C$38)))</f>
        <v>871689.49258068344</v>
      </c>
      <c r="G17" s="224">
        <f>('GAAP Beg Depreciation'!O$122)*(Summary!$C$24/((SUM(Summary!$C$24:$C$27)+Summary!$C$38)))</f>
        <v>871596.82179966616</v>
      </c>
      <c r="H17" s="224">
        <f>('GAAP Beg Depreciation'!P$122)*(Summary!$C$24/((SUM(Summary!$C$24:$C$27)+Summary!$C$38)))</f>
        <v>871502.13356812752</v>
      </c>
      <c r="I17" s="224">
        <f>('GAAP Beg Depreciation'!Q$122)*(Summary!$C$24/((SUM(Summary!$C$24:$C$27)+Summary!$C$38)))</f>
        <v>871502.13356812752</v>
      </c>
      <c r="J17" s="224">
        <f>('GAAP Beg Depreciation'!R$122)*(Summary!$C$24/((SUM(Summary!$C$24:$C$27)+Summary!$C$38)))</f>
        <v>734399.3704270327</v>
      </c>
      <c r="K17" s="224">
        <f>('GAAP Beg Depreciation'!S$122)*(Summary!$C$24/((SUM(Summary!$C$24:$C$27)+Summary!$C$38)))</f>
        <v>630933.0388671275</v>
      </c>
      <c r="L17" s="224">
        <f>('GAAP Beg Depreciation'!T$122)*(Summary!$C$24/((SUM(Summary!$C$24:$C$27)+Summary!$C$38)))</f>
        <v>581714.29275093251</v>
      </c>
      <c r="M17" s="224">
        <f>('GAAP Beg Depreciation'!U$122)*(Summary!$C$24/((SUM(Summary!$C$24:$C$27)+Summary!$C$38)))</f>
        <v>577441.66963963222</v>
      </c>
      <c r="N17" s="224">
        <f>('GAAP Beg Depreciation'!V$122)*(Summary!$C$24/((SUM(Summary!$C$24:$C$27)+Summary!$C$38)))</f>
        <v>577441.66963963222</v>
      </c>
      <c r="O17" s="224">
        <f>('GAAP Beg Depreciation'!W$122)*(Summary!$C$24/((SUM(Summary!$C$24:$C$27)+Summary!$C$38)))</f>
        <v>577441.66963963222</v>
      </c>
      <c r="P17" s="224">
        <f>('GAAP Beg Depreciation'!X$122)*(Summary!$C$24/((SUM(Summary!$C$24:$C$27)+Summary!$C$38)))</f>
        <v>459595.56110590225</v>
      </c>
      <c r="Q17" s="224">
        <f>('GAAP Beg Depreciation'!Y$122)*(Summary!$C$24/((SUM(Summary!$C$24:$C$27)+Summary!$C$38)))</f>
        <v>298581.36063771689</v>
      </c>
      <c r="R17" s="224">
        <f>('GAAP Beg Depreciation'!Z$122)*(Summary!$C$24/((SUM(Summary!$C$24:$C$27)+Summary!$C$38)))</f>
        <v>53837.278066956227</v>
      </c>
      <c r="S17" s="224">
        <f>('GAAP Beg Depreciation'!AA$122)*(Summary!$C$24/((SUM(Summary!$C$24:$C$27)+Summary!$C$38)))</f>
        <v>38433.260190813278</v>
      </c>
      <c r="T17" s="224">
        <f>('GAAP Beg Depreciation'!AB$122)*(Summary!$C$24/((SUM(Summary!$C$24:$C$27)+Summary!$C$38)))</f>
        <v>37381.927566850733</v>
      </c>
      <c r="U17" s="224">
        <f>('GAAP Beg Depreciation'!AC$122)*(Summary!$C$24/((SUM(Summary!$C$24:$C$27)+Summary!$C$38)))</f>
        <v>37381.927566850733</v>
      </c>
      <c r="V17" s="224">
        <f>('GAAP Beg Depreciation'!AD$122)*(Summary!$C$24/((SUM(Summary!$C$24:$C$27)+Summary!$C$38)))</f>
        <v>36482.774555571734</v>
      </c>
      <c r="W17" s="224">
        <f>('GAAP Beg Depreciation'!AE$122)*(Summary!$C$24/((SUM(Summary!$C$24:$C$27)+Summary!$C$38)))</f>
        <v>33673.971831587907</v>
      </c>
      <c r="X17" s="224">
        <f>('GAAP Beg Depreciation'!AF$122)*(Summary!$C$24/((SUM(Summary!$C$24:$C$27)+Summary!$C$38)))</f>
        <v>32688.758807540238</v>
      </c>
      <c r="Y17" s="224">
        <f>('GAAP Beg Depreciation'!AG$122)*(Summary!$C$24/((SUM(Summary!$C$24:$C$27)+Summary!$C$38)))</f>
        <v>32688.758807540238</v>
      </c>
      <c r="Z17" s="224">
        <f>('GAAP Beg Depreciation'!AH$122)*(Summary!$C$24/((SUM(Summary!$C$24:$C$27)+Summary!$C$38)))</f>
        <v>32688.758807540238</v>
      </c>
      <c r="AA17" s="224">
        <f>('GAAP Beg Depreciation'!AI$122)*(Summary!$C$24/((SUM(Summary!$C$24:$C$27)+Summary!$C$38)))</f>
        <v>32688.758807540238</v>
      </c>
      <c r="AB17" s="224">
        <f>('GAAP Beg Depreciation'!AJ$122)*(Summary!$C$24/((SUM(Summary!$C$24:$C$27)+Summary!$C$38)))</f>
        <v>32688.758807540238</v>
      </c>
      <c r="AC17" s="224">
        <f>('GAAP Beg Depreciation'!AK$122)*(Summary!$C$24/((SUM(Summary!$C$24:$C$27)+Summary!$C$38)))</f>
        <v>32688.758807540238</v>
      </c>
      <c r="AD17" s="224">
        <f>('GAAP Beg Depreciation'!AL$122)*(Summary!$C$24/((SUM(Summary!$C$24:$C$27)+Summary!$C$38)))</f>
        <v>32688.758807540238</v>
      </c>
      <c r="AE17" s="224">
        <f>('GAAP Beg Depreciation'!AM$122)*(Summary!$C$24/((SUM(Summary!$C$24:$C$27)+Summary!$C$38)))</f>
        <v>32688.758807540238</v>
      </c>
      <c r="AF17" s="224">
        <f>('GAAP Beg Depreciation'!AN$122)*(Summary!$C$24/((SUM(Summary!$C$24:$C$27)+Summary!$C$38)))</f>
        <v>32688.758807540238</v>
      </c>
      <c r="AG17" s="224">
        <f>('GAAP Beg Depreciation'!AO$122)*(Summary!$C$24/((SUM(Summary!$C$24:$C$27)+Summary!$C$38)))</f>
        <v>392.08342200468189</v>
      </c>
    </row>
    <row r="18" spans="1:33" x14ac:dyDescent="0.2">
      <c r="A18">
        <v>9</v>
      </c>
      <c r="B18" t="s">
        <v>63</v>
      </c>
      <c r="C18" s="224">
        <f>('GAAP Beg Depreciation'!K$122)*(Summary!$C$25/((SUM(Summary!$C$24:$C$27)+Summary!$C$38)))</f>
        <v>1793378.5030824936</v>
      </c>
      <c r="D18" s="224">
        <f>('GAAP Beg Depreciation'!L$122)*(Summary!$C$25/((SUM(Summary!$C$24:$C$27)+Summary!$C$38)))</f>
        <v>1793378.5030824936</v>
      </c>
      <c r="E18" s="224">
        <f>('GAAP Beg Depreciation'!M$122)*(Summary!$C$25/((SUM(Summary!$C$24:$C$27)+Summary!$C$38)))</f>
        <v>1789628.6324078818</v>
      </c>
      <c r="F18" s="224">
        <f>('GAAP Beg Depreciation'!N$122)*(Summary!$C$25/((SUM(Summary!$C$24:$C$27)+Summary!$C$38)))</f>
        <v>1776067.3411331426</v>
      </c>
      <c r="G18" s="224">
        <f>('GAAP Beg Depreciation'!O$122)*(Summary!$C$25/((SUM(Summary!$C$24:$C$27)+Summary!$C$38)))</f>
        <v>1775878.5244168199</v>
      </c>
      <c r="H18" s="224">
        <f>('GAAP Beg Depreciation'!P$122)*(Summary!$C$25/((SUM(Summary!$C$24:$C$27)+Summary!$C$38)))</f>
        <v>1775685.5971450598</v>
      </c>
      <c r="I18" s="224">
        <f>('GAAP Beg Depreciation'!Q$122)*(Summary!$C$25/((SUM(Summary!$C$24:$C$27)+Summary!$C$38)))</f>
        <v>1775685.5971450598</v>
      </c>
      <c r="J18" s="224">
        <f>('GAAP Beg Depreciation'!R$122)*(Summary!$C$25/((SUM(Summary!$C$24:$C$27)+Summary!$C$38)))</f>
        <v>1496338.7172450791</v>
      </c>
      <c r="K18" s="224">
        <f>('GAAP Beg Depreciation'!S$122)*(Summary!$C$25/((SUM(Summary!$C$24:$C$27)+Summary!$C$38)))</f>
        <v>1285526.0666917723</v>
      </c>
      <c r="L18" s="224">
        <f>('GAAP Beg Depreciation'!T$122)*(Summary!$C$25/((SUM(Summary!$C$24:$C$27)+Summary!$C$38)))</f>
        <v>1185242.8714800249</v>
      </c>
      <c r="M18" s="224">
        <f>('GAAP Beg Depreciation'!U$122)*(Summary!$C$25/((SUM(Summary!$C$24:$C$27)+Summary!$C$38)))</f>
        <v>1176537.4018907507</v>
      </c>
      <c r="N18" s="224">
        <f>('GAAP Beg Depreciation'!V$122)*(Summary!$C$25/((SUM(Summary!$C$24:$C$27)+Summary!$C$38)))</f>
        <v>1176537.4018907507</v>
      </c>
      <c r="O18" s="224">
        <f>('GAAP Beg Depreciation'!W$122)*(Summary!$C$25/((SUM(Summary!$C$24:$C$27)+Summary!$C$38)))</f>
        <v>1176537.4018907507</v>
      </c>
      <c r="P18" s="224">
        <f>('GAAP Beg Depreciation'!X$122)*(Summary!$C$25/((SUM(Summary!$C$24:$C$27)+Summary!$C$38)))</f>
        <v>936425.95575327589</v>
      </c>
      <c r="Q18" s="224">
        <f>('GAAP Beg Depreciation'!Y$122)*(Summary!$C$25/((SUM(Summary!$C$24:$C$27)+Summary!$C$38)))</f>
        <v>608359.52229934814</v>
      </c>
      <c r="R18" s="224">
        <f>('GAAP Beg Depreciation'!Z$122)*(Summary!$C$25/((SUM(Summary!$C$24:$C$27)+Summary!$C$38)))</f>
        <v>109693.45406142331</v>
      </c>
      <c r="S18" s="224">
        <f>('GAAP Beg Depreciation'!AA$122)*(Summary!$C$25/((SUM(Summary!$C$24:$C$27)+Summary!$C$38)))</f>
        <v>78307.767638782054</v>
      </c>
      <c r="T18" s="224">
        <f>('GAAP Beg Depreciation'!AB$122)*(Summary!$C$25/((SUM(Summary!$C$24:$C$27)+Summary!$C$38)))</f>
        <v>76165.67741745837</v>
      </c>
      <c r="U18" s="224">
        <f>('GAAP Beg Depreciation'!AC$122)*(Summary!$C$25/((SUM(Summary!$C$24:$C$27)+Summary!$C$38)))</f>
        <v>76165.67741745837</v>
      </c>
      <c r="V18" s="224">
        <f>('GAAP Beg Depreciation'!AD$122)*(Summary!$C$25/((SUM(Summary!$C$24:$C$27)+Summary!$C$38)))</f>
        <v>74333.653156977409</v>
      </c>
      <c r="W18" s="224">
        <f>('GAAP Beg Depreciation'!AE$122)*(Summary!$C$25/((SUM(Summary!$C$24:$C$27)+Summary!$C$38)))</f>
        <v>68610.717606860359</v>
      </c>
      <c r="X18" s="224">
        <f>('GAAP Beg Depreciation'!AF$122)*(Summary!$C$25/((SUM(Summary!$C$24:$C$27)+Summary!$C$38)))</f>
        <v>66603.346070363245</v>
      </c>
      <c r="Y18" s="224">
        <f>('GAAP Beg Depreciation'!AG$122)*(Summary!$C$25/((SUM(Summary!$C$24:$C$27)+Summary!$C$38)))</f>
        <v>66603.346070363245</v>
      </c>
      <c r="Z18" s="224">
        <f>('GAAP Beg Depreciation'!AH$122)*(Summary!$C$25/((SUM(Summary!$C$24:$C$27)+Summary!$C$38)))</f>
        <v>66603.346070363245</v>
      </c>
      <c r="AA18" s="224">
        <f>('GAAP Beg Depreciation'!AI$122)*(Summary!$C$25/((SUM(Summary!$C$24:$C$27)+Summary!$C$38)))</f>
        <v>66603.346070363245</v>
      </c>
      <c r="AB18" s="224">
        <f>('GAAP Beg Depreciation'!AJ$122)*(Summary!$C$25/((SUM(Summary!$C$24:$C$27)+Summary!$C$38)))</f>
        <v>66603.346070363245</v>
      </c>
      <c r="AC18" s="224">
        <f>('GAAP Beg Depreciation'!AK$122)*(Summary!$C$25/((SUM(Summary!$C$24:$C$27)+Summary!$C$38)))</f>
        <v>66603.346070363245</v>
      </c>
      <c r="AD18" s="224">
        <f>('GAAP Beg Depreciation'!AL$122)*(Summary!$C$25/((SUM(Summary!$C$24:$C$27)+Summary!$C$38)))</f>
        <v>66603.346070363245</v>
      </c>
      <c r="AE18" s="224">
        <f>('GAAP Beg Depreciation'!AM$122)*(Summary!$C$25/((SUM(Summary!$C$24:$C$27)+Summary!$C$38)))</f>
        <v>66603.346070363245</v>
      </c>
      <c r="AF18" s="224">
        <f>('GAAP Beg Depreciation'!AN$122)*(Summary!$C$25/((SUM(Summary!$C$24:$C$27)+Summary!$C$38)))</f>
        <v>66603.346070363245</v>
      </c>
      <c r="AG18" s="224">
        <f>('GAAP Beg Depreciation'!AO$122)*(Summary!$C$25/((SUM(Summary!$C$24:$C$27)+Summary!$C$38)))</f>
        <v>798.86997233453928</v>
      </c>
    </row>
    <row r="19" spans="1:33" x14ac:dyDescent="0.2">
      <c r="A19">
        <v>10</v>
      </c>
      <c r="B19" t="s">
        <v>64</v>
      </c>
      <c r="C19" s="224">
        <f>('GAAP Beg Depreciation'!K$122)*(Summary!$C$26/((SUM(Summary!$C$24:$C$27)+Summary!$C$38)))</f>
        <v>3520743.0735361832</v>
      </c>
      <c r="D19" s="224">
        <f>('GAAP Beg Depreciation'!L$122)*(Summary!$C$26/((SUM(Summary!$C$24:$C$27)+Summary!$C$38)))</f>
        <v>3520743.0735361832</v>
      </c>
      <c r="E19" s="224">
        <f>('GAAP Beg Depreciation'!M$122)*(Summary!$C$26/((SUM(Summary!$C$24:$C$27)+Summary!$C$38)))</f>
        <v>3513381.3642363325</v>
      </c>
      <c r="F19" s="224">
        <f>('GAAP Beg Depreciation'!N$122)*(Summary!$C$26/((SUM(Summary!$C$24:$C$27)+Summary!$C$38)))</f>
        <v>3486757.9703227337</v>
      </c>
      <c r="G19" s="224">
        <f>('GAAP Beg Depreciation'!O$122)*(Summary!$C$26/((SUM(Summary!$C$24:$C$27)+Summary!$C$38)))</f>
        <v>3486387.2871986646</v>
      </c>
      <c r="H19" s="224">
        <f>('GAAP Beg Depreciation'!P$122)*(Summary!$C$26/((SUM(Summary!$C$24:$C$27)+Summary!$C$38)))</f>
        <v>3486008.5342725101</v>
      </c>
      <c r="I19" s="224">
        <f>('GAAP Beg Depreciation'!Q$122)*(Summary!$C$26/((SUM(Summary!$C$24:$C$27)+Summary!$C$38)))</f>
        <v>3486008.5342725101</v>
      </c>
      <c r="J19" s="224">
        <f>('GAAP Beg Depreciation'!R$122)*(Summary!$C$26/((SUM(Summary!$C$24:$C$27)+Summary!$C$38)))</f>
        <v>2937597.4817081308</v>
      </c>
      <c r="K19" s="224">
        <f>('GAAP Beg Depreciation'!S$122)*(Summary!$C$26/((SUM(Summary!$C$24:$C$27)+Summary!$C$38)))</f>
        <v>2523732.15546851</v>
      </c>
      <c r="L19" s="224">
        <f>('GAAP Beg Depreciation'!T$122)*(Summary!$C$26/((SUM(Summary!$C$24:$C$27)+Summary!$C$38)))</f>
        <v>2326857.17100373</v>
      </c>
      <c r="M19" s="224">
        <f>('GAAP Beg Depreciation'!U$122)*(Summary!$C$26/((SUM(Summary!$C$24:$C$27)+Summary!$C$38)))</f>
        <v>2309766.6785585289</v>
      </c>
      <c r="N19" s="224">
        <f>('GAAP Beg Depreciation'!V$122)*(Summary!$C$26/((SUM(Summary!$C$24:$C$27)+Summary!$C$38)))</f>
        <v>2309766.6785585289</v>
      </c>
      <c r="O19" s="224">
        <f>('GAAP Beg Depreciation'!W$122)*(Summary!$C$26/((SUM(Summary!$C$24:$C$27)+Summary!$C$38)))</f>
        <v>2309766.6785585289</v>
      </c>
      <c r="P19" s="224">
        <f>('GAAP Beg Depreciation'!X$122)*(Summary!$C$26/((SUM(Summary!$C$24:$C$27)+Summary!$C$38)))</f>
        <v>1838382.244423609</v>
      </c>
      <c r="Q19" s="224">
        <f>('GAAP Beg Depreciation'!Y$122)*(Summary!$C$26/((SUM(Summary!$C$24:$C$27)+Summary!$C$38)))</f>
        <v>1194325.4425508676</v>
      </c>
      <c r="R19" s="224">
        <f>('GAAP Beg Depreciation'!Z$122)*(Summary!$C$26/((SUM(Summary!$C$24:$C$27)+Summary!$C$38)))</f>
        <v>215349.11226782491</v>
      </c>
      <c r="S19" s="224">
        <f>('GAAP Beg Depreciation'!AA$122)*(Summary!$C$26/((SUM(Summary!$C$24:$C$27)+Summary!$C$38)))</f>
        <v>153733.04076325311</v>
      </c>
      <c r="T19" s="224">
        <f>('GAAP Beg Depreciation'!AB$122)*(Summary!$C$26/((SUM(Summary!$C$24:$C$27)+Summary!$C$38)))</f>
        <v>149527.71026740293</v>
      </c>
      <c r="U19" s="224">
        <f>('GAAP Beg Depreciation'!AC$122)*(Summary!$C$26/((SUM(Summary!$C$24:$C$27)+Summary!$C$38)))</f>
        <v>149527.71026740293</v>
      </c>
      <c r="V19" s="224">
        <f>('GAAP Beg Depreciation'!AD$122)*(Summary!$C$26/((SUM(Summary!$C$24:$C$27)+Summary!$C$38)))</f>
        <v>145931.09822228694</v>
      </c>
      <c r="W19" s="224">
        <f>('GAAP Beg Depreciation'!AE$122)*(Summary!$C$26/((SUM(Summary!$C$24:$C$27)+Summary!$C$38)))</f>
        <v>134695.88732635163</v>
      </c>
      <c r="X19" s="224">
        <f>('GAAP Beg Depreciation'!AF$122)*(Summary!$C$26/((SUM(Summary!$C$24:$C$27)+Summary!$C$38)))</f>
        <v>130755.03523016095</v>
      </c>
      <c r="Y19" s="224">
        <f>('GAAP Beg Depreciation'!AG$122)*(Summary!$C$26/((SUM(Summary!$C$24:$C$27)+Summary!$C$38)))</f>
        <v>130755.03523016095</v>
      </c>
      <c r="Z19" s="224">
        <f>('GAAP Beg Depreciation'!AH$122)*(Summary!$C$26/((SUM(Summary!$C$24:$C$27)+Summary!$C$38)))</f>
        <v>130755.03523016095</v>
      </c>
      <c r="AA19" s="224">
        <f>('GAAP Beg Depreciation'!AI$122)*(Summary!$C$26/((SUM(Summary!$C$24:$C$27)+Summary!$C$38)))</f>
        <v>130755.03523016095</v>
      </c>
      <c r="AB19" s="224">
        <f>('GAAP Beg Depreciation'!AJ$122)*(Summary!$C$26/((SUM(Summary!$C$24:$C$27)+Summary!$C$38)))</f>
        <v>130755.03523016095</v>
      </c>
      <c r="AC19" s="224">
        <f>('GAAP Beg Depreciation'!AK$122)*(Summary!$C$26/((SUM(Summary!$C$24:$C$27)+Summary!$C$38)))</f>
        <v>130755.03523016095</v>
      </c>
      <c r="AD19" s="224">
        <f>('GAAP Beg Depreciation'!AL$122)*(Summary!$C$26/((SUM(Summary!$C$24:$C$27)+Summary!$C$38)))</f>
        <v>130755.03523016095</v>
      </c>
      <c r="AE19" s="224">
        <f>('GAAP Beg Depreciation'!AM$122)*(Summary!$C$26/((SUM(Summary!$C$24:$C$27)+Summary!$C$38)))</f>
        <v>130755.03523016095</v>
      </c>
      <c r="AF19" s="224">
        <f>('GAAP Beg Depreciation'!AN$122)*(Summary!$C$26/((SUM(Summary!$C$24:$C$27)+Summary!$C$38)))</f>
        <v>130755.03523016095</v>
      </c>
      <c r="AG19" s="224">
        <f>('GAAP Beg Depreciation'!AO$122)*(Summary!$C$26/((SUM(Summary!$C$24:$C$27)+Summary!$C$38)))</f>
        <v>1568.3336880187276</v>
      </c>
    </row>
    <row r="20" spans="1:33" x14ac:dyDescent="0.2">
      <c r="A20">
        <v>11</v>
      </c>
      <c r="B20" t="s">
        <v>65</v>
      </c>
      <c r="C20" s="224">
        <f>('GAAP Beg Depreciation'!K$122)*(Summary!$C$27/((SUM(Summary!$C$24:$C$27)+Summary!$C$38)))</f>
        <v>3520743.0735361832</v>
      </c>
      <c r="D20" s="224">
        <f>('GAAP Beg Depreciation'!L$122)*(Summary!$C$27/((SUM(Summary!$C$24:$C$27)+Summary!$C$38)))</f>
        <v>3520743.0735361832</v>
      </c>
      <c r="E20" s="224">
        <f>('GAAP Beg Depreciation'!M$122)*(Summary!$C$27/((SUM(Summary!$C$24:$C$27)+Summary!$C$38)))</f>
        <v>3513381.3642363325</v>
      </c>
      <c r="F20" s="224">
        <f>('GAAP Beg Depreciation'!N$122)*(Summary!$C$27/((SUM(Summary!$C$24:$C$27)+Summary!$C$38)))</f>
        <v>3486757.9703227337</v>
      </c>
      <c r="G20" s="224">
        <f>('GAAP Beg Depreciation'!O$122)*(Summary!$C$27/((SUM(Summary!$C$24:$C$27)+Summary!$C$38)))</f>
        <v>3486387.2871986646</v>
      </c>
      <c r="H20" s="224">
        <f>('GAAP Beg Depreciation'!P$122)*(Summary!$C$27/((SUM(Summary!$C$24:$C$27)+Summary!$C$38)))</f>
        <v>3486008.5342725101</v>
      </c>
      <c r="I20" s="224">
        <f>('GAAP Beg Depreciation'!Q$122)*(Summary!$C$27/((SUM(Summary!$C$24:$C$27)+Summary!$C$38)))</f>
        <v>3486008.5342725101</v>
      </c>
      <c r="J20" s="224">
        <f>('GAAP Beg Depreciation'!R$122)*(Summary!$C$27/((SUM(Summary!$C$24:$C$27)+Summary!$C$38)))</f>
        <v>2937597.4817081308</v>
      </c>
      <c r="K20" s="224">
        <f>('GAAP Beg Depreciation'!S$122)*(Summary!$C$27/((SUM(Summary!$C$24:$C$27)+Summary!$C$38)))</f>
        <v>2523732.15546851</v>
      </c>
      <c r="L20" s="224">
        <f>('GAAP Beg Depreciation'!T$122)*(Summary!$C$27/((SUM(Summary!$C$24:$C$27)+Summary!$C$38)))</f>
        <v>2326857.17100373</v>
      </c>
      <c r="M20" s="224">
        <f>('GAAP Beg Depreciation'!U$122)*(Summary!$C$27/((SUM(Summary!$C$24:$C$27)+Summary!$C$38)))</f>
        <v>2309766.6785585289</v>
      </c>
      <c r="N20" s="224">
        <f>('GAAP Beg Depreciation'!V$122)*(Summary!$C$27/((SUM(Summary!$C$24:$C$27)+Summary!$C$38)))</f>
        <v>2309766.6785585289</v>
      </c>
      <c r="O20" s="224">
        <f>('GAAP Beg Depreciation'!W$122)*(Summary!$C$27/((SUM(Summary!$C$24:$C$27)+Summary!$C$38)))</f>
        <v>2309766.6785585289</v>
      </c>
      <c r="P20" s="224">
        <f>('GAAP Beg Depreciation'!X$122)*(Summary!$C$27/((SUM(Summary!$C$24:$C$27)+Summary!$C$38)))</f>
        <v>1838382.244423609</v>
      </c>
      <c r="Q20" s="224">
        <f>('GAAP Beg Depreciation'!Y$122)*(Summary!$C$27/((SUM(Summary!$C$24:$C$27)+Summary!$C$38)))</f>
        <v>1194325.4425508676</v>
      </c>
      <c r="R20" s="224">
        <f>('GAAP Beg Depreciation'!Z$122)*(Summary!$C$27/((SUM(Summary!$C$24:$C$27)+Summary!$C$38)))</f>
        <v>215349.11226782491</v>
      </c>
      <c r="S20" s="224">
        <f>('GAAP Beg Depreciation'!AA$122)*(Summary!$C$27/((SUM(Summary!$C$24:$C$27)+Summary!$C$38)))</f>
        <v>153733.04076325311</v>
      </c>
      <c r="T20" s="224">
        <f>('GAAP Beg Depreciation'!AB$122)*(Summary!$C$27/((SUM(Summary!$C$24:$C$27)+Summary!$C$38)))</f>
        <v>149527.71026740293</v>
      </c>
      <c r="U20" s="224">
        <f>('GAAP Beg Depreciation'!AC$122)*(Summary!$C$27/((SUM(Summary!$C$24:$C$27)+Summary!$C$38)))</f>
        <v>149527.71026740293</v>
      </c>
      <c r="V20" s="224">
        <f>('GAAP Beg Depreciation'!AD$122)*(Summary!$C$27/((SUM(Summary!$C$24:$C$27)+Summary!$C$38)))</f>
        <v>145931.09822228694</v>
      </c>
      <c r="W20" s="224">
        <f>('GAAP Beg Depreciation'!AE$122)*(Summary!$C$27/((SUM(Summary!$C$24:$C$27)+Summary!$C$38)))</f>
        <v>134695.88732635163</v>
      </c>
      <c r="X20" s="224">
        <f>('GAAP Beg Depreciation'!AF$122)*(Summary!$C$27/((SUM(Summary!$C$24:$C$27)+Summary!$C$38)))</f>
        <v>130755.03523016095</v>
      </c>
      <c r="Y20" s="224">
        <f>('GAAP Beg Depreciation'!AG$122)*(Summary!$C$27/((SUM(Summary!$C$24:$C$27)+Summary!$C$38)))</f>
        <v>130755.03523016095</v>
      </c>
      <c r="Z20" s="224">
        <f>('GAAP Beg Depreciation'!AH$122)*(Summary!$C$27/((SUM(Summary!$C$24:$C$27)+Summary!$C$38)))</f>
        <v>130755.03523016095</v>
      </c>
      <c r="AA20" s="224">
        <f>('GAAP Beg Depreciation'!AI$122)*(Summary!$C$27/((SUM(Summary!$C$24:$C$27)+Summary!$C$38)))</f>
        <v>130755.03523016095</v>
      </c>
      <c r="AB20" s="224">
        <f>('GAAP Beg Depreciation'!AJ$122)*(Summary!$C$27/((SUM(Summary!$C$24:$C$27)+Summary!$C$38)))</f>
        <v>130755.03523016095</v>
      </c>
      <c r="AC20" s="224">
        <f>('GAAP Beg Depreciation'!AK$122)*(Summary!$C$27/((SUM(Summary!$C$24:$C$27)+Summary!$C$38)))</f>
        <v>130755.03523016095</v>
      </c>
      <c r="AD20" s="224">
        <f>('GAAP Beg Depreciation'!AL$122)*(Summary!$C$27/((SUM(Summary!$C$24:$C$27)+Summary!$C$38)))</f>
        <v>130755.03523016095</v>
      </c>
      <c r="AE20" s="224">
        <f>('GAAP Beg Depreciation'!AM$122)*(Summary!$C$27/((SUM(Summary!$C$24:$C$27)+Summary!$C$38)))</f>
        <v>130755.03523016095</v>
      </c>
      <c r="AF20" s="224">
        <f>('GAAP Beg Depreciation'!AN$122)*(Summary!$C$27/((SUM(Summary!$C$24:$C$27)+Summary!$C$38)))</f>
        <v>130755.03523016095</v>
      </c>
      <c r="AG20" s="224">
        <f>('GAAP Beg Depreciation'!AO$122)*(Summary!$C$27/((SUM(Summary!$C$24:$C$27)+Summary!$C$38)))</f>
        <v>1568.3336880187276</v>
      </c>
    </row>
    <row r="21" spans="1:33" x14ac:dyDescent="0.2">
      <c r="A21">
        <v>12</v>
      </c>
      <c r="B21" t="s">
        <v>66</v>
      </c>
      <c r="C21" s="224">
        <f>('GAAP Beg Depreciation'!K$121)*(Summary!$C$28/((SUM(Summary!$C$28:$C$33)+SUM(Summary!$C$39:$C$42))))</f>
        <v>1049646.4935020462</v>
      </c>
      <c r="D21" s="224">
        <f>('GAAP Beg Depreciation'!L$121)*(Summary!$C$28/((SUM(Summary!$C$28:$C$33)+SUM(Summary!$C$39:$C$42))))</f>
        <v>1049646.4935020462</v>
      </c>
      <c r="E21" s="224">
        <f>('GAAP Beg Depreciation'!M$121)*(Summary!$C$28/((SUM(Summary!$C$28:$C$33)+SUM(Summary!$C$39:$C$42))))</f>
        <v>1047736.6880422897</v>
      </c>
      <c r="F21" s="224">
        <f>('GAAP Beg Depreciation'!N$121)*(Summary!$C$28/((SUM(Summary!$C$28:$C$33)+SUM(Summary!$C$39:$C$42))))</f>
        <v>1040829.9356859489</v>
      </c>
      <c r="G21" s="224">
        <f>('GAAP Beg Depreciation'!O$121)*(Summary!$C$28/((SUM(Summary!$C$28:$C$33)+SUM(Summary!$C$39:$C$42))))</f>
        <v>1011182.9778698517</v>
      </c>
      <c r="H21" s="224">
        <f>('GAAP Beg Depreciation'!P$121)*(Summary!$C$28/((SUM(Summary!$C$28:$C$33)+SUM(Summary!$C$39:$C$42))))</f>
        <v>926065.59141117567</v>
      </c>
      <c r="I21" s="224">
        <f>('GAAP Beg Depreciation'!Q$121)*(Summary!$C$28/((SUM(Summary!$C$28:$C$33)+SUM(Summary!$C$39:$C$42))))</f>
        <v>926065.59141117567</v>
      </c>
      <c r="J21" s="224">
        <f>('GAAP Beg Depreciation'!R$121)*(Summary!$C$28/((SUM(Summary!$C$28:$C$33)+SUM(Summary!$C$39:$C$42))))</f>
        <v>517427.09452633769</v>
      </c>
      <c r="K21" s="224">
        <f>('GAAP Beg Depreciation'!S$121)*(Summary!$C$28/((SUM(Summary!$C$28:$C$33)+SUM(Summary!$C$39:$C$42))))</f>
        <v>162332.76872640388</v>
      </c>
      <c r="L21" s="224">
        <f>('GAAP Beg Depreciation'!T$121)*(Summary!$C$28/((SUM(Summary!$C$28:$C$33)+SUM(Summary!$C$39:$C$42))))</f>
        <v>161975.49187633576</v>
      </c>
      <c r="M21" s="224">
        <f>('GAAP Beg Depreciation'!U$121)*(Summary!$C$28/((SUM(Summary!$C$28:$C$33)+SUM(Summary!$C$39:$C$42))))</f>
        <v>148423.90279584925</v>
      </c>
      <c r="N21" s="224">
        <f>('GAAP Beg Depreciation'!V$121)*(Summary!$C$28/((SUM(Summary!$C$28:$C$33)+SUM(Summary!$C$39:$C$42))))</f>
        <v>46354.760475687362</v>
      </c>
      <c r="O21" s="224">
        <f>('GAAP Beg Depreciation'!W$121)*(Summary!$C$28/((SUM(Summary!$C$28:$C$33)+SUM(Summary!$C$39:$C$42))))</f>
        <v>46354.760475687362</v>
      </c>
      <c r="P21" s="224">
        <f>('GAAP Beg Depreciation'!X$121)*(Summary!$C$28/((SUM(Summary!$C$28:$C$33)+SUM(Summary!$C$39:$C$42))))</f>
        <v>46354.760475687362</v>
      </c>
      <c r="Q21" s="224">
        <f>('GAAP Beg Depreciation'!Y$121)*(Summary!$C$28/((SUM(Summary!$C$28:$C$33)+SUM(Summary!$C$39:$C$42))))</f>
        <v>46354.760475687362</v>
      </c>
      <c r="R21" s="224">
        <f>('GAAP Beg Depreciation'!Z$121)*(Summary!$C$28/((SUM(Summary!$C$28:$C$33)+SUM(Summary!$C$39:$C$42))))</f>
        <v>46354.760475687362</v>
      </c>
      <c r="S21" s="224">
        <f>('GAAP Beg Depreciation'!AA$121)*(Summary!$C$28/((SUM(Summary!$C$28:$C$33)+SUM(Summary!$C$39:$C$42))))</f>
        <v>45711.785105673735</v>
      </c>
      <c r="T21" s="224">
        <f>('GAAP Beg Depreciation'!AB$121)*(Summary!$C$28/((SUM(Summary!$C$28:$C$33)+SUM(Summary!$C$39:$C$42))))</f>
        <v>43973.55669802444</v>
      </c>
      <c r="U21" s="224">
        <f>('GAAP Beg Depreciation'!AC$121)*(Summary!$C$28/((SUM(Summary!$C$28:$C$33)+SUM(Summary!$C$39:$C$42))))</f>
        <v>43973.55669802444</v>
      </c>
      <c r="V21" s="224">
        <f>('GAAP Beg Depreciation'!AD$121)*(Summary!$C$28/((SUM(Summary!$C$28:$C$33)+SUM(Summary!$C$39:$C$42))))</f>
        <v>43973.55669802444</v>
      </c>
      <c r="W21" s="224">
        <f>('GAAP Beg Depreciation'!AE$121)*(Summary!$C$28/((SUM(Summary!$C$28:$C$33)+SUM(Summary!$C$39:$C$42))))</f>
        <v>43973.55669802444</v>
      </c>
      <c r="X21" s="224">
        <f>('GAAP Beg Depreciation'!AF$121)*(Summary!$C$28/((SUM(Summary!$C$28:$C$33)+SUM(Summary!$C$39:$C$42))))</f>
        <v>43973.55669802444</v>
      </c>
      <c r="Y21" s="224">
        <f>('GAAP Beg Depreciation'!AG$121)*(Summary!$C$28/((SUM(Summary!$C$28:$C$33)+SUM(Summary!$C$39:$C$42))))</f>
        <v>43973.55669802444</v>
      </c>
      <c r="Z21" s="224">
        <f>('GAAP Beg Depreciation'!AH$121)*(Summary!$C$28/((SUM(Summary!$C$28:$C$33)+SUM(Summary!$C$39:$C$42))))</f>
        <v>43566.938570880717</v>
      </c>
      <c r="AA21" s="224">
        <f>('GAAP Beg Depreciation'!AI$121)*(Summary!$C$28/((SUM(Summary!$C$28:$C$33)+SUM(Summary!$C$39:$C$42))))</f>
        <v>40980.467377909794</v>
      </c>
      <c r="AB21" s="224">
        <f>('GAAP Beg Depreciation'!AJ$121)*(Summary!$C$28/((SUM(Summary!$C$28:$C$33)+SUM(Summary!$C$39:$C$42))))</f>
        <v>40980.467377909794</v>
      </c>
      <c r="AC21" s="224">
        <f>('GAAP Beg Depreciation'!AK$121)*(Summary!$C$28/((SUM(Summary!$C$28:$C$33)+SUM(Summary!$C$39:$C$42))))</f>
        <v>40980.467377909794</v>
      </c>
      <c r="AD21" s="224">
        <f>('GAAP Beg Depreciation'!AL$121)*(Summary!$C$28/((SUM(Summary!$C$28:$C$33)+SUM(Summary!$C$39:$C$42))))</f>
        <v>40980.467377909794</v>
      </c>
      <c r="AE21" s="224">
        <f>('GAAP Beg Depreciation'!AM$121)*(Summary!$C$28/((SUM(Summary!$C$28:$C$33)+SUM(Summary!$C$39:$C$42))))</f>
        <v>40980.467377909794</v>
      </c>
      <c r="AF21" s="224">
        <f>('GAAP Beg Depreciation'!AN$121)*(Summary!$C$28/((SUM(Summary!$C$28:$C$33)+SUM(Summary!$C$39:$C$42))))</f>
        <v>40980.467377909794</v>
      </c>
      <c r="AG21" s="224">
        <f>('GAAP Beg Depreciation'!AO$121)*(Summary!$C$28/((SUM(Summary!$C$28:$C$33)+SUM(Summary!$C$39:$C$42))))</f>
        <v>1129.254334445332</v>
      </c>
    </row>
    <row r="22" spans="1:33" x14ac:dyDescent="0.2">
      <c r="A22">
        <v>13</v>
      </c>
      <c r="B22" t="s">
        <v>67</v>
      </c>
      <c r="C22" s="224">
        <f>('GAAP Beg Depreciation'!K$121)*(Summary!$C$29/((SUM(Summary!$C$28:$C$33)+SUM(Summary!$C$39:$C$42))))</f>
        <v>1049646.4935020462</v>
      </c>
      <c r="D22" s="224">
        <f>('GAAP Beg Depreciation'!L$121)*(Summary!$C$29/((SUM(Summary!$C$28:$C$33)+SUM(Summary!$C$39:$C$42))))</f>
        <v>1049646.4935020462</v>
      </c>
      <c r="E22" s="224">
        <f>('GAAP Beg Depreciation'!M$121)*(Summary!$C$29/((SUM(Summary!$C$28:$C$33)+SUM(Summary!$C$39:$C$42))))</f>
        <v>1047736.6880422897</v>
      </c>
      <c r="F22" s="224">
        <f>('GAAP Beg Depreciation'!N$121)*(Summary!$C$29/((SUM(Summary!$C$28:$C$33)+SUM(Summary!$C$39:$C$42))))</f>
        <v>1040829.9356859489</v>
      </c>
      <c r="G22" s="224">
        <f>('GAAP Beg Depreciation'!O$121)*(Summary!$C$29/((SUM(Summary!$C$28:$C$33)+SUM(Summary!$C$39:$C$42))))</f>
        <v>1011182.9778698517</v>
      </c>
      <c r="H22" s="224">
        <f>('GAAP Beg Depreciation'!P$121)*(Summary!$C$29/((SUM(Summary!$C$28:$C$33)+SUM(Summary!$C$39:$C$42))))</f>
        <v>926065.59141117567</v>
      </c>
      <c r="I22" s="224">
        <f>('GAAP Beg Depreciation'!Q$121)*(Summary!$C$29/((SUM(Summary!$C$28:$C$33)+SUM(Summary!$C$39:$C$42))))</f>
        <v>926065.59141117567</v>
      </c>
      <c r="J22" s="224">
        <f>('GAAP Beg Depreciation'!R$121)*(Summary!$C$29/((SUM(Summary!$C$28:$C$33)+SUM(Summary!$C$39:$C$42))))</f>
        <v>517427.09452633769</v>
      </c>
      <c r="K22" s="224">
        <f>('GAAP Beg Depreciation'!S$121)*(Summary!$C$29/((SUM(Summary!$C$28:$C$33)+SUM(Summary!$C$39:$C$42))))</f>
        <v>162332.76872640388</v>
      </c>
      <c r="L22" s="224">
        <f>('GAAP Beg Depreciation'!T$121)*(Summary!$C$29/((SUM(Summary!$C$28:$C$33)+SUM(Summary!$C$39:$C$42))))</f>
        <v>161975.49187633576</v>
      </c>
      <c r="M22" s="224">
        <f>('GAAP Beg Depreciation'!U$121)*(Summary!$C$29/((SUM(Summary!$C$28:$C$33)+SUM(Summary!$C$39:$C$42))))</f>
        <v>148423.90279584925</v>
      </c>
      <c r="N22" s="224">
        <f>('GAAP Beg Depreciation'!V$121)*(Summary!$C$29/((SUM(Summary!$C$28:$C$33)+SUM(Summary!$C$39:$C$42))))</f>
        <v>46354.760475687362</v>
      </c>
      <c r="O22" s="224">
        <f>('GAAP Beg Depreciation'!W$121)*(Summary!$C$29/((SUM(Summary!$C$28:$C$33)+SUM(Summary!$C$39:$C$42))))</f>
        <v>46354.760475687362</v>
      </c>
      <c r="P22" s="224">
        <f>('GAAP Beg Depreciation'!X$121)*(Summary!$C$29/((SUM(Summary!$C$28:$C$33)+SUM(Summary!$C$39:$C$42))))</f>
        <v>46354.760475687362</v>
      </c>
      <c r="Q22" s="224">
        <f>('GAAP Beg Depreciation'!Y$121)*(Summary!$C$29/((SUM(Summary!$C$28:$C$33)+SUM(Summary!$C$39:$C$42))))</f>
        <v>46354.760475687362</v>
      </c>
      <c r="R22" s="224">
        <f>('GAAP Beg Depreciation'!Z$121)*(Summary!$C$29/((SUM(Summary!$C$28:$C$33)+SUM(Summary!$C$39:$C$42))))</f>
        <v>46354.760475687362</v>
      </c>
      <c r="S22" s="224">
        <f>('GAAP Beg Depreciation'!AA$121)*(Summary!$C$29/((SUM(Summary!$C$28:$C$33)+SUM(Summary!$C$39:$C$42))))</f>
        <v>45711.785105673735</v>
      </c>
      <c r="T22" s="224">
        <f>('GAAP Beg Depreciation'!AB$121)*(Summary!$C$29/((SUM(Summary!$C$28:$C$33)+SUM(Summary!$C$39:$C$42))))</f>
        <v>43973.55669802444</v>
      </c>
      <c r="U22" s="224">
        <f>('GAAP Beg Depreciation'!AC$121)*(Summary!$C$29/((SUM(Summary!$C$28:$C$33)+SUM(Summary!$C$39:$C$42))))</f>
        <v>43973.55669802444</v>
      </c>
      <c r="V22" s="224">
        <f>('GAAP Beg Depreciation'!AD$121)*(Summary!$C$29/((SUM(Summary!$C$28:$C$33)+SUM(Summary!$C$39:$C$42))))</f>
        <v>43973.55669802444</v>
      </c>
      <c r="W22" s="224">
        <f>('GAAP Beg Depreciation'!AE$121)*(Summary!$C$29/((SUM(Summary!$C$28:$C$33)+SUM(Summary!$C$39:$C$42))))</f>
        <v>43973.55669802444</v>
      </c>
      <c r="X22" s="224">
        <f>('GAAP Beg Depreciation'!AF$121)*(Summary!$C$29/((SUM(Summary!$C$28:$C$33)+SUM(Summary!$C$39:$C$42))))</f>
        <v>43973.55669802444</v>
      </c>
      <c r="Y22" s="224">
        <f>('GAAP Beg Depreciation'!AG$121)*(Summary!$C$29/((SUM(Summary!$C$28:$C$33)+SUM(Summary!$C$39:$C$42))))</f>
        <v>43973.55669802444</v>
      </c>
      <c r="Z22" s="224">
        <f>('GAAP Beg Depreciation'!AH$121)*(Summary!$C$29/((SUM(Summary!$C$28:$C$33)+SUM(Summary!$C$39:$C$42))))</f>
        <v>43566.938570880717</v>
      </c>
      <c r="AA22" s="224">
        <f>('GAAP Beg Depreciation'!AI$121)*(Summary!$C$29/((SUM(Summary!$C$28:$C$33)+SUM(Summary!$C$39:$C$42))))</f>
        <v>40980.467377909794</v>
      </c>
      <c r="AB22" s="224">
        <f>('GAAP Beg Depreciation'!AJ$121)*(Summary!$C$29/((SUM(Summary!$C$28:$C$33)+SUM(Summary!$C$39:$C$42))))</f>
        <v>40980.467377909794</v>
      </c>
      <c r="AC22" s="224">
        <f>('GAAP Beg Depreciation'!AK$121)*(Summary!$C$29/((SUM(Summary!$C$28:$C$33)+SUM(Summary!$C$39:$C$42))))</f>
        <v>40980.467377909794</v>
      </c>
      <c r="AD22" s="224">
        <f>('GAAP Beg Depreciation'!AL$121)*(Summary!$C$29/((SUM(Summary!$C$28:$C$33)+SUM(Summary!$C$39:$C$42))))</f>
        <v>40980.467377909794</v>
      </c>
      <c r="AE22" s="224">
        <f>('GAAP Beg Depreciation'!AM$121)*(Summary!$C$29/((SUM(Summary!$C$28:$C$33)+SUM(Summary!$C$39:$C$42))))</f>
        <v>40980.467377909794</v>
      </c>
      <c r="AF22" s="224">
        <f>('GAAP Beg Depreciation'!AN$121)*(Summary!$C$29/((SUM(Summary!$C$28:$C$33)+SUM(Summary!$C$39:$C$42))))</f>
        <v>40980.467377909794</v>
      </c>
      <c r="AG22" s="224">
        <f>('GAAP Beg Depreciation'!AO$121)*(Summary!$C$29/((SUM(Summary!$C$28:$C$33)+SUM(Summary!$C$39:$C$42))))</f>
        <v>1129.254334445332</v>
      </c>
    </row>
    <row r="23" spans="1:33" x14ac:dyDescent="0.2">
      <c r="A23">
        <v>14</v>
      </c>
      <c r="B23" t="s">
        <v>70</v>
      </c>
      <c r="C23" s="224">
        <f>('GAAP Beg Depreciation'!K$121)*(Summary!$C$30/((SUM(Summary!$C$28:$C$33)+SUM(Summary!$C$39:$C$42))))</f>
        <v>1429305.863492148</v>
      </c>
      <c r="D23" s="224">
        <f>('GAAP Beg Depreciation'!L$121)*(Summary!$C$30/((SUM(Summary!$C$28:$C$33)+SUM(Summary!$C$39:$C$42))))</f>
        <v>1429305.863492148</v>
      </c>
      <c r="E23" s="224">
        <f>('GAAP Beg Depreciation'!M$121)*(Summary!$C$30/((SUM(Summary!$C$28:$C$33)+SUM(Summary!$C$39:$C$42))))</f>
        <v>1426705.2773341816</v>
      </c>
      <c r="F23" s="224">
        <f>('GAAP Beg Depreciation'!N$121)*(Summary!$C$30/((SUM(Summary!$C$28:$C$33)+SUM(Summary!$C$39:$C$42))))</f>
        <v>1417300.3379553347</v>
      </c>
      <c r="G23" s="224">
        <f>('GAAP Beg Depreciation'!O$121)*(Summary!$C$30/((SUM(Summary!$C$28:$C$33)+SUM(Summary!$C$39:$C$42))))</f>
        <v>1376930.0124185213</v>
      </c>
      <c r="H23" s="224">
        <f>('GAAP Beg Depreciation'!P$121)*(Summary!$C$30/((SUM(Summary!$C$28:$C$33)+SUM(Summary!$C$39:$C$42))))</f>
        <v>1261025.4861769199</v>
      </c>
      <c r="I23" s="224">
        <f>('GAAP Beg Depreciation'!Q$121)*(Summary!$C$30/((SUM(Summary!$C$28:$C$33)+SUM(Summary!$C$39:$C$42))))</f>
        <v>1261025.4861769199</v>
      </c>
      <c r="J23" s="224">
        <f>('GAAP Beg Depreciation'!R$121)*(Summary!$C$30/((SUM(Summary!$C$28:$C$33)+SUM(Summary!$C$39:$C$42))))</f>
        <v>704581.57552522572</v>
      </c>
      <c r="K23" s="224">
        <f>('GAAP Beg Depreciation'!S$121)*(Summary!$C$30/((SUM(Summary!$C$28:$C$33)+SUM(Summary!$C$39:$C$42))))</f>
        <v>221048.8765636138</v>
      </c>
      <c r="L23" s="224">
        <f>('GAAP Beg Depreciation'!T$121)*(Summary!$C$30/((SUM(Summary!$C$28:$C$33)+SUM(Summary!$C$39:$C$42))))</f>
        <v>220562.37191671252</v>
      </c>
      <c r="M23" s="224">
        <f>('GAAP Beg Depreciation'!U$121)*(Summary!$C$30/((SUM(Summary!$C$28:$C$33)+SUM(Summary!$C$39:$C$42))))</f>
        <v>202109.14423264578</v>
      </c>
      <c r="N23" s="224">
        <f>('GAAP Beg Depreciation'!V$121)*(Summary!$C$30/((SUM(Summary!$C$28:$C$33)+SUM(Summary!$C$39:$C$42))))</f>
        <v>63121.375966893429</v>
      </c>
      <c r="O23" s="224">
        <f>('GAAP Beg Depreciation'!W$121)*(Summary!$C$30/((SUM(Summary!$C$28:$C$33)+SUM(Summary!$C$39:$C$42))))</f>
        <v>63121.375966893429</v>
      </c>
      <c r="P23" s="224">
        <f>('GAAP Beg Depreciation'!X$121)*(Summary!$C$30/((SUM(Summary!$C$28:$C$33)+SUM(Summary!$C$39:$C$42))))</f>
        <v>63121.375966893429</v>
      </c>
      <c r="Q23" s="224">
        <f>('GAAP Beg Depreciation'!Y$121)*(Summary!$C$30/((SUM(Summary!$C$28:$C$33)+SUM(Summary!$C$39:$C$42))))</f>
        <v>63121.375966893429</v>
      </c>
      <c r="R23" s="224">
        <f>('GAAP Beg Depreciation'!Z$121)*(Summary!$C$30/((SUM(Summary!$C$28:$C$33)+SUM(Summary!$C$39:$C$42))))</f>
        <v>63121.375966893429</v>
      </c>
      <c r="S23" s="224">
        <f>('GAAP Beg Depreciation'!AA$121)*(Summary!$C$30/((SUM(Summary!$C$28:$C$33)+SUM(Summary!$C$39:$C$42))))</f>
        <v>62245.83503751317</v>
      </c>
      <c r="T23" s="224">
        <f>('GAAP Beg Depreciation'!AB$121)*(Summary!$C$30/((SUM(Summary!$C$28:$C$33)+SUM(Summary!$C$39:$C$42))))</f>
        <v>59878.885716458812</v>
      </c>
      <c r="U23" s="224">
        <f>('GAAP Beg Depreciation'!AC$121)*(Summary!$C$30/((SUM(Summary!$C$28:$C$33)+SUM(Summary!$C$39:$C$42))))</f>
        <v>59878.885716458812</v>
      </c>
      <c r="V23" s="224">
        <f>('GAAP Beg Depreciation'!AD$121)*(Summary!$C$30/((SUM(Summary!$C$28:$C$33)+SUM(Summary!$C$39:$C$42))))</f>
        <v>59878.885716458812</v>
      </c>
      <c r="W23" s="224">
        <f>('GAAP Beg Depreciation'!AE$121)*(Summary!$C$30/((SUM(Summary!$C$28:$C$33)+SUM(Summary!$C$39:$C$42))))</f>
        <v>59878.885716458812</v>
      </c>
      <c r="X23" s="224">
        <f>('GAAP Beg Depreciation'!AF$121)*(Summary!$C$30/((SUM(Summary!$C$28:$C$33)+SUM(Summary!$C$39:$C$42))))</f>
        <v>59878.885716458812</v>
      </c>
      <c r="Y23" s="224">
        <f>('GAAP Beg Depreciation'!AG$121)*(Summary!$C$30/((SUM(Summary!$C$28:$C$33)+SUM(Summary!$C$39:$C$42))))</f>
        <v>59878.885716458812</v>
      </c>
      <c r="Z23" s="224">
        <f>('GAAP Beg Depreciation'!AH$121)*(Summary!$C$30/((SUM(Summary!$C$28:$C$33)+SUM(Summary!$C$39:$C$42))))</f>
        <v>59325.192947582247</v>
      </c>
      <c r="AA23" s="224">
        <f>('GAAP Beg Depreciation'!AI$121)*(Summary!$C$30/((SUM(Summary!$C$28:$C$33)+SUM(Summary!$C$39:$C$42))))</f>
        <v>55803.189620983547</v>
      </c>
      <c r="AB23" s="224">
        <f>('GAAP Beg Depreciation'!AJ$121)*(Summary!$C$30/((SUM(Summary!$C$28:$C$33)+SUM(Summary!$C$39:$C$42))))</f>
        <v>55803.189620983547</v>
      </c>
      <c r="AC23" s="224">
        <f>('GAAP Beg Depreciation'!AK$121)*(Summary!$C$30/((SUM(Summary!$C$28:$C$33)+SUM(Summary!$C$39:$C$42))))</f>
        <v>55803.189620983547</v>
      </c>
      <c r="AD23" s="224">
        <f>('GAAP Beg Depreciation'!AL$121)*(Summary!$C$30/((SUM(Summary!$C$28:$C$33)+SUM(Summary!$C$39:$C$42))))</f>
        <v>55803.189620983547</v>
      </c>
      <c r="AE23" s="224">
        <f>('GAAP Beg Depreciation'!AM$121)*(Summary!$C$30/((SUM(Summary!$C$28:$C$33)+SUM(Summary!$C$39:$C$42))))</f>
        <v>55803.189620983547</v>
      </c>
      <c r="AF23" s="224">
        <f>('GAAP Beg Depreciation'!AN$121)*(Summary!$C$30/((SUM(Summary!$C$28:$C$33)+SUM(Summary!$C$39:$C$42))))</f>
        <v>55803.189620983547</v>
      </c>
      <c r="AG23" s="224">
        <f>('GAAP Beg Depreciation'!AO$121)*(Summary!$C$30/((SUM(Summary!$C$28:$C$33)+SUM(Summary!$C$39:$C$42))))</f>
        <v>1537.7080298830051</v>
      </c>
    </row>
    <row r="24" spans="1:33" x14ac:dyDescent="0.2">
      <c r="A24">
        <v>15</v>
      </c>
      <c r="B24" t="s">
        <v>68</v>
      </c>
      <c r="C24" s="224">
        <f>('GAAP Beg Depreciation'!K$121)*(Summary!$C$31/((SUM(Summary!$C$28:$C$33)+SUM(Summary!$C$39:$C$42))))</f>
        <v>1674967.8087798611</v>
      </c>
      <c r="D24" s="224">
        <f>('GAAP Beg Depreciation'!L$121)*(Summary!$C$31/((SUM(Summary!$C$28:$C$33)+SUM(Summary!$C$39:$C$42))))</f>
        <v>1674967.8087798611</v>
      </c>
      <c r="E24" s="224">
        <f>('GAAP Beg Depreciation'!M$121)*(Summary!$C$31/((SUM(Summary!$C$28:$C$33)+SUM(Summary!$C$39:$C$42))))</f>
        <v>1671920.2468759944</v>
      </c>
      <c r="F24" s="224">
        <f>('GAAP Beg Depreciation'!N$121)*(Summary!$C$31/((SUM(Summary!$C$28:$C$33)+SUM(Summary!$C$39:$C$42))))</f>
        <v>1660898.8335414079</v>
      </c>
      <c r="G24" s="224">
        <f>('GAAP Beg Depreciation'!O$121)*(Summary!$C$31/((SUM(Summary!$C$28:$C$33)+SUM(Summary!$C$39:$C$42))))</f>
        <v>1613589.8583029548</v>
      </c>
      <c r="H24" s="224">
        <f>('GAAP Beg Depreciation'!P$121)*(Summary!$C$31/((SUM(Summary!$C$28:$C$33)+SUM(Summary!$C$39:$C$42))))</f>
        <v>1477764.2416135783</v>
      </c>
      <c r="I24" s="224">
        <f>('GAAP Beg Depreciation'!Q$121)*(Summary!$C$31/((SUM(Summary!$C$28:$C$33)+SUM(Summary!$C$39:$C$42))))</f>
        <v>1477764.2416135783</v>
      </c>
      <c r="J24" s="224">
        <f>('GAAP Beg Depreciation'!R$121)*(Summary!$C$31/((SUM(Summary!$C$28:$C$33)+SUM(Summary!$C$39:$C$42))))</f>
        <v>825681.53381862398</v>
      </c>
      <c r="K24" s="224">
        <f>('GAAP Beg Depreciation'!S$121)*(Summary!$C$31/((SUM(Summary!$C$28:$C$33)+SUM(Summary!$C$39:$C$42))))</f>
        <v>259041.65222298494</v>
      </c>
      <c r="L24" s="224">
        <f>('GAAP Beg Depreciation'!T$121)*(Summary!$C$31/((SUM(Summary!$C$28:$C$33)+SUM(Summary!$C$39:$C$42))))</f>
        <v>258471.52958989752</v>
      </c>
      <c r="M24" s="224">
        <f>('GAAP Beg Depreciation'!U$121)*(Summary!$C$31/((SUM(Summary!$C$28:$C$33)+SUM(Summary!$C$39:$C$42))))</f>
        <v>236846.6533976318</v>
      </c>
      <c r="N24" s="224">
        <f>('GAAP Beg Depreciation'!V$121)*(Summary!$C$31/((SUM(Summary!$C$28:$C$33)+SUM(Summary!$C$39:$C$42))))</f>
        <v>73970.362461203244</v>
      </c>
      <c r="O24" s="224">
        <f>('GAAP Beg Depreciation'!W$121)*(Summary!$C$31/((SUM(Summary!$C$28:$C$33)+SUM(Summary!$C$39:$C$42))))</f>
        <v>73970.362461203244</v>
      </c>
      <c r="P24" s="224">
        <f>('GAAP Beg Depreciation'!X$121)*(Summary!$C$31/((SUM(Summary!$C$28:$C$33)+SUM(Summary!$C$39:$C$42))))</f>
        <v>73970.362461203244</v>
      </c>
      <c r="Q24" s="224">
        <f>('GAAP Beg Depreciation'!Y$121)*(Summary!$C$31/((SUM(Summary!$C$28:$C$33)+SUM(Summary!$C$39:$C$42))))</f>
        <v>73970.362461203244</v>
      </c>
      <c r="R24" s="224">
        <f>('GAAP Beg Depreciation'!Z$121)*(Summary!$C$31/((SUM(Summary!$C$28:$C$33)+SUM(Summary!$C$39:$C$42))))</f>
        <v>73970.362461203244</v>
      </c>
      <c r="S24" s="224">
        <f>('GAAP Beg Depreciation'!AA$121)*(Summary!$C$31/((SUM(Summary!$C$28:$C$33)+SUM(Summary!$C$39:$C$42))))</f>
        <v>72944.337934585754</v>
      </c>
      <c r="T24" s="224">
        <f>('GAAP Beg Depreciation'!AB$121)*(Summary!$C$31/((SUM(Summary!$C$28:$C$33)+SUM(Summary!$C$39:$C$42))))</f>
        <v>70170.569198975179</v>
      </c>
      <c r="U24" s="224">
        <f>('GAAP Beg Depreciation'!AC$121)*(Summary!$C$31/((SUM(Summary!$C$28:$C$33)+SUM(Summary!$C$39:$C$42))))</f>
        <v>70170.569198975179</v>
      </c>
      <c r="V24" s="224">
        <f>('GAAP Beg Depreciation'!AD$121)*(Summary!$C$31/((SUM(Summary!$C$28:$C$33)+SUM(Summary!$C$39:$C$42))))</f>
        <v>70170.569198975179</v>
      </c>
      <c r="W24" s="224">
        <f>('GAAP Beg Depreciation'!AE$121)*(Summary!$C$31/((SUM(Summary!$C$28:$C$33)+SUM(Summary!$C$39:$C$42))))</f>
        <v>70170.569198975179</v>
      </c>
      <c r="X24" s="224">
        <f>('GAAP Beg Depreciation'!AF$121)*(Summary!$C$31/((SUM(Summary!$C$28:$C$33)+SUM(Summary!$C$39:$C$42))))</f>
        <v>70170.569198975179</v>
      </c>
      <c r="Y24" s="224">
        <f>('GAAP Beg Depreciation'!AG$121)*(Summary!$C$31/((SUM(Summary!$C$28:$C$33)+SUM(Summary!$C$39:$C$42))))</f>
        <v>70170.569198975179</v>
      </c>
      <c r="Z24" s="224">
        <f>('GAAP Beg Depreciation'!AH$121)*(Summary!$C$31/((SUM(Summary!$C$28:$C$33)+SUM(Summary!$C$39:$C$42))))</f>
        <v>69521.710485447955</v>
      </c>
      <c r="AA24" s="224">
        <f>('GAAP Beg Depreciation'!AI$121)*(Summary!$C$31/((SUM(Summary!$C$28:$C$33)+SUM(Summary!$C$39:$C$42))))</f>
        <v>65394.362837090106</v>
      </c>
      <c r="AB24" s="224">
        <f>('GAAP Beg Depreciation'!AJ$121)*(Summary!$C$31/((SUM(Summary!$C$28:$C$33)+SUM(Summary!$C$39:$C$42))))</f>
        <v>65394.362837090106</v>
      </c>
      <c r="AC24" s="224">
        <f>('GAAP Beg Depreciation'!AK$121)*(Summary!$C$31/((SUM(Summary!$C$28:$C$33)+SUM(Summary!$C$39:$C$42))))</f>
        <v>65394.362837090106</v>
      </c>
      <c r="AD24" s="224">
        <f>('GAAP Beg Depreciation'!AL$121)*(Summary!$C$31/((SUM(Summary!$C$28:$C$33)+SUM(Summary!$C$39:$C$42))))</f>
        <v>65394.362837090106</v>
      </c>
      <c r="AE24" s="224">
        <f>('GAAP Beg Depreciation'!AM$121)*(Summary!$C$31/((SUM(Summary!$C$28:$C$33)+SUM(Summary!$C$39:$C$42))))</f>
        <v>65394.362837090106</v>
      </c>
      <c r="AF24" s="224">
        <f>('GAAP Beg Depreciation'!AN$121)*(Summary!$C$31/((SUM(Summary!$C$28:$C$33)+SUM(Summary!$C$39:$C$42))))</f>
        <v>65394.362837090106</v>
      </c>
      <c r="AG24" s="224">
        <f>('GAAP Beg Depreciation'!AO$121)*(Summary!$C$31/((SUM(Summary!$C$28:$C$33)+SUM(Summary!$C$39:$C$42))))</f>
        <v>1802.0015975191468</v>
      </c>
    </row>
    <row r="25" spans="1:33" x14ac:dyDescent="0.2">
      <c r="A25">
        <v>16</v>
      </c>
      <c r="B25" t="s">
        <v>69</v>
      </c>
      <c r="C25" s="224">
        <f>('GAAP Beg Depreciation'!K$121)*(Summary!$C$32/((SUM(Summary!$C$28:$C$33)+SUM(Summary!$C$39:$C$42))))</f>
        <v>2657615.5899307127</v>
      </c>
      <c r="D25" s="224">
        <f>('GAAP Beg Depreciation'!L$121)*(Summary!$C$32/((SUM(Summary!$C$28:$C$33)+SUM(Summary!$C$39:$C$42))))</f>
        <v>2657615.5899307127</v>
      </c>
      <c r="E25" s="224">
        <f>('GAAP Beg Depreciation'!M$121)*(Summary!$C$32/((SUM(Summary!$C$28:$C$33)+SUM(Summary!$C$39:$C$42))))</f>
        <v>2652780.1250432441</v>
      </c>
      <c r="F25" s="224">
        <f>('GAAP Beg Depreciation'!N$121)*(Summary!$C$32/((SUM(Summary!$C$28:$C$33)+SUM(Summary!$C$39:$C$42))))</f>
        <v>2635292.8158857003</v>
      </c>
      <c r="G25" s="224">
        <f>('GAAP Beg Depreciation'!O$121)*(Summary!$C$32/((SUM(Summary!$C$28:$C$33)+SUM(Summary!$C$39:$C$42))))</f>
        <v>2560229.241840688</v>
      </c>
      <c r="H25" s="224">
        <f>('GAAP Beg Depreciation'!P$121)*(Summary!$C$32/((SUM(Summary!$C$28:$C$33)+SUM(Summary!$C$39:$C$42))))</f>
        <v>2344719.2633602107</v>
      </c>
      <c r="I25" s="224">
        <f>('GAAP Beg Depreciation'!Q$121)*(Summary!$C$32/((SUM(Summary!$C$28:$C$33)+SUM(Summary!$C$39:$C$42))))</f>
        <v>2344719.2633602107</v>
      </c>
      <c r="J25" s="224">
        <f>('GAAP Beg Depreciation'!R$121)*(Summary!$C$32/((SUM(Summary!$C$28:$C$33)+SUM(Summary!$C$39:$C$42))))</f>
        <v>1310081.3669922166</v>
      </c>
      <c r="K25" s="224">
        <f>('GAAP Beg Depreciation'!S$121)*(Summary!$C$32/((SUM(Summary!$C$28:$C$33)+SUM(Summary!$C$39:$C$42))))</f>
        <v>411012.75486046937</v>
      </c>
      <c r="L25" s="224">
        <f>('GAAP Beg Depreciation'!T$121)*(Summary!$C$32/((SUM(Summary!$C$28:$C$33)+SUM(Summary!$C$39:$C$42))))</f>
        <v>410108.16028263734</v>
      </c>
      <c r="M25" s="224">
        <f>('GAAP Beg Depreciation'!U$121)*(Summary!$C$32/((SUM(Summary!$C$28:$C$33)+SUM(Summary!$C$39:$C$42))))</f>
        <v>375796.69005757576</v>
      </c>
      <c r="N25" s="224">
        <f>('GAAP Beg Depreciation'!V$121)*(Summary!$C$32/((SUM(Summary!$C$28:$C$33)+SUM(Summary!$C$39:$C$42))))</f>
        <v>117366.30843844247</v>
      </c>
      <c r="O25" s="224">
        <f>('GAAP Beg Depreciation'!W$121)*(Summary!$C$32/((SUM(Summary!$C$28:$C$33)+SUM(Summary!$C$39:$C$42))))</f>
        <v>117366.30843844247</v>
      </c>
      <c r="P25" s="224">
        <f>('GAAP Beg Depreciation'!X$121)*(Summary!$C$32/((SUM(Summary!$C$28:$C$33)+SUM(Summary!$C$39:$C$42))))</f>
        <v>117366.30843844247</v>
      </c>
      <c r="Q25" s="224">
        <f>('GAAP Beg Depreciation'!Y$121)*(Summary!$C$32/((SUM(Summary!$C$28:$C$33)+SUM(Summary!$C$39:$C$42))))</f>
        <v>117366.30843844247</v>
      </c>
      <c r="R25" s="224">
        <f>('GAAP Beg Depreciation'!Z$121)*(Summary!$C$32/((SUM(Summary!$C$28:$C$33)+SUM(Summary!$C$39:$C$42))))</f>
        <v>117366.30843844247</v>
      </c>
      <c r="S25" s="224">
        <f>('GAAP Beg Depreciation'!AA$121)*(Summary!$C$32/((SUM(Summary!$C$28:$C$33)+SUM(Summary!$C$39:$C$42))))</f>
        <v>115738.34952287604</v>
      </c>
      <c r="T25" s="224">
        <f>('GAAP Beg Depreciation'!AB$121)*(Summary!$C$32/((SUM(Summary!$C$28:$C$33)+SUM(Summary!$C$39:$C$42))))</f>
        <v>111337.30312904059</v>
      </c>
      <c r="U25" s="224">
        <f>('GAAP Beg Depreciation'!AC$121)*(Summary!$C$32/((SUM(Summary!$C$28:$C$33)+SUM(Summary!$C$39:$C$42))))</f>
        <v>111337.30312904059</v>
      </c>
      <c r="V25" s="224">
        <f>('GAAP Beg Depreciation'!AD$121)*(Summary!$C$32/((SUM(Summary!$C$28:$C$33)+SUM(Summary!$C$39:$C$42))))</f>
        <v>111337.30312904059</v>
      </c>
      <c r="W25" s="224">
        <f>('GAAP Beg Depreciation'!AE$121)*(Summary!$C$32/((SUM(Summary!$C$28:$C$33)+SUM(Summary!$C$39:$C$42))))</f>
        <v>111337.30312904059</v>
      </c>
      <c r="X25" s="224">
        <f>('GAAP Beg Depreciation'!AF$121)*(Summary!$C$32/((SUM(Summary!$C$28:$C$33)+SUM(Summary!$C$39:$C$42))))</f>
        <v>111337.30312904059</v>
      </c>
      <c r="Y25" s="224">
        <f>('GAAP Beg Depreciation'!AG$121)*(Summary!$C$32/((SUM(Summary!$C$28:$C$33)+SUM(Summary!$C$39:$C$42))))</f>
        <v>111337.30312904059</v>
      </c>
      <c r="Z25" s="224">
        <f>('GAAP Beg Depreciation'!AH$121)*(Summary!$C$32/((SUM(Summary!$C$28:$C$33)+SUM(Summary!$C$39:$C$42))))</f>
        <v>110307.78063691074</v>
      </c>
      <c r="AA25" s="224">
        <f>('GAAP Beg Depreciation'!AI$121)*(Summary!$C$32/((SUM(Summary!$C$28:$C$33)+SUM(Summary!$C$39:$C$42))))</f>
        <v>103759.05570151628</v>
      </c>
      <c r="AB25" s="224">
        <f>('GAAP Beg Depreciation'!AJ$121)*(Summary!$C$32/((SUM(Summary!$C$28:$C$33)+SUM(Summary!$C$39:$C$42))))</f>
        <v>103759.05570151628</v>
      </c>
      <c r="AC25" s="224">
        <f>('GAAP Beg Depreciation'!AK$121)*(Summary!$C$32/((SUM(Summary!$C$28:$C$33)+SUM(Summary!$C$39:$C$42))))</f>
        <v>103759.05570151628</v>
      </c>
      <c r="AD25" s="224">
        <f>('GAAP Beg Depreciation'!AL$121)*(Summary!$C$32/((SUM(Summary!$C$28:$C$33)+SUM(Summary!$C$39:$C$42))))</f>
        <v>103759.05570151628</v>
      </c>
      <c r="AE25" s="224">
        <f>('GAAP Beg Depreciation'!AM$121)*(Summary!$C$32/((SUM(Summary!$C$28:$C$33)+SUM(Summary!$C$39:$C$42))))</f>
        <v>103759.05570151628</v>
      </c>
      <c r="AF25" s="224">
        <f>('GAAP Beg Depreciation'!AN$121)*(Summary!$C$32/((SUM(Summary!$C$28:$C$33)+SUM(Summary!$C$39:$C$42))))</f>
        <v>103759.05570151628</v>
      </c>
      <c r="AG25" s="224">
        <f>('GAAP Beg Depreciation'!AO$121)*(Summary!$C$32/((SUM(Summary!$C$28:$C$33)+SUM(Summary!$C$39:$C$42))))</f>
        <v>2859.1758680637126</v>
      </c>
    </row>
    <row r="26" spans="1:33" x14ac:dyDescent="0.2">
      <c r="A26">
        <v>17</v>
      </c>
      <c r="B26" t="s">
        <v>71</v>
      </c>
      <c r="C26" s="224">
        <f>('GAAP Beg Depreciation'!K$121)*(Summary!$C$33/((SUM(Summary!$C$28:$C$33)+SUM(Summary!$C$39:$C$42))))</f>
        <v>1733591.6820871562</v>
      </c>
      <c r="D26" s="224">
        <f>('GAAP Beg Depreciation'!L$121)*(Summary!$C$33/((SUM(Summary!$C$28:$C$33)+SUM(Summary!$C$39:$C$42))))</f>
        <v>1733591.6820871562</v>
      </c>
      <c r="E26" s="224">
        <f>('GAAP Beg Depreciation'!M$121)*(Summary!$C$33/((SUM(Summary!$C$28:$C$33)+SUM(Summary!$C$39:$C$42))))</f>
        <v>1730437.4555166541</v>
      </c>
      <c r="F26" s="224">
        <f>('GAAP Beg Depreciation'!N$121)*(Summary!$C$33/((SUM(Summary!$C$28:$C$33)+SUM(Summary!$C$39:$C$42))))</f>
        <v>1719030.2927153572</v>
      </c>
      <c r="G26" s="224">
        <f>('GAAP Beg Depreciation'!O$121)*(Summary!$C$33/((SUM(Summary!$C$28:$C$33)+SUM(Summary!$C$39:$C$42))))</f>
        <v>1670065.5033435582</v>
      </c>
      <c r="H26" s="224">
        <f>('GAAP Beg Depreciation'!P$121)*(Summary!$C$33/((SUM(Summary!$C$28:$C$33)+SUM(Summary!$C$39:$C$42))))</f>
        <v>1529485.9900700534</v>
      </c>
      <c r="I26" s="224">
        <f>('GAAP Beg Depreciation'!Q$121)*(Summary!$C$33/((SUM(Summary!$C$28:$C$33)+SUM(Summary!$C$39:$C$42))))</f>
        <v>1529485.9900700534</v>
      </c>
      <c r="J26" s="224">
        <f>('GAAP Beg Depreciation'!R$121)*(Summary!$C$33/((SUM(Summary!$C$28:$C$33)+SUM(Summary!$C$39:$C$42))))</f>
        <v>854580.38750227587</v>
      </c>
      <c r="K26" s="224">
        <f>('GAAP Beg Depreciation'!S$121)*(Summary!$C$33/((SUM(Summary!$C$28:$C$33)+SUM(Summary!$C$39:$C$42))))</f>
        <v>268108.11005078943</v>
      </c>
      <c r="L26" s="224">
        <f>('GAAP Beg Depreciation'!T$121)*(Summary!$C$33/((SUM(Summary!$C$28:$C$33)+SUM(Summary!$C$39:$C$42))))</f>
        <v>267518.03312554391</v>
      </c>
      <c r="M26" s="224">
        <f>('GAAP Beg Depreciation'!U$121)*(Summary!$C$33/((SUM(Summary!$C$28:$C$33)+SUM(Summary!$C$39:$C$42))))</f>
        <v>245136.28626654891</v>
      </c>
      <c r="N26" s="224">
        <f>('GAAP Beg Depreciation'!V$121)*(Summary!$C$33/((SUM(Summary!$C$28:$C$33)+SUM(Summary!$C$39:$C$42))))</f>
        <v>76559.325147345357</v>
      </c>
      <c r="O26" s="224">
        <f>('GAAP Beg Depreciation'!W$121)*(Summary!$C$33/((SUM(Summary!$C$28:$C$33)+SUM(Summary!$C$39:$C$42))))</f>
        <v>76559.325147345357</v>
      </c>
      <c r="P26" s="224">
        <f>('GAAP Beg Depreciation'!X$121)*(Summary!$C$33/((SUM(Summary!$C$28:$C$33)+SUM(Summary!$C$39:$C$42))))</f>
        <v>76559.325147345357</v>
      </c>
      <c r="Q26" s="224">
        <f>('GAAP Beg Depreciation'!Y$121)*(Summary!$C$33/((SUM(Summary!$C$28:$C$33)+SUM(Summary!$C$39:$C$42))))</f>
        <v>76559.325147345357</v>
      </c>
      <c r="R26" s="224">
        <f>('GAAP Beg Depreciation'!Z$121)*(Summary!$C$33/((SUM(Summary!$C$28:$C$33)+SUM(Summary!$C$39:$C$42))))</f>
        <v>76559.325147345357</v>
      </c>
      <c r="S26" s="224">
        <f>('GAAP Beg Depreciation'!AA$121)*(Summary!$C$33/((SUM(Summary!$C$28:$C$33)+SUM(Summary!$C$39:$C$42))))</f>
        <v>75497.389762296254</v>
      </c>
      <c r="T26" s="224">
        <f>('GAAP Beg Depreciation'!AB$121)*(Summary!$C$33/((SUM(Summary!$C$28:$C$33)+SUM(Summary!$C$39:$C$42))))</f>
        <v>72626.539120939298</v>
      </c>
      <c r="U26" s="224">
        <f>('GAAP Beg Depreciation'!AC$121)*(Summary!$C$33/((SUM(Summary!$C$28:$C$33)+SUM(Summary!$C$39:$C$42))))</f>
        <v>72626.539120939298</v>
      </c>
      <c r="V26" s="224">
        <f>('GAAP Beg Depreciation'!AD$121)*(Summary!$C$33/((SUM(Summary!$C$28:$C$33)+SUM(Summary!$C$39:$C$42))))</f>
        <v>72626.539120939298</v>
      </c>
      <c r="W26" s="224">
        <f>('GAAP Beg Depreciation'!AE$121)*(Summary!$C$33/((SUM(Summary!$C$28:$C$33)+SUM(Summary!$C$39:$C$42))))</f>
        <v>72626.539120939298</v>
      </c>
      <c r="X26" s="224">
        <f>('GAAP Beg Depreciation'!AF$121)*(Summary!$C$33/((SUM(Summary!$C$28:$C$33)+SUM(Summary!$C$39:$C$42))))</f>
        <v>72626.539120939298</v>
      </c>
      <c r="Y26" s="224">
        <f>('GAAP Beg Depreciation'!AG$121)*(Summary!$C$33/((SUM(Summary!$C$28:$C$33)+SUM(Summary!$C$39:$C$42))))</f>
        <v>72626.539120939298</v>
      </c>
      <c r="Z26" s="224">
        <f>('GAAP Beg Depreciation'!AH$121)*(Summary!$C$33/((SUM(Summary!$C$28:$C$33)+SUM(Summary!$C$39:$C$42))))</f>
        <v>71954.970352438628</v>
      </c>
      <c r="AA26" s="224">
        <f>('GAAP Beg Depreciation'!AI$121)*(Summary!$C$33/((SUM(Summary!$C$28:$C$33)+SUM(Summary!$C$39:$C$42))))</f>
        <v>67683.16553638826</v>
      </c>
      <c r="AB26" s="224">
        <f>('GAAP Beg Depreciation'!AJ$121)*(Summary!$C$33/((SUM(Summary!$C$28:$C$33)+SUM(Summary!$C$39:$C$42))))</f>
        <v>67683.16553638826</v>
      </c>
      <c r="AC26" s="224">
        <f>('GAAP Beg Depreciation'!AK$121)*(Summary!$C$33/((SUM(Summary!$C$28:$C$33)+SUM(Summary!$C$39:$C$42))))</f>
        <v>67683.16553638826</v>
      </c>
      <c r="AD26" s="224">
        <f>('GAAP Beg Depreciation'!AL$121)*(Summary!$C$33/((SUM(Summary!$C$28:$C$33)+SUM(Summary!$C$39:$C$42))))</f>
        <v>67683.16553638826</v>
      </c>
      <c r="AE26" s="224">
        <f>('GAAP Beg Depreciation'!AM$121)*(Summary!$C$33/((SUM(Summary!$C$28:$C$33)+SUM(Summary!$C$39:$C$42))))</f>
        <v>67683.16553638826</v>
      </c>
      <c r="AF26" s="224">
        <f>('GAAP Beg Depreciation'!AN$121)*(Summary!$C$33/((SUM(Summary!$C$28:$C$33)+SUM(Summary!$C$39:$C$42))))</f>
        <v>67683.16553638826</v>
      </c>
      <c r="AG26" s="224">
        <f>('GAAP Beg Depreciation'!AO$121)*(Summary!$C$33/((SUM(Summary!$C$28:$C$33)+SUM(Summary!$C$39:$C$42))))</f>
        <v>1865.0716534323169</v>
      </c>
    </row>
    <row r="27" spans="1:33" x14ac:dyDescent="0.2">
      <c r="A27">
        <v>18</v>
      </c>
      <c r="B27" t="s">
        <v>72</v>
      </c>
      <c r="C27" s="224">
        <f>'GAAP Beg Depreciation'!K128</f>
        <v>37682075.157172807</v>
      </c>
      <c r="D27" s="224">
        <f>'GAAP Beg Depreciation'!L128</f>
        <v>37682075.157172807</v>
      </c>
      <c r="E27" s="224">
        <f>'GAAP Beg Depreciation'!M128</f>
        <v>37682075.157172807</v>
      </c>
      <c r="F27" s="224">
        <f>'GAAP Beg Depreciation'!N128</f>
        <v>37682075.157172807</v>
      </c>
      <c r="G27" s="224">
        <f>'GAAP Beg Depreciation'!O128</f>
        <v>37682075.157172807</v>
      </c>
      <c r="H27" s="224">
        <f>'GAAP Beg Depreciation'!P128</f>
        <v>37682075.157172807</v>
      </c>
      <c r="I27" s="224">
        <f>'GAAP Beg Depreciation'!Q128</f>
        <v>37682075.157172807</v>
      </c>
      <c r="J27" s="224">
        <f>'GAAP Beg Depreciation'!R128</f>
        <v>37682075.157172807</v>
      </c>
      <c r="K27" s="224">
        <f>'GAAP Beg Depreciation'!S128</f>
        <v>37682075.157172807</v>
      </c>
      <c r="L27" s="224">
        <f>'GAAP Beg Depreciation'!T128</f>
        <v>37682075.157172807</v>
      </c>
      <c r="M27" s="224">
        <f>'GAAP Beg Depreciation'!U128</f>
        <v>37682075.157172807</v>
      </c>
      <c r="N27" s="224">
        <f>'GAAP Beg Depreciation'!V128</f>
        <v>37682075.157172807</v>
      </c>
      <c r="O27" s="224">
        <f>'GAAP Beg Depreciation'!W128</f>
        <v>37682075.157172807</v>
      </c>
      <c r="P27" s="224">
        <f>'GAAP Beg Depreciation'!X128</f>
        <v>37682075.157172807</v>
      </c>
      <c r="Q27" s="224">
        <f>'GAAP Beg Depreciation'!Y128</f>
        <v>37682075.157172807</v>
      </c>
      <c r="R27" s="224">
        <f>'GAAP Beg Depreciation'!Z128</f>
        <v>37682075.157172807</v>
      </c>
      <c r="S27" s="224">
        <f>'GAAP Beg Depreciation'!AA128</f>
        <v>37682075.157172807</v>
      </c>
      <c r="T27" s="224">
        <f>'GAAP Beg Depreciation'!AB128</f>
        <v>37682075.157172807</v>
      </c>
      <c r="U27" s="224">
        <f>'GAAP Beg Depreciation'!AC128</f>
        <v>37682075.157172807</v>
      </c>
      <c r="V27" s="224">
        <f>'GAAP Beg Depreciation'!AD128</f>
        <v>37682075.157172807</v>
      </c>
      <c r="W27" s="224">
        <f>'GAAP Beg Depreciation'!AE128</f>
        <v>37682075.157172807</v>
      </c>
      <c r="X27" s="224">
        <f>'GAAP Beg Depreciation'!AF128</f>
        <v>37682075.157172807</v>
      </c>
      <c r="Y27" s="224">
        <f>'GAAP Beg Depreciation'!AG128</f>
        <v>37682075.157172807</v>
      </c>
      <c r="Z27" s="224">
        <f>'GAAP Beg Depreciation'!AH128</f>
        <v>37682075.157172807</v>
      </c>
      <c r="AA27" s="224">
        <f>'GAAP Beg Depreciation'!AI128</f>
        <v>37682075.157172807</v>
      </c>
      <c r="AB27" s="224">
        <f>'GAAP Beg Depreciation'!AJ128</f>
        <v>11232327.237172969</v>
      </c>
      <c r="AC27" s="224">
        <f>'GAAP Beg Depreciation'!AK128</f>
        <v>1581143.4071728066</v>
      </c>
      <c r="AD27" s="224">
        <f>'GAAP Beg Depreciation'!AL128</f>
        <v>1542133.1571728066</v>
      </c>
      <c r="AE27" s="224">
        <f>'GAAP Beg Depreciation'!AM128</f>
        <v>1542133.1571728066</v>
      </c>
      <c r="AF27" s="224">
        <f>'GAAP Beg Depreciation'!AN128</f>
        <v>1542133.1571728066</v>
      </c>
      <c r="AG27" s="224">
        <f>'GAAP Beg Depreciation'!AO128</f>
        <v>0</v>
      </c>
    </row>
    <row r="28" spans="1:33" x14ac:dyDescent="0.2">
      <c r="A28">
        <v>19</v>
      </c>
      <c r="B28" t="s">
        <v>73</v>
      </c>
      <c r="C28" s="224">
        <f>('GAAP Beg Depreciation'!K$123)*(Summary!$C35/SUM(Summary!$C$35:$C$37))</f>
        <v>660412.12800760043</v>
      </c>
      <c r="D28" s="224">
        <f>('GAAP Beg Depreciation'!L$123)*(Summary!$C35/SUM(Summary!$C$35:$C$37))</f>
        <v>660412.12800760043</v>
      </c>
      <c r="E28" s="224">
        <f>('GAAP Beg Depreciation'!M$123)*(Summary!$C35/SUM(Summary!$C$35:$C$37))</f>
        <v>660412.12800760043</v>
      </c>
      <c r="F28" s="224">
        <f>('GAAP Beg Depreciation'!N$123)*(Summary!$C35/SUM(Summary!$C$35:$C$37))</f>
        <v>660412.12800760043</v>
      </c>
      <c r="G28" s="224">
        <f>('GAAP Beg Depreciation'!O$123)*(Summary!$C35/SUM(Summary!$C$35:$C$37))</f>
        <v>619236.23109130107</v>
      </c>
      <c r="H28" s="224">
        <f>('GAAP Beg Depreciation'!P$123)*(Summary!$C35/SUM(Summary!$C$35:$C$37))</f>
        <v>28419.600547982227</v>
      </c>
      <c r="I28" s="224">
        <f>('GAAP Beg Depreciation'!Q$123)*(Summary!$C35/SUM(Summary!$C$35:$C$37))</f>
        <v>28419.600547982227</v>
      </c>
      <c r="J28" s="224">
        <f>('GAAP Beg Depreciation'!R$123)*(Summary!$C35/SUM(Summary!$C$35:$C$37))</f>
        <v>28419.600547982227</v>
      </c>
      <c r="K28" s="224">
        <f>('GAAP Beg Depreciation'!S$123)*(Summary!$C35/SUM(Summary!$C$35:$C$37))</f>
        <v>28419.600547982227</v>
      </c>
      <c r="L28" s="224">
        <f>('GAAP Beg Depreciation'!T$123)*(Summary!$C35/SUM(Summary!$C$35:$C$37))</f>
        <v>28419.600547982227</v>
      </c>
      <c r="M28" s="224">
        <f>('GAAP Beg Depreciation'!U$123)*(Summary!$C35/SUM(Summary!$C$35:$C$37))</f>
        <v>28419.600547982227</v>
      </c>
      <c r="N28" s="224">
        <f>('GAAP Beg Depreciation'!V$123)*(Summary!$C35/SUM(Summary!$C$35:$C$37))</f>
        <v>28419.600547982227</v>
      </c>
      <c r="O28" s="224">
        <f>('GAAP Beg Depreciation'!W$123)*(Summary!$C35/SUM(Summary!$C$35:$C$37))</f>
        <v>28419.600547982227</v>
      </c>
      <c r="P28" s="224">
        <f>('GAAP Beg Depreciation'!X$123)*(Summary!$C35/SUM(Summary!$C$35:$C$37))</f>
        <v>28419.600547982227</v>
      </c>
      <c r="Q28" s="224">
        <f>('GAAP Beg Depreciation'!Y$123)*(Summary!$C35/SUM(Summary!$C$35:$C$37))</f>
        <v>28419.600547982227</v>
      </c>
      <c r="R28" s="224">
        <f>('GAAP Beg Depreciation'!Z$123)*(Summary!$C35/SUM(Summary!$C$35:$C$37))</f>
        <v>28419.600547982227</v>
      </c>
      <c r="S28" s="224">
        <f>('GAAP Beg Depreciation'!AA$123)*(Summary!$C35/SUM(Summary!$C$35:$C$37))</f>
        <v>28419.600547982227</v>
      </c>
      <c r="T28" s="224">
        <f>('GAAP Beg Depreciation'!AB$123)*(Summary!$C35/SUM(Summary!$C$35:$C$37))</f>
        <v>28419.600547982227</v>
      </c>
      <c r="U28" s="224">
        <f>('GAAP Beg Depreciation'!AC$123)*(Summary!$C35/SUM(Summary!$C$35:$C$37))</f>
        <v>28419.600547982227</v>
      </c>
      <c r="V28" s="224">
        <f>('GAAP Beg Depreciation'!AD$123)*(Summary!$C35/SUM(Summary!$C$35:$C$37))</f>
        <v>28419.600547982227</v>
      </c>
      <c r="W28" s="224">
        <f>('GAAP Beg Depreciation'!AE$123)*(Summary!$C35/SUM(Summary!$C$35:$C$37))</f>
        <v>28419.600547982227</v>
      </c>
      <c r="X28" s="224">
        <f>('GAAP Beg Depreciation'!AF$123)*(Summary!$C35/SUM(Summary!$C$35:$C$37))</f>
        <v>28419.600547982227</v>
      </c>
      <c r="Y28" s="224">
        <f>('GAAP Beg Depreciation'!AG$123)*(Summary!$C35/SUM(Summary!$C$35:$C$37))</f>
        <v>28419.600547982227</v>
      </c>
      <c r="Z28" s="224">
        <f>('GAAP Beg Depreciation'!AH$123)*(Summary!$C35/SUM(Summary!$C$35:$C$37))</f>
        <v>28419.600547982227</v>
      </c>
      <c r="AA28" s="224">
        <f>('GAAP Beg Depreciation'!AI$123)*(Summary!$C35/SUM(Summary!$C$35:$C$37))</f>
        <v>28419.600547982227</v>
      </c>
      <c r="AB28" s="224">
        <f>('GAAP Beg Depreciation'!AJ$123)*(Summary!$C35/SUM(Summary!$C$35:$C$37))</f>
        <v>28419.600547982227</v>
      </c>
      <c r="AC28" s="224">
        <f>('GAAP Beg Depreciation'!AK$123)*(Summary!$C35/SUM(Summary!$C$35:$C$37))</f>
        <v>28419.600547982227</v>
      </c>
      <c r="AD28" s="224">
        <f>('GAAP Beg Depreciation'!AL$123)*(Summary!$C35/SUM(Summary!$C$35:$C$37))</f>
        <v>28419.600547982227</v>
      </c>
      <c r="AE28" s="224">
        <f>('GAAP Beg Depreciation'!AM$123)*(Summary!$C35/SUM(Summary!$C$35:$C$37))</f>
        <v>28419.600547982227</v>
      </c>
      <c r="AF28" s="224">
        <f>('GAAP Beg Depreciation'!AN$123)*(Summary!$C35/SUM(Summary!$C$35:$C$37))</f>
        <v>28419.600547982227</v>
      </c>
      <c r="AG28" s="224">
        <f>('GAAP Beg Depreciation'!AO$123)*(Summary!$C35/SUM(Summary!$C$35:$C$37))</f>
        <v>19309.19236417034</v>
      </c>
    </row>
    <row r="29" spans="1:33" x14ac:dyDescent="0.2">
      <c r="A29">
        <v>20</v>
      </c>
      <c r="B29" t="s">
        <v>74</v>
      </c>
      <c r="C29" s="224">
        <f>('GAAP Beg Depreciation'!K$123)*(Summary!$C36/SUM(Summary!$C$35:$C$37))</f>
        <v>101933.17627943399</v>
      </c>
      <c r="D29" s="224">
        <f>('GAAP Beg Depreciation'!L$123)*(Summary!$C36/SUM(Summary!$C$35:$C$37))</f>
        <v>101933.17627943399</v>
      </c>
      <c r="E29" s="224">
        <f>('GAAP Beg Depreciation'!M$123)*(Summary!$C36/SUM(Summary!$C$35:$C$37))</f>
        <v>101933.17627943399</v>
      </c>
      <c r="F29" s="224">
        <f>('GAAP Beg Depreciation'!N$123)*(Summary!$C36/SUM(Summary!$C$35:$C$37))</f>
        <v>101933.17627943399</v>
      </c>
      <c r="G29" s="224">
        <f>('GAAP Beg Depreciation'!O$123)*(Summary!$C36/SUM(Summary!$C$35:$C$37))</f>
        <v>95577.766103222559</v>
      </c>
      <c r="H29" s="224">
        <f>('GAAP Beg Depreciation'!P$123)*(Summary!$C36/SUM(Summary!$C$35:$C$37))</f>
        <v>4386.503562840735</v>
      </c>
      <c r="I29" s="224">
        <f>('GAAP Beg Depreciation'!Q$123)*(Summary!$C36/SUM(Summary!$C$35:$C$37))</f>
        <v>4386.503562840735</v>
      </c>
      <c r="J29" s="224">
        <f>('GAAP Beg Depreciation'!R$123)*(Summary!$C36/SUM(Summary!$C$35:$C$37))</f>
        <v>4386.503562840735</v>
      </c>
      <c r="K29" s="224">
        <f>('GAAP Beg Depreciation'!S$123)*(Summary!$C36/SUM(Summary!$C$35:$C$37))</f>
        <v>4386.503562840735</v>
      </c>
      <c r="L29" s="224">
        <f>('GAAP Beg Depreciation'!T$123)*(Summary!$C36/SUM(Summary!$C$35:$C$37))</f>
        <v>4386.503562840735</v>
      </c>
      <c r="M29" s="224">
        <f>('GAAP Beg Depreciation'!U$123)*(Summary!$C36/SUM(Summary!$C$35:$C$37))</f>
        <v>4386.503562840735</v>
      </c>
      <c r="N29" s="224">
        <f>('GAAP Beg Depreciation'!V$123)*(Summary!$C36/SUM(Summary!$C$35:$C$37))</f>
        <v>4386.503562840735</v>
      </c>
      <c r="O29" s="224">
        <f>('GAAP Beg Depreciation'!W$123)*(Summary!$C36/SUM(Summary!$C$35:$C$37))</f>
        <v>4386.503562840735</v>
      </c>
      <c r="P29" s="224">
        <f>('GAAP Beg Depreciation'!X$123)*(Summary!$C36/SUM(Summary!$C$35:$C$37))</f>
        <v>4386.503562840735</v>
      </c>
      <c r="Q29" s="224">
        <f>('GAAP Beg Depreciation'!Y$123)*(Summary!$C36/SUM(Summary!$C$35:$C$37))</f>
        <v>4386.503562840735</v>
      </c>
      <c r="R29" s="224">
        <f>('GAAP Beg Depreciation'!Z$123)*(Summary!$C36/SUM(Summary!$C$35:$C$37))</f>
        <v>4386.503562840735</v>
      </c>
      <c r="S29" s="224">
        <f>('GAAP Beg Depreciation'!AA$123)*(Summary!$C36/SUM(Summary!$C$35:$C$37))</f>
        <v>4386.503562840735</v>
      </c>
      <c r="T29" s="224">
        <f>('GAAP Beg Depreciation'!AB$123)*(Summary!$C36/SUM(Summary!$C$35:$C$37))</f>
        <v>4386.503562840735</v>
      </c>
      <c r="U29" s="224">
        <f>('GAAP Beg Depreciation'!AC$123)*(Summary!$C36/SUM(Summary!$C$35:$C$37))</f>
        <v>4386.503562840735</v>
      </c>
      <c r="V29" s="224">
        <f>('GAAP Beg Depreciation'!AD$123)*(Summary!$C36/SUM(Summary!$C$35:$C$37))</f>
        <v>4386.503562840735</v>
      </c>
      <c r="W29" s="224">
        <f>('GAAP Beg Depreciation'!AE$123)*(Summary!$C36/SUM(Summary!$C$35:$C$37))</f>
        <v>4386.503562840735</v>
      </c>
      <c r="X29" s="224">
        <f>('GAAP Beg Depreciation'!AF$123)*(Summary!$C36/SUM(Summary!$C$35:$C$37))</f>
        <v>4386.503562840735</v>
      </c>
      <c r="Y29" s="224">
        <f>('GAAP Beg Depreciation'!AG$123)*(Summary!$C36/SUM(Summary!$C$35:$C$37))</f>
        <v>4386.503562840735</v>
      </c>
      <c r="Z29" s="224">
        <f>('GAAP Beg Depreciation'!AH$123)*(Summary!$C36/SUM(Summary!$C$35:$C$37))</f>
        <v>4386.503562840735</v>
      </c>
      <c r="AA29" s="224">
        <f>('GAAP Beg Depreciation'!AI$123)*(Summary!$C36/SUM(Summary!$C$35:$C$37))</f>
        <v>4386.503562840735</v>
      </c>
      <c r="AB29" s="224">
        <f>('GAAP Beg Depreciation'!AJ$123)*(Summary!$C36/SUM(Summary!$C$35:$C$37))</f>
        <v>4386.503562840735</v>
      </c>
      <c r="AC29" s="224">
        <f>('GAAP Beg Depreciation'!AK$123)*(Summary!$C36/SUM(Summary!$C$35:$C$37))</f>
        <v>4386.503562840735</v>
      </c>
      <c r="AD29" s="224">
        <f>('GAAP Beg Depreciation'!AL$123)*(Summary!$C36/SUM(Summary!$C$35:$C$37))</f>
        <v>4386.503562840735</v>
      </c>
      <c r="AE29" s="224">
        <f>('GAAP Beg Depreciation'!AM$123)*(Summary!$C36/SUM(Summary!$C$35:$C$37))</f>
        <v>4386.503562840735</v>
      </c>
      <c r="AF29" s="224">
        <f>('GAAP Beg Depreciation'!AN$123)*(Summary!$C36/SUM(Summary!$C$35:$C$37))</f>
        <v>4386.503562840735</v>
      </c>
      <c r="AG29" s="224">
        <f>('GAAP Beg Depreciation'!AO$123)*(Summary!$C36/SUM(Summary!$C$35:$C$37))</f>
        <v>2980.3318649045523</v>
      </c>
    </row>
    <row r="30" spans="1:33" x14ac:dyDescent="0.2">
      <c r="A30">
        <v>21</v>
      </c>
      <c r="B30" t="s">
        <v>75</v>
      </c>
      <c r="C30" s="224">
        <f>('GAAP Beg Depreciation'!K$123)*(Summary!$C37/SUM(Summary!$C$35:$C$37))</f>
        <v>215351.78087204363</v>
      </c>
      <c r="D30" s="224">
        <f>('GAAP Beg Depreciation'!L$123)*(Summary!$C37/SUM(Summary!$C$35:$C$37))</f>
        <v>215351.78087204363</v>
      </c>
      <c r="E30" s="224">
        <f>('GAAP Beg Depreciation'!M$123)*(Summary!$C37/SUM(Summary!$C$35:$C$37))</f>
        <v>215351.78087204363</v>
      </c>
      <c r="F30" s="224">
        <f>('GAAP Beg Depreciation'!N$123)*(Summary!$C37/SUM(Summary!$C$35:$C$37))</f>
        <v>215351.78087204363</v>
      </c>
      <c r="G30" s="224">
        <f>('GAAP Beg Depreciation'!O$123)*(Summary!$C37/SUM(Summary!$C$35:$C$37))</f>
        <v>201924.85796455471</v>
      </c>
      <c r="H30" s="224">
        <f>('GAAP Beg Depreciation'!P$123)*(Summary!$C37/SUM(Summary!$C$35:$C$37))</f>
        <v>9267.2610482550754</v>
      </c>
      <c r="I30" s="224">
        <f>('GAAP Beg Depreciation'!Q$123)*(Summary!$C37/SUM(Summary!$C$35:$C$37))</f>
        <v>9267.2610482550754</v>
      </c>
      <c r="J30" s="224">
        <f>('GAAP Beg Depreciation'!R$123)*(Summary!$C37/SUM(Summary!$C$35:$C$37))</f>
        <v>9267.2610482550754</v>
      </c>
      <c r="K30" s="224">
        <f>('GAAP Beg Depreciation'!S$123)*(Summary!$C37/SUM(Summary!$C$35:$C$37))</f>
        <v>9267.2610482550754</v>
      </c>
      <c r="L30" s="224">
        <f>('GAAP Beg Depreciation'!T$123)*(Summary!$C37/SUM(Summary!$C$35:$C$37))</f>
        <v>9267.2610482550754</v>
      </c>
      <c r="M30" s="224">
        <f>('GAAP Beg Depreciation'!U$123)*(Summary!$C37/SUM(Summary!$C$35:$C$37))</f>
        <v>9267.2610482550754</v>
      </c>
      <c r="N30" s="224">
        <f>('GAAP Beg Depreciation'!V$123)*(Summary!$C37/SUM(Summary!$C$35:$C$37))</f>
        <v>9267.2610482550754</v>
      </c>
      <c r="O30" s="224">
        <f>('GAAP Beg Depreciation'!W$123)*(Summary!$C37/SUM(Summary!$C$35:$C$37))</f>
        <v>9267.2610482550754</v>
      </c>
      <c r="P30" s="224">
        <f>('GAAP Beg Depreciation'!X$123)*(Summary!$C37/SUM(Summary!$C$35:$C$37))</f>
        <v>9267.2610482550754</v>
      </c>
      <c r="Q30" s="224">
        <f>('GAAP Beg Depreciation'!Y$123)*(Summary!$C37/SUM(Summary!$C$35:$C$37))</f>
        <v>9267.2610482550754</v>
      </c>
      <c r="R30" s="224">
        <f>('GAAP Beg Depreciation'!Z$123)*(Summary!$C37/SUM(Summary!$C$35:$C$37))</f>
        <v>9267.2610482550754</v>
      </c>
      <c r="S30" s="224">
        <f>('GAAP Beg Depreciation'!AA$123)*(Summary!$C37/SUM(Summary!$C$35:$C$37))</f>
        <v>9267.2610482550754</v>
      </c>
      <c r="T30" s="224">
        <f>('GAAP Beg Depreciation'!AB$123)*(Summary!$C37/SUM(Summary!$C$35:$C$37))</f>
        <v>9267.2610482550754</v>
      </c>
      <c r="U30" s="224">
        <f>('GAAP Beg Depreciation'!AC$123)*(Summary!$C37/SUM(Summary!$C$35:$C$37))</f>
        <v>9267.2610482550754</v>
      </c>
      <c r="V30" s="224">
        <f>('GAAP Beg Depreciation'!AD$123)*(Summary!$C37/SUM(Summary!$C$35:$C$37))</f>
        <v>9267.2610482550754</v>
      </c>
      <c r="W30" s="224">
        <f>('GAAP Beg Depreciation'!AE$123)*(Summary!$C37/SUM(Summary!$C$35:$C$37))</f>
        <v>9267.2610482550754</v>
      </c>
      <c r="X30" s="224">
        <f>('GAAP Beg Depreciation'!AF$123)*(Summary!$C37/SUM(Summary!$C$35:$C$37))</f>
        <v>9267.2610482550754</v>
      </c>
      <c r="Y30" s="224">
        <f>('GAAP Beg Depreciation'!AG$123)*(Summary!$C37/SUM(Summary!$C$35:$C$37))</f>
        <v>9267.2610482550754</v>
      </c>
      <c r="Z30" s="224">
        <f>('GAAP Beg Depreciation'!AH$123)*(Summary!$C37/SUM(Summary!$C$35:$C$37))</f>
        <v>9267.2610482550754</v>
      </c>
      <c r="AA30" s="224">
        <f>('GAAP Beg Depreciation'!AI$123)*(Summary!$C37/SUM(Summary!$C$35:$C$37))</f>
        <v>9267.2610482550754</v>
      </c>
      <c r="AB30" s="224">
        <f>('GAAP Beg Depreciation'!AJ$123)*(Summary!$C37/SUM(Summary!$C$35:$C$37))</f>
        <v>9267.2610482550754</v>
      </c>
      <c r="AC30" s="224">
        <f>('GAAP Beg Depreciation'!AK$123)*(Summary!$C37/SUM(Summary!$C$35:$C$37))</f>
        <v>9267.2610482550754</v>
      </c>
      <c r="AD30" s="224">
        <f>('GAAP Beg Depreciation'!AL$123)*(Summary!$C37/SUM(Summary!$C$35:$C$37))</f>
        <v>9267.2610482550754</v>
      </c>
      <c r="AE30" s="224">
        <f>('GAAP Beg Depreciation'!AM$123)*(Summary!$C37/SUM(Summary!$C$35:$C$37))</f>
        <v>9267.2610482550754</v>
      </c>
      <c r="AF30" s="224">
        <f>('GAAP Beg Depreciation'!AN$123)*(Summary!$C37/SUM(Summary!$C$35:$C$37))</f>
        <v>9267.2610482550754</v>
      </c>
      <c r="AG30" s="224">
        <f>('GAAP Beg Depreciation'!AO$123)*(Summary!$C37/SUM(Summary!$C$35:$C$37))</f>
        <v>6296.4757709251107</v>
      </c>
    </row>
    <row r="31" spans="1:33" x14ac:dyDescent="0.2">
      <c r="A31">
        <v>22</v>
      </c>
      <c r="B31" t="s">
        <v>86</v>
      </c>
      <c r="C31" s="224">
        <f>('GAAP Beg Depreciation'!K$122)*(Summary!$C$38/((SUM(Summary!$C$24:$C$27)+Summary!$C$38)))</f>
        <v>624931.89555267256</v>
      </c>
      <c r="D31" s="224">
        <f>('GAAP Beg Depreciation'!L$122)*(Summary!$C$38/((SUM(Summary!$C$24:$C$27)+Summary!$C$38)))</f>
        <v>624931.89555267256</v>
      </c>
      <c r="E31" s="224">
        <f>('GAAP Beg Depreciation'!M$122)*(Summary!$C$38/((SUM(Summary!$C$24:$C$27)+Summary!$C$38)))</f>
        <v>623625.19215194893</v>
      </c>
      <c r="F31" s="224">
        <f>('GAAP Beg Depreciation'!N$122)*(Summary!$C$38/((SUM(Summary!$C$24:$C$27)+Summary!$C$38)))</f>
        <v>618899.53973228519</v>
      </c>
      <c r="G31" s="224">
        <f>('GAAP Beg Depreciation'!O$122)*(Summary!$C$38/((SUM(Summary!$C$24:$C$27)+Summary!$C$38)))</f>
        <v>618833.74347776291</v>
      </c>
      <c r="H31" s="224">
        <f>('GAAP Beg Depreciation'!P$122)*(Summary!$C$38/((SUM(Summary!$C$24:$C$27)+Summary!$C$38)))</f>
        <v>618766.51483337057</v>
      </c>
      <c r="I31" s="224">
        <f>('GAAP Beg Depreciation'!Q$122)*(Summary!$C$38/((SUM(Summary!$C$24:$C$27)+Summary!$C$38)))</f>
        <v>618766.51483337057</v>
      </c>
      <c r="J31" s="224">
        <f>('GAAP Beg Depreciation'!R$122)*(Summary!$C$38/((SUM(Summary!$C$24:$C$27)+Summary!$C$38)))</f>
        <v>521423.55300319317</v>
      </c>
      <c r="K31" s="224">
        <f>('GAAP Beg Depreciation'!S$122)*(Summary!$C$38/((SUM(Summary!$C$24:$C$27)+Summary!$C$38)))</f>
        <v>447962.45759566047</v>
      </c>
      <c r="L31" s="224">
        <f>('GAAP Beg Depreciation'!T$122)*(Summary!$C$38/((SUM(Summary!$C$24:$C$27)+Summary!$C$38)))</f>
        <v>413017.14785316202</v>
      </c>
      <c r="M31" s="224">
        <f>('GAAP Beg Depreciation'!U$122)*(Summary!$C$38/((SUM(Summary!$C$24:$C$27)+Summary!$C$38)))</f>
        <v>409983.58544413885</v>
      </c>
      <c r="N31" s="224">
        <f>('GAAP Beg Depreciation'!V$122)*(Summary!$C$38/((SUM(Summary!$C$24:$C$27)+Summary!$C$38)))</f>
        <v>409983.58544413885</v>
      </c>
      <c r="O31" s="224">
        <f>('GAAP Beg Depreciation'!W$122)*(Summary!$C$38/((SUM(Summary!$C$24:$C$27)+Summary!$C$38)))</f>
        <v>409983.58544413885</v>
      </c>
      <c r="P31" s="224">
        <f>('GAAP Beg Depreciation'!X$122)*(Summary!$C$38/((SUM(Summary!$C$24:$C$27)+Summary!$C$38)))</f>
        <v>326312.84838519059</v>
      </c>
      <c r="Q31" s="224">
        <f>('GAAP Beg Depreciation'!Y$122)*(Summary!$C$38/((SUM(Summary!$C$24:$C$27)+Summary!$C$38)))</f>
        <v>211992.76605277898</v>
      </c>
      <c r="R31" s="224">
        <f>('GAAP Beg Depreciation'!Z$122)*(Summary!$C$38/((SUM(Summary!$C$24:$C$27)+Summary!$C$38)))</f>
        <v>38224.467427538919</v>
      </c>
      <c r="S31" s="224">
        <f>('GAAP Beg Depreciation'!AA$122)*(Summary!$C$38/((SUM(Summary!$C$24:$C$27)+Summary!$C$38)))</f>
        <v>27287.614735477426</v>
      </c>
      <c r="T31" s="224">
        <f>('GAAP Beg Depreciation'!AB$122)*(Summary!$C$38/((SUM(Summary!$C$24:$C$27)+Summary!$C$38)))</f>
        <v>26541.168572464019</v>
      </c>
      <c r="U31" s="224">
        <f>('GAAP Beg Depreciation'!AC$122)*(Summary!$C$38/((SUM(Summary!$C$24:$C$27)+Summary!$C$38)))</f>
        <v>26541.168572464019</v>
      </c>
      <c r="V31" s="224">
        <f>('GAAP Beg Depreciation'!AD$122)*(Summary!$C$38/((SUM(Summary!$C$24:$C$27)+Summary!$C$38)))</f>
        <v>25902.76993445593</v>
      </c>
      <c r="W31" s="224">
        <f>('GAAP Beg Depreciation'!AE$122)*(Summary!$C$38/((SUM(Summary!$C$24:$C$27)+Summary!$C$38)))</f>
        <v>23908.520000427412</v>
      </c>
      <c r="X31" s="224">
        <f>('GAAP Beg Depreciation'!AF$122)*(Summary!$C$38/((SUM(Summary!$C$24:$C$27)+Summary!$C$38)))</f>
        <v>23209.018753353568</v>
      </c>
      <c r="Y31" s="224">
        <f>('GAAP Beg Depreciation'!AG$122)*(Summary!$C$38/((SUM(Summary!$C$24:$C$27)+Summary!$C$38)))</f>
        <v>23209.018753353568</v>
      </c>
      <c r="Z31" s="224">
        <f>('GAAP Beg Depreciation'!AH$122)*(Summary!$C$38/((SUM(Summary!$C$24:$C$27)+Summary!$C$38)))</f>
        <v>23209.018753353568</v>
      </c>
      <c r="AA31" s="224">
        <f>('GAAP Beg Depreciation'!AI$122)*(Summary!$C$38/((SUM(Summary!$C$24:$C$27)+Summary!$C$38)))</f>
        <v>23209.018753353568</v>
      </c>
      <c r="AB31" s="224">
        <f>('GAAP Beg Depreciation'!AJ$122)*(Summary!$C$38/((SUM(Summary!$C$24:$C$27)+Summary!$C$38)))</f>
        <v>23209.018753353568</v>
      </c>
      <c r="AC31" s="224">
        <f>('GAAP Beg Depreciation'!AK$122)*(Summary!$C$38/((SUM(Summary!$C$24:$C$27)+Summary!$C$38)))</f>
        <v>23209.018753353568</v>
      </c>
      <c r="AD31" s="224">
        <f>('GAAP Beg Depreciation'!AL$122)*(Summary!$C$38/((SUM(Summary!$C$24:$C$27)+Summary!$C$38)))</f>
        <v>23209.018753353568</v>
      </c>
      <c r="AE31" s="224">
        <f>('GAAP Beg Depreciation'!AM$122)*(Summary!$C$38/((SUM(Summary!$C$24:$C$27)+Summary!$C$38)))</f>
        <v>23209.018753353568</v>
      </c>
      <c r="AF31" s="224">
        <f>('GAAP Beg Depreciation'!AN$122)*(Summary!$C$38/((SUM(Summary!$C$24:$C$27)+Summary!$C$38)))</f>
        <v>23209.018753353568</v>
      </c>
      <c r="AG31" s="224">
        <f>('GAAP Beg Depreciation'!AO$122)*(Summary!$C$38/((SUM(Summary!$C$24:$C$27)+Summary!$C$38)))</f>
        <v>278.37922962332414</v>
      </c>
    </row>
    <row r="32" spans="1:33" x14ac:dyDescent="0.2">
      <c r="A32">
        <v>23</v>
      </c>
      <c r="B32" t="s">
        <v>76</v>
      </c>
      <c r="C32" s="224">
        <f>('GAAP Beg Depreciation'!K$121)*(Summary!$C$39/((SUM(Summary!$C$28:$C$33)+SUM(Summary!$C$39:$C$42))))</f>
        <v>572001.5066983226</v>
      </c>
      <c r="D32" s="224">
        <f>('GAAP Beg Depreciation'!L$121)*(Summary!$C$39/((SUM(Summary!$C$28:$C$33)+SUM(Summary!$C$39:$C$42))))</f>
        <v>572001.5066983226</v>
      </c>
      <c r="E32" s="224">
        <f>('GAAP Beg Depreciation'!M$121)*(Summary!$C$39/((SUM(Summary!$C$28:$C$33)+SUM(Summary!$C$39:$C$42))))</f>
        <v>570960.76430815202</v>
      </c>
      <c r="F32" s="224">
        <f>('GAAP Beg Depreciation'!N$121)*(Summary!$C$39/((SUM(Summary!$C$28:$C$33)+SUM(Summary!$C$39:$C$42))))</f>
        <v>567196.95165439078</v>
      </c>
      <c r="G32" s="224">
        <f>('GAAP Beg Depreciation'!O$121)*(Summary!$C$39/((SUM(Summary!$C$28:$C$33)+SUM(Summary!$C$39:$C$42))))</f>
        <v>551040.93661045912</v>
      </c>
      <c r="H32" s="224">
        <f>('GAAP Beg Depreciation'!P$121)*(Summary!$C$39/((SUM(Summary!$C$28:$C$33)+SUM(Summary!$C$39:$C$42))))</f>
        <v>504656.48851103697</v>
      </c>
      <c r="I32" s="224">
        <f>('GAAP Beg Depreciation'!Q$121)*(Summary!$C$39/((SUM(Summary!$C$28:$C$33)+SUM(Summary!$C$39:$C$42))))</f>
        <v>504656.48851103697</v>
      </c>
      <c r="J32" s="224">
        <f>('GAAP Beg Depreciation'!R$121)*(Summary!$C$39/((SUM(Summary!$C$28:$C$33)+SUM(Summary!$C$39:$C$42))))</f>
        <v>281970.24379906012</v>
      </c>
      <c r="K32" s="224">
        <f>('GAAP Beg Depreciation'!S$121)*(Summary!$C$39/((SUM(Summary!$C$28:$C$33)+SUM(Summary!$C$39:$C$42))))</f>
        <v>88462.724234149355</v>
      </c>
      <c r="L32" s="224">
        <f>('GAAP Beg Depreciation'!T$121)*(Summary!$C$39/((SUM(Summary!$C$28:$C$33)+SUM(Summary!$C$39:$C$42))))</f>
        <v>88268.027354949998</v>
      </c>
      <c r="M32" s="224">
        <f>('GAAP Beg Depreciation'!U$121)*(Summary!$C$39/((SUM(Summary!$C$28:$C$33)+SUM(Summary!$C$39:$C$42))))</f>
        <v>80883.132135291264</v>
      </c>
      <c r="N32" s="224">
        <f>('GAAP Beg Depreciation'!V$121)*(Summary!$C$39/((SUM(Summary!$C$28:$C$33)+SUM(Summary!$C$39:$C$42))))</f>
        <v>25260.878780500909</v>
      </c>
      <c r="O32" s="224">
        <f>('GAAP Beg Depreciation'!W$121)*(Summary!$C$39/((SUM(Summary!$C$28:$C$33)+SUM(Summary!$C$39:$C$42))))</f>
        <v>25260.878780500909</v>
      </c>
      <c r="P32" s="224">
        <f>('GAAP Beg Depreciation'!X$121)*(Summary!$C$39/((SUM(Summary!$C$28:$C$33)+SUM(Summary!$C$39:$C$42))))</f>
        <v>25260.878780500909</v>
      </c>
      <c r="Q32" s="224">
        <f>('GAAP Beg Depreciation'!Y$121)*(Summary!$C$39/((SUM(Summary!$C$28:$C$33)+SUM(Summary!$C$39:$C$42))))</f>
        <v>25260.878780500909</v>
      </c>
      <c r="R32" s="224">
        <f>('GAAP Beg Depreciation'!Z$121)*(Summary!$C$39/((SUM(Summary!$C$28:$C$33)+SUM(Summary!$C$39:$C$42))))</f>
        <v>25260.878780500909</v>
      </c>
      <c r="S32" s="224">
        <f>('GAAP Beg Depreciation'!AA$121)*(Summary!$C$39/((SUM(Summary!$C$28:$C$33)+SUM(Summary!$C$39:$C$42))))</f>
        <v>24910.491404661036</v>
      </c>
      <c r="T32" s="224">
        <f>('GAAP Beg Depreciation'!AB$121)*(Summary!$C$39/((SUM(Summary!$C$28:$C$33)+SUM(Summary!$C$39:$C$42))))</f>
        <v>23963.249381450023</v>
      </c>
      <c r="U32" s="224">
        <f>('GAAP Beg Depreciation'!AC$121)*(Summary!$C$39/((SUM(Summary!$C$28:$C$33)+SUM(Summary!$C$39:$C$42))))</f>
        <v>23963.249381450023</v>
      </c>
      <c r="V32" s="224">
        <f>('GAAP Beg Depreciation'!AD$121)*(Summary!$C$39/((SUM(Summary!$C$28:$C$33)+SUM(Summary!$C$39:$C$42))))</f>
        <v>23963.249381450023</v>
      </c>
      <c r="W32" s="224">
        <f>('GAAP Beg Depreciation'!AE$121)*(Summary!$C$39/((SUM(Summary!$C$28:$C$33)+SUM(Summary!$C$39:$C$42))))</f>
        <v>23963.249381450023</v>
      </c>
      <c r="X32" s="224">
        <f>('GAAP Beg Depreciation'!AF$121)*(Summary!$C$39/((SUM(Summary!$C$28:$C$33)+SUM(Summary!$C$39:$C$42))))</f>
        <v>23963.249381450023</v>
      </c>
      <c r="Y32" s="224">
        <f>('GAAP Beg Depreciation'!AG$121)*(Summary!$C$39/((SUM(Summary!$C$28:$C$33)+SUM(Summary!$C$39:$C$42))))</f>
        <v>23963.249381450023</v>
      </c>
      <c r="Z32" s="224">
        <f>('GAAP Beg Depreciation'!AH$121)*(Summary!$C$39/((SUM(Summary!$C$28:$C$33)+SUM(Summary!$C$39:$C$42))))</f>
        <v>23741.664130780475</v>
      </c>
      <c r="AA32" s="224">
        <f>('GAAP Beg Depreciation'!AI$121)*(Summary!$C$39/((SUM(Summary!$C$28:$C$33)+SUM(Summary!$C$39:$C$42))))</f>
        <v>22332.174908866269</v>
      </c>
      <c r="AB32" s="224">
        <f>('GAAP Beg Depreciation'!AJ$121)*(Summary!$C$39/((SUM(Summary!$C$28:$C$33)+SUM(Summary!$C$39:$C$42))))</f>
        <v>22332.174908866269</v>
      </c>
      <c r="AC32" s="224">
        <f>('GAAP Beg Depreciation'!AK$121)*(Summary!$C$39/((SUM(Summary!$C$28:$C$33)+SUM(Summary!$C$39:$C$42))))</f>
        <v>22332.174908866269</v>
      </c>
      <c r="AD32" s="224">
        <f>('GAAP Beg Depreciation'!AL$121)*(Summary!$C$39/((SUM(Summary!$C$28:$C$33)+SUM(Summary!$C$39:$C$42))))</f>
        <v>22332.174908866269</v>
      </c>
      <c r="AE32" s="224">
        <f>('GAAP Beg Depreciation'!AM$121)*(Summary!$C$39/((SUM(Summary!$C$28:$C$33)+SUM(Summary!$C$39:$C$42))))</f>
        <v>22332.174908866269</v>
      </c>
      <c r="AF32" s="224">
        <f>('GAAP Beg Depreciation'!AN$121)*(Summary!$C$39/((SUM(Summary!$C$28:$C$33)+SUM(Summary!$C$39:$C$42))))</f>
        <v>22332.174908866269</v>
      </c>
      <c r="AG32" s="224">
        <f>('GAAP Beg Depreciation'!AO$121)*(Summary!$C$39/((SUM(Summary!$C$28:$C$33)+SUM(Summary!$C$39:$C$42))))</f>
        <v>615.38354555278863</v>
      </c>
    </row>
    <row r="33" spans="1:33" x14ac:dyDescent="0.2">
      <c r="A33">
        <v>24</v>
      </c>
      <c r="B33" t="s">
        <v>77</v>
      </c>
      <c r="C33" s="224">
        <f>('GAAP Beg Depreciation'!K$121)*(Summary!$C$40/((SUM(Summary!$C$28:$C$33)+SUM(Summary!$C$39:$C$42))))</f>
        <v>572001.5066983226</v>
      </c>
      <c r="D33" s="224">
        <f>('GAAP Beg Depreciation'!L$121)*(Summary!$C$40/((SUM(Summary!$C$28:$C$33)+SUM(Summary!$C$39:$C$42))))</f>
        <v>572001.5066983226</v>
      </c>
      <c r="E33" s="224">
        <f>('GAAP Beg Depreciation'!M$121)*(Summary!$C$40/((SUM(Summary!$C$28:$C$33)+SUM(Summary!$C$39:$C$42))))</f>
        <v>570960.76430815202</v>
      </c>
      <c r="F33" s="224">
        <f>('GAAP Beg Depreciation'!N$121)*(Summary!$C$40/((SUM(Summary!$C$28:$C$33)+SUM(Summary!$C$39:$C$42))))</f>
        <v>567196.95165439078</v>
      </c>
      <c r="G33" s="224">
        <f>('GAAP Beg Depreciation'!O$121)*(Summary!$C$40/((SUM(Summary!$C$28:$C$33)+SUM(Summary!$C$39:$C$42))))</f>
        <v>551040.93661045912</v>
      </c>
      <c r="H33" s="224">
        <f>('GAAP Beg Depreciation'!P$121)*(Summary!$C$40/((SUM(Summary!$C$28:$C$33)+SUM(Summary!$C$39:$C$42))))</f>
        <v>504656.48851103697</v>
      </c>
      <c r="I33" s="224">
        <f>('GAAP Beg Depreciation'!Q$121)*(Summary!$C$40/((SUM(Summary!$C$28:$C$33)+SUM(Summary!$C$39:$C$42))))</f>
        <v>504656.48851103697</v>
      </c>
      <c r="J33" s="224">
        <f>('GAAP Beg Depreciation'!R$121)*(Summary!$C$40/((SUM(Summary!$C$28:$C$33)+SUM(Summary!$C$39:$C$42))))</f>
        <v>281970.24379906012</v>
      </c>
      <c r="K33" s="224">
        <f>('GAAP Beg Depreciation'!S$121)*(Summary!$C$40/((SUM(Summary!$C$28:$C$33)+SUM(Summary!$C$39:$C$42))))</f>
        <v>88462.724234149355</v>
      </c>
      <c r="L33" s="224">
        <f>('GAAP Beg Depreciation'!T$121)*(Summary!$C$40/((SUM(Summary!$C$28:$C$33)+SUM(Summary!$C$39:$C$42))))</f>
        <v>88268.027354949998</v>
      </c>
      <c r="M33" s="224">
        <f>('GAAP Beg Depreciation'!U$121)*(Summary!$C$40/((SUM(Summary!$C$28:$C$33)+SUM(Summary!$C$39:$C$42))))</f>
        <v>80883.132135291264</v>
      </c>
      <c r="N33" s="224">
        <f>('GAAP Beg Depreciation'!V$121)*(Summary!$C$40/((SUM(Summary!$C$28:$C$33)+SUM(Summary!$C$39:$C$42))))</f>
        <v>25260.878780500909</v>
      </c>
      <c r="O33" s="224">
        <f>('GAAP Beg Depreciation'!W$121)*(Summary!$C$40/((SUM(Summary!$C$28:$C$33)+SUM(Summary!$C$39:$C$42))))</f>
        <v>25260.878780500909</v>
      </c>
      <c r="P33" s="224">
        <f>('GAAP Beg Depreciation'!X$121)*(Summary!$C$40/((SUM(Summary!$C$28:$C$33)+SUM(Summary!$C$39:$C$42))))</f>
        <v>25260.878780500909</v>
      </c>
      <c r="Q33" s="224">
        <f>('GAAP Beg Depreciation'!Y$121)*(Summary!$C$40/((SUM(Summary!$C$28:$C$33)+SUM(Summary!$C$39:$C$42))))</f>
        <v>25260.878780500909</v>
      </c>
      <c r="R33" s="224">
        <f>('GAAP Beg Depreciation'!Z$121)*(Summary!$C$40/((SUM(Summary!$C$28:$C$33)+SUM(Summary!$C$39:$C$42))))</f>
        <v>25260.878780500909</v>
      </c>
      <c r="S33" s="224">
        <f>('GAAP Beg Depreciation'!AA$121)*(Summary!$C$40/((SUM(Summary!$C$28:$C$33)+SUM(Summary!$C$39:$C$42))))</f>
        <v>24910.491404661036</v>
      </c>
      <c r="T33" s="224">
        <f>('GAAP Beg Depreciation'!AB$121)*(Summary!$C$40/((SUM(Summary!$C$28:$C$33)+SUM(Summary!$C$39:$C$42))))</f>
        <v>23963.249381450023</v>
      </c>
      <c r="U33" s="224">
        <f>('GAAP Beg Depreciation'!AC$121)*(Summary!$C$40/((SUM(Summary!$C$28:$C$33)+SUM(Summary!$C$39:$C$42))))</f>
        <v>23963.249381450023</v>
      </c>
      <c r="V33" s="224">
        <f>('GAAP Beg Depreciation'!AD$121)*(Summary!$C$40/((SUM(Summary!$C$28:$C$33)+SUM(Summary!$C$39:$C$42))))</f>
        <v>23963.249381450023</v>
      </c>
      <c r="W33" s="224">
        <f>('GAAP Beg Depreciation'!AE$121)*(Summary!$C$40/((SUM(Summary!$C$28:$C$33)+SUM(Summary!$C$39:$C$42))))</f>
        <v>23963.249381450023</v>
      </c>
      <c r="X33" s="224">
        <f>('GAAP Beg Depreciation'!AF$121)*(Summary!$C$40/((SUM(Summary!$C$28:$C$33)+SUM(Summary!$C$39:$C$42))))</f>
        <v>23963.249381450023</v>
      </c>
      <c r="Y33" s="224">
        <f>('GAAP Beg Depreciation'!AG$121)*(Summary!$C$40/((SUM(Summary!$C$28:$C$33)+SUM(Summary!$C$39:$C$42))))</f>
        <v>23963.249381450023</v>
      </c>
      <c r="Z33" s="224">
        <f>('GAAP Beg Depreciation'!AH$121)*(Summary!$C$40/((SUM(Summary!$C$28:$C$33)+SUM(Summary!$C$39:$C$42))))</f>
        <v>23741.664130780475</v>
      </c>
      <c r="AA33" s="224">
        <f>('GAAP Beg Depreciation'!AI$121)*(Summary!$C$40/((SUM(Summary!$C$28:$C$33)+SUM(Summary!$C$39:$C$42))))</f>
        <v>22332.174908866269</v>
      </c>
      <c r="AB33" s="224">
        <f>('GAAP Beg Depreciation'!AJ$121)*(Summary!$C$40/((SUM(Summary!$C$28:$C$33)+SUM(Summary!$C$39:$C$42))))</f>
        <v>22332.174908866269</v>
      </c>
      <c r="AC33" s="224">
        <f>('GAAP Beg Depreciation'!AK$121)*(Summary!$C$40/((SUM(Summary!$C$28:$C$33)+SUM(Summary!$C$39:$C$42))))</f>
        <v>22332.174908866269</v>
      </c>
      <c r="AD33" s="224">
        <f>('GAAP Beg Depreciation'!AL$121)*(Summary!$C$40/((SUM(Summary!$C$28:$C$33)+SUM(Summary!$C$39:$C$42))))</f>
        <v>22332.174908866269</v>
      </c>
      <c r="AE33" s="224">
        <f>('GAAP Beg Depreciation'!AM$121)*(Summary!$C$40/((SUM(Summary!$C$28:$C$33)+SUM(Summary!$C$39:$C$42))))</f>
        <v>22332.174908866269</v>
      </c>
      <c r="AF33" s="224">
        <f>('GAAP Beg Depreciation'!AN$121)*(Summary!$C$40/((SUM(Summary!$C$28:$C$33)+SUM(Summary!$C$39:$C$42))))</f>
        <v>22332.174908866269</v>
      </c>
      <c r="AG33" s="224">
        <f>('GAAP Beg Depreciation'!AO$121)*(Summary!$C$40/((SUM(Summary!$C$28:$C$33)+SUM(Summary!$C$39:$C$42))))</f>
        <v>615.38354555278863</v>
      </c>
    </row>
    <row r="34" spans="1:33" x14ac:dyDescent="0.2">
      <c r="A34">
        <v>25</v>
      </c>
      <c r="B34" t="s">
        <v>78</v>
      </c>
      <c r="C34" s="224">
        <f>('GAAP Beg Depreciation'!K$121)*(Summary!$C$41/((SUM(Summary!$C$28:$C$33)+SUM(Summary!$C$39:$C$42))))</f>
        <v>572001.5066983226</v>
      </c>
      <c r="D34" s="224">
        <f>('GAAP Beg Depreciation'!L$121)*(Summary!$C$41/((SUM(Summary!$C$28:$C$33)+SUM(Summary!$C$39:$C$42))))</f>
        <v>572001.5066983226</v>
      </c>
      <c r="E34" s="224">
        <f>('GAAP Beg Depreciation'!M$121)*(Summary!$C$41/((SUM(Summary!$C$28:$C$33)+SUM(Summary!$C$39:$C$42))))</f>
        <v>570960.76430815202</v>
      </c>
      <c r="F34" s="224">
        <f>('GAAP Beg Depreciation'!N$121)*(Summary!$C$41/((SUM(Summary!$C$28:$C$33)+SUM(Summary!$C$39:$C$42))))</f>
        <v>567196.95165439078</v>
      </c>
      <c r="G34" s="224">
        <f>('GAAP Beg Depreciation'!O$121)*(Summary!$C$41/((SUM(Summary!$C$28:$C$33)+SUM(Summary!$C$39:$C$42))))</f>
        <v>551040.93661045912</v>
      </c>
      <c r="H34" s="224">
        <f>('GAAP Beg Depreciation'!P$121)*(Summary!$C$41/((SUM(Summary!$C$28:$C$33)+SUM(Summary!$C$39:$C$42))))</f>
        <v>504656.48851103697</v>
      </c>
      <c r="I34" s="224">
        <f>('GAAP Beg Depreciation'!Q$121)*(Summary!$C$41/((SUM(Summary!$C$28:$C$33)+SUM(Summary!$C$39:$C$42))))</f>
        <v>504656.48851103697</v>
      </c>
      <c r="J34" s="224">
        <f>('GAAP Beg Depreciation'!R$121)*(Summary!$C$41/((SUM(Summary!$C$28:$C$33)+SUM(Summary!$C$39:$C$42))))</f>
        <v>281970.24379906012</v>
      </c>
      <c r="K34" s="224">
        <f>('GAAP Beg Depreciation'!S$121)*(Summary!$C$41/((SUM(Summary!$C$28:$C$33)+SUM(Summary!$C$39:$C$42))))</f>
        <v>88462.724234149355</v>
      </c>
      <c r="L34" s="224">
        <f>('GAAP Beg Depreciation'!T$121)*(Summary!$C$41/((SUM(Summary!$C$28:$C$33)+SUM(Summary!$C$39:$C$42))))</f>
        <v>88268.027354949998</v>
      </c>
      <c r="M34" s="224">
        <f>('GAAP Beg Depreciation'!U$121)*(Summary!$C$41/((SUM(Summary!$C$28:$C$33)+SUM(Summary!$C$39:$C$42))))</f>
        <v>80883.132135291264</v>
      </c>
      <c r="N34" s="224">
        <f>('GAAP Beg Depreciation'!V$121)*(Summary!$C$41/((SUM(Summary!$C$28:$C$33)+SUM(Summary!$C$39:$C$42))))</f>
        <v>25260.878780500909</v>
      </c>
      <c r="O34" s="224">
        <f>('GAAP Beg Depreciation'!W$121)*(Summary!$C$41/((SUM(Summary!$C$28:$C$33)+SUM(Summary!$C$39:$C$42))))</f>
        <v>25260.878780500909</v>
      </c>
      <c r="P34" s="224">
        <f>('GAAP Beg Depreciation'!X$121)*(Summary!$C$41/((SUM(Summary!$C$28:$C$33)+SUM(Summary!$C$39:$C$42))))</f>
        <v>25260.878780500909</v>
      </c>
      <c r="Q34" s="224">
        <f>('GAAP Beg Depreciation'!Y$121)*(Summary!$C$41/((SUM(Summary!$C$28:$C$33)+SUM(Summary!$C$39:$C$42))))</f>
        <v>25260.878780500909</v>
      </c>
      <c r="R34" s="224">
        <f>('GAAP Beg Depreciation'!Z$121)*(Summary!$C$41/((SUM(Summary!$C$28:$C$33)+SUM(Summary!$C$39:$C$42))))</f>
        <v>25260.878780500909</v>
      </c>
      <c r="S34" s="224">
        <f>('GAAP Beg Depreciation'!AA$121)*(Summary!$C$41/((SUM(Summary!$C$28:$C$33)+SUM(Summary!$C$39:$C$42))))</f>
        <v>24910.491404661036</v>
      </c>
      <c r="T34" s="224">
        <f>('GAAP Beg Depreciation'!AB$121)*(Summary!$C$41/((SUM(Summary!$C$28:$C$33)+SUM(Summary!$C$39:$C$42))))</f>
        <v>23963.249381450023</v>
      </c>
      <c r="U34" s="224">
        <f>('GAAP Beg Depreciation'!AC$121)*(Summary!$C$41/((SUM(Summary!$C$28:$C$33)+SUM(Summary!$C$39:$C$42))))</f>
        <v>23963.249381450023</v>
      </c>
      <c r="V34" s="224">
        <f>('GAAP Beg Depreciation'!AD$121)*(Summary!$C$41/((SUM(Summary!$C$28:$C$33)+SUM(Summary!$C$39:$C$42))))</f>
        <v>23963.249381450023</v>
      </c>
      <c r="W34" s="224">
        <f>('GAAP Beg Depreciation'!AE$121)*(Summary!$C$41/((SUM(Summary!$C$28:$C$33)+SUM(Summary!$C$39:$C$42))))</f>
        <v>23963.249381450023</v>
      </c>
      <c r="X34" s="224">
        <f>('GAAP Beg Depreciation'!AF$121)*(Summary!$C$41/((SUM(Summary!$C$28:$C$33)+SUM(Summary!$C$39:$C$42))))</f>
        <v>23963.249381450023</v>
      </c>
      <c r="Y34" s="224">
        <f>('GAAP Beg Depreciation'!AG$121)*(Summary!$C$41/((SUM(Summary!$C$28:$C$33)+SUM(Summary!$C$39:$C$42))))</f>
        <v>23963.249381450023</v>
      </c>
      <c r="Z34" s="224">
        <f>('GAAP Beg Depreciation'!AH$121)*(Summary!$C$41/((SUM(Summary!$C$28:$C$33)+SUM(Summary!$C$39:$C$42))))</f>
        <v>23741.664130780475</v>
      </c>
      <c r="AA34" s="224">
        <f>('GAAP Beg Depreciation'!AI$121)*(Summary!$C$41/((SUM(Summary!$C$28:$C$33)+SUM(Summary!$C$39:$C$42))))</f>
        <v>22332.174908866269</v>
      </c>
      <c r="AB34" s="224">
        <f>('GAAP Beg Depreciation'!AJ$121)*(Summary!$C$41/((SUM(Summary!$C$28:$C$33)+SUM(Summary!$C$39:$C$42))))</f>
        <v>22332.174908866269</v>
      </c>
      <c r="AC34" s="224">
        <f>('GAAP Beg Depreciation'!AK$121)*(Summary!$C$41/((SUM(Summary!$C$28:$C$33)+SUM(Summary!$C$39:$C$42))))</f>
        <v>22332.174908866269</v>
      </c>
      <c r="AD34" s="224">
        <f>('GAAP Beg Depreciation'!AL$121)*(Summary!$C$41/((SUM(Summary!$C$28:$C$33)+SUM(Summary!$C$39:$C$42))))</f>
        <v>22332.174908866269</v>
      </c>
      <c r="AE34" s="224">
        <f>('GAAP Beg Depreciation'!AM$121)*(Summary!$C$41/((SUM(Summary!$C$28:$C$33)+SUM(Summary!$C$39:$C$42))))</f>
        <v>22332.174908866269</v>
      </c>
      <c r="AF34" s="224">
        <f>('GAAP Beg Depreciation'!AN$121)*(Summary!$C$41/((SUM(Summary!$C$28:$C$33)+SUM(Summary!$C$39:$C$42))))</f>
        <v>22332.174908866269</v>
      </c>
      <c r="AG34" s="224">
        <f>('GAAP Beg Depreciation'!AO$121)*(Summary!$C$41/((SUM(Summary!$C$28:$C$33)+SUM(Summary!$C$39:$C$42))))</f>
        <v>615.38354555278863</v>
      </c>
    </row>
    <row r="35" spans="1:33" x14ac:dyDescent="0.2">
      <c r="A35">
        <v>26</v>
      </c>
      <c r="B35" t="s">
        <v>79</v>
      </c>
      <c r="C35" s="224">
        <f>('GAAP Beg Depreciation'!K$121)*(Summary!$C$42/((SUM(Summary!$C$28:$C$33)+SUM(Summary!$C$39:$C$42))))</f>
        <v>572001.5066983226</v>
      </c>
      <c r="D35" s="224">
        <f>('GAAP Beg Depreciation'!L$121)*(Summary!$C$42/((SUM(Summary!$C$28:$C$33)+SUM(Summary!$C$39:$C$42))))</f>
        <v>572001.5066983226</v>
      </c>
      <c r="E35" s="224">
        <f>('GAAP Beg Depreciation'!M$121)*(Summary!$C$42/((SUM(Summary!$C$28:$C$33)+SUM(Summary!$C$39:$C$42))))</f>
        <v>570960.76430815202</v>
      </c>
      <c r="F35" s="224">
        <f>('GAAP Beg Depreciation'!N$121)*(Summary!$C$42/((SUM(Summary!$C$28:$C$33)+SUM(Summary!$C$39:$C$42))))</f>
        <v>567196.95165439078</v>
      </c>
      <c r="G35" s="224">
        <f>('GAAP Beg Depreciation'!O$121)*(Summary!$C$42/((SUM(Summary!$C$28:$C$33)+SUM(Summary!$C$39:$C$42))))</f>
        <v>551040.93661045912</v>
      </c>
      <c r="H35" s="224">
        <f>('GAAP Beg Depreciation'!P$121)*(Summary!$C$42/((SUM(Summary!$C$28:$C$33)+SUM(Summary!$C$39:$C$42))))</f>
        <v>504656.48851103697</v>
      </c>
      <c r="I35" s="224">
        <f>('GAAP Beg Depreciation'!Q$121)*(Summary!$C$42/((SUM(Summary!$C$28:$C$33)+SUM(Summary!$C$39:$C$42))))</f>
        <v>504656.48851103697</v>
      </c>
      <c r="J35" s="224">
        <f>('GAAP Beg Depreciation'!R$121)*(Summary!$C$42/((SUM(Summary!$C$28:$C$33)+SUM(Summary!$C$39:$C$42))))</f>
        <v>281970.24379906012</v>
      </c>
      <c r="K35" s="224">
        <f>('GAAP Beg Depreciation'!S$121)*(Summary!$C$42/((SUM(Summary!$C$28:$C$33)+SUM(Summary!$C$39:$C$42))))</f>
        <v>88462.724234149355</v>
      </c>
      <c r="L35" s="224">
        <f>('GAAP Beg Depreciation'!T$121)*(Summary!$C$42/((SUM(Summary!$C$28:$C$33)+SUM(Summary!$C$39:$C$42))))</f>
        <v>88268.027354949998</v>
      </c>
      <c r="M35" s="224">
        <f>('GAAP Beg Depreciation'!U$121)*(Summary!$C$42/((SUM(Summary!$C$28:$C$33)+SUM(Summary!$C$39:$C$42))))</f>
        <v>80883.132135291264</v>
      </c>
      <c r="N35" s="224">
        <f>('GAAP Beg Depreciation'!V$121)*(Summary!$C$42/((SUM(Summary!$C$28:$C$33)+SUM(Summary!$C$39:$C$42))))</f>
        <v>25260.878780500909</v>
      </c>
      <c r="O35" s="224">
        <f>('GAAP Beg Depreciation'!W$121)*(Summary!$C$42/((SUM(Summary!$C$28:$C$33)+SUM(Summary!$C$39:$C$42))))</f>
        <v>25260.878780500909</v>
      </c>
      <c r="P35" s="224">
        <f>('GAAP Beg Depreciation'!X$121)*(Summary!$C$42/((SUM(Summary!$C$28:$C$33)+SUM(Summary!$C$39:$C$42))))</f>
        <v>25260.878780500909</v>
      </c>
      <c r="Q35" s="224">
        <f>('GAAP Beg Depreciation'!Y$121)*(Summary!$C$42/((SUM(Summary!$C$28:$C$33)+SUM(Summary!$C$39:$C$42))))</f>
        <v>25260.878780500909</v>
      </c>
      <c r="R35" s="224">
        <f>('GAAP Beg Depreciation'!Z$121)*(Summary!$C$42/((SUM(Summary!$C$28:$C$33)+SUM(Summary!$C$39:$C$42))))</f>
        <v>25260.878780500909</v>
      </c>
      <c r="S35" s="224">
        <f>('GAAP Beg Depreciation'!AA$121)*(Summary!$C$42/((SUM(Summary!$C$28:$C$33)+SUM(Summary!$C$39:$C$42))))</f>
        <v>24910.491404661036</v>
      </c>
      <c r="T35" s="224">
        <f>('GAAP Beg Depreciation'!AB$121)*(Summary!$C$42/((SUM(Summary!$C$28:$C$33)+SUM(Summary!$C$39:$C$42))))</f>
        <v>23963.249381450023</v>
      </c>
      <c r="U35" s="224">
        <f>('GAAP Beg Depreciation'!AC$121)*(Summary!$C$42/((SUM(Summary!$C$28:$C$33)+SUM(Summary!$C$39:$C$42))))</f>
        <v>23963.249381450023</v>
      </c>
      <c r="V35" s="224">
        <f>('GAAP Beg Depreciation'!AD$121)*(Summary!$C$42/((SUM(Summary!$C$28:$C$33)+SUM(Summary!$C$39:$C$42))))</f>
        <v>23963.249381450023</v>
      </c>
      <c r="W35" s="224">
        <f>('GAAP Beg Depreciation'!AE$121)*(Summary!$C$42/((SUM(Summary!$C$28:$C$33)+SUM(Summary!$C$39:$C$42))))</f>
        <v>23963.249381450023</v>
      </c>
      <c r="X35" s="224">
        <f>('GAAP Beg Depreciation'!AF$121)*(Summary!$C$42/((SUM(Summary!$C$28:$C$33)+SUM(Summary!$C$39:$C$42))))</f>
        <v>23963.249381450023</v>
      </c>
      <c r="Y35" s="224">
        <f>('GAAP Beg Depreciation'!AG$121)*(Summary!$C$42/((SUM(Summary!$C$28:$C$33)+SUM(Summary!$C$39:$C$42))))</f>
        <v>23963.249381450023</v>
      </c>
      <c r="Z35" s="224">
        <f>('GAAP Beg Depreciation'!AH$121)*(Summary!$C$42/((SUM(Summary!$C$28:$C$33)+SUM(Summary!$C$39:$C$42))))</f>
        <v>23741.664130780475</v>
      </c>
      <c r="AA35" s="224">
        <f>('GAAP Beg Depreciation'!AI$121)*(Summary!$C$42/((SUM(Summary!$C$28:$C$33)+SUM(Summary!$C$39:$C$42))))</f>
        <v>22332.174908866269</v>
      </c>
      <c r="AB35" s="224">
        <f>('GAAP Beg Depreciation'!AJ$121)*(Summary!$C$42/((SUM(Summary!$C$28:$C$33)+SUM(Summary!$C$39:$C$42))))</f>
        <v>22332.174908866269</v>
      </c>
      <c r="AC35" s="224">
        <f>('GAAP Beg Depreciation'!AK$121)*(Summary!$C$42/((SUM(Summary!$C$28:$C$33)+SUM(Summary!$C$39:$C$42))))</f>
        <v>22332.174908866269</v>
      </c>
      <c r="AD35" s="224">
        <f>('GAAP Beg Depreciation'!AL$121)*(Summary!$C$42/((SUM(Summary!$C$28:$C$33)+SUM(Summary!$C$39:$C$42))))</f>
        <v>22332.174908866269</v>
      </c>
      <c r="AE35" s="224">
        <f>('GAAP Beg Depreciation'!AM$121)*(Summary!$C$42/((SUM(Summary!$C$28:$C$33)+SUM(Summary!$C$39:$C$42))))</f>
        <v>22332.174908866269</v>
      </c>
      <c r="AF35" s="224">
        <f>('GAAP Beg Depreciation'!AN$121)*(Summary!$C$42/((SUM(Summary!$C$28:$C$33)+SUM(Summary!$C$39:$C$42))))</f>
        <v>22332.174908866269</v>
      </c>
      <c r="AG35" s="224">
        <f>('GAAP Beg Depreciation'!AO$121)*(Summary!$C$42/((SUM(Summary!$C$28:$C$33)+SUM(Summary!$C$39:$C$42))))</f>
        <v>615.38354555278863</v>
      </c>
    </row>
    <row r="36" spans="1:33" x14ac:dyDescent="0.2">
      <c r="A36">
        <v>27</v>
      </c>
      <c r="B36" t="s">
        <v>80</v>
      </c>
      <c r="C36" s="224">
        <f>'GAAP Beg Depreciation'!K129/6</f>
        <v>1830222.4815308666</v>
      </c>
      <c r="D36" s="224">
        <f>'GAAP Beg Depreciation'!L129/6</f>
        <v>1830222.4815308666</v>
      </c>
      <c r="E36" s="224">
        <f>'GAAP Beg Depreciation'!M129/6</f>
        <v>1830222.4815308666</v>
      </c>
      <c r="F36" s="224">
        <f>'GAAP Beg Depreciation'!N129/6</f>
        <v>1830222.4815308666</v>
      </c>
      <c r="G36" s="224">
        <f>'GAAP Beg Depreciation'!O129/6</f>
        <v>1830222.4815308666</v>
      </c>
      <c r="H36" s="224">
        <f>'GAAP Beg Depreciation'!P129/6</f>
        <v>1830222.4815308666</v>
      </c>
      <c r="I36" s="224">
        <f>'GAAP Beg Depreciation'!Q129/6</f>
        <v>1830222.4815308666</v>
      </c>
      <c r="J36" s="224">
        <f>'GAAP Beg Depreciation'!R129/6</f>
        <v>1830222.4815308666</v>
      </c>
      <c r="K36" s="224">
        <f>'GAAP Beg Depreciation'!S129/6</f>
        <v>1830222.4815308666</v>
      </c>
      <c r="L36" s="224">
        <f>'GAAP Beg Depreciation'!T129/6</f>
        <v>1830222.4815308666</v>
      </c>
      <c r="M36" s="224">
        <f>'GAAP Beg Depreciation'!U129/6</f>
        <v>1830222.4815308666</v>
      </c>
      <c r="N36" s="224">
        <f>'GAAP Beg Depreciation'!V129/6</f>
        <v>1830222.4815308666</v>
      </c>
      <c r="O36" s="224">
        <f>'GAAP Beg Depreciation'!W129/6</f>
        <v>1830222.4815308666</v>
      </c>
      <c r="P36" s="224">
        <f>'GAAP Beg Depreciation'!X129/6</f>
        <v>1830222.4815308666</v>
      </c>
      <c r="Q36" s="224">
        <f>'GAAP Beg Depreciation'!Y129/6</f>
        <v>1830222.4815308666</v>
      </c>
      <c r="R36" s="224">
        <f>'GAAP Beg Depreciation'!Z129/6</f>
        <v>466825.51819753804</v>
      </c>
      <c r="S36" s="224">
        <f>'GAAP Beg Depreciation'!AA129/6</f>
        <v>78084.648197533257</v>
      </c>
      <c r="T36" s="224">
        <f>'GAAP Beg Depreciation'!AB129/6</f>
        <v>78084.648197533257</v>
      </c>
      <c r="U36" s="224">
        <f>'GAAP Beg Depreciation'!AC129/6</f>
        <v>78084.648197533257</v>
      </c>
      <c r="V36" s="224">
        <f>'GAAP Beg Depreciation'!AD129/6</f>
        <v>78084.648197533257</v>
      </c>
      <c r="W36" s="224">
        <f>'GAAP Beg Depreciation'!AE129/6</f>
        <v>29658.5</v>
      </c>
      <c r="X36" s="224">
        <f>'GAAP Beg Depreciation'!AF129/6</f>
        <v>29658.5</v>
      </c>
      <c r="Y36" s="224">
        <f>'GAAP Beg Depreciation'!AG129/6</f>
        <v>29658.5</v>
      </c>
      <c r="Z36" s="224">
        <f>'GAAP Beg Depreciation'!AH129/6</f>
        <v>29658.5</v>
      </c>
      <c r="AA36" s="224">
        <f>'GAAP Beg Depreciation'!AI129/6</f>
        <v>29658.5</v>
      </c>
      <c r="AB36" s="224">
        <f>'GAAP Beg Depreciation'!AJ129/6</f>
        <v>29658.5</v>
      </c>
      <c r="AC36" s="224">
        <f>'GAAP Beg Depreciation'!AK129/6</f>
        <v>29658.5</v>
      </c>
      <c r="AD36" s="224">
        <f>'GAAP Beg Depreciation'!AL129/6</f>
        <v>29658.5</v>
      </c>
      <c r="AE36" s="224">
        <f>'GAAP Beg Depreciation'!AM129/6</f>
        <v>29658.5</v>
      </c>
      <c r="AF36" s="224">
        <f>'GAAP Beg Depreciation'!AN129/6</f>
        <v>29658.5</v>
      </c>
      <c r="AG36" s="224">
        <f>'GAAP Beg Depreciation'!AO129/6</f>
        <v>29658.5</v>
      </c>
    </row>
    <row r="37" spans="1:33" x14ac:dyDescent="0.2">
      <c r="A37">
        <v>28</v>
      </c>
      <c r="B37" t="s">
        <v>81</v>
      </c>
      <c r="C37" s="224">
        <f>'GAAP Beg Depreciation'!K129/6</f>
        <v>1830222.4815308666</v>
      </c>
      <c r="D37" s="224">
        <f>'GAAP Beg Depreciation'!L129/6</f>
        <v>1830222.4815308666</v>
      </c>
      <c r="E37" s="224">
        <f>'GAAP Beg Depreciation'!M129/6</f>
        <v>1830222.4815308666</v>
      </c>
      <c r="F37" s="224">
        <f>'GAAP Beg Depreciation'!N129/6</f>
        <v>1830222.4815308666</v>
      </c>
      <c r="G37" s="224">
        <f>'GAAP Beg Depreciation'!O129/6</f>
        <v>1830222.4815308666</v>
      </c>
      <c r="H37" s="224">
        <f>'GAAP Beg Depreciation'!P129/6</f>
        <v>1830222.4815308666</v>
      </c>
      <c r="I37" s="224">
        <f>'GAAP Beg Depreciation'!Q129/6</f>
        <v>1830222.4815308666</v>
      </c>
      <c r="J37" s="224">
        <f>'GAAP Beg Depreciation'!R129/6</f>
        <v>1830222.4815308666</v>
      </c>
      <c r="K37" s="224">
        <f>'GAAP Beg Depreciation'!S129/6</f>
        <v>1830222.4815308666</v>
      </c>
      <c r="L37" s="224">
        <f>'GAAP Beg Depreciation'!T129/6</f>
        <v>1830222.4815308666</v>
      </c>
      <c r="M37" s="224">
        <f>'GAAP Beg Depreciation'!U129/6</f>
        <v>1830222.4815308666</v>
      </c>
      <c r="N37" s="224">
        <f>'GAAP Beg Depreciation'!V129/6</f>
        <v>1830222.4815308666</v>
      </c>
      <c r="O37" s="224">
        <f>'GAAP Beg Depreciation'!W129/6</f>
        <v>1830222.4815308666</v>
      </c>
      <c r="P37" s="224">
        <f>'GAAP Beg Depreciation'!X129/6</f>
        <v>1830222.4815308666</v>
      </c>
      <c r="Q37" s="224">
        <f>'GAAP Beg Depreciation'!Y129/6</f>
        <v>1830222.4815308666</v>
      </c>
      <c r="R37" s="224">
        <f>'GAAP Beg Depreciation'!Z129/6</f>
        <v>466825.51819753804</v>
      </c>
      <c r="S37" s="224">
        <f>'GAAP Beg Depreciation'!AA129/6</f>
        <v>78084.648197533257</v>
      </c>
      <c r="T37" s="224">
        <f>'GAAP Beg Depreciation'!AB129/6</f>
        <v>78084.648197533257</v>
      </c>
      <c r="U37" s="224">
        <f>'GAAP Beg Depreciation'!AC129/6</f>
        <v>78084.648197533257</v>
      </c>
      <c r="V37" s="224">
        <f>'GAAP Beg Depreciation'!AD129/6</f>
        <v>78084.648197533257</v>
      </c>
      <c r="W37" s="224">
        <f>'GAAP Beg Depreciation'!AE129/6</f>
        <v>29658.5</v>
      </c>
      <c r="X37" s="224">
        <f>'GAAP Beg Depreciation'!AF129/6</f>
        <v>29658.5</v>
      </c>
      <c r="Y37" s="224">
        <f>'GAAP Beg Depreciation'!AG129/6</f>
        <v>29658.5</v>
      </c>
      <c r="Z37" s="224">
        <f>'GAAP Beg Depreciation'!AH129/6</f>
        <v>29658.5</v>
      </c>
      <c r="AA37" s="224">
        <f>'GAAP Beg Depreciation'!AI129/6</f>
        <v>29658.5</v>
      </c>
      <c r="AB37" s="224">
        <f>'GAAP Beg Depreciation'!AJ129/6</f>
        <v>29658.5</v>
      </c>
      <c r="AC37" s="224">
        <f>'GAAP Beg Depreciation'!AK129/6</f>
        <v>29658.5</v>
      </c>
      <c r="AD37" s="224">
        <f>'GAAP Beg Depreciation'!AL129/6</f>
        <v>29658.5</v>
      </c>
      <c r="AE37" s="224">
        <f>'GAAP Beg Depreciation'!AM129/6</f>
        <v>29658.5</v>
      </c>
      <c r="AF37" s="224">
        <f>'GAAP Beg Depreciation'!AN129/6</f>
        <v>29658.5</v>
      </c>
      <c r="AG37" s="224">
        <f>'GAAP Beg Depreciation'!AO129/6</f>
        <v>29658.5</v>
      </c>
    </row>
    <row r="38" spans="1:33" x14ac:dyDescent="0.2">
      <c r="A38">
        <v>29</v>
      </c>
      <c r="B38" t="s">
        <v>82</v>
      </c>
      <c r="C38" s="224">
        <f>'GAAP Beg Depreciation'!K129/6</f>
        <v>1830222.4815308666</v>
      </c>
      <c r="D38" s="224">
        <f>'GAAP Beg Depreciation'!L129/6</f>
        <v>1830222.4815308666</v>
      </c>
      <c r="E38" s="224">
        <f>'GAAP Beg Depreciation'!M129/6</f>
        <v>1830222.4815308666</v>
      </c>
      <c r="F38" s="224">
        <f>'GAAP Beg Depreciation'!N129/6</f>
        <v>1830222.4815308666</v>
      </c>
      <c r="G38" s="224">
        <f>'GAAP Beg Depreciation'!O129/6</f>
        <v>1830222.4815308666</v>
      </c>
      <c r="H38" s="224">
        <f>'GAAP Beg Depreciation'!P129/6</f>
        <v>1830222.4815308666</v>
      </c>
      <c r="I38" s="224">
        <f>'GAAP Beg Depreciation'!Q129/6</f>
        <v>1830222.4815308666</v>
      </c>
      <c r="J38" s="224">
        <f>'GAAP Beg Depreciation'!R129/6</f>
        <v>1830222.4815308666</v>
      </c>
      <c r="K38" s="224">
        <f>'GAAP Beg Depreciation'!S129/6</f>
        <v>1830222.4815308666</v>
      </c>
      <c r="L38" s="224">
        <f>'GAAP Beg Depreciation'!T129/6</f>
        <v>1830222.4815308666</v>
      </c>
      <c r="M38" s="224">
        <f>'GAAP Beg Depreciation'!U129/6</f>
        <v>1830222.4815308666</v>
      </c>
      <c r="N38" s="224">
        <f>'GAAP Beg Depreciation'!V129/6</f>
        <v>1830222.4815308666</v>
      </c>
      <c r="O38" s="224">
        <f>'GAAP Beg Depreciation'!W129/6</f>
        <v>1830222.4815308666</v>
      </c>
      <c r="P38" s="224">
        <f>'GAAP Beg Depreciation'!X129/6</f>
        <v>1830222.4815308666</v>
      </c>
      <c r="Q38" s="224">
        <f>'GAAP Beg Depreciation'!Y129/6</f>
        <v>1830222.4815308666</v>
      </c>
      <c r="R38" s="224">
        <f>'GAAP Beg Depreciation'!Z129/6</f>
        <v>466825.51819753804</v>
      </c>
      <c r="S38" s="224">
        <f>'GAAP Beg Depreciation'!AA129/6</f>
        <v>78084.648197533257</v>
      </c>
      <c r="T38" s="224">
        <f>'GAAP Beg Depreciation'!AB129/6</f>
        <v>78084.648197533257</v>
      </c>
      <c r="U38" s="224">
        <f>'GAAP Beg Depreciation'!AC129/6</f>
        <v>78084.648197533257</v>
      </c>
      <c r="V38" s="224">
        <f>'GAAP Beg Depreciation'!AD129/6</f>
        <v>78084.648197533257</v>
      </c>
      <c r="W38" s="224">
        <f>'GAAP Beg Depreciation'!AE129/6</f>
        <v>29658.5</v>
      </c>
      <c r="X38" s="224">
        <f>'GAAP Beg Depreciation'!AF129/6</f>
        <v>29658.5</v>
      </c>
      <c r="Y38" s="224">
        <f>'GAAP Beg Depreciation'!AG129/6</f>
        <v>29658.5</v>
      </c>
      <c r="Z38" s="224">
        <f>'GAAP Beg Depreciation'!AH129/6</f>
        <v>29658.5</v>
      </c>
      <c r="AA38" s="224">
        <f>'GAAP Beg Depreciation'!AI129/6</f>
        <v>29658.5</v>
      </c>
      <c r="AB38" s="224">
        <f>'GAAP Beg Depreciation'!AJ129/6</f>
        <v>29658.5</v>
      </c>
      <c r="AC38" s="224">
        <f>'GAAP Beg Depreciation'!AK129/6</f>
        <v>29658.5</v>
      </c>
      <c r="AD38" s="224">
        <f>'GAAP Beg Depreciation'!AL129/6</f>
        <v>29658.5</v>
      </c>
      <c r="AE38" s="224">
        <f>'GAAP Beg Depreciation'!AM129/6</f>
        <v>29658.5</v>
      </c>
      <c r="AF38" s="224">
        <f>'GAAP Beg Depreciation'!AN129/6</f>
        <v>29658.5</v>
      </c>
      <c r="AG38" s="224">
        <f>'GAAP Beg Depreciation'!AO129/6</f>
        <v>29658.5</v>
      </c>
    </row>
    <row r="39" spans="1:33" x14ac:dyDescent="0.2">
      <c r="A39">
        <v>30</v>
      </c>
      <c r="B39" t="s">
        <v>83</v>
      </c>
      <c r="C39" s="224">
        <f>'GAAP Beg Depreciation'!K129/6</f>
        <v>1830222.4815308666</v>
      </c>
      <c r="D39" s="224">
        <f>'GAAP Beg Depreciation'!L129/6</f>
        <v>1830222.4815308666</v>
      </c>
      <c r="E39" s="224">
        <f>'GAAP Beg Depreciation'!M129/6</f>
        <v>1830222.4815308666</v>
      </c>
      <c r="F39" s="224">
        <f>'GAAP Beg Depreciation'!N129/6</f>
        <v>1830222.4815308666</v>
      </c>
      <c r="G39" s="224">
        <f>'GAAP Beg Depreciation'!O129/6</f>
        <v>1830222.4815308666</v>
      </c>
      <c r="H39" s="224">
        <f>'GAAP Beg Depreciation'!P129/6</f>
        <v>1830222.4815308666</v>
      </c>
      <c r="I39" s="224">
        <f>'GAAP Beg Depreciation'!Q129/6</f>
        <v>1830222.4815308666</v>
      </c>
      <c r="J39" s="224">
        <f>'GAAP Beg Depreciation'!R129/6</f>
        <v>1830222.4815308666</v>
      </c>
      <c r="K39" s="224">
        <f>'GAAP Beg Depreciation'!S129/6</f>
        <v>1830222.4815308666</v>
      </c>
      <c r="L39" s="224">
        <f>'GAAP Beg Depreciation'!T129/6</f>
        <v>1830222.4815308666</v>
      </c>
      <c r="M39" s="224">
        <f>'GAAP Beg Depreciation'!U129/6</f>
        <v>1830222.4815308666</v>
      </c>
      <c r="N39" s="224">
        <f>'GAAP Beg Depreciation'!V129/6</f>
        <v>1830222.4815308666</v>
      </c>
      <c r="O39" s="224">
        <f>'GAAP Beg Depreciation'!W129/6</f>
        <v>1830222.4815308666</v>
      </c>
      <c r="P39" s="224">
        <f>'GAAP Beg Depreciation'!X129/6</f>
        <v>1830222.4815308666</v>
      </c>
      <c r="Q39" s="224">
        <f>'GAAP Beg Depreciation'!Y129/6</f>
        <v>1830222.4815308666</v>
      </c>
      <c r="R39" s="224">
        <f>'GAAP Beg Depreciation'!Z129/6</f>
        <v>466825.51819753804</v>
      </c>
      <c r="S39" s="224">
        <f>'GAAP Beg Depreciation'!AA129/6</f>
        <v>78084.648197533257</v>
      </c>
      <c r="T39" s="224">
        <f>'GAAP Beg Depreciation'!AB129/6</f>
        <v>78084.648197533257</v>
      </c>
      <c r="U39" s="224">
        <f>'GAAP Beg Depreciation'!AC129/6</f>
        <v>78084.648197533257</v>
      </c>
      <c r="V39" s="224">
        <f>'GAAP Beg Depreciation'!AD129/6</f>
        <v>78084.648197533257</v>
      </c>
      <c r="W39" s="224">
        <f>'GAAP Beg Depreciation'!AE129/6</f>
        <v>29658.5</v>
      </c>
      <c r="X39" s="224">
        <f>'GAAP Beg Depreciation'!AF129/6</f>
        <v>29658.5</v>
      </c>
      <c r="Y39" s="224">
        <f>'GAAP Beg Depreciation'!AG129/6</f>
        <v>29658.5</v>
      </c>
      <c r="Z39" s="224">
        <f>'GAAP Beg Depreciation'!AH129/6</f>
        <v>29658.5</v>
      </c>
      <c r="AA39" s="224">
        <f>'GAAP Beg Depreciation'!AI129/6</f>
        <v>29658.5</v>
      </c>
      <c r="AB39" s="224">
        <f>'GAAP Beg Depreciation'!AJ129/6</f>
        <v>29658.5</v>
      </c>
      <c r="AC39" s="224">
        <f>'GAAP Beg Depreciation'!AK129/6</f>
        <v>29658.5</v>
      </c>
      <c r="AD39" s="224">
        <f>'GAAP Beg Depreciation'!AL129/6</f>
        <v>29658.5</v>
      </c>
      <c r="AE39" s="224">
        <f>'GAAP Beg Depreciation'!AM129/6</f>
        <v>29658.5</v>
      </c>
      <c r="AF39" s="224">
        <f>'GAAP Beg Depreciation'!AN129/6</f>
        <v>29658.5</v>
      </c>
      <c r="AG39" s="224">
        <f>'GAAP Beg Depreciation'!AO129/6</f>
        <v>29658.5</v>
      </c>
    </row>
    <row r="40" spans="1:33" x14ac:dyDescent="0.2">
      <c r="A40">
        <v>31</v>
      </c>
      <c r="B40" t="s">
        <v>84</v>
      </c>
      <c r="C40" s="224">
        <f>'GAAP Beg Depreciation'!K129/6</f>
        <v>1830222.4815308666</v>
      </c>
      <c r="D40" s="224">
        <f>'GAAP Beg Depreciation'!L129/6</f>
        <v>1830222.4815308666</v>
      </c>
      <c r="E40" s="224">
        <f>'GAAP Beg Depreciation'!M129/6</f>
        <v>1830222.4815308666</v>
      </c>
      <c r="F40" s="224">
        <f>'GAAP Beg Depreciation'!N129/6</f>
        <v>1830222.4815308666</v>
      </c>
      <c r="G40" s="224">
        <f>'GAAP Beg Depreciation'!O129/6</f>
        <v>1830222.4815308666</v>
      </c>
      <c r="H40" s="224">
        <f>'GAAP Beg Depreciation'!P129/6</f>
        <v>1830222.4815308666</v>
      </c>
      <c r="I40" s="224">
        <f>'GAAP Beg Depreciation'!Q129/6</f>
        <v>1830222.4815308666</v>
      </c>
      <c r="J40" s="224">
        <f>'GAAP Beg Depreciation'!R129/6</f>
        <v>1830222.4815308666</v>
      </c>
      <c r="K40" s="224">
        <f>'GAAP Beg Depreciation'!S129/6</f>
        <v>1830222.4815308666</v>
      </c>
      <c r="L40" s="224">
        <f>'GAAP Beg Depreciation'!T129/6</f>
        <v>1830222.4815308666</v>
      </c>
      <c r="M40" s="224">
        <f>'GAAP Beg Depreciation'!U129/6</f>
        <v>1830222.4815308666</v>
      </c>
      <c r="N40" s="224">
        <f>'GAAP Beg Depreciation'!V129/6</f>
        <v>1830222.4815308666</v>
      </c>
      <c r="O40" s="224">
        <f>'GAAP Beg Depreciation'!W129/6</f>
        <v>1830222.4815308666</v>
      </c>
      <c r="P40" s="224">
        <f>'GAAP Beg Depreciation'!X129/6</f>
        <v>1830222.4815308666</v>
      </c>
      <c r="Q40" s="224">
        <f>'GAAP Beg Depreciation'!Y129/6</f>
        <v>1830222.4815308666</v>
      </c>
      <c r="R40" s="224">
        <f>'GAAP Beg Depreciation'!Z129/6</f>
        <v>466825.51819753804</v>
      </c>
      <c r="S40" s="224">
        <f>'GAAP Beg Depreciation'!AA129/6</f>
        <v>78084.648197533257</v>
      </c>
      <c r="T40" s="224">
        <f>'GAAP Beg Depreciation'!AB129/6</f>
        <v>78084.648197533257</v>
      </c>
      <c r="U40" s="224">
        <f>'GAAP Beg Depreciation'!AC129/6</f>
        <v>78084.648197533257</v>
      </c>
      <c r="V40" s="224">
        <f>'GAAP Beg Depreciation'!AD129/6</f>
        <v>78084.648197533257</v>
      </c>
      <c r="W40" s="224">
        <f>'GAAP Beg Depreciation'!AE129/6</f>
        <v>29658.5</v>
      </c>
      <c r="X40" s="224">
        <f>'GAAP Beg Depreciation'!AF129/6</f>
        <v>29658.5</v>
      </c>
      <c r="Y40" s="224">
        <f>'GAAP Beg Depreciation'!AG129/6</f>
        <v>29658.5</v>
      </c>
      <c r="Z40" s="224">
        <f>'GAAP Beg Depreciation'!AH129/6</f>
        <v>29658.5</v>
      </c>
      <c r="AA40" s="224">
        <f>'GAAP Beg Depreciation'!AI129/6</f>
        <v>29658.5</v>
      </c>
      <c r="AB40" s="224">
        <f>'GAAP Beg Depreciation'!AJ129/6</f>
        <v>29658.5</v>
      </c>
      <c r="AC40" s="224">
        <f>'GAAP Beg Depreciation'!AK129/6</f>
        <v>29658.5</v>
      </c>
      <c r="AD40" s="224">
        <f>'GAAP Beg Depreciation'!AL129/6</f>
        <v>29658.5</v>
      </c>
      <c r="AE40" s="224">
        <f>'GAAP Beg Depreciation'!AM129/6</f>
        <v>29658.5</v>
      </c>
      <c r="AF40" s="224">
        <f>'GAAP Beg Depreciation'!AN129/6</f>
        <v>29658.5</v>
      </c>
      <c r="AG40" s="224">
        <f>'GAAP Beg Depreciation'!AO129/6</f>
        <v>29658.5</v>
      </c>
    </row>
    <row r="41" spans="1:33" x14ac:dyDescent="0.2">
      <c r="A41">
        <v>32</v>
      </c>
      <c r="B41" t="s">
        <v>85</v>
      </c>
      <c r="C41" s="224">
        <f>'GAAP Beg Depreciation'!K129/6</f>
        <v>1830222.4815308666</v>
      </c>
      <c r="D41" s="224">
        <f>'GAAP Beg Depreciation'!L129/6</f>
        <v>1830222.4815308666</v>
      </c>
      <c r="E41" s="224">
        <f>'GAAP Beg Depreciation'!M129/6</f>
        <v>1830222.4815308666</v>
      </c>
      <c r="F41" s="224">
        <f>'GAAP Beg Depreciation'!N129/6</f>
        <v>1830222.4815308666</v>
      </c>
      <c r="G41" s="224">
        <f>'GAAP Beg Depreciation'!O129/6</f>
        <v>1830222.4815308666</v>
      </c>
      <c r="H41" s="224">
        <f>'GAAP Beg Depreciation'!P129/6</f>
        <v>1830222.4815308666</v>
      </c>
      <c r="I41" s="224">
        <f>'GAAP Beg Depreciation'!Q129/6</f>
        <v>1830222.4815308666</v>
      </c>
      <c r="J41" s="224">
        <f>'GAAP Beg Depreciation'!R129/6</f>
        <v>1830222.4815308666</v>
      </c>
      <c r="K41" s="224">
        <f>'GAAP Beg Depreciation'!S129/6</f>
        <v>1830222.4815308666</v>
      </c>
      <c r="L41" s="224">
        <f>'GAAP Beg Depreciation'!T129/6</f>
        <v>1830222.4815308666</v>
      </c>
      <c r="M41" s="224">
        <f>'GAAP Beg Depreciation'!U129/6</f>
        <v>1830222.4815308666</v>
      </c>
      <c r="N41" s="224">
        <f>'GAAP Beg Depreciation'!V129/6</f>
        <v>1830222.4815308666</v>
      </c>
      <c r="O41" s="224">
        <f>'GAAP Beg Depreciation'!W129/6</f>
        <v>1830222.4815308666</v>
      </c>
      <c r="P41" s="224">
        <f>'GAAP Beg Depreciation'!X129/6</f>
        <v>1830222.4815308666</v>
      </c>
      <c r="Q41" s="224">
        <f>'GAAP Beg Depreciation'!Y129/6</f>
        <v>1830222.4815308666</v>
      </c>
      <c r="R41" s="224">
        <f>'GAAP Beg Depreciation'!Z129/6</f>
        <v>466825.51819753804</v>
      </c>
      <c r="S41" s="224">
        <f>'GAAP Beg Depreciation'!AA129/6</f>
        <v>78084.648197533257</v>
      </c>
      <c r="T41" s="224">
        <f>'GAAP Beg Depreciation'!AB129/6</f>
        <v>78084.648197533257</v>
      </c>
      <c r="U41" s="224">
        <f>'GAAP Beg Depreciation'!AC129/6</f>
        <v>78084.648197533257</v>
      </c>
      <c r="V41" s="224">
        <f>'GAAP Beg Depreciation'!AD129/6</f>
        <v>78084.648197533257</v>
      </c>
      <c r="W41" s="224">
        <f>'GAAP Beg Depreciation'!AE129/6</f>
        <v>29658.5</v>
      </c>
      <c r="X41" s="224">
        <f>'GAAP Beg Depreciation'!AF129/6</f>
        <v>29658.5</v>
      </c>
      <c r="Y41" s="224">
        <f>'GAAP Beg Depreciation'!AG129/6</f>
        <v>29658.5</v>
      </c>
      <c r="Z41" s="224">
        <f>'GAAP Beg Depreciation'!AH129/6</f>
        <v>29658.5</v>
      </c>
      <c r="AA41" s="224">
        <f>'GAAP Beg Depreciation'!AI129/6</f>
        <v>29658.5</v>
      </c>
      <c r="AB41" s="224">
        <f>'GAAP Beg Depreciation'!AJ129/6</f>
        <v>29658.5</v>
      </c>
      <c r="AC41" s="224">
        <f>'GAAP Beg Depreciation'!AK129/6</f>
        <v>29658.5</v>
      </c>
      <c r="AD41" s="224">
        <f>'GAAP Beg Depreciation'!AL129/6</f>
        <v>29658.5</v>
      </c>
      <c r="AE41" s="224">
        <f>'GAAP Beg Depreciation'!AM129/6</f>
        <v>29658.5</v>
      </c>
      <c r="AF41" s="224">
        <f>'GAAP Beg Depreciation'!AN129/6</f>
        <v>29658.5</v>
      </c>
      <c r="AG41" s="224">
        <f>'GAAP Beg Depreciation'!AO129/6</f>
        <v>29658.5</v>
      </c>
    </row>
    <row r="42" spans="1:33" ht="13.5" thickBot="1" x14ac:dyDescent="0.25">
      <c r="A42" s="205">
        <v>33</v>
      </c>
      <c r="B42" s="205" t="s">
        <v>181</v>
      </c>
      <c r="C42" s="260">
        <f>'GAAP Beg Depreciation'!K130</f>
        <v>10846000</v>
      </c>
      <c r="D42" s="260">
        <f>'GAAP Beg Depreciation'!L130</f>
        <v>10846000</v>
      </c>
      <c r="E42" s="260">
        <f>'GAAP Beg Depreciation'!M130</f>
        <v>10846000</v>
      </c>
      <c r="F42" s="260">
        <f>'GAAP Beg Depreciation'!N130</f>
        <v>10846000</v>
      </c>
      <c r="G42" s="260">
        <f>'GAAP Beg Depreciation'!O130</f>
        <v>10846000</v>
      </c>
      <c r="H42" s="260">
        <f>'GAAP Beg Depreciation'!P130</f>
        <v>10846000</v>
      </c>
      <c r="I42" s="260">
        <f>'GAAP Beg Depreciation'!Q130</f>
        <v>10846000</v>
      </c>
      <c r="J42" s="260">
        <f>'GAAP Beg Depreciation'!R130</f>
        <v>10846000</v>
      </c>
      <c r="K42" s="260">
        <f>'GAAP Beg Depreciation'!S130</f>
        <v>10846000</v>
      </c>
      <c r="L42" s="260">
        <f>'GAAP Beg Depreciation'!T130</f>
        <v>10846000</v>
      </c>
      <c r="M42" s="260">
        <f>'GAAP Beg Depreciation'!U130</f>
        <v>10846000</v>
      </c>
      <c r="N42" s="260">
        <f>'GAAP Beg Depreciation'!V130</f>
        <v>10846000</v>
      </c>
      <c r="O42" s="260">
        <f>'GAAP Beg Depreciation'!W130</f>
        <v>10846000</v>
      </c>
      <c r="P42" s="260">
        <f>'GAAP Beg Depreciation'!X130</f>
        <v>10846000</v>
      </c>
      <c r="Q42" s="260">
        <f>'GAAP Beg Depreciation'!Y130</f>
        <v>10846000</v>
      </c>
      <c r="R42" s="260">
        <f>'GAAP Beg Depreciation'!Z130</f>
        <v>10846000</v>
      </c>
      <c r="S42" s="260">
        <f>'GAAP Beg Depreciation'!AA130</f>
        <v>10846000</v>
      </c>
      <c r="T42" s="260">
        <f>'GAAP Beg Depreciation'!AB130</f>
        <v>10846000</v>
      </c>
      <c r="U42" s="260">
        <f>'GAAP Beg Depreciation'!AC130</f>
        <v>10846000</v>
      </c>
      <c r="V42" s="260">
        <f>'GAAP Beg Depreciation'!AD130</f>
        <v>10846000</v>
      </c>
      <c r="W42" s="260">
        <f>'GAAP Beg Depreciation'!AE130</f>
        <v>10846000</v>
      </c>
      <c r="X42" s="260">
        <f>'GAAP Beg Depreciation'!AF130</f>
        <v>10846000</v>
      </c>
      <c r="Y42" s="260">
        <f>'GAAP Beg Depreciation'!AG130</f>
        <v>10846000</v>
      </c>
      <c r="Z42" s="260">
        <f>'GAAP Beg Depreciation'!AH130</f>
        <v>10846000</v>
      </c>
      <c r="AA42" s="260">
        <f>'GAAP Beg Depreciation'!AI130</f>
        <v>10846000</v>
      </c>
      <c r="AB42" s="260">
        <f>'GAAP Beg Depreciation'!AJ130</f>
        <v>10846000</v>
      </c>
      <c r="AC42" s="260">
        <f>'GAAP Beg Depreciation'!AK130</f>
        <v>10846000</v>
      </c>
      <c r="AD42" s="260">
        <f>'GAAP Beg Depreciation'!AL130</f>
        <v>10846000</v>
      </c>
      <c r="AE42" s="260">
        <f>'GAAP Beg Depreciation'!AM130</f>
        <v>10846000</v>
      </c>
      <c r="AF42" s="260">
        <f>'GAAP Beg Depreciation'!AN130</f>
        <v>10846000</v>
      </c>
      <c r="AG42" s="260">
        <f>'GAAP Beg Depreciation'!AO130</f>
        <v>10846000</v>
      </c>
    </row>
    <row r="43" spans="1:33" ht="13.5" thickTop="1" x14ac:dyDescent="0.2">
      <c r="B43" t="s">
        <v>135</v>
      </c>
      <c r="C43" s="230">
        <f>SUM(C10:C42)</f>
        <v>109536999.99999994</v>
      </c>
      <c r="D43" s="230">
        <f t="shared" ref="D43:V43" si="0">SUM(D10:D42)</f>
        <v>109536999.99999994</v>
      </c>
      <c r="E43" s="230">
        <f t="shared" si="0"/>
        <v>109493759.15999995</v>
      </c>
      <c r="F43" s="230">
        <f t="shared" si="0"/>
        <v>109337379.99999993</v>
      </c>
      <c r="G43" s="230">
        <f t="shared" si="0"/>
        <v>108939707.47999994</v>
      </c>
      <c r="H43" s="230">
        <f t="shared" si="0"/>
        <v>107100337.43999994</v>
      </c>
      <c r="I43" s="230">
        <f t="shared" si="0"/>
        <v>107100337.43999994</v>
      </c>
      <c r="J43" s="230">
        <f t="shared" si="0"/>
        <v>100863630.6399999</v>
      </c>
      <c r="K43" s="230">
        <f t="shared" si="0"/>
        <v>95628227.709999919</v>
      </c>
      <c r="L43" s="230">
        <f t="shared" si="0"/>
        <v>95045985.849999949</v>
      </c>
      <c r="M43" s="230">
        <f t="shared" si="0"/>
        <v>94842379.129999906</v>
      </c>
      <c r="N43" s="230">
        <f t="shared" si="0"/>
        <v>93686880.429999918</v>
      </c>
      <c r="O43" s="230">
        <f t="shared" si="0"/>
        <v>93686880.429999918</v>
      </c>
      <c r="P43" s="230">
        <f t="shared" si="0"/>
        <v>92299671.539999917</v>
      </c>
      <c r="Q43" s="230">
        <f t="shared" si="0"/>
        <v>88422021.709999919</v>
      </c>
      <c r="R43" s="230">
        <f t="shared" si="0"/>
        <v>73281047.51000002</v>
      </c>
      <c r="S43" s="230">
        <f t="shared" si="0"/>
        <v>60805899.719999783</v>
      </c>
      <c r="T43" s="230">
        <f t="shared" si="0"/>
        <v>54310766.089999966</v>
      </c>
      <c r="U43" s="230">
        <f t="shared" si="0"/>
        <v>51059137.709999956</v>
      </c>
      <c r="V43" s="230">
        <f t="shared" si="0"/>
        <v>51048574.909999959</v>
      </c>
    </row>
    <row r="54" spans="1:22" x14ac:dyDescent="0.2">
      <c r="B54" s="10"/>
      <c r="C54" s="7"/>
    </row>
    <row r="55" spans="1:22" x14ac:dyDescent="0.2">
      <c r="B55" s="10"/>
      <c r="C55" s="133">
        <v>2000</v>
      </c>
      <c r="D55" s="135">
        <v>2001</v>
      </c>
      <c r="E55" s="135">
        <v>2002</v>
      </c>
      <c r="F55" s="135">
        <v>2003</v>
      </c>
      <c r="G55" s="135">
        <v>2004</v>
      </c>
      <c r="H55" s="135">
        <v>2005</v>
      </c>
      <c r="I55" s="135">
        <v>2006</v>
      </c>
      <c r="J55" s="135">
        <v>2007</v>
      </c>
      <c r="K55" s="135">
        <v>2008</v>
      </c>
      <c r="L55" s="135">
        <v>2009</v>
      </c>
      <c r="M55" s="135">
        <v>2010</v>
      </c>
      <c r="N55" s="135">
        <v>2011</v>
      </c>
      <c r="O55" s="135">
        <v>2012</v>
      </c>
      <c r="P55" s="135">
        <v>2013</v>
      </c>
      <c r="Q55" s="135">
        <v>2014</v>
      </c>
      <c r="R55" s="135">
        <v>2015</v>
      </c>
      <c r="S55" s="135">
        <v>2016</v>
      </c>
      <c r="T55" s="135">
        <v>2017</v>
      </c>
      <c r="U55" s="135">
        <v>2018</v>
      </c>
      <c r="V55" s="135">
        <v>2019</v>
      </c>
    </row>
    <row r="56" spans="1:22" x14ac:dyDescent="0.2">
      <c r="A56" s="81" t="s">
        <v>210</v>
      </c>
      <c r="B56" s="10"/>
      <c r="C56" s="140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</row>
    <row r="57" spans="1:22" ht="13.5" thickBot="1" x14ac:dyDescent="0.25">
      <c r="B57" s="10" t="s">
        <v>144</v>
      </c>
      <c r="C57" s="253">
        <f>-VLOOKUP(IS!$B$1,CapAds,C55-1997)*-1</f>
        <v>0</v>
      </c>
      <c r="D57" s="253">
        <f>-VLOOKUP(IS!$B$1,CapAds,D55-1997)*-1</f>
        <v>1242599.8999999999</v>
      </c>
      <c r="E57" s="253">
        <f>-VLOOKUP(IS!$B$1,CapAds,E55-1997)*-1</f>
        <v>239999.94999999925</v>
      </c>
      <c r="F57" s="253">
        <f>-VLOOKUP(IS!$B$1,CapAds,F55-1997)*-1</f>
        <v>399999.96</v>
      </c>
      <c r="G57" s="253">
        <f>-VLOOKUP(IS!$B$1,CapAds,G55-1997)*-1</f>
        <v>239999.88</v>
      </c>
      <c r="H57" s="253">
        <f>-VLOOKUP(IS!$B$1,CapAds,H55-1997)*-1</f>
        <v>474999.93799999991</v>
      </c>
      <c r="I57" s="253">
        <f>-VLOOKUP(IS!$B$1,CapAds,I55-1997)*-1</f>
        <v>489249.93613999989</v>
      </c>
      <c r="J57" s="253">
        <f>-VLOOKUP(IS!$B$1,CapAds,J55-1997)*-1</f>
        <v>503927.43422419991</v>
      </c>
      <c r="K57" s="253">
        <f>-VLOOKUP(IS!$B$1,CapAds,K55-1997)*-1</f>
        <v>519045.25725092593</v>
      </c>
      <c r="L57" s="253">
        <f>-VLOOKUP(IS!$B$1,CapAds,L55-1997)*-1</f>
        <v>534616.61496845377</v>
      </c>
      <c r="M57" s="253">
        <f>-VLOOKUP(IS!$B$1,CapAds,M55-1997)*-1</f>
        <v>550655.11341750738</v>
      </c>
      <c r="N57" s="253">
        <f>-VLOOKUP(IS!$B$1,CapAds,N55-1997)*-1</f>
        <v>567174.76682003262</v>
      </c>
      <c r="O57" s="253">
        <f>-VLOOKUP(IS!$B$1,CapAds,O55-1997)*-1</f>
        <v>584190.0098246336</v>
      </c>
      <c r="P57" s="253">
        <f>-VLOOKUP(IS!$B$1,CapAds,P55-1997)*-1</f>
        <v>601715.71011937258</v>
      </c>
      <c r="Q57" s="253">
        <f>-VLOOKUP(IS!$B$1,CapAds,Q55-1997)*-1</f>
        <v>619767.18142295373</v>
      </c>
      <c r="R57" s="253">
        <f>-VLOOKUP(IS!$B$1,CapAds,R55-1997)*-1</f>
        <v>638360.19686564233</v>
      </c>
      <c r="S57" s="253">
        <f>-VLOOKUP(IS!$B$1,CapAds,S55-1997)*-1</f>
        <v>657511.00277161156</v>
      </c>
      <c r="T57" s="253">
        <f>-VLOOKUP(IS!$B$1,CapAds,T55-1997)*-1</f>
        <v>677236.33285475988</v>
      </c>
      <c r="U57" s="253">
        <f>-VLOOKUP(IS!$B$1,CapAds,U55-1997)*-1</f>
        <v>697553.42284040269</v>
      </c>
      <c r="V57" s="253">
        <f>-VLOOKUP(IS!$B$1,CapAds,V55-1997)*-1</f>
        <v>718480.02552561474</v>
      </c>
    </row>
    <row r="58" spans="1:22" ht="13.5" thickTop="1" x14ac:dyDescent="0.2">
      <c r="A58" t="s">
        <v>211</v>
      </c>
      <c r="B58" s="3">
        <f>+Assumptions!L20</f>
        <v>20</v>
      </c>
      <c r="C58" s="150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</row>
    <row r="59" spans="1:22" x14ac:dyDescent="0.2">
      <c r="B59" s="10"/>
      <c r="C59" s="150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</row>
    <row r="60" spans="1:22" x14ac:dyDescent="0.2">
      <c r="B60" s="10"/>
      <c r="C60" s="140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</row>
    <row r="61" spans="1:22" x14ac:dyDescent="0.2">
      <c r="B61" s="10"/>
      <c r="C61" s="140">
        <f>IF((C55-$C$55)&gt;$B$58,0,$C$57/$B$58)</f>
        <v>0</v>
      </c>
      <c r="D61" s="140">
        <f t="shared" ref="D61:V61" si="1">IF((D55-$C$55)&gt;$B$58,0,$C$57/$B$58)</f>
        <v>0</v>
      </c>
      <c r="E61" s="140">
        <f t="shared" si="1"/>
        <v>0</v>
      </c>
      <c r="F61" s="140">
        <f t="shared" si="1"/>
        <v>0</v>
      </c>
      <c r="G61" s="140">
        <f t="shared" si="1"/>
        <v>0</v>
      </c>
      <c r="H61" s="140">
        <f t="shared" si="1"/>
        <v>0</v>
      </c>
      <c r="I61" s="140">
        <f t="shared" si="1"/>
        <v>0</v>
      </c>
      <c r="J61" s="140">
        <f t="shared" si="1"/>
        <v>0</v>
      </c>
      <c r="K61" s="140">
        <f t="shared" si="1"/>
        <v>0</v>
      </c>
      <c r="L61" s="140">
        <f t="shared" si="1"/>
        <v>0</v>
      </c>
      <c r="M61" s="140">
        <f t="shared" si="1"/>
        <v>0</v>
      </c>
      <c r="N61" s="140">
        <f t="shared" si="1"/>
        <v>0</v>
      </c>
      <c r="O61" s="140">
        <f t="shared" si="1"/>
        <v>0</v>
      </c>
      <c r="P61" s="140">
        <f t="shared" si="1"/>
        <v>0</v>
      </c>
      <c r="Q61" s="140">
        <f t="shared" si="1"/>
        <v>0</v>
      </c>
      <c r="R61" s="140">
        <f t="shared" si="1"/>
        <v>0</v>
      </c>
      <c r="S61" s="140">
        <f t="shared" si="1"/>
        <v>0</v>
      </c>
      <c r="T61" s="140">
        <f t="shared" si="1"/>
        <v>0</v>
      </c>
      <c r="U61" s="140">
        <f t="shared" si="1"/>
        <v>0</v>
      </c>
      <c r="V61" s="140">
        <f t="shared" si="1"/>
        <v>0</v>
      </c>
    </row>
    <row r="62" spans="1:22" x14ac:dyDescent="0.2">
      <c r="B62" s="10"/>
      <c r="C62" s="142"/>
      <c r="D62" s="140">
        <f>IF((D$55-$D$55)&gt;$B$58,0,$D$57/$B$58)</f>
        <v>62129.994999999995</v>
      </c>
      <c r="E62" s="140">
        <f t="shared" ref="E62:V62" si="2">IF((E$55-$D$55)&gt;$B$58,0,$D$57/$B$58)</f>
        <v>62129.994999999995</v>
      </c>
      <c r="F62" s="140">
        <f t="shared" si="2"/>
        <v>62129.994999999995</v>
      </c>
      <c r="G62" s="140">
        <f t="shared" si="2"/>
        <v>62129.994999999995</v>
      </c>
      <c r="H62" s="140">
        <f t="shared" si="2"/>
        <v>62129.994999999995</v>
      </c>
      <c r="I62" s="140">
        <f t="shared" si="2"/>
        <v>62129.994999999995</v>
      </c>
      <c r="J62" s="140">
        <f t="shared" si="2"/>
        <v>62129.994999999995</v>
      </c>
      <c r="K62" s="140">
        <f t="shared" si="2"/>
        <v>62129.994999999995</v>
      </c>
      <c r="L62" s="140">
        <f t="shared" si="2"/>
        <v>62129.994999999995</v>
      </c>
      <c r="M62" s="140">
        <f t="shared" si="2"/>
        <v>62129.994999999995</v>
      </c>
      <c r="N62" s="140">
        <f t="shared" si="2"/>
        <v>62129.994999999995</v>
      </c>
      <c r="O62" s="140">
        <f t="shared" si="2"/>
        <v>62129.994999999995</v>
      </c>
      <c r="P62" s="140">
        <f t="shared" si="2"/>
        <v>62129.994999999995</v>
      </c>
      <c r="Q62" s="140">
        <f t="shared" si="2"/>
        <v>62129.994999999995</v>
      </c>
      <c r="R62" s="140">
        <f t="shared" si="2"/>
        <v>62129.994999999995</v>
      </c>
      <c r="S62" s="140">
        <f t="shared" si="2"/>
        <v>62129.994999999995</v>
      </c>
      <c r="T62" s="140">
        <f t="shared" si="2"/>
        <v>62129.994999999995</v>
      </c>
      <c r="U62" s="140">
        <f t="shared" si="2"/>
        <v>62129.994999999995</v>
      </c>
      <c r="V62" s="140">
        <f t="shared" si="2"/>
        <v>62129.994999999995</v>
      </c>
    </row>
    <row r="63" spans="1:22" x14ac:dyDescent="0.2">
      <c r="B63" s="10"/>
      <c r="C63" s="142"/>
      <c r="D63" s="143"/>
      <c r="E63" s="140">
        <f>IF((E$55-$E$55)&gt;$B$58,0,$E$57/$B$58)</f>
        <v>11999.997499999963</v>
      </c>
      <c r="F63" s="140">
        <f t="shared" ref="F63:V63" si="3">IF((F$55-$E$55)&gt;$B$58,0,$E$57/$B$58)</f>
        <v>11999.997499999963</v>
      </c>
      <c r="G63" s="140">
        <f t="shared" si="3"/>
        <v>11999.997499999963</v>
      </c>
      <c r="H63" s="140">
        <f t="shared" si="3"/>
        <v>11999.997499999963</v>
      </c>
      <c r="I63" s="140">
        <f t="shared" si="3"/>
        <v>11999.997499999963</v>
      </c>
      <c r="J63" s="140">
        <f t="shared" si="3"/>
        <v>11999.997499999963</v>
      </c>
      <c r="K63" s="140">
        <f t="shared" si="3"/>
        <v>11999.997499999963</v>
      </c>
      <c r="L63" s="140">
        <f t="shared" si="3"/>
        <v>11999.997499999963</v>
      </c>
      <c r="M63" s="140">
        <f t="shared" si="3"/>
        <v>11999.997499999963</v>
      </c>
      <c r="N63" s="140">
        <f t="shared" si="3"/>
        <v>11999.997499999963</v>
      </c>
      <c r="O63" s="140">
        <f t="shared" si="3"/>
        <v>11999.997499999963</v>
      </c>
      <c r="P63" s="140">
        <f t="shared" si="3"/>
        <v>11999.997499999963</v>
      </c>
      <c r="Q63" s="140">
        <f t="shared" si="3"/>
        <v>11999.997499999963</v>
      </c>
      <c r="R63" s="140">
        <f t="shared" si="3"/>
        <v>11999.997499999963</v>
      </c>
      <c r="S63" s="140">
        <f t="shared" si="3"/>
        <v>11999.997499999963</v>
      </c>
      <c r="T63" s="140">
        <f t="shared" si="3"/>
        <v>11999.997499999963</v>
      </c>
      <c r="U63" s="140">
        <f t="shared" si="3"/>
        <v>11999.997499999963</v>
      </c>
      <c r="V63" s="140">
        <f t="shared" si="3"/>
        <v>11999.997499999963</v>
      </c>
    </row>
    <row r="64" spans="1:22" x14ac:dyDescent="0.2">
      <c r="B64" s="10"/>
      <c r="C64" s="142"/>
      <c r="D64" s="143"/>
      <c r="E64" s="143"/>
      <c r="F64" s="140">
        <f>IF((F$55-$F$55)&gt;$B$58,0,$F$57/$B$58)</f>
        <v>19999.998</v>
      </c>
      <c r="G64" s="140">
        <f t="shared" ref="G64:V64" si="4">IF((G$55-$F$55)&gt;$B$58,0,$F$57/$B$58)</f>
        <v>19999.998</v>
      </c>
      <c r="H64" s="140">
        <f t="shared" si="4"/>
        <v>19999.998</v>
      </c>
      <c r="I64" s="140">
        <f t="shared" si="4"/>
        <v>19999.998</v>
      </c>
      <c r="J64" s="140">
        <f t="shared" si="4"/>
        <v>19999.998</v>
      </c>
      <c r="K64" s="140">
        <f t="shared" si="4"/>
        <v>19999.998</v>
      </c>
      <c r="L64" s="140">
        <f t="shared" si="4"/>
        <v>19999.998</v>
      </c>
      <c r="M64" s="140">
        <f t="shared" si="4"/>
        <v>19999.998</v>
      </c>
      <c r="N64" s="140">
        <f t="shared" si="4"/>
        <v>19999.998</v>
      </c>
      <c r="O64" s="140">
        <f t="shared" si="4"/>
        <v>19999.998</v>
      </c>
      <c r="P64" s="140">
        <f t="shared" si="4"/>
        <v>19999.998</v>
      </c>
      <c r="Q64" s="140">
        <f t="shared" si="4"/>
        <v>19999.998</v>
      </c>
      <c r="R64" s="140">
        <f t="shared" si="4"/>
        <v>19999.998</v>
      </c>
      <c r="S64" s="140">
        <f t="shared" si="4"/>
        <v>19999.998</v>
      </c>
      <c r="T64" s="140">
        <f t="shared" si="4"/>
        <v>19999.998</v>
      </c>
      <c r="U64" s="140">
        <f t="shared" si="4"/>
        <v>19999.998</v>
      </c>
      <c r="V64" s="140">
        <f t="shared" si="4"/>
        <v>19999.998</v>
      </c>
    </row>
    <row r="65" spans="2:22" x14ac:dyDescent="0.2">
      <c r="B65" s="10"/>
      <c r="C65" s="142"/>
      <c r="D65" s="143"/>
      <c r="E65" s="143"/>
      <c r="F65" s="143"/>
      <c r="G65" s="140">
        <f>IF((G$55-$G$55)&gt;$B$58,0,$G$57/$B$58)</f>
        <v>11999.994000000001</v>
      </c>
      <c r="H65" s="140">
        <f t="shared" ref="H65:V65" si="5">IF((H$55-$G$55)&gt;$B$58,0,$G$57/$B$58)</f>
        <v>11999.994000000001</v>
      </c>
      <c r="I65" s="140">
        <f t="shared" si="5"/>
        <v>11999.994000000001</v>
      </c>
      <c r="J65" s="140">
        <f t="shared" si="5"/>
        <v>11999.994000000001</v>
      </c>
      <c r="K65" s="140">
        <f t="shared" si="5"/>
        <v>11999.994000000001</v>
      </c>
      <c r="L65" s="140">
        <f t="shared" si="5"/>
        <v>11999.994000000001</v>
      </c>
      <c r="M65" s="140">
        <f t="shared" si="5"/>
        <v>11999.994000000001</v>
      </c>
      <c r="N65" s="140">
        <f t="shared" si="5"/>
        <v>11999.994000000001</v>
      </c>
      <c r="O65" s="140">
        <f t="shared" si="5"/>
        <v>11999.994000000001</v>
      </c>
      <c r="P65" s="140">
        <f t="shared" si="5"/>
        <v>11999.994000000001</v>
      </c>
      <c r="Q65" s="140">
        <f t="shared" si="5"/>
        <v>11999.994000000001</v>
      </c>
      <c r="R65" s="140">
        <f t="shared" si="5"/>
        <v>11999.994000000001</v>
      </c>
      <c r="S65" s="140">
        <f t="shared" si="5"/>
        <v>11999.994000000001</v>
      </c>
      <c r="T65" s="140">
        <f t="shared" si="5"/>
        <v>11999.994000000001</v>
      </c>
      <c r="U65" s="140">
        <f t="shared" si="5"/>
        <v>11999.994000000001</v>
      </c>
      <c r="V65" s="140">
        <f t="shared" si="5"/>
        <v>11999.994000000001</v>
      </c>
    </row>
    <row r="66" spans="2:22" x14ac:dyDescent="0.2">
      <c r="B66" s="10"/>
      <c r="C66" s="142"/>
      <c r="D66" s="143"/>
      <c r="E66" s="143"/>
      <c r="F66" s="143"/>
      <c r="G66" s="143"/>
      <c r="H66" s="140">
        <f>IF((H$55-$H$55)&gt;$B$58,0,$H$57/$B$58)</f>
        <v>23749.996899999995</v>
      </c>
      <c r="I66" s="140">
        <f t="shared" ref="I66:V66" si="6">IF((I$55-$H$55)&gt;$B$58,0,$H$57/$B$58)</f>
        <v>23749.996899999995</v>
      </c>
      <c r="J66" s="140">
        <f t="shared" si="6"/>
        <v>23749.996899999995</v>
      </c>
      <c r="K66" s="140">
        <f t="shared" si="6"/>
        <v>23749.996899999995</v>
      </c>
      <c r="L66" s="140">
        <f t="shared" si="6"/>
        <v>23749.996899999995</v>
      </c>
      <c r="M66" s="140">
        <f t="shared" si="6"/>
        <v>23749.996899999995</v>
      </c>
      <c r="N66" s="140">
        <f t="shared" si="6"/>
        <v>23749.996899999995</v>
      </c>
      <c r="O66" s="140">
        <f t="shared" si="6"/>
        <v>23749.996899999995</v>
      </c>
      <c r="P66" s="140">
        <f t="shared" si="6"/>
        <v>23749.996899999995</v>
      </c>
      <c r="Q66" s="140">
        <f t="shared" si="6"/>
        <v>23749.996899999995</v>
      </c>
      <c r="R66" s="140">
        <f t="shared" si="6"/>
        <v>23749.996899999995</v>
      </c>
      <c r="S66" s="140">
        <f t="shared" si="6"/>
        <v>23749.996899999995</v>
      </c>
      <c r="T66" s="140">
        <f t="shared" si="6"/>
        <v>23749.996899999995</v>
      </c>
      <c r="U66" s="140">
        <f t="shared" si="6"/>
        <v>23749.996899999995</v>
      </c>
      <c r="V66" s="140">
        <f t="shared" si="6"/>
        <v>23749.996899999995</v>
      </c>
    </row>
    <row r="67" spans="2:22" x14ac:dyDescent="0.2">
      <c r="B67" s="10"/>
      <c r="C67" s="142"/>
      <c r="D67" s="143"/>
      <c r="E67" s="143"/>
      <c r="F67" s="143"/>
      <c r="G67" s="143"/>
      <c r="H67" s="143"/>
      <c r="I67" s="140">
        <f>IF((I$55-$I$55)&gt;$B$58,0,$I$57/$B$58)</f>
        <v>24462.496806999996</v>
      </c>
      <c r="J67" s="140">
        <f t="shared" ref="J67:V67" si="7">IF((J$55-$I$55)&gt;$B$58,0,$I$57/$B$58)</f>
        <v>24462.496806999996</v>
      </c>
      <c r="K67" s="140">
        <f t="shared" si="7"/>
        <v>24462.496806999996</v>
      </c>
      <c r="L67" s="140">
        <f t="shared" si="7"/>
        <v>24462.496806999996</v>
      </c>
      <c r="M67" s="140">
        <f t="shared" si="7"/>
        <v>24462.496806999996</v>
      </c>
      <c r="N67" s="140">
        <f t="shared" si="7"/>
        <v>24462.496806999996</v>
      </c>
      <c r="O67" s="140">
        <f t="shared" si="7"/>
        <v>24462.496806999996</v>
      </c>
      <c r="P67" s="140">
        <f t="shared" si="7"/>
        <v>24462.496806999996</v>
      </c>
      <c r="Q67" s="140">
        <f t="shared" si="7"/>
        <v>24462.496806999996</v>
      </c>
      <c r="R67" s="140">
        <f t="shared" si="7"/>
        <v>24462.496806999996</v>
      </c>
      <c r="S67" s="140">
        <f t="shared" si="7"/>
        <v>24462.496806999996</v>
      </c>
      <c r="T67" s="140">
        <f t="shared" si="7"/>
        <v>24462.496806999996</v>
      </c>
      <c r="U67" s="140">
        <f t="shared" si="7"/>
        <v>24462.496806999996</v>
      </c>
      <c r="V67" s="140">
        <f t="shared" si="7"/>
        <v>24462.496806999996</v>
      </c>
    </row>
    <row r="68" spans="2:22" x14ac:dyDescent="0.2">
      <c r="B68" s="10"/>
      <c r="C68" s="142"/>
      <c r="D68" s="143"/>
      <c r="E68" s="143"/>
      <c r="F68" s="143"/>
      <c r="G68" s="143"/>
      <c r="H68" s="143"/>
      <c r="I68" s="143"/>
      <c r="J68" s="140">
        <f>IF((J$55-$J$55)&gt;$B$58,0,$J$57/$B$58)</f>
        <v>25196.371711209995</v>
      </c>
      <c r="K68" s="140">
        <f t="shared" ref="K68:V68" si="8">IF((K$55-$J$55)&gt;$B$58,0,$J$57/$B$58)</f>
        <v>25196.371711209995</v>
      </c>
      <c r="L68" s="140">
        <f t="shared" si="8"/>
        <v>25196.371711209995</v>
      </c>
      <c r="M68" s="140">
        <f t="shared" si="8"/>
        <v>25196.371711209995</v>
      </c>
      <c r="N68" s="140">
        <f t="shared" si="8"/>
        <v>25196.371711209995</v>
      </c>
      <c r="O68" s="140">
        <f t="shared" si="8"/>
        <v>25196.371711209995</v>
      </c>
      <c r="P68" s="140">
        <f t="shared" si="8"/>
        <v>25196.371711209995</v>
      </c>
      <c r="Q68" s="140">
        <f t="shared" si="8"/>
        <v>25196.371711209995</v>
      </c>
      <c r="R68" s="140">
        <f t="shared" si="8"/>
        <v>25196.371711209995</v>
      </c>
      <c r="S68" s="140">
        <f t="shared" si="8"/>
        <v>25196.371711209995</v>
      </c>
      <c r="T68" s="140">
        <f t="shared" si="8"/>
        <v>25196.371711209995</v>
      </c>
      <c r="U68" s="140">
        <f t="shared" si="8"/>
        <v>25196.371711209995</v>
      </c>
      <c r="V68" s="140">
        <f t="shared" si="8"/>
        <v>25196.371711209995</v>
      </c>
    </row>
    <row r="69" spans="2:22" x14ac:dyDescent="0.2">
      <c r="B69" s="10"/>
      <c r="C69" s="142"/>
      <c r="D69" s="143"/>
      <c r="E69" s="143"/>
      <c r="F69" s="143"/>
      <c r="G69" s="143"/>
      <c r="H69" s="143"/>
      <c r="I69" s="143"/>
      <c r="J69" s="143"/>
      <c r="K69" s="140">
        <f>IF((K$55-$K$55)&gt;$B$58,0,$K$57/$B$58)</f>
        <v>25952.262862546297</v>
      </c>
      <c r="L69" s="140">
        <f t="shared" ref="L69:V69" si="9">IF((L$55-$K$55)&gt;$B$58,0,$K$57/$B$58)</f>
        <v>25952.262862546297</v>
      </c>
      <c r="M69" s="140">
        <f t="shared" si="9"/>
        <v>25952.262862546297</v>
      </c>
      <c r="N69" s="140">
        <f t="shared" si="9"/>
        <v>25952.262862546297</v>
      </c>
      <c r="O69" s="140">
        <f t="shared" si="9"/>
        <v>25952.262862546297</v>
      </c>
      <c r="P69" s="140">
        <f t="shared" si="9"/>
        <v>25952.262862546297</v>
      </c>
      <c r="Q69" s="140">
        <f t="shared" si="9"/>
        <v>25952.262862546297</v>
      </c>
      <c r="R69" s="140">
        <f t="shared" si="9"/>
        <v>25952.262862546297</v>
      </c>
      <c r="S69" s="140">
        <f t="shared" si="9"/>
        <v>25952.262862546297</v>
      </c>
      <c r="T69" s="140">
        <f t="shared" si="9"/>
        <v>25952.262862546297</v>
      </c>
      <c r="U69" s="140">
        <f t="shared" si="9"/>
        <v>25952.262862546297</v>
      </c>
      <c r="V69" s="140">
        <f t="shared" si="9"/>
        <v>25952.262862546297</v>
      </c>
    </row>
    <row r="70" spans="2:22" x14ac:dyDescent="0.2">
      <c r="B70" s="10"/>
      <c r="C70" s="142"/>
      <c r="D70" s="143"/>
      <c r="E70" s="143"/>
      <c r="F70" s="143"/>
      <c r="G70" s="143"/>
      <c r="H70" s="143"/>
      <c r="I70" s="143"/>
      <c r="J70" s="143"/>
      <c r="K70" s="143"/>
      <c r="L70" s="140">
        <f>IF((L$55-$L$55)&gt;$B$58,0,$L$57/$B$58)</f>
        <v>26730.83074842269</v>
      </c>
      <c r="M70" s="140">
        <f t="shared" ref="M70:V70" si="10">IF((M$55-$L$55)&gt;$B$58,0,$L$57/$B$58)</f>
        <v>26730.83074842269</v>
      </c>
      <c r="N70" s="140">
        <f t="shared" si="10"/>
        <v>26730.83074842269</v>
      </c>
      <c r="O70" s="140">
        <f t="shared" si="10"/>
        <v>26730.83074842269</v>
      </c>
      <c r="P70" s="140">
        <f t="shared" si="10"/>
        <v>26730.83074842269</v>
      </c>
      <c r="Q70" s="140">
        <f t="shared" si="10"/>
        <v>26730.83074842269</v>
      </c>
      <c r="R70" s="140">
        <f t="shared" si="10"/>
        <v>26730.83074842269</v>
      </c>
      <c r="S70" s="140">
        <f t="shared" si="10"/>
        <v>26730.83074842269</v>
      </c>
      <c r="T70" s="140">
        <f t="shared" si="10"/>
        <v>26730.83074842269</v>
      </c>
      <c r="U70" s="140">
        <f t="shared" si="10"/>
        <v>26730.83074842269</v>
      </c>
      <c r="V70" s="140">
        <f t="shared" si="10"/>
        <v>26730.83074842269</v>
      </c>
    </row>
    <row r="71" spans="2:22" x14ac:dyDescent="0.2">
      <c r="B71" s="10"/>
      <c r="C71" s="142"/>
      <c r="D71" s="143"/>
      <c r="E71" s="143"/>
      <c r="F71" s="143"/>
      <c r="G71" s="143"/>
      <c r="H71" s="143"/>
      <c r="I71" s="143"/>
      <c r="J71" s="143"/>
      <c r="K71" s="143"/>
      <c r="L71" s="143"/>
      <c r="M71" s="140">
        <f>IF((M$55-$M$55)&gt;$B$58,0,$M$57/$B$58)</f>
        <v>27532.755670875369</v>
      </c>
      <c r="N71" s="140">
        <f t="shared" ref="N71:V71" si="11">IF((N$55-$M$55)&gt;$B$58,0,$M$57/$B$58)</f>
        <v>27532.755670875369</v>
      </c>
      <c r="O71" s="140">
        <f t="shared" si="11"/>
        <v>27532.755670875369</v>
      </c>
      <c r="P71" s="140">
        <f t="shared" si="11"/>
        <v>27532.755670875369</v>
      </c>
      <c r="Q71" s="140">
        <f t="shared" si="11"/>
        <v>27532.755670875369</v>
      </c>
      <c r="R71" s="140">
        <f t="shared" si="11"/>
        <v>27532.755670875369</v>
      </c>
      <c r="S71" s="140">
        <f t="shared" si="11"/>
        <v>27532.755670875369</v>
      </c>
      <c r="T71" s="140">
        <f t="shared" si="11"/>
        <v>27532.755670875369</v>
      </c>
      <c r="U71" s="140">
        <f t="shared" si="11"/>
        <v>27532.755670875369</v>
      </c>
      <c r="V71" s="140">
        <f t="shared" si="11"/>
        <v>27532.755670875369</v>
      </c>
    </row>
    <row r="72" spans="2:22" x14ac:dyDescent="0.2">
      <c r="B72" s="10"/>
      <c r="C72" s="142"/>
      <c r="D72" s="143"/>
      <c r="E72" s="143"/>
      <c r="F72" s="143"/>
      <c r="G72" s="143"/>
      <c r="H72" s="143"/>
      <c r="I72" s="143"/>
      <c r="J72" s="143"/>
      <c r="K72" s="143"/>
      <c r="L72" s="143"/>
      <c r="M72" s="136"/>
      <c r="N72" s="140">
        <f>IF((N$55-$N$55)&gt;$B$58,0,$N$57/$B$58)</f>
        <v>28358.73834100163</v>
      </c>
      <c r="O72" s="140">
        <f t="shared" ref="O72:V72" si="12">IF((O$55-$N$55)&gt;$B$58,0,$N$57/$B$58)</f>
        <v>28358.73834100163</v>
      </c>
      <c r="P72" s="140">
        <f t="shared" si="12"/>
        <v>28358.73834100163</v>
      </c>
      <c r="Q72" s="140">
        <f t="shared" si="12"/>
        <v>28358.73834100163</v>
      </c>
      <c r="R72" s="140">
        <f t="shared" si="12"/>
        <v>28358.73834100163</v>
      </c>
      <c r="S72" s="140">
        <f t="shared" si="12"/>
        <v>28358.73834100163</v>
      </c>
      <c r="T72" s="140">
        <f t="shared" si="12"/>
        <v>28358.73834100163</v>
      </c>
      <c r="U72" s="140">
        <f t="shared" si="12"/>
        <v>28358.73834100163</v>
      </c>
      <c r="V72" s="140">
        <f t="shared" si="12"/>
        <v>28358.73834100163</v>
      </c>
    </row>
    <row r="73" spans="2:22" x14ac:dyDescent="0.2">
      <c r="B73" s="10"/>
      <c r="C73" s="142"/>
      <c r="D73" s="143"/>
      <c r="E73" s="143"/>
      <c r="F73" s="143"/>
      <c r="G73" s="143"/>
      <c r="H73" s="143"/>
      <c r="I73" s="143"/>
      <c r="J73" s="143"/>
      <c r="K73" s="143"/>
      <c r="L73" s="143"/>
      <c r="M73" s="136"/>
      <c r="N73" s="136"/>
      <c r="O73" s="140">
        <f>IF((O$55-$O$55)&gt;$B$58,0,$O$57/$B$58)</f>
        <v>29209.50049123168</v>
      </c>
      <c r="P73" s="140">
        <f t="shared" ref="P73:V73" si="13">IF((P$55-$O$55)&gt;$B$58,0,$O$57/$B$58)</f>
        <v>29209.50049123168</v>
      </c>
      <c r="Q73" s="140">
        <f t="shared" si="13"/>
        <v>29209.50049123168</v>
      </c>
      <c r="R73" s="140">
        <f t="shared" si="13"/>
        <v>29209.50049123168</v>
      </c>
      <c r="S73" s="140">
        <f t="shared" si="13"/>
        <v>29209.50049123168</v>
      </c>
      <c r="T73" s="140">
        <f t="shared" si="13"/>
        <v>29209.50049123168</v>
      </c>
      <c r="U73" s="140">
        <f t="shared" si="13"/>
        <v>29209.50049123168</v>
      </c>
      <c r="V73" s="140">
        <f t="shared" si="13"/>
        <v>29209.50049123168</v>
      </c>
    </row>
    <row r="74" spans="2:22" x14ac:dyDescent="0.2">
      <c r="B74" s="10"/>
      <c r="C74" s="142"/>
      <c r="D74" s="143"/>
      <c r="E74" s="143"/>
      <c r="F74" s="143"/>
      <c r="G74" s="143"/>
      <c r="H74" s="143"/>
      <c r="I74" s="143"/>
      <c r="J74" s="143"/>
      <c r="K74" s="143"/>
      <c r="L74" s="143"/>
      <c r="M74" s="136"/>
      <c r="N74" s="136"/>
      <c r="O74" s="136"/>
      <c r="P74" s="140">
        <f>IF((P$55-$P$55)&gt;$B$58,0,$P$57/$B$58)</f>
        <v>30085.78550596863</v>
      </c>
      <c r="Q74" s="140">
        <f t="shared" ref="Q74:V74" si="14">IF((Q$55-$P$55)&gt;$B$58,0,$P$57/$B$58)</f>
        <v>30085.78550596863</v>
      </c>
      <c r="R74" s="140">
        <f t="shared" si="14"/>
        <v>30085.78550596863</v>
      </c>
      <c r="S74" s="140">
        <f t="shared" si="14"/>
        <v>30085.78550596863</v>
      </c>
      <c r="T74" s="140">
        <f t="shared" si="14"/>
        <v>30085.78550596863</v>
      </c>
      <c r="U74" s="140">
        <f t="shared" si="14"/>
        <v>30085.78550596863</v>
      </c>
      <c r="V74" s="140">
        <f t="shared" si="14"/>
        <v>30085.78550596863</v>
      </c>
    </row>
    <row r="75" spans="2:22" x14ac:dyDescent="0.2">
      <c r="B75" s="10"/>
      <c r="C75" s="142"/>
      <c r="D75" s="143"/>
      <c r="E75" s="143"/>
      <c r="F75" s="143"/>
      <c r="G75" s="143"/>
      <c r="H75" s="143"/>
      <c r="I75" s="143"/>
      <c r="J75" s="143"/>
      <c r="K75" s="143"/>
      <c r="L75" s="143"/>
      <c r="M75" s="136"/>
      <c r="N75" s="136"/>
      <c r="O75" s="136"/>
      <c r="P75" s="136"/>
      <c r="Q75" s="140">
        <f t="shared" ref="Q75:V75" si="15">IF((Q$55-$Q$55)&gt;$B$58,0,$Q$57/$B$58)</f>
        <v>30988.359071147686</v>
      </c>
      <c r="R75" s="140">
        <f t="shared" si="15"/>
        <v>30988.359071147686</v>
      </c>
      <c r="S75" s="140">
        <f t="shared" si="15"/>
        <v>30988.359071147686</v>
      </c>
      <c r="T75" s="140">
        <f t="shared" si="15"/>
        <v>30988.359071147686</v>
      </c>
      <c r="U75" s="140">
        <f t="shared" si="15"/>
        <v>30988.359071147686</v>
      </c>
      <c r="V75" s="140">
        <f t="shared" si="15"/>
        <v>30988.359071147686</v>
      </c>
    </row>
    <row r="76" spans="2:22" x14ac:dyDescent="0.2">
      <c r="B76" s="10"/>
      <c r="C76" s="142"/>
      <c r="D76" s="143"/>
      <c r="E76" s="143"/>
      <c r="F76" s="143"/>
      <c r="G76" s="143"/>
      <c r="H76" s="143"/>
      <c r="I76" s="143"/>
      <c r="J76" s="143"/>
      <c r="K76" s="143"/>
      <c r="L76" s="143"/>
      <c r="M76" s="136"/>
      <c r="N76" s="136"/>
      <c r="O76" s="136"/>
      <c r="P76" s="136"/>
      <c r="Q76" s="136"/>
      <c r="R76" s="140">
        <f>IF((R$55-$R$55)&gt;$B$58,0,$R$57/$B$58)</f>
        <v>31918.009843282118</v>
      </c>
      <c r="S76" s="140">
        <f>IF((S$55-$R$55)&gt;$B$58,0,$R$57/$B$58)</f>
        <v>31918.009843282118</v>
      </c>
      <c r="T76" s="140">
        <f>IF((T$55-$R$55)&gt;$B$58,0,$R$57/$B$58)</f>
        <v>31918.009843282118</v>
      </c>
      <c r="U76" s="140">
        <f>IF((U$55-$R$55)&gt;$B$58,0,$R$57/$B$58)</f>
        <v>31918.009843282118</v>
      </c>
      <c r="V76" s="140">
        <f>IF((V$55-$R$55)&gt;$B$58,0,$R$57/$B$58)</f>
        <v>31918.009843282118</v>
      </c>
    </row>
    <row r="77" spans="2:22" x14ac:dyDescent="0.2">
      <c r="B77" s="10"/>
      <c r="C77" s="142"/>
      <c r="D77" s="143"/>
      <c r="E77" s="143"/>
      <c r="F77" s="143"/>
      <c r="G77" s="143"/>
      <c r="H77" s="143"/>
      <c r="I77" s="143"/>
      <c r="J77" s="143"/>
      <c r="K77" s="143"/>
      <c r="L77" s="143"/>
      <c r="M77" s="136"/>
      <c r="N77" s="136"/>
      <c r="O77" s="136"/>
      <c r="P77" s="136"/>
      <c r="Q77" s="136"/>
      <c r="R77" s="136"/>
      <c r="S77" s="140">
        <f>IF((S$55-$S$55)&gt;$B$58,0,$S$57/$B$58)</f>
        <v>32875.550138580576</v>
      </c>
      <c r="T77" s="140">
        <f>IF((T$55-$S$55)&gt;$B$58,0,$S$57/$B$58)</f>
        <v>32875.550138580576</v>
      </c>
      <c r="U77" s="140">
        <f>IF((U$55-$S$55)&gt;$B$58,0,$S$57/$B$58)</f>
        <v>32875.550138580576</v>
      </c>
      <c r="V77" s="140">
        <f>IF((V$55-$S$55)&gt;$B$58,0,$S$57/$B$58)</f>
        <v>32875.550138580576</v>
      </c>
    </row>
    <row r="78" spans="2:22" x14ac:dyDescent="0.2">
      <c r="B78" s="10"/>
      <c r="C78" s="142"/>
      <c r="D78" s="143"/>
      <c r="E78" s="143"/>
      <c r="F78" s="143"/>
      <c r="G78" s="143"/>
      <c r="H78" s="143"/>
      <c r="I78" s="143"/>
      <c r="J78" s="143"/>
      <c r="K78" s="143"/>
      <c r="L78" s="143"/>
      <c r="M78" s="136"/>
      <c r="N78" s="136"/>
      <c r="O78" s="136"/>
      <c r="P78" s="136"/>
      <c r="Q78" s="136"/>
      <c r="R78" s="136"/>
      <c r="S78" s="136"/>
      <c r="T78" s="140">
        <f>IF((T$55-$T$55)&gt;$B$58,0,$T$57/$B$58)</f>
        <v>33861.816642737991</v>
      </c>
      <c r="U78" s="140">
        <f>IF((U$55-$T$55)&gt;$B$58,0,$T$57/$B$58)</f>
        <v>33861.816642737991</v>
      </c>
      <c r="V78" s="140">
        <f>IF((V$55-$T$55)&gt;$B$58,0,$T$57/$B$58)</f>
        <v>33861.816642737991</v>
      </c>
    </row>
    <row r="79" spans="2:22" x14ac:dyDescent="0.2">
      <c r="B79" s="10"/>
      <c r="C79" s="142"/>
      <c r="D79" s="143"/>
      <c r="E79" s="143"/>
      <c r="F79" s="143"/>
      <c r="G79" s="143"/>
      <c r="H79" s="143"/>
      <c r="I79" s="143"/>
      <c r="J79" s="143"/>
      <c r="K79" s="143"/>
      <c r="L79" s="143"/>
      <c r="M79" s="136"/>
      <c r="N79" s="136"/>
      <c r="O79" s="136"/>
      <c r="P79" s="136"/>
      <c r="Q79" s="136"/>
      <c r="R79" s="136"/>
      <c r="S79" s="136"/>
      <c r="T79" s="136"/>
      <c r="U79" s="140">
        <f>IF((U$55-$U$55)&gt;$B$58,0,$U$57/$B$58)</f>
        <v>34877.671142020132</v>
      </c>
      <c r="V79" s="140">
        <f>IF((V$55-$U$55)&gt;$B$58,0,$U$57/$B$58)</f>
        <v>34877.671142020132</v>
      </c>
    </row>
    <row r="80" spans="2:22" x14ac:dyDescent="0.2">
      <c r="B80" s="10"/>
      <c r="C80" s="144"/>
      <c r="D80" s="145"/>
      <c r="E80" s="145"/>
      <c r="F80" s="145"/>
      <c r="G80" s="145"/>
      <c r="H80" s="145"/>
      <c r="I80" s="145"/>
      <c r="J80" s="145"/>
      <c r="K80" s="145"/>
      <c r="L80" s="145"/>
      <c r="M80" s="146"/>
      <c r="N80" s="146"/>
      <c r="O80" s="146"/>
      <c r="P80" s="146"/>
      <c r="Q80" s="146"/>
      <c r="R80" s="146"/>
      <c r="S80" s="146"/>
      <c r="T80" s="146"/>
      <c r="U80" s="146"/>
      <c r="V80" s="140">
        <f>IF((V$55-$V$55)&gt;$B$58,0,$V$57/$B$58)</f>
        <v>35924.001276280738</v>
      </c>
    </row>
    <row r="81" spans="1:22" ht="13.5" thickBot="1" x14ac:dyDescent="0.25">
      <c r="A81" s="2" t="s">
        <v>237</v>
      </c>
      <c r="B81" s="10"/>
      <c r="C81" s="147">
        <f t="shared" ref="C81:V81" si="16">SUM(C61:C80)</f>
        <v>0</v>
      </c>
      <c r="D81" s="148">
        <f t="shared" si="16"/>
        <v>62129.994999999995</v>
      </c>
      <c r="E81" s="148">
        <f t="shared" si="16"/>
        <v>74129.992499999964</v>
      </c>
      <c r="F81" s="148">
        <f t="shared" si="16"/>
        <v>94129.990499999956</v>
      </c>
      <c r="G81" s="148">
        <f t="shared" si="16"/>
        <v>106129.98449999996</v>
      </c>
      <c r="H81" s="148">
        <f t="shared" si="16"/>
        <v>129879.98139999996</v>
      </c>
      <c r="I81" s="148">
        <f t="shared" si="16"/>
        <v>154342.47820699995</v>
      </c>
      <c r="J81" s="148">
        <f t="shared" si="16"/>
        <v>179538.84991820995</v>
      </c>
      <c r="K81" s="148">
        <f t="shared" si="16"/>
        <v>205491.11278075626</v>
      </c>
      <c r="L81" s="148">
        <f t="shared" si="16"/>
        <v>232221.94352917894</v>
      </c>
      <c r="M81" s="148">
        <f t="shared" si="16"/>
        <v>259754.69920005431</v>
      </c>
      <c r="N81" s="148">
        <f t="shared" si="16"/>
        <v>288113.43754105596</v>
      </c>
      <c r="O81" s="148">
        <f t="shared" si="16"/>
        <v>317322.93803228764</v>
      </c>
      <c r="P81" s="148">
        <f t="shared" si="16"/>
        <v>347408.72353825625</v>
      </c>
      <c r="Q81" s="148">
        <f t="shared" si="16"/>
        <v>378397.08260940394</v>
      </c>
      <c r="R81" s="148">
        <f t="shared" si="16"/>
        <v>410315.09245268605</v>
      </c>
      <c r="S81" s="148">
        <f t="shared" si="16"/>
        <v>443190.6425912666</v>
      </c>
      <c r="T81" s="148">
        <f t="shared" si="16"/>
        <v>477052.45923400461</v>
      </c>
      <c r="U81" s="148">
        <f t="shared" si="16"/>
        <v>511930.13037602475</v>
      </c>
      <c r="V81" s="149">
        <f t="shared" si="16"/>
        <v>547854.13165230548</v>
      </c>
    </row>
    <row r="82" spans="1:22" ht="13.5" thickTop="1" x14ac:dyDescent="0.2">
      <c r="B82" s="10"/>
      <c r="C82" s="7"/>
    </row>
    <row r="83" spans="1:22" x14ac:dyDescent="0.2">
      <c r="B83" s="10"/>
      <c r="C83" s="7"/>
    </row>
    <row r="84" spans="1:22" x14ac:dyDescent="0.2">
      <c r="B84" s="10"/>
      <c r="C84" s="12">
        <v>2000</v>
      </c>
      <c r="D84" s="12">
        <v>2001</v>
      </c>
      <c r="E84" s="12">
        <v>2002</v>
      </c>
      <c r="F84" s="12">
        <v>2003</v>
      </c>
      <c r="G84" s="12">
        <v>2004</v>
      </c>
      <c r="H84" s="12">
        <v>2005</v>
      </c>
      <c r="I84" s="12">
        <v>2006</v>
      </c>
      <c r="J84" s="12">
        <v>2007</v>
      </c>
      <c r="K84" s="12">
        <v>2008</v>
      </c>
      <c r="L84" s="12">
        <v>2009</v>
      </c>
      <c r="M84" s="12">
        <v>2010</v>
      </c>
      <c r="N84" s="12">
        <v>2011</v>
      </c>
      <c r="O84" s="12">
        <v>2012</v>
      </c>
      <c r="P84" s="12">
        <v>2013</v>
      </c>
      <c r="Q84" s="12">
        <v>2014</v>
      </c>
      <c r="R84" s="12">
        <v>2015</v>
      </c>
      <c r="S84" s="12">
        <v>2016</v>
      </c>
      <c r="T84" s="12">
        <v>2017</v>
      </c>
      <c r="U84" s="12">
        <v>2018</v>
      </c>
      <c r="V84" s="12">
        <v>2019</v>
      </c>
    </row>
    <row r="85" spans="1:22" x14ac:dyDescent="0.2">
      <c r="A85" s="81" t="s">
        <v>212</v>
      </c>
      <c r="B85" s="10"/>
      <c r="C85" s="7"/>
    </row>
    <row r="86" spans="1:22" ht="13.5" thickBot="1" x14ac:dyDescent="0.25">
      <c r="B86" s="10" t="s">
        <v>148</v>
      </c>
      <c r="C86" s="254">
        <f>-VLOOKUP(IS!$B$1,ECapAds,C84-1997)*-1</f>
        <v>94409.16</v>
      </c>
      <c r="D86" s="254">
        <f>-VLOOKUP(IS!$B$1,ECapAds,D84-1997)*-1</f>
        <v>1471963.2</v>
      </c>
      <c r="E86" s="254">
        <f>-VLOOKUP(IS!$B$1,ECapAds,E84-1997)*-1</f>
        <v>21211947.960000001</v>
      </c>
      <c r="F86" s="254">
        <f>-VLOOKUP(IS!$B$1,ECapAds,F84-1997)*-1</f>
        <v>2835914.52</v>
      </c>
      <c r="G86" s="254">
        <f>-VLOOKUP(IS!$B$1,ECapAds,G84-1997)*-1</f>
        <v>0</v>
      </c>
      <c r="H86" s="254">
        <f>-VLOOKUP(IS!$B$1,ECapAds,H84-1997)*-1</f>
        <v>0</v>
      </c>
      <c r="I86" s="254">
        <f>-VLOOKUP(IS!$B$1,ECapAds,I84-1997)*-1</f>
        <v>0</v>
      </c>
      <c r="J86" s="254">
        <f>-VLOOKUP(IS!$B$1,ECapAds,J84-1997)*-1</f>
        <v>0</v>
      </c>
      <c r="K86" s="254">
        <f>-VLOOKUP(IS!$B$1,ECapAds,K84-1997)*-1</f>
        <v>0</v>
      </c>
      <c r="L86" s="254">
        <f>-VLOOKUP(IS!$B$1,ECapAds,L84-1997)*-1</f>
        <v>0</v>
      </c>
      <c r="M86" s="254">
        <f>-VLOOKUP(IS!$B$1,ECapAds,M84-1997)*-1</f>
        <v>0</v>
      </c>
      <c r="N86" s="254">
        <f>-VLOOKUP(IS!$B$1,ECapAds,N84-1997)*-1</f>
        <v>0</v>
      </c>
      <c r="O86" s="254">
        <f>-VLOOKUP(IS!$B$1,ECapAds,O84-1997)*-1</f>
        <v>0</v>
      </c>
      <c r="P86" s="254">
        <f>-VLOOKUP(IS!$B$1,ECapAds,P84-1997)*-1</f>
        <v>0</v>
      </c>
      <c r="Q86" s="254">
        <f>-VLOOKUP(IS!$B$1,ECapAds,Q84-1997)*-1</f>
        <v>0</v>
      </c>
      <c r="R86" s="254">
        <f>-VLOOKUP(IS!$B$1,ECapAds,R84-1997)*-1</f>
        <v>0</v>
      </c>
      <c r="S86" s="254">
        <f>-VLOOKUP(IS!$B$1,ECapAds,S84-1997)*-1</f>
        <v>0</v>
      </c>
      <c r="T86" s="254">
        <f>-VLOOKUP(IS!$B$1,ECapAds,T84-1997)*-1</f>
        <v>0</v>
      </c>
      <c r="U86" s="254">
        <f>-VLOOKUP(IS!$B$1,ECapAds,U84-1997)*-1</f>
        <v>0</v>
      </c>
      <c r="V86" s="254">
        <f>-VLOOKUP(IS!$B$1,ECapAds,V84-1997)*-1</f>
        <v>0</v>
      </c>
    </row>
    <row r="87" spans="1:22" ht="13.5" thickTop="1" x14ac:dyDescent="0.2">
      <c r="A87" t="s">
        <v>211</v>
      </c>
      <c r="B87" s="3">
        <f>Assumptions!L21</f>
        <v>20</v>
      </c>
      <c r="C87" s="150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</row>
    <row r="88" spans="1:22" x14ac:dyDescent="0.2">
      <c r="B88" s="3"/>
      <c r="C88" s="150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</row>
    <row r="89" spans="1:22" x14ac:dyDescent="0.2">
      <c r="B89" s="10"/>
      <c r="C89" s="140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</row>
    <row r="90" spans="1:22" x14ac:dyDescent="0.2">
      <c r="B90" s="10"/>
      <c r="C90" s="140">
        <f>IF((C84-$C$84)&gt;$B$58,0,$C$86/$B$58)</f>
        <v>4720.4580000000005</v>
      </c>
      <c r="D90" s="140">
        <f t="shared" ref="D90:V90" si="17">IF((D84-$C$84)&gt;$B$58,0,$C$86/$B$58)</f>
        <v>4720.4580000000005</v>
      </c>
      <c r="E90" s="140">
        <f t="shared" si="17"/>
        <v>4720.4580000000005</v>
      </c>
      <c r="F90" s="140">
        <f t="shared" si="17"/>
        <v>4720.4580000000005</v>
      </c>
      <c r="G90" s="140">
        <f t="shared" si="17"/>
        <v>4720.4580000000005</v>
      </c>
      <c r="H90" s="140">
        <f t="shared" si="17"/>
        <v>4720.4580000000005</v>
      </c>
      <c r="I90" s="140">
        <f t="shared" si="17"/>
        <v>4720.4580000000005</v>
      </c>
      <c r="J90" s="140">
        <f t="shared" si="17"/>
        <v>4720.4580000000005</v>
      </c>
      <c r="K90" s="140">
        <f t="shared" si="17"/>
        <v>4720.4580000000005</v>
      </c>
      <c r="L90" s="140">
        <f t="shared" si="17"/>
        <v>4720.4580000000005</v>
      </c>
      <c r="M90" s="140">
        <f t="shared" si="17"/>
        <v>4720.4580000000005</v>
      </c>
      <c r="N90" s="140">
        <f t="shared" si="17"/>
        <v>4720.4580000000005</v>
      </c>
      <c r="O90" s="140">
        <f t="shared" si="17"/>
        <v>4720.4580000000005</v>
      </c>
      <c r="P90" s="140">
        <f t="shared" si="17"/>
        <v>4720.4580000000005</v>
      </c>
      <c r="Q90" s="140">
        <f t="shared" si="17"/>
        <v>4720.4580000000005</v>
      </c>
      <c r="R90" s="140">
        <f t="shared" si="17"/>
        <v>4720.4580000000005</v>
      </c>
      <c r="S90" s="140">
        <f t="shared" si="17"/>
        <v>4720.4580000000005</v>
      </c>
      <c r="T90" s="140">
        <f t="shared" si="17"/>
        <v>4720.4580000000005</v>
      </c>
      <c r="U90" s="140">
        <f t="shared" si="17"/>
        <v>4720.4580000000005</v>
      </c>
      <c r="V90" s="140">
        <f t="shared" si="17"/>
        <v>4720.4580000000005</v>
      </c>
    </row>
    <row r="91" spans="1:22" x14ac:dyDescent="0.2">
      <c r="B91" s="10"/>
      <c r="C91" s="142"/>
      <c r="D91" s="140">
        <f>IF((D$84-$C$84)&gt;$B$58,0,$D$86/$B$58)</f>
        <v>73598.16</v>
      </c>
      <c r="E91" s="140">
        <f t="shared" ref="E91:V91" si="18">IF((E$84-$C$84)&gt;$B$58,0,$D$86/$B$58)</f>
        <v>73598.16</v>
      </c>
      <c r="F91" s="140">
        <f t="shared" si="18"/>
        <v>73598.16</v>
      </c>
      <c r="G91" s="140">
        <f t="shared" si="18"/>
        <v>73598.16</v>
      </c>
      <c r="H91" s="140">
        <f t="shared" si="18"/>
        <v>73598.16</v>
      </c>
      <c r="I91" s="140">
        <f t="shared" si="18"/>
        <v>73598.16</v>
      </c>
      <c r="J91" s="140">
        <f t="shared" si="18"/>
        <v>73598.16</v>
      </c>
      <c r="K91" s="140">
        <f t="shared" si="18"/>
        <v>73598.16</v>
      </c>
      <c r="L91" s="140">
        <f t="shared" si="18"/>
        <v>73598.16</v>
      </c>
      <c r="M91" s="140">
        <f t="shared" si="18"/>
        <v>73598.16</v>
      </c>
      <c r="N91" s="140">
        <f t="shared" si="18"/>
        <v>73598.16</v>
      </c>
      <c r="O91" s="140">
        <f t="shared" si="18"/>
        <v>73598.16</v>
      </c>
      <c r="P91" s="140">
        <f t="shared" si="18"/>
        <v>73598.16</v>
      </c>
      <c r="Q91" s="140">
        <f t="shared" si="18"/>
        <v>73598.16</v>
      </c>
      <c r="R91" s="140">
        <f t="shared" si="18"/>
        <v>73598.16</v>
      </c>
      <c r="S91" s="140">
        <f t="shared" si="18"/>
        <v>73598.16</v>
      </c>
      <c r="T91" s="140">
        <f t="shared" si="18"/>
        <v>73598.16</v>
      </c>
      <c r="U91" s="140">
        <f t="shared" si="18"/>
        <v>73598.16</v>
      </c>
      <c r="V91" s="140">
        <f t="shared" si="18"/>
        <v>73598.16</v>
      </c>
    </row>
    <row r="92" spans="1:22" x14ac:dyDescent="0.2">
      <c r="B92" s="10"/>
      <c r="C92" s="142"/>
      <c r="D92" s="143"/>
      <c r="E92" s="140">
        <f>IF((E$84-$C$84)&gt;$B$58,0,$E$86/$B$58)</f>
        <v>1060597.398</v>
      </c>
      <c r="F92" s="140">
        <f t="shared" ref="F92:V92" si="19">IF((F$84-$C$84)&gt;$B$58,0,$E$86/$B$58)</f>
        <v>1060597.398</v>
      </c>
      <c r="G92" s="140">
        <f t="shared" si="19"/>
        <v>1060597.398</v>
      </c>
      <c r="H92" s="140">
        <f t="shared" si="19"/>
        <v>1060597.398</v>
      </c>
      <c r="I92" s="140">
        <f t="shared" si="19"/>
        <v>1060597.398</v>
      </c>
      <c r="J92" s="140">
        <f t="shared" si="19"/>
        <v>1060597.398</v>
      </c>
      <c r="K92" s="140">
        <f t="shared" si="19"/>
        <v>1060597.398</v>
      </c>
      <c r="L92" s="140">
        <f t="shared" si="19"/>
        <v>1060597.398</v>
      </c>
      <c r="M92" s="140">
        <f t="shared" si="19"/>
        <v>1060597.398</v>
      </c>
      <c r="N92" s="140">
        <f t="shared" si="19"/>
        <v>1060597.398</v>
      </c>
      <c r="O92" s="140">
        <f t="shared" si="19"/>
        <v>1060597.398</v>
      </c>
      <c r="P92" s="140">
        <f t="shared" si="19"/>
        <v>1060597.398</v>
      </c>
      <c r="Q92" s="140">
        <f t="shared" si="19"/>
        <v>1060597.398</v>
      </c>
      <c r="R92" s="140">
        <f t="shared" si="19"/>
        <v>1060597.398</v>
      </c>
      <c r="S92" s="140">
        <f t="shared" si="19"/>
        <v>1060597.398</v>
      </c>
      <c r="T92" s="140">
        <f t="shared" si="19"/>
        <v>1060597.398</v>
      </c>
      <c r="U92" s="140">
        <f t="shared" si="19"/>
        <v>1060597.398</v>
      </c>
      <c r="V92" s="140">
        <f t="shared" si="19"/>
        <v>1060597.398</v>
      </c>
    </row>
    <row r="93" spans="1:22" x14ac:dyDescent="0.2">
      <c r="B93" s="10"/>
      <c r="C93" s="142"/>
      <c r="D93" s="143"/>
      <c r="E93" s="143"/>
      <c r="F93" s="140">
        <f>IF((F$84-$C$84)&gt;$B$58,0,$G$86/$B$58)</f>
        <v>0</v>
      </c>
      <c r="G93" s="140">
        <f t="shared" ref="G93:V93" si="20">IF((G$84-$C$84)&gt;$B$58,0,$G$86/$B$58)</f>
        <v>0</v>
      </c>
      <c r="H93" s="140">
        <f t="shared" si="20"/>
        <v>0</v>
      </c>
      <c r="I93" s="140">
        <f t="shared" si="20"/>
        <v>0</v>
      </c>
      <c r="J93" s="140">
        <f t="shared" si="20"/>
        <v>0</v>
      </c>
      <c r="K93" s="140">
        <f t="shared" si="20"/>
        <v>0</v>
      </c>
      <c r="L93" s="140">
        <f t="shared" si="20"/>
        <v>0</v>
      </c>
      <c r="M93" s="140">
        <f t="shared" si="20"/>
        <v>0</v>
      </c>
      <c r="N93" s="140">
        <f t="shared" si="20"/>
        <v>0</v>
      </c>
      <c r="O93" s="140">
        <f t="shared" si="20"/>
        <v>0</v>
      </c>
      <c r="P93" s="140">
        <f t="shared" si="20"/>
        <v>0</v>
      </c>
      <c r="Q93" s="140">
        <f t="shared" si="20"/>
        <v>0</v>
      </c>
      <c r="R93" s="140">
        <f t="shared" si="20"/>
        <v>0</v>
      </c>
      <c r="S93" s="140">
        <f t="shared" si="20"/>
        <v>0</v>
      </c>
      <c r="T93" s="140">
        <f t="shared" si="20"/>
        <v>0</v>
      </c>
      <c r="U93" s="140">
        <f t="shared" si="20"/>
        <v>0</v>
      </c>
      <c r="V93" s="140">
        <f t="shared" si="20"/>
        <v>0</v>
      </c>
    </row>
    <row r="94" spans="1:22" x14ac:dyDescent="0.2">
      <c r="B94" s="10"/>
      <c r="C94" s="142"/>
      <c r="D94" s="143"/>
      <c r="E94" s="143"/>
      <c r="F94" s="143"/>
      <c r="G94" s="140">
        <f>IF((G$84-$C$84)&gt;$B$58,0,$H$86/$B$58)</f>
        <v>0</v>
      </c>
      <c r="H94" s="140">
        <f t="shared" ref="H94:V95" si="21">IF((H$84-$C$84)&gt;$B$58,0,$H$86/$B$58)</f>
        <v>0</v>
      </c>
      <c r="I94" s="140">
        <f t="shared" si="21"/>
        <v>0</v>
      </c>
      <c r="J94" s="140">
        <f t="shared" si="21"/>
        <v>0</v>
      </c>
      <c r="K94" s="140">
        <f t="shared" si="21"/>
        <v>0</v>
      </c>
      <c r="L94" s="140">
        <f t="shared" si="21"/>
        <v>0</v>
      </c>
      <c r="M94" s="140">
        <f t="shared" si="21"/>
        <v>0</v>
      </c>
      <c r="N94" s="140">
        <f t="shared" si="21"/>
        <v>0</v>
      </c>
      <c r="O94" s="140">
        <f t="shared" si="21"/>
        <v>0</v>
      </c>
      <c r="P94" s="140">
        <f t="shared" si="21"/>
        <v>0</v>
      </c>
      <c r="Q94" s="140">
        <f t="shared" si="21"/>
        <v>0</v>
      </c>
      <c r="R94" s="140">
        <f t="shared" si="21"/>
        <v>0</v>
      </c>
      <c r="S94" s="140">
        <f t="shared" si="21"/>
        <v>0</v>
      </c>
      <c r="T94" s="140">
        <f t="shared" si="21"/>
        <v>0</v>
      </c>
      <c r="U94" s="140">
        <f t="shared" si="21"/>
        <v>0</v>
      </c>
      <c r="V94" s="140">
        <f t="shared" si="21"/>
        <v>0</v>
      </c>
    </row>
    <row r="95" spans="1:22" x14ac:dyDescent="0.2">
      <c r="B95" s="10"/>
      <c r="C95" s="142"/>
      <c r="D95" s="143"/>
      <c r="E95" s="143"/>
      <c r="F95" s="143"/>
      <c r="G95" s="143"/>
      <c r="H95" s="140">
        <f>IF((H$84-$C$84)&gt;$B$58,0,$H$86/$B$58)</f>
        <v>0</v>
      </c>
      <c r="I95" s="140">
        <f t="shared" si="21"/>
        <v>0</v>
      </c>
      <c r="J95" s="140">
        <f t="shared" si="21"/>
        <v>0</v>
      </c>
      <c r="K95" s="140">
        <f t="shared" si="21"/>
        <v>0</v>
      </c>
      <c r="L95" s="140">
        <f t="shared" si="21"/>
        <v>0</v>
      </c>
      <c r="M95" s="140">
        <f t="shared" si="21"/>
        <v>0</v>
      </c>
      <c r="N95" s="140">
        <f t="shared" si="21"/>
        <v>0</v>
      </c>
      <c r="O95" s="140">
        <f t="shared" si="21"/>
        <v>0</v>
      </c>
      <c r="P95" s="140">
        <f t="shared" si="21"/>
        <v>0</v>
      </c>
      <c r="Q95" s="140">
        <f t="shared" si="21"/>
        <v>0</v>
      </c>
      <c r="R95" s="140">
        <f t="shared" si="21"/>
        <v>0</v>
      </c>
      <c r="S95" s="140">
        <f t="shared" si="21"/>
        <v>0</v>
      </c>
      <c r="T95" s="140">
        <f t="shared" si="21"/>
        <v>0</v>
      </c>
      <c r="U95" s="140">
        <f t="shared" si="21"/>
        <v>0</v>
      </c>
      <c r="V95" s="140">
        <f t="shared" si="21"/>
        <v>0</v>
      </c>
    </row>
    <row r="96" spans="1:22" x14ac:dyDescent="0.2">
      <c r="B96" s="10"/>
      <c r="C96" s="142"/>
      <c r="D96" s="143"/>
      <c r="E96" s="143"/>
      <c r="F96" s="143"/>
      <c r="G96" s="143"/>
      <c r="H96" s="143"/>
      <c r="I96" s="140">
        <f>IF((I$84-$C$84)&gt;$B$58,0,$I$86/$B$58)</f>
        <v>0</v>
      </c>
      <c r="J96" s="140">
        <f t="shared" ref="J96:V96" si="22">IF((J$84-$C$84)&gt;$B$58,0,$I$86/$B$58)</f>
        <v>0</v>
      </c>
      <c r="K96" s="140">
        <f t="shared" si="22"/>
        <v>0</v>
      </c>
      <c r="L96" s="140">
        <f t="shared" si="22"/>
        <v>0</v>
      </c>
      <c r="M96" s="140">
        <f t="shared" si="22"/>
        <v>0</v>
      </c>
      <c r="N96" s="140">
        <f t="shared" si="22"/>
        <v>0</v>
      </c>
      <c r="O96" s="140">
        <f t="shared" si="22"/>
        <v>0</v>
      </c>
      <c r="P96" s="140">
        <f t="shared" si="22"/>
        <v>0</v>
      </c>
      <c r="Q96" s="140">
        <f t="shared" si="22"/>
        <v>0</v>
      </c>
      <c r="R96" s="140">
        <f t="shared" si="22"/>
        <v>0</v>
      </c>
      <c r="S96" s="140">
        <f t="shared" si="22"/>
        <v>0</v>
      </c>
      <c r="T96" s="140">
        <f t="shared" si="22"/>
        <v>0</v>
      </c>
      <c r="U96" s="140">
        <f t="shared" si="22"/>
        <v>0</v>
      </c>
      <c r="V96" s="140">
        <f t="shared" si="22"/>
        <v>0</v>
      </c>
    </row>
    <row r="97" spans="1:22" x14ac:dyDescent="0.2">
      <c r="B97" s="10"/>
      <c r="C97" s="142"/>
      <c r="D97" s="143"/>
      <c r="E97" s="143"/>
      <c r="F97" s="143"/>
      <c r="G97" s="143"/>
      <c r="H97" s="143"/>
      <c r="I97" s="143"/>
      <c r="J97" s="140">
        <f>IF((J$84-$C$84)&gt;$B$58,0,$J$86/$B$58)</f>
        <v>0</v>
      </c>
      <c r="K97" s="140">
        <f t="shared" ref="K97:V97" si="23">IF((K$84-$C$84)&gt;$B$58,0,$J$86/$B$58)</f>
        <v>0</v>
      </c>
      <c r="L97" s="140">
        <f t="shared" si="23"/>
        <v>0</v>
      </c>
      <c r="M97" s="140">
        <f t="shared" si="23"/>
        <v>0</v>
      </c>
      <c r="N97" s="140">
        <f t="shared" si="23"/>
        <v>0</v>
      </c>
      <c r="O97" s="140">
        <f t="shared" si="23"/>
        <v>0</v>
      </c>
      <c r="P97" s="140">
        <f t="shared" si="23"/>
        <v>0</v>
      </c>
      <c r="Q97" s="140">
        <f t="shared" si="23"/>
        <v>0</v>
      </c>
      <c r="R97" s="140">
        <f t="shared" si="23"/>
        <v>0</v>
      </c>
      <c r="S97" s="140">
        <f t="shared" si="23"/>
        <v>0</v>
      </c>
      <c r="T97" s="140">
        <f t="shared" si="23"/>
        <v>0</v>
      </c>
      <c r="U97" s="140">
        <f t="shared" si="23"/>
        <v>0</v>
      </c>
      <c r="V97" s="140">
        <f t="shared" si="23"/>
        <v>0</v>
      </c>
    </row>
    <row r="98" spans="1:22" x14ac:dyDescent="0.2">
      <c r="B98" s="10"/>
      <c r="C98" s="142"/>
      <c r="D98" s="143"/>
      <c r="E98" s="143"/>
      <c r="F98" s="143"/>
      <c r="G98" s="143"/>
      <c r="H98" s="143"/>
      <c r="I98" s="143"/>
      <c r="J98" s="143"/>
      <c r="K98" s="140">
        <f>IF((K$84-$C$84)&gt;$B$58,0,$K$86/$B$58)</f>
        <v>0</v>
      </c>
      <c r="L98" s="140">
        <f t="shared" ref="L98:V98" si="24">IF((L$84-$C$84)&gt;$B$58,0,$K$86/$B$58)</f>
        <v>0</v>
      </c>
      <c r="M98" s="140">
        <f t="shared" si="24"/>
        <v>0</v>
      </c>
      <c r="N98" s="140">
        <f t="shared" si="24"/>
        <v>0</v>
      </c>
      <c r="O98" s="140">
        <f t="shared" si="24"/>
        <v>0</v>
      </c>
      <c r="P98" s="140">
        <f t="shared" si="24"/>
        <v>0</v>
      </c>
      <c r="Q98" s="140">
        <f t="shared" si="24"/>
        <v>0</v>
      </c>
      <c r="R98" s="140">
        <f t="shared" si="24"/>
        <v>0</v>
      </c>
      <c r="S98" s="140">
        <f t="shared" si="24"/>
        <v>0</v>
      </c>
      <c r="T98" s="140">
        <f t="shared" si="24"/>
        <v>0</v>
      </c>
      <c r="U98" s="140">
        <f t="shared" si="24"/>
        <v>0</v>
      </c>
      <c r="V98" s="140">
        <f t="shared" si="24"/>
        <v>0</v>
      </c>
    </row>
    <row r="99" spans="1:22" x14ac:dyDescent="0.2">
      <c r="B99" s="10"/>
      <c r="C99" s="142"/>
      <c r="D99" s="143"/>
      <c r="E99" s="143"/>
      <c r="F99" s="143"/>
      <c r="G99" s="143"/>
      <c r="H99" s="143"/>
      <c r="I99" s="143"/>
      <c r="J99" s="143"/>
      <c r="K99" s="143"/>
      <c r="L99" s="140">
        <f>IF((L$84-$C$84)&gt;$B$58,0,$L$86/$B$58)</f>
        <v>0</v>
      </c>
      <c r="M99" s="140">
        <f t="shared" ref="M99:V99" si="25">IF((M$84-$C$84)&gt;$B$58,0,$L$86/$B$58)</f>
        <v>0</v>
      </c>
      <c r="N99" s="140">
        <f t="shared" si="25"/>
        <v>0</v>
      </c>
      <c r="O99" s="140">
        <f t="shared" si="25"/>
        <v>0</v>
      </c>
      <c r="P99" s="140">
        <f t="shared" si="25"/>
        <v>0</v>
      </c>
      <c r="Q99" s="140">
        <f t="shared" si="25"/>
        <v>0</v>
      </c>
      <c r="R99" s="140">
        <f t="shared" si="25"/>
        <v>0</v>
      </c>
      <c r="S99" s="140">
        <f t="shared" si="25"/>
        <v>0</v>
      </c>
      <c r="T99" s="140">
        <f t="shared" si="25"/>
        <v>0</v>
      </c>
      <c r="U99" s="140">
        <f t="shared" si="25"/>
        <v>0</v>
      </c>
      <c r="V99" s="140">
        <f t="shared" si="25"/>
        <v>0</v>
      </c>
    </row>
    <row r="100" spans="1:22" x14ac:dyDescent="0.2">
      <c r="B100" s="10"/>
      <c r="C100" s="142"/>
      <c r="D100" s="143"/>
      <c r="E100" s="143"/>
      <c r="F100" s="143"/>
      <c r="G100" s="143"/>
      <c r="H100" s="143"/>
      <c r="I100" s="143"/>
      <c r="J100" s="143"/>
      <c r="K100" s="143"/>
      <c r="L100" s="143"/>
      <c r="M100" s="140">
        <f>IF((M$84-$C$84)&gt;$B$58,0,$M$86/$B$58)</f>
        <v>0</v>
      </c>
      <c r="N100" s="140">
        <f t="shared" ref="N100:V100" si="26">IF((N$84-$C$84)&gt;$B$58,0,$M$86/$B$58)</f>
        <v>0</v>
      </c>
      <c r="O100" s="140">
        <f t="shared" si="26"/>
        <v>0</v>
      </c>
      <c r="P100" s="140">
        <f t="shared" si="26"/>
        <v>0</v>
      </c>
      <c r="Q100" s="140">
        <f t="shared" si="26"/>
        <v>0</v>
      </c>
      <c r="R100" s="140">
        <f t="shared" si="26"/>
        <v>0</v>
      </c>
      <c r="S100" s="140">
        <f t="shared" si="26"/>
        <v>0</v>
      </c>
      <c r="T100" s="140">
        <f t="shared" si="26"/>
        <v>0</v>
      </c>
      <c r="U100" s="140">
        <f t="shared" si="26"/>
        <v>0</v>
      </c>
      <c r="V100" s="140">
        <f t="shared" si="26"/>
        <v>0</v>
      </c>
    </row>
    <row r="101" spans="1:22" x14ac:dyDescent="0.2">
      <c r="B101" s="10"/>
      <c r="C101" s="142"/>
      <c r="D101" s="143"/>
      <c r="E101" s="143"/>
      <c r="F101" s="143"/>
      <c r="G101" s="143"/>
      <c r="H101" s="143"/>
      <c r="I101" s="143"/>
      <c r="J101" s="143"/>
      <c r="K101" s="143"/>
      <c r="L101" s="143"/>
      <c r="M101" s="136"/>
      <c r="N101" s="140">
        <f>IF((N$84-$C$84)&gt;$B$58,0,$N$86/$B$58)</f>
        <v>0</v>
      </c>
      <c r="O101" s="140">
        <f t="shared" ref="O101:V101" si="27">IF((O$84-$C$84)&gt;$B$58,0,$N$86/$B$58)</f>
        <v>0</v>
      </c>
      <c r="P101" s="140">
        <f t="shared" si="27"/>
        <v>0</v>
      </c>
      <c r="Q101" s="140">
        <f t="shared" si="27"/>
        <v>0</v>
      </c>
      <c r="R101" s="140">
        <f t="shared" si="27"/>
        <v>0</v>
      </c>
      <c r="S101" s="140">
        <f t="shared" si="27"/>
        <v>0</v>
      </c>
      <c r="T101" s="140">
        <f t="shared" si="27"/>
        <v>0</v>
      </c>
      <c r="U101" s="140">
        <f t="shared" si="27"/>
        <v>0</v>
      </c>
      <c r="V101" s="140">
        <f t="shared" si="27"/>
        <v>0</v>
      </c>
    </row>
    <row r="102" spans="1:22" x14ac:dyDescent="0.2">
      <c r="B102" s="10"/>
      <c r="C102" s="142"/>
      <c r="D102" s="143"/>
      <c r="E102" s="143"/>
      <c r="F102" s="143"/>
      <c r="G102" s="143"/>
      <c r="H102" s="143"/>
      <c r="I102" s="143"/>
      <c r="J102" s="143"/>
      <c r="K102" s="143"/>
      <c r="L102" s="143"/>
      <c r="M102" s="136"/>
      <c r="N102" s="136"/>
      <c r="O102" s="140">
        <f>IF((O$84-$C$84)&gt;$B$58,0,$O$86/$B$58)</f>
        <v>0</v>
      </c>
      <c r="P102" s="140">
        <f t="shared" ref="P102:V102" si="28">IF((P$84-$C$84)&gt;$B$58,0,$O$86/$B$58)</f>
        <v>0</v>
      </c>
      <c r="Q102" s="140">
        <f t="shared" si="28"/>
        <v>0</v>
      </c>
      <c r="R102" s="140">
        <f t="shared" si="28"/>
        <v>0</v>
      </c>
      <c r="S102" s="140">
        <f t="shared" si="28"/>
        <v>0</v>
      </c>
      <c r="T102" s="140">
        <f t="shared" si="28"/>
        <v>0</v>
      </c>
      <c r="U102" s="140">
        <f t="shared" si="28"/>
        <v>0</v>
      </c>
      <c r="V102" s="140">
        <f t="shared" si="28"/>
        <v>0</v>
      </c>
    </row>
    <row r="103" spans="1:22" x14ac:dyDescent="0.2">
      <c r="B103" s="10"/>
      <c r="C103" s="142"/>
      <c r="D103" s="143"/>
      <c r="E103" s="143"/>
      <c r="F103" s="143"/>
      <c r="G103" s="143"/>
      <c r="H103" s="143"/>
      <c r="I103" s="143"/>
      <c r="J103" s="143"/>
      <c r="K103" s="143"/>
      <c r="L103" s="143"/>
      <c r="M103" s="136"/>
      <c r="N103" s="136"/>
      <c r="O103" s="136"/>
      <c r="P103" s="140">
        <f>IF((P$84-$C$84)&gt;$B$58,0,$P$86/$B$58)</f>
        <v>0</v>
      </c>
      <c r="Q103" s="140">
        <f t="shared" ref="Q103:V103" si="29">IF((Q$84-$C$84)&gt;$B$58,0,$P$86/$B$58)</f>
        <v>0</v>
      </c>
      <c r="R103" s="140">
        <f t="shared" si="29"/>
        <v>0</v>
      </c>
      <c r="S103" s="140">
        <f t="shared" si="29"/>
        <v>0</v>
      </c>
      <c r="T103" s="140">
        <f t="shared" si="29"/>
        <v>0</v>
      </c>
      <c r="U103" s="140">
        <f t="shared" si="29"/>
        <v>0</v>
      </c>
      <c r="V103" s="140">
        <f t="shared" si="29"/>
        <v>0</v>
      </c>
    </row>
    <row r="104" spans="1:22" x14ac:dyDescent="0.2">
      <c r="B104" s="10"/>
      <c r="C104" s="142"/>
      <c r="D104" s="143"/>
      <c r="E104" s="143"/>
      <c r="F104" s="143"/>
      <c r="G104" s="143"/>
      <c r="H104" s="143"/>
      <c r="I104" s="143"/>
      <c r="J104" s="143"/>
      <c r="K104" s="143"/>
      <c r="L104" s="143"/>
      <c r="M104" s="136"/>
      <c r="N104" s="136"/>
      <c r="O104" s="136"/>
      <c r="P104" s="136"/>
      <c r="Q104" s="140">
        <f t="shared" ref="Q104:V104" si="30">IF((Q$84-$C$84)&gt;$B$58,0,$Q$86/$B$58)</f>
        <v>0</v>
      </c>
      <c r="R104" s="140">
        <f t="shared" si="30"/>
        <v>0</v>
      </c>
      <c r="S104" s="140">
        <f t="shared" si="30"/>
        <v>0</v>
      </c>
      <c r="T104" s="140">
        <f t="shared" si="30"/>
        <v>0</v>
      </c>
      <c r="U104" s="140">
        <f t="shared" si="30"/>
        <v>0</v>
      </c>
      <c r="V104" s="140">
        <f t="shared" si="30"/>
        <v>0</v>
      </c>
    </row>
    <row r="105" spans="1:22" x14ac:dyDescent="0.2">
      <c r="B105" s="10"/>
      <c r="C105" s="142"/>
      <c r="D105" s="143"/>
      <c r="E105" s="143"/>
      <c r="F105" s="143"/>
      <c r="G105" s="143"/>
      <c r="H105" s="143"/>
      <c r="I105" s="143"/>
      <c r="J105" s="143"/>
      <c r="K105" s="143"/>
      <c r="L105" s="143"/>
      <c r="M105" s="136"/>
      <c r="N105" s="136"/>
      <c r="O105" s="136"/>
      <c r="P105" s="136"/>
      <c r="Q105" s="136"/>
      <c r="R105" s="140">
        <f>IF((R$84-$C$84)&gt;$B$58,0,$R$86/$B$58)</f>
        <v>0</v>
      </c>
      <c r="S105" s="140">
        <f>IF((S$84-$C$84)&gt;$B$58,0,$R$86/$B$58)</f>
        <v>0</v>
      </c>
      <c r="T105" s="140">
        <f>IF((T$84-$C$84)&gt;$B$58,0,$R$86/$B$58)</f>
        <v>0</v>
      </c>
      <c r="U105" s="140">
        <f>IF((U$84-$C$84)&gt;$B$58,0,$R$86/$B$58)</f>
        <v>0</v>
      </c>
      <c r="V105" s="140">
        <f>IF((V$84-$C$84)&gt;$B$58,0,$R$86/$B$58)</f>
        <v>0</v>
      </c>
    </row>
    <row r="106" spans="1:22" x14ac:dyDescent="0.2">
      <c r="B106" s="10"/>
      <c r="C106" s="142"/>
      <c r="D106" s="143"/>
      <c r="E106" s="143"/>
      <c r="F106" s="143"/>
      <c r="G106" s="143"/>
      <c r="H106" s="143"/>
      <c r="I106" s="143"/>
      <c r="J106" s="143"/>
      <c r="K106" s="143"/>
      <c r="L106" s="143"/>
      <c r="M106" s="136"/>
      <c r="N106" s="136"/>
      <c r="O106" s="136"/>
      <c r="P106" s="136"/>
      <c r="Q106" s="136"/>
      <c r="R106" s="136"/>
      <c r="S106" s="140">
        <f>IF((S$84-$C$84)&gt;$B$58,0,$S$86/$B$58)</f>
        <v>0</v>
      </c>
      <c r="T106" s="140">
        <f>IF((T$84-$C$84)&gt;$B$58,0,$S$86/$B$58)</f>
        <v>0</v>
      </c>
      <c r="U106" s="140">
        <f>IF((U$84-$C$84)&gt;$B$58,0,$S$86/$B$58)</f>
        <v>0</v>
      </c>
      <c r="V106" s="140">
        <f>IF((V$84-$C$84)&gt;$B$58,0,$S$86/$B$58)</f>
        <v>0</v>
      </c>
    </row>
    <row r="107" spans="1:22" x14ac:dyDescent="0.2">
      <c r="B107" s="10"/>
      <c r="C107" s="142"/>
      <c r="D107" s="143"/>
      <c r="E107" s="143"/>
      <c r="F107" s="143"/>
      <c r="G107" s="143"/>
      <c r="H107" s="143"/>
      <c r="I107" s="143"/>
      <c r="J107" s="143"/>
      <c r="K107" s="143"/>
      <c r="L107" s="143"/>
      <c r="M107" s="136"/>
      <c r="N107" s="136"/>
      <c r="O107" s="136"/>
      <c r="P107" s="136"/>
      <c r="Q107" s="136"/>
      <c r="R107" s="136"/>
      <c r="S107" s="136"/>
      <c r="T107" s="140">
        <f>IF((T$84-$C$84)&gt;$B$58,0,$T$86/$B$58)</f>
        <v>0</v>
      </c>
      <c r="U107" s="140">
        <f>IF((U$84-$C$84)&gt;$B$58,0,$T$86/$B$58)</f>
        <v>0</v>
      </c>
      <c r="V107" s="140">
        <f>IF((V$84-$C$84)&gt;$B$58,0,$T$86/$B$58)</f>
        <v>0</v>
      </c>
    </row>
    <row r="108" spans="1:22" x14ac:dyDescent="0.2">
      <c r="B108" s="10"/>
      <c r="C108" s="142"/>
      <c r="D108" s="143"/>
      <c r="E108" s="143"/>
      <c r="F108" s="143"/>
      <c r="G108" s="143"/>
      <c r="H108" s="143"/>
      <c r="I108" s="143"/>
      <c r="J108" s="143"/>
      <c r="K108" s="143"/>
      <c r="L108" s="143"/>
      <c r="M108" s="136"/>
      <c r="N108" s="136"/>
      <c r="O108" s="136"/>
      <c r="P108" s="136"/>
      <c r="Q108" s="136"/>
      <c r="R108" s="136"/>
      <c r="S108" s="136"/>
      <c r="T108" s="136"/>
      <c r="U108" s="140">
        <f>IF((U$84-$C$84)&gt;$B$58,0,$U$86/$B$58)</f>
        <v>0</v>
      </c>
      <c r="V108" s="140">
        <f>IF((V$84-$C$84)&gt;$B$58,0,$U$86/$B$58)</f>
        <v>0</v>
      </c>
    </row>
    <row r="109" spans="1:22" x14ac:dyDescent="0.2">
      <c r="B109" s="10"/>
      <c r="C109" s="144"/>
      <c r="D109" s="145"/>
      <c r="E109" s="145"/>
      <c r="F109" s="145"/>
      <c r="G109" s="145"/>
      <c r="H109" s="145"/>
      <c r="I109" s="145"/>
      <c r="J109" s="145"/>
      <c r="K109" s="145"/>
      <c r="L109" s="145"/>
      <c r="M109" s="146"/>
      <c r="N109" s="146"/>
      <c r="O109" s="146"/>
      <c r="P109" s="146"/>
      <c r="Q109" s="146"/>
      <c r="R109" s="146"/>
      <c r="S109" s="146"/>
      <c r="T109" s="146"/>
      <c r="U109" s="146"/>
      <c r="V109" s="140">
        <f>IF((V$84-$C$84)&gt;$B$58,0,$V$86/$B$58)</f>
        <v>0</v>
      </c>
    </row>
    <row r="110" spans="1:22" ht="13.5" thickBot="1" x14ac:dyDescent="0.25">
      <c r="A110" s="2" t="s">
        <v>236</v>
      </c>
      <c r="B110" s="10"/>
      <c r="C110" s="147">
        <f t="shared" ref="C110:V110" si="31">SUM(C90:C109)</f>
        <v>4720.4580000000005</v>
      </c>
      <c r="D110" s="148">
        <f t="shared" si="31"/>
        <v>78318.618000000002</v>
      </c>
      <c r="E110" s="148">
        <f t="shared" si="31"/>
        <v>1138916.0160000001</v>
      </c>
      <c r="F110" s="148">
        <f t="shared" si="31"/>
        <v>1138916.0160000001</v>
      </c>
      <c r="G110" s="148">
        <f t="shared" si="31"/>
        <v>1138916.0160000001</v>
      </c>
      <c r="H110" s="148">
        <f t="shared" si="31"/>
        <v>1138916.0160000001</v>
      </c>
      <c r="I110" s="148">
        <f t="shared" si="31"/>
        <v>1138916.0160000001</v>
      </c>
      <c r="J110" s="148">
        <f t="shared" si="31"/>
        <v>1138916.0160000001</v>
      </c>
      <c r="K110" s="148">
        <f t="shared" si="31"/>
        <v>1138916.0160000001</v>
      </c>
      <c r="L110" s="148">
        <f t="shared" si="31"/>
        <v>1138916.0160000001</v>
      </c>
      <c r="M110" s="148">
        <f t="shared" si="31"/>
        <v>1138916.0160000001</v>
      </c>
      <c r="N110" s="148">
        <f t="shared" si="31"/>
        <v>1138916.0160000001</v>
      </c>
      <c r="O110" s="148">
        <f t="shared" si="31"/>
        <v>1138916.0160000001</v>
      </c>
      <c r="P110" s="148">
        <f t="shared" si="31"/>
        <v>1138916.0160000001</v>
      </c>
      <c r="Q110" s="148">
        <f t="shared" si="31"/>
        <v>1138916.0160000001</v>
      </c>
      <c r="R110" s="148">
        <f t="shared" si="31"/>
        <v>1138916.0160000001</v>
      </c>
      <c r="S110" s="148">
        <f t="shared" si="31"/>
        <v>1138916.0160000001</v>
      </c>
      <c r="T110" s="148">
        <f t="shared" si="31"/>
        <v>1138916.0160000001</v>
      </c>
      <c r="U110" s="148">
        <f t="shared" si="31"/>
        <v>1138916.0160000001</v>
      </c>
      <c r="V110" s="148">
        <f t="shared" si="31"/>
        <v>1138916.0160000001</v>
      </c>
    </row>
    <row r="111" spans="1:22" ht="13.5" thickTop="1" x14ac:dyDescent="0.2">
      <c r="B111" s="10"/>
      <c r="C111" s="7"/>
    </row>
    <row r="112" spans="1:22" x14ac:dyDescent="0.2">
      <c r="A112" s="2" t="s">
        <v>146</v>
      </c>
      <c r="B112" s="10"/>
      <c r="C112" s="7">
        <f>VLOOKUP(IS!$B$1,BookDep,C84-1997)</f>
        <v>2451554.5500730299</v>
      </c>
      <c r="D112" s="7">
        <f>VLOOKUP(IS!$B$1,BookDep,D84-1997)</f>
        <v>2451554.5500730299</v>
      </c>
      <c r="E112" s="7">
        <f>VLOOKUP(IS!$B$1,BookDep,E84-1997)</f>
        <v>2451554.5500730299</v>
      </c>
      <c r="F112" s="7">
        <f>VLOOKUP(IS!$B$1,BookDep,F84-1997)</f>
        <v>2451554.5500730299</v>
      </c>
      <c r="G112" s="7">
        <f>VLOOKUP(IS!$B$1,BookDep,G84-1997)</f>
        <v>2451554.5500730299</v>
      </c>
      <c r="H112" s="7">
        <f>VLOOKUP(IS!$B$1,BookDep,H84-1997)</f>
        <v>2451554.5500730299</v>
      </c>
      <c r="I112" s="7">
        <f>VLOOKUP(IS!$B$1,BookDep,I84-1997)</f>
        <v>2451554.5500730299</v>
      </c>
      <c r="J112" s="7">
        <f>VLOOKUP(IS!$B$1,BookDep,J84-1997)</f>
        <v>2451554.5500730299</v>
      </c>
      <c r="K112" s="7">
        <f>VLOOKUP(IS!$B$1,BookDep,K84-1997)</f>
        <v>2451554.5500730299</v>
      </c>
      <c r="L112" s="7">
        <f>VLOOKUP(IS!$B$1,BookDep,L84-1997)</f>
        <v>2451554.5500730299</v>
      </c>
      <c r="M112" s="7">
        <f>VLOOKUP(IS!$B$1,BookDep,M84-1997)</f>
        <v>2451554.5500730299</v>
      </c>
      <c r="N112" s="7">
        <f>VLOOKUP(IS!$B$1,BookDep,N84-1997)</f>
        <v>2451554.5500730299</v>
      </c>
      <c r="O112" s="7">
        <f>VLOOKUP(IS!$B$1,BookDep,O84-1997)</f>
        <v>2451554.5500730299</v>
      </c>
      <c r="P112" s="7">
        <f>VLOOKUP(IS!$B$1,BookDep,P84-1997)</f>
        <v>2448742.82007303</v>
      </c>
      <c r="Q112" s="7">
        <f>VLOOKUP(IS!$B$1,BookDep,Q84-1997)</f>
        <v>462607.31007302692</v>
      </c>
      <c r="R112" s="7">
        <f>VLOOKUP(IS!$B$1,BookDep,R84-1997)</f>
        <v>94773.350073029753</v>
      </c>
      <c r="S112" s="7">
        <f>VLOOKUP(IS!$B$1,BookDep,S84-1997)</f>
        <v>94773.350073029753</v>
      </c>
      <c r="T112" s="7">
        <f>VLOOKUP(IS!$B$1,BookDep,T84-1997)</f>
        <v>94773.350073029753</v>
      </c>
      <c r="U112" s="7">
        <f>VLOOKUP(IS!$B$1,BookDep,U84-1997)</f>
        <v>94773.350073029753</v>
      </c>
      <c r="V112" s="7">
        <f>VLOOKUP(IS!$B$1,BookDep,V84-1997)</f>
        <v>94773.350073029753</v>
      </c>
    </row>
    <row r="113" spans="1:22" x14ac:dyDescent="0.2">
      <c r="B113" s="4"/>
    </row>
    <row r="114" spans="1:22" x14ac:dyDescent="0.2">
      <c r="A114" t="s">
        <v>235</v>
      </c>
      <c r="B114" s="4"/>
      <c r="C114" s="7">
        <f>C112+C81+C110</f>
        <v>2456275.00807303</v>
      </c>
      <c r="D114" s="7">
        <f t="shared" ref="D114:V114" si="32">D112+D81+D110</f>
        <v>2592003.1630730298</v>
      </c>
      <c r="E114" s="7">
        <f t="shared" si="32"/>
        <v>3664600.5585730299</v>
      </c>
      <c r="F114" s="7">
        <f t="shared" si="32"/>
        <v>3684600.5565730296</v>
      </c>
      <c r="G114" s="7">
        <f t="shared" si="32"/>
        <v>3696600.5505730296</v>
      </c>
      <c r="H114" s="7">
        <f t="shared" si="32"/>
        <v>3720350.5474730302</v>
      </c>
      <c r="I114" s="7">
        <f t="shared" si="32"/>
        <v>3744813.0442800298</v>
      </c>
      <c r="J114" s="7">
        <f t="shared" si="32"/>
        <v>3770009.4159912402</v>
      </c>
      <c r="K114" s="7">
        <f t="shared" si="32"/>
        <v>3795961.6788537866</v>
      </c>
      <c r="L114" s="7">
        <f t="shared" si="32"/>
        <v>3822692.5096022086</v>
      </c>
      <c r="M114" s="7">
        <f t="shared" si="32"/>
        <v>3850225.2652730839</v>
      </c>
      <c r="N114" s="7">
        <f t="shared" si="32"/>
        <v>3878584.0036140857</v>
      </c>
      <c r="O114" s="7">
        <f t="shared" si="32"/>
        <v>3907793.5041053174</v>
      </c>
      <c r="P114" s="7">
        <f t="shared" si="32"/>
        <v>3935067.559611286</v>
      </c>
      <c r="Q114" s="7">
        <f t="shared" si="32"/>
        <v>1979920.4086824309</v>
      </c>
      <c r="R114" s="7">
        <f t="shared" si="32"/>
        <v>1644004.4585257159</v>
      </c>
      <c r="S114" s="7">
        <f t="shared" si="32"/>
        <v>1676880.0086642965</v>
      </c>
      <c r="T114" s="7">
        <f t="shared" si="32"/>
        <v>1710741.8253070344</v>
      </c>
      <c r="U114" s="7">
        <f t="shared" si="32"/>
        <v>1745619.4964490547</v>
      </c>
      <c r="V114" s="7">
        <f t="shared" si="32"/>
        <v>1781543.4977253354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132"/>
  <sheetViews>
    <sheetView showGridLines="0" workbookViewId="0"/>
  </sheetViews>
  <sheetFormatPr defaultRowHeight="12.75" x14ac:dyDescent="0.2"/>
  <cols>
    <col min="1" max="2" width="9.140625" style="384"/>
    <col min="3" max="4" width="10.42578125" style="384" customWidth="1"/>
    <col min="5" max="5" width="37.140625" style="384" bestFit="1" customWidth="1"/>
    <col min="6" max="6" width="10.42578125" style="384" hidden="1" customWidth="1"/>
    <col min="7" max="7" width="28.5703125" style="384" hidden="1" customWidth="1"/>
    <col min="8" max="8" width="10.42578125" style="384" hidden="1" customWidth="1"/>
    <col min="9" max="9" width="16.5703125" style="384" bestFit="1" customWidth="1"/>
    <col min="10" max="10" width="17.85546875" style="384" bestFit="1" customWidth="1"/>
    <col min="11" max="11" width="16.140625" style="384" bestFit="1" customWidth="1"/>
    <col min="12" max="18" width="14.85546875" style="384" bestFit="1" customWidth="1"/>
    <col min="19" max="21" width="13.85546875" style="384" bestFit="1" customWidth="1"/>
    <col min="22" max="30" width="11.28515625" style="384" bestFit="1" customWidth="1"/>
    <col min="31" max="39" width="11.28515625" style="384" customWidth="1"/>
    <col min="40" max="41" width="11.28515625" style="384" bestFit="1" customWidth="1"/>
    <col min="42" max="42" width="9.140625" style="384"/>
    <col min="43" max="43" width="11.28515625" style="384" bestFit="1" customWidth="1"/>
    <col min="44" max="16384" width="9.140625" style="384"/>
  </cols>
  <sheetData>
    <row r="1" spans="1:43" x14ac:dyDescent="0.2">
      <c r="A1" s="407"/>
    </row>
    <row r="3" spans="1:43" x14ac:dyDescent="0.2">
      <c r="K3" s="384">
        <v>2000</v>
      </c>
      <c r="L3" s="384">
        <v>2001</v>
      </c>
      <c r="M3" s="384">
        <f t="shared" ref="M3:AO3" si="0">+L3+1</f>
        <v>2002</v>
      </c>
      <c r="N3" s="384">
        <f t="shared" si="0"/>
        <v>2003</v>
      </c>
      <c r="O3" s="384">
        <f t="shared" si="0"/>
        <v>2004</v>
      </c>
      <c r="P3" s="384">
        <f t="shared" si="0"/>
        <v>2005</v>
      </c>
      <c r="Q3" s="384">
        <f t="shared" si="0"/>
        <v>2006</v>
      </c>
      <c r="R3" s="384">
        <f t="shared" si="0"/>
        <v>2007</v>
      </c>
      <c r="S3" s="384">
        <f t="shared" si="0"/>
        <v>2008</v>
      </c>
      <c r="T3" s="384">
        <f t="shared" si="0"/>
        <v>2009</v>
      </c>
      <c r="U3" s="384">
        <f t="shared" si="0"/>
        <v>2010</v>
      </c>
      <c r="V3" s="384">
        <f t="shared" si="0"/>
        <v>2011</v>
      </c>
      <c r="W3" s="384">
        <f t="shared" si="0"/>
        <v>2012</v>
      </c>
      <c r="X3" s="384">
        <f t="shared" si="0"/>
        <v>2013</v>
      </c>
      <c r="Y3" s="384">
        <f t="shared" si="0"/>
        <v>2014</v>
      </c>
      <c r="Z3" s="384">
        <f t="shared" si="0"/>
        <v>2015</v>
      </c>
      <c r="AA3" s="384">
        <f t="shared" si="0"/>
        <v>2016</v>
      </c>
      <c r="AB3" s="384">
        <f t="shared" si="0"/>
        <v>2017</v>
      </c>
      <c r="AC3" s="384">
        <f t="shared" si="0"/>
        <v>2018</v>
      </c>
      <c r="AD3" s="384">
        <f t="shared" si="0"/>
        <v>2019</v>
      </c>
      <c r="AE3" s="384">
        <f t="shared" si="0"/>
        <v>2020</v>
      </c>
      <c r="AF3" s="384">
        <f t="shared" si="0"/>
        <v>2021</v>
      </c>
      <c r="AG3" s="384">
        <f t="shared" si="0"/>
        <v>2022</v>
      </c>
      <c r="AH3" s="384">
        <f t="shared" si="0"/>
        <v>2023</v>
      </c>
      <c r="AI3" s="384">
        <f t="shared" si="0"/>
        <v>2024</v>
      </c>
      <c r="AJ3" s="384">
        <f t="shared" si="0"/>
        <v>2025</v>
      </c>
      <c r="AK3" s="384">
        <f t="shared" si="0"/>
        <v>2026</v>
      </c>
      <c r="AL3" s="384">
        <f t="shared" si="0"/>
        <v>2027</v>
      </c>
      <c r="AM3" s="384">
        <f t="shared" si="0"/>
        <v>2028</v>
      </c>
      <c r="AN3" s="384">
        <f t="shared" si="0"/>
        <v>2029</v>
      </c>
      <c r="AO3" s="384">
        <f t="shared" si="0"/>
        <v>2030</v>
      </c>
    </row>
    <row r="4" spans="1:43" x14ac:dyDescent="0.2">
      <c r="C4" s="385"/>
      <c r="D4" s="385"/>
      <c r="E4" s="386" t="s">
        <v>239</v>
      </c>
      <c r="F4" s="385"/>
      <c r="G4" s="386" t="s">
        <v>240</v>
      </c>
      <c r="H4" s="385"/>
      <c r="I4" s="387" t="s">
        <v>241</v>
      </c>
      <c r="J4" s="385"/>
      <c r="K4" s="386" t="s">
        <v>242</v>
      </c>
    </row>
    <row r="5" spans="1:43" x14ac:dyDescent="0.2">
      <c r="C5" s="385"/>
      <c r="D5" s="385"/>
      <c r="E5" s="386" t="s">
        <v>243</v>
      </c>
      <c r="F5" s="385"/>
      <c r="G5" s="386" t="s">
        <v>244</v>
      </c>
      <c r="H5" s="385"/>
      <c r="I5" s="387" t="s">
        <v>245</v>
      </c>
      <c r="J5" s="385"/>
      <c r="K5" s="388" t="s">
        <v>305</v>
      </c>
    </row>
    <row r="6" spans="1:43" x14ac:dyDescent="0.2">
      <c r="C6" s="385"/>
      <c r="D6" s="385"/>
      <c r="E6" s="385"/>
      <c r="F6" s="385"/>
      <c r="G6" s="385"/>
      <c r="H6" s="385"/>
      <c r="I6" s="385"/>
      <c r="J6" s="385"/>
      <c r="K6" s="385"/>
    </row>
    <row r="7" spans="1:43" x14ac:dyDescent="0.2">
      <c r="C7" s="389" t="s">
        <v>246</v>
      </c>
      <c r="D7" s="385"/>
      <c r="E7" s="390">
        <v>267332298.70000002</v>
      </c>
      <c r="F7" s="385"/>
      <c r="G7" s="390">
        <v>202790196.47000003</v>
      </c>
      <c r="H7" s="385"/>
      <c r="I7" s="385">
        <v>64542102.229999989</v>
      </c>
      <c r="J7" s="384">
        <f>E7/K7</f>
        <v>30.919679350102779</v>
      </c>
      <c r="K7" s="390">
        <v>8646024.2899999991</v>
      </c>
      <c r="L7" s="384">
        <f t="shared" ref="L7:Q8" si="1">+K7</f>
        <v>8646024.2899999991</v>
      </c>
      <c r="M7" s="384">
        <f t="shared" si="1"/>
        <v>8646024.2899999991</v>
      </c>
      <c r="N7" s="384">
        <f t="shared" si="1"/>
        <v>8646024.2899999991</v>
      </c>
      <c r="O7" s="384">
        <f t="shared" si="1"/>
        <v>8646024.2899999991</v>
      </c>
      <c r="P7" s="384">
        <f t="shared" si="1"/>
        <v>8646024.2899999991</v>
      </c>
      <c r="Q7" s="384">
        <f t="shared" si="1"/>
        <v>8646024.2899999991</v>
      </c>
      <c r="R7" s="384">
        <f>$I7-SUM($K7:Q7)</f>
        <v>4019932.1999999955</v>
      </c>
      <c r="AQ7" s="384">
        <f>I7-SUM(K7:AP7)</f>
        <v>0</v>
      </c>
    </row>
    <row r="8" spans="1:43" x14ac:dyDescent="0.2">
      <c r="C8" s="389" t="s">
        <v>247</v>
      </c>
      <c r="D8" s="385"/>
      <c r="E8" s="391">
        <v>41629218.700000003</v>
      </c>
      <c r="F8" s="385"/>
      <c r="G8" s="390">
        <v>27429665.800000001</v>
      </c>
      <c r="H8" s="385"/>
      <c r="I8" s="385">
        <v>14199552.900000002</v>
      </c>
      <c r="J8" s="384">
        <f>E8/K8</f>
        <v>31.914325149001609</v>
      </c>
      <c r="K8" s="390">
        <v>1304405.42</v>
      </c>
      <c r="L8" s="384">
        <f t="shared" si="1"/>
        <v>1304405.42</v>
      </c>
      <c r="M8" s="384">
        <f t="shared" si="1"/>
        <v>1304405.42</v>
      </c>
      <c r="N8" s="384">
        <f t="shared" si="1"/>
        <v>1304405.42</v>
      </c>
      <c r="O8" s="384">
        <f t="shared" si="1"/>
        <v>1304405.42</v>
      </c>
      <c r="P8" s="384">
        <f t="shared" si="1"/>
        <v>1304405.42</v>
      </c>
      <c r="Q8" s="384">
        <f t="shared" si="1"/>
        <v>1304405.42</v>
      </c>
      <c r="R8" s="384">
        <f>+Q8</f>
        <v>1304405.42</v>
      </c>
      <c r="S8" s="384">
        <f>+R8</f>
        <v>1304405.42</v>
      </c>
      <c r="T8" s="384">
        <f>+S8</f>
        <v>1304405.42</v>
      </c>
      <c r="U8" s="384">
        <f>$I8-SUM($K8:T8)</f>
        <v>1155498.700000003</v>
      </c>
      <c r="AQ8" s="384">
        <f>I8-SUM(K8:AP8)</f>
        <v>0</v>
      </c>
    </row>
    <row r="9" spans="1:43" x14ac:dyDescent="0.2">
      <c r="C9" s="389" t="s">
        <v>248</v>
      </c>
      <c r="D9" s="385"/>
      <c r="E9" s="390">
        <v>29527809.940000001</v>
      </c>
      <c r="F9" s="385"/>
      <c r="G9" s="390">
        <v>23367346.379999999</v>
      </c>
      <c r="H9" s="385"/>
      <c r="I9" s="385">
        <v>6160463.5600000024</v>
      </c>
      <c r="J9" s="384">
        <f>E9/K9</f>
        <v>22.72737414073686</v>
      </c>
      <c r="K9" s="390">
        <v>1299217.8400000001</v>
      </c>
      <c r="L9" s="384">
        <f t="shared" ref="L9:N10" si="2">+K9</f>
        <v>1299217.8400000001</v>
      </c>
      <c r="M9" s="384">
        <f t="shared" si="2"/>
        <v>1299217.8400000001</v>
      </c>
      <c r="N9" s="384">
        <f t="shared" si="2"/>
        <v>1299217.8400000001</v>
      </c>
      <c r="O9" s="384">
        <f>$I9-SUM($K9:N9)</f>
        <v>963592.20000000205</v>
      </c>
      <c r="P9" s="384">
        <f>$I9-SUM($K9:O9)</f>
        <v>0</v>
      </c>
      <c r="Q9" s="384">
        <f>$I9-SUM($K9:P9)</f>
        <v>0</v>
      </c>
      <c r="R9" s="384">
        <f>$I9-SUM($K9:Q9)</f>
        <v>0</v>
      </c>
      <c r="S9" s="384">
        <f>$I9-SUM($K9:R9)</f>
        <v>0</v>
      </c>
      <c r="T9" s="384">
        <f>$I9-SUM($K9:S9)</f>
        <v>0</v>
      </c>
      <c r="AQ9" s="384">
        <f>I9-SUM(K9:AP9)</f>
        <v>0</v>
      </c>
    </row>
    <row r="10" spans="1:43" x14ac:dyDescent="0.2">
      <c r="C10" s="389" t="s">
        <v>249</v>
      </c>
      <c r="D10" s="385"/>
      <c r="E10" s="390">
        <v>728364.83</v>
      </c>
      <c r="F10" s="385"/>
      <c r="G10" s="390">
        <v>277374.78999999998</v>
      </c>
      <c r="H10" s="385"/>
      <c r="I10" s="385">
        <v>450990.04</v>
      </c>
      <c r="J10" s="384">
        <f>E10/K10</f>
        <v>27.019506250695549</v>
      </c>
      <c r="K10" s="390">
        <v>26957</v>
      </c>
      <c r="L10" s="384">
        <f t="shared" si="2"/>
        <v>26957</v>
      </c>
      <c r="M10" s="384">
        <f t="shared" si="2"/>
        <v>26957</v>
      </c>
      <c r="N10" s="384">
        <f t="shared" si="2"/>
        <v>26957</v>
      </c>
      <c r="O10" s="384">
        <f t="shared" ref="O10:Z10" si="3">+N10</f>
        <v>26957</v>
      </c>
      <c r="P10" s="384">
        <f t="shared" si="3"/>
        <v>26957</v>
      </c>
      <c r="Q10" s="384">
        <f t="shared" si="3"/>
        <v>26957</v>
      </c>
      <c r="R10" s="384">
        <f t="shared" si="3"/>
        <v>26957</v>
      </c>
      <c r="S10" s="384">
        <f t="shared" si="3"/>
        <v>26957</v>
      </c>
      <c r="T10" s="384">
        <f t="shared" si="3"/>
        <v>26957</v>
      </c>
      <c r="U10" s="384">
        <f t="shared" si="3"/>
        <v>26957</v>
      </c>
      <c r="V10" s="384">
        <f t="shared" si="3"/>
        <v>26957</v>
      </c>
      <c r="W10" s="384">
        <f t="shared" si="3"/>
        <v>26957</v>
      </c>
      <c r="X10" s="384">
        <f t="shared" si="3"/>
        <v>26957</v>
      </c>
      <c r="Y10" s="384">
        <f t="shared" si="3"/>
        <v>26957</v>
      </c>
      <c r="Z10" s="384">
        <f t="shared" si="3"/>
        <v>26957</v>
      </c>
      <c r="AA10" s="384">
        <f>$I10-SUM($K10:Z10)</f>
        <v>19678.039999999979</v>
      </c>
      <c r="AQ10" s="384">
        <f>I10-SUM(K10:AP10)</f>
        <v>0</v>
      </c>
    </row>
    <row r="11" spans="1:43" x14ac:dyDescent="0.2">
      <c r="C11" s="392" t="s">
        <v>250</v>
      </c>
      <c r="D11" s="385"/>
      <c r="E11" s="390">
        <v>499048.03</v>
      </c>
      <c r="F11" s="385"/>
      <c r="G11" s="390">
        <v>221238.45</v>
      </c>
      <c r="H11" s="385"/>
      <c r="I11" s="385">
        <v>277809.58</v>
      </c>
      <c r="J11" s="384">
        <f>E11/K11</f>
        <v>4.9999802624987479</v>
      </c>
      <c r="K11" s="390">
        <v>99810</v>
      </c>
      <c r="L11" s="384">
        <f>+K11</f>
        <v>99810</v>
      </c>
      <c r="M11" s="384">
        <f>$I11-SUM($K11:L11)</f>
        <v>78189.580000000016</v>
      </c>
      <c r="N11" s="384">
        <f>$I11-SUM($K11:M11)</f>
        <v>0</v>
      </c>
      <c r="O11" s="384">
        <f>$I11-SUM($K11:N11)</f>
        <v>0</v>
      </c>
      <c r="P11" s="384">
        <f>$I11-SUM($K11:O11)</f>
        <v>0</v>
      </c>
      <c r="Q11" s="384">
        <f>$I11-SUM($K11:P11)</f>
        <v>0</v>
      </c>
      <c r="R11" s="384">
        <f>$I11-SUM($K11:Q11)</f>
        <v>0</v>
      </c>
      <c r="S11" s="384">
        <f>$I11-SUM($K11:R11)</f>
        <v>0</v>
      </c>
      <c r="T11" s="384">
        <f>$I11-SUM($K11:S11)</f>
        <v>0</v>
      </c>
      <c r="U11" s="384">
        <f>$I11-SUM($K11:T11)</f>
        <v>0</v>
      </c>
      <c r="V11" s="384">
        <f>$I11-SUM($K11:U11)</f>
        <v>0</v>
      </c>
      <c r="W11" s="384">
        <f>$I11-SUM($K11:V11)</f>
        <v>0</v>
      </c>
      <c r="X11" s="384">
        <f>$I11-SUM($K11:W11)</f>
        <v>0</v>
      </c>
      <c r="Y11" s="384">
        <f>$I11-SUM($K11:X11)</f>
        <v>0</v>
      </c>
      <c r="Z11" s="384">
        <f>$I11-SUM($K11:Y11)</f>
        <v>0</v>
      </c>
      <c r="AQ11" s="384">
        <f>I11-SUM(K11:AP11)</f>
        <v>0</v>
      </c>
    </row>
    <row r="12" spans="1:43" x14ac:dyDescent="0.2">
      <c r="C12" s="392"/>
      <c r="D12" s="385"/>
      <c r="E12" s="390"/>
      <c r="F12" s="385"/>
      <c r="G12" s="390"/>
      <c r="H12" s="385"/>
      <c r="I12" s="385"/>
      <c r="J12" s="385"/>
      <c r="K12" s="390"/>
    </row>
    <row r="13" spans="1:43" ht="13.5" thickBot="1" x14ac:dyDescent="0.25">
      <c r="C13" s="389" t="s">
        <v>251</v>
      </c>
      <c r="D13" s="385"/>
      <c r="E13" s="393">
        <f>SUM(E7:E12)</f>
        <v>339716740.19999999</v>
      </c>
      <c r="F13" s="385"/>
      <c r="G13" s="393">
        <f>SUM(G7:G12)</f>
        <v>254085821.89000002</v>
      </c>
      <c r="H13" s="385"/>
      <c r="I13" s="393">
        <f>SUM(I7:I12)</f>
        <v>85630918.310000002</v>
      </c>
      <c r="J13" s="385"/>
      <c r="K13" s="393">
        <f t="shared" ref="K13:AO13" si="4">SUM(K7:K12)</f>
        <v>11376414.549999999</v>
      </c>
      <c r="L13" s="393">
        <f t="shared" si="4"/>
        <v>11376414.549999999</v>
      </c>
      <c r="M13" s="393">
        <f t="shared" si="4"/>
        <v>11354794.129999999</v>
      </c>
      <c r="N13" s="393">
        <f t="shared" si="4"/>
        <v>11276604.549999999</v>
      </c>
      <c r="O13" s="393">
        <f t="shared" si="4"/>
        <v>10940978.91</v>
      </c>
      <c r="P13" s="393">
        <f t="shared" si="4"/>
        <v>9977386.709999999</v>
      </c>
      <c r="Q13" s="393">
        <f t="shared" si="4"/>
        <v>9977386.709999999</v>
      </c>
      <c r="R13" s="393">
        <f t="shared" si="4"/>
        <v>5351294.6199999955</v>
      </c>
      <c r="S13" s="393">
        <f t="shared" si="4"/>
        <v>1331362.42</v>
      </c>
      <c r="T13" s="393">
        <f t="shared" si="4"/>
        <v>1331362.42</v>
      </c>
      <c r="U13" s="393">
        <f t="shared" si="4"/>
        <v>1182455.700000003</v>
      </c>
      <c r="V13" s="393">
        <f t="shared" si="4"/>
        <v>26957</v>
      </c>
      <c r="W13" s="393">
        <f t="shared" si="4"/>
        <v>26957</v>
      </c>
      <c r="X13" s="393">
        <f t="shared" si="4"/>
        <v>26957</v>
      </c>
      <c r="Y13" s="393">
        <f t="shared" si="4"/>
        <v>26957</v>
      </c>
      <c r="Z13" s="393">
        <f t="shared" si="4"/>
        <v>26957</v>
      </c>
      <c r="AA13" s="393">
        <f t="shared" si="4"/>
        <v>19678.039999999979</v>
      </c>
      <c r="AB13" s="393">
        <f t="shared" si="4"/>
        <v>0</v>
      </c>
      <c r="AC13" s="393">
        <f t="shared" si="4"/>
        <v>0</v>
      </c>
      <c r="AD13" s="393">
        <f t="shared" si="4"/>
        <v>0</v>
      </c>
      <c r="AE13" s="393">
        <f t="shared" si="4"/>
        <v>0</v>
      </c>
      <c r="AF13" s="393">
        <f t="shared" si="4"/>
        <v>0</v>
      </c>
      <c r="AG13" s="393">
        <f t="shared" si="4"/>
        <v>0</v>
      </c>
      <c r="AH13" s="393">
        <f t="shared" si="4"/>
        <v>0</v>
      </c>
      <c r="AI13" s="393">
        <f t="shared" si="4"/>
        <v>0</v>
      </c>
      <c r="AJ13" s="393">
        <f t="shared" si="4"/>
        <v>0</v>
      </c>
      <c r="AK13" s="393">
        <f t="shared" si="4"/>
        <v>0</v>
      </c>
      <c r="AL13" s="393">
        <f t="shared" si="4"/>
        <v>0</v>
      </c>
      <c r="AM13" s="393">
        <f t="shared" si="4"/>
        <v>0</v>
      </c>
      <c r="AN13" s="393">
        <f t="shared" si="4"/>
        <v>0</v>
      </c>
      <c r="AO13" s="393">
        <f t="shared" si="4"/>
        <v>0</v>
      </c>
      <c r="AQ13" s="393">
        <f>SUM(AQ7:AQ12)</f>
        <v>0</v>
      </c>
    </row>
    <row r="14" spans="1:43" ht="13.5" thickTop="1" x14ac:dyDescent="0.2">
      <c r="C14" s="389"/>
      <c r="D14" s="385"/>
      <c r="E14" s="394"/>
      <c r="F14" s="385"/>
      <c r="G14" s="394"/>
      <c r="H14" s="385"/>
      <c r="I14" s="394"/>
      <c r="J14" s="385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  <c r="AA14" s="394"/>
      <c r="AB14" s="394"/>
      <c r="AC14" s="394"/>
      <c r="AD14" s="394"/>
      <c r="AE14" s="394"/>
      <c r="AF14" s="394"/>
      <c r="AG14" s="394"/>
      <c r="AH14" s="394"/>
      <c r="AI14" s="394"/>
      <c r="AJ14" s="394"/>
      <c r="AK14" s="394"/>
      <c r="AL14" s="394"/>
      <c r="AM14" s="394"/>
      <c r="AN14" s="394"/>
      <c r="AO14" s="394"/>
      <c r="AQ14" s="394"/>
    </row>
    <row r="15" spans="1:43" x14ac:dyDescent="0.2">
      <c r="C15" s="389"/>
      <c r="D15" s="385"/>
      <c r="E15" s="390"/>
      <c r="F15" s="385"/>
      <c r="G15" s="390"/>
      <c r="H15" s="385"/>
      <c r="I15" s="385"/>
      <c r="J15" s="385"/>
      <c r="K15" s="390"/>
    </row>
    <row r="16" spans="1:43" x14ac:dyDescent="0.2">
      <c r="C16" s="389" t="s">
        <v>252</v>
      </c>
      <c r="D16" s="385"/>
      <c r="E16" s="390">
        <v>101656562.08</v>
      </c>
      <c r="F16" s="385"/>
      <c r="G16" s="390">
        <v>80658493.270000011</v>
      </c>
      <c r="H16" s="385"/>
      <c r="I16" s="385">
        <v>20998068.809999987</v>
      </c>
      <c r="J16" s="384">
        <f t="shared" ref="J16:J23" si="5">E16/K16</f>
        <v>35.97080280771695</v>
      </c>
      <c r="K16" s="390">
        <v>2826085.44</v>
      </c>
      <c r="L16" s="384">
        <f t="shared" ref="L16:Q22" si="6">+K16</f>
        <v>2826085.44</v>
      </c>
      <c r="M16" s="384">
        <f t="shared" si="6"/>
        <v>2826085.44</v>
      </c>
      <c r="N16" s="384">
        <f t="shared" si="6"/>
        <v>2826085.44</v>
      </c>
      <c r="O16" s="384">
        <f t="shared" si="6"/>
        <v>2826085.44</v>
      </c>
      <c r="P16" s="384">
        <f t="shared" si="6"/>
        <v>2826085.44</v>
      </c>
      <c r="Q16" s="384">
        <f t="shared" si="6"/>
        <v>2826085.44</v>
      </c>
      <c r="R16" s="384">
        <f>$I16-SUM($K16:Q16)</f>
        <v>1215470.7299999855</v>
      </c>
      <c r="S16" s="384">
        <f>$I16-SUM($K16:R16)</f>
        <v>0</v>
      </c>
      <c r="T16" s="384">
        <f>$I16-SUM($K16:S16)</f>
        <v>0</v>
      </c>
      <c r="U16" s="384">
        <f>$I16-SUM($K16:T16)</f>
        <v>0</v>
      </c>
      <c r="V16" s="384">
        <f>$I16-SUM($K16:U16)</f>
        <v>0</v>
      </c>
      <c r="W16" s="384">
        <f>$I16-SUM($K16:V16)</f>
        <v>0</v>
      </c>
      <c r="X16" s="384">
        <f>$I16-SUM($K16:W16)</f>
        <v>0</v>
      </c>
      <c r="Y16" s="384">
        <f>$I16-SUM($K16:X16)</f>
        <v>0</v>
      </c>
      <c r="Z16" s="384">
        <f>$I16-SUM($K16:Y16)</f>
        <v>0</v>
      </c>
      <c r="AQ16" s="384">
        <f t="shared" ref="AQ16:AQ23" si="7">I16-SUM(K16:AP16)</f>
        <v>0</v>
      </c>
    </row>
    <row r="17" spans="3:43" x14ac:dyDescent="0.2">
      <c r="C17" s="389" t="s">
        <v>253</v>
      </c>
      <c r="D17" s="385"/>
      <c r="E17" s="385">
        <v>104767572.52</v>
      </c>
      <c r="F17" s="385"/>
      <c r="G17" s="385">
        <v>58797583.689999998</v>
      </c>
      <c r="H17" s="385"/>
      <c r="I17" s="385">
        <v>45969988.829999998</v>
      </c>
      <c r="J17" s="384">
        <f t="shared" si="5"/>
        <v>34.320386266831136</v>
      </c>
      <c r="K17" s="385">
        <v>3052633.84</v>
      </c>
      <c r="L17" s="384">
        <f t="shared" si="6"/>
        <v>3052633.84</v>
      </c>
      <c r="M17" s="384">
        <f t="shared" si="6"/>
        <v>3052633.84</v>
      </c>
      <c r="N17" s="384">
        <f t="shared" si="6"/>
        <v>3052633.84</v>
      </c>
      <c r="O17" s="384">
        <f t="shared" si="6"/>
        <v>3052633.84</v>
      </c>
      <c r="P17" s="384">
        <f t="shared" si="6"/>
        <v>3052633.84</v>
      </c>
      <c r="Q17" s="384">
        <f t="shared" si="6"/>
        <v>3052633.84</v>
      </c>
      <c r="R17" s="384">
        <f t="shared" ref="R17:Y17" si="8">+Q17</f>
        <v>3052633.84</v>
      </c>
      <c r="S17" s="384">
        <f t="shared" si="8"/>
        <v>3052633.84</v>
      </c>
      <c r="T17" s="384">
        <f t="shared" si="8"/>
        <v>3052633.84</v>
      </c>
      <c r="U17" s="384">
        <f t="shared" si="8"/>
        <v>3052633.84</v>
      </c>
      <c r="V17" s="384">
        <f t="shared" si="8"/>
        <v>3052633.84</v>
      </c>
      <c r="W17" s="384">
        <f t="shared" si="8"/>
        <v>3052633.84</v>
      </c>
      <c r="X17" s="384">
        <f t="shared" si="8"/>
        <v>3052633.84</v>
      </c>
      <c r="Y17" s="384">
        <f t="shared" si="8"/>
        <v>3052633.84</v>
      </c>
      <c r="Z17" s="384">
        <f>$I17-SUM($K17:Y17)</f>
        <v>180481.22999998927</v>
      </c>
      <c r="AQ17" s="384">
        <f t="shared" si="7"/>
        <v>0</v>
      </c>
    </row>
    <row r="18" spans="3:43" x14ac:dyDescent="0.2">
      <c r="C18" s="389" t="s">
        <v>254</v>
      </c>
      <c r="D18" s="385"/>
      <c r="E18" s="390">
        <v>110887720.01000001</v>
      </c>
      <c r="F18" s="385"/>
      <c r="G18" s="390">
        <v>66476325.450000003</v>
      </c>
      <c r="H18" s="385"/>
      <c r="I18" s="385">
        <v>44411394.560000002</v>
      </c>
      <c r="J18" s="384">
        <f t="shared" si="5"/>
        <v>33.898924373481712</v>
      </c>
      <c r="K18" s="390">
        <v>3271127.98</v>
      </c>
      <c r="L18" s="384">
        <f t="shared" si="6"/>
        <v>3271127.98</v>
      </c>
      <c r="M18" s="384">
        <f t="shared" si="6"/>
        <v>3271127.98</v>
      </c>
      <c r="N18" s="384">
        <f t="shared" si="6"/>
        <v>3271127.98</v>
      </c>
      <c r="O18" s="384">
        <f t="shared" si="6"/>
        <v>3271127.98</v>
      </c>
      <c r="P18" s="384">
        <f t="shared" si="6"/>
        <v>3271127.98</v>
      </c>
      <c r="Q18" s="384">
        <f t="shared" si="6"/>
        <v>3271127.98</v>
      </c>
      <c r="R18" s="384">
        <f t="shared" ref="R18:W18" si="9">+Q18</f>
        <v>3271127.98</v>
      </c>
      <c r="S18" s="384">
        <f t="shared" si="9"/>
        <v>3271127.98</v>
      </c>
      <c r="T18" s="384">
        <f t="shared" si="9"/>
        <v>3271127.98</v>
      </c>
      <c r="U18" s="384">
        <f t="shared" si="9"/>
        <v>3271127.98</v>
      </c>
      <c r="V18" s="384">
        <f t="shared" si="9"/>
        <v>3271127.98</v>
      </c>
      <c r="W18" s="384">
        <f t="shared" si="9"/>
        <v>3271127.98</v>
      </c>
      <c r="X18" s="384">
        <f>$I18-SUM($K18:W18)</f>
        <v>1886730.8200000077</v>
      </c>
      <c r="Y18" s="384">
        <f>$I18-SUM($K18:X18)</f>
        <v>0</v>
      </c>
      <c r="Z18" s="384">
        <f>$I18-SUM($K18:Y18)</f>
        <v>0</v>
      </c>
      <c r="AQ18" s="384">
        <f t="shared" si="7"/>
        <v>0</v>
      </c>
    </row>
    <row r="19" spans="3:43" x14ac:dyDescent="0.2">
      <c r="C19" s="389" t="s">
        <v>255</v>
      </c>
      <c r="D19" s="385"/>
      <c r="E19" s="390">
        <v>13838129.02</v>
      </c>
      <c r="F19" s="385"/>
      <c r="G19" s="390">
        <v>8132427.6399999997</v>
      </c>
      <c r="H19" s="385"/>
      <c r="I19" s="385">
        <v>5705701.3799999999</v>
      </c>
      <c r="J19" s="384">
        <f t="shared" si="5"/>
        <v>22.021566388738353</v>
      </c>
      <c r="K19" s="390">
        <v>628389.86</v>
      </c>
      <c r="L19" s="384">
        <f t="shared" si="6"/>
        <v>628389.86</v>
      </c>
      <c r="M19" s="384">
        <f t="shared" si="6"/>
        <v>628389.86</v>
      </c>
      <c r="N19" s="384">
        <f t="shared" si="6"/>
        <v>628389.86</v>
      </c>
      <c r="O19" s="384">
        <f t="shared" si="6"/>
        <v>628389.86</v>
      </c>
      <c r="P19" s="384">
        <f t="shared" si="6"/>
        <v>628389.86</v>
      </c>
      <c r="Q19" s="384">
        <f t="shared" si="6"/>
        <v>628389.86</v>
      </c>
      <c r="R19" s="384">
        <f t="shared" ref="R19:S22" si="10">+Q19</f>
        <v>628389.86</v>
      </c>
      <c r="S19" s="384">
        <f t="shared" si="10"/>
        <v>628389.86</v>
      </c>
      <c r="T19" s="384">
        <f>$I19-SUM($K19:S19)</f>
        <v>50192.639999999665</v>
      </c>
      <c r="U19" s="384">
        <f>$I19-SUM($K19:T19)</f>
        <v>0</v>
      </c>
      <c r="V19" s="384">
        <f>$I19-SUM($K19:U19)</f>
        <v>0</v>
      </c>
      <c r="W19" s="384">
        <f>$I19-SUM($K19:V19)</f>
        <v>0</v>
      </c>
      <c r="X19" s="384">
        <f>$I19-SUM($K19:W19)</f>
        <v>0</v>
      </c>
      <c r="Y19" s="384">
        <f>$I19-SUM($K19:X19)</f>
        <v>0</v>
      </c>
      <c r="Z19" s="384">
        <f>$I19-SUM($K19:Y19)</f>
        <v>0</v>
      </c>
      <c r="AQ19" s="384">
        <f t="shared" si="7"/>
        <v>0</v>
      </c>
    </row>
    <row r="20" spans="3:43" x14ac:dyDescent="0.2">
      <c r="C20" s="389" t="s">
        <v>256</v>
      </c>
      <c r="D20" s="385"/>
      <c r="E20" s="390">
        <v>347266.14</v>
      </c>
      <c r="F20" s="385"/>
      <c r="G20" s="390">
        <v>129667.61</v>
      </c>
      <c r="H20" s="385"/>
      <c r="I20" s="385">
        <v>217598.53</v>
      </c>
      <c r="J20" s="384">
        <f t="shared" si="5"/>
        <v>27.070949485500467</v>
      </c>
      <c r="K20" s="390">
        <v>12828</v>
      </c>
      <c r="L20" s="384">
        <f t="shared" si="6"/>
        <v>12828</v>
      </c>
      <c r="M20" s="384">
        <f t="shared" si="6"/>
        <v>12828</v>
      </c>
      <c r="N20" s="384">
        <f t="shared" si="6"/>
        <v>12828</v>
      </c>
      <c r="O20" s="384">
        <f t="shared" si="6"/>
        <v>12828</v>
      </c>
      <c r="P20" s="384">
        <f t="shared" si="6"/>
        <v>12828</v>
      </c>
      <c r="Q20" s="384">
        <f t="shared" si="6"/>
        <v>12828</v>
      </c>
      <c r="R20" s="384">
        <f t="shared" si="10"/>
        <v>12828</v>
      </c>
      <c r="S20" s="384">
        <f t="shared" si="10"/>
        <v>12828</v>
      </c>
      <c r="T20" s="384">
        <f t="shared" ref="T20:Z20" si="11">+S20</f>
        <v>12828</v>
      </c>
      <c r="U20" s="384">
        <f t="shared" si="11"/>
        <v>12828</v>
      </c>
      <c r="V20" s="384">
        <f t="shared" si="11"/>
        <v>12828</v>
      </c>
      <c r="W20" s="384">
        <f t="shared" si="11"/>
        <v>12828</v>
      </c>
      <c r="X20" s="384">
        <f t="shared" si="11"/>
        <v>12828</v>
      </c>
      <c r="Y20" s="384">
        <f t="shared" si="11"/>
        <v>12828</v>
      </c>
      <c r="Z20" s="384">
        <f t="shared" si="11"/>
        <v>12828</v>
      </c>
      <c r="AA20" s="384">
        <f>$I20-SUM($K20:Z20)</f>
        <v>12350.529999999999</v>
      </c>
      <c r="AQ20" s="384">
        <f t="shared" si="7"/>
        <v>0</v>
      </c>
    </row>
    <row r="21" spans="3:43" x14ac:dyDescent="0.2">
      <c r="C21" s="389" t="s">
        <v>257</v>
      </c>
      <c r="D21" s="385"/>
      <c r="E21" s="390">
        <v>120233.58</v>
      </c>
      <c r="F21" s="385"/>
      <c r="G21" s="390">
        <v>64410.33</v>
      </c>
      <c r="H21" s="385"/>
      <c r="I21" s="385">
        <v>55823.25</v>
      </c>
      <c r="J21" s="384">
        <f t="shared" si="5"/>
        <v>30.980051533110025</v>
      </c>
      <c r="K21" s="390">
        <v>3881</v>
      </c>
      <c r="L21" s="384">
        <f t="shared" si="6"/>
        <v>3881</v>
      </c>
      <c r="M21" s="384">
        <f t="shared" si="6"/>
        <v>3881</v>
      </c>
      <c r="N21" s="384">
        <f t="shared" si="6"/>
        <v>3881</v>
      </c>
      <c r="O21" s="384">
        <f t="shared" si="6"/>
        <v>3881</v>
      </c>
      <c r="P21" s="384">
        <f t="shared" si="6"/>
        <v>3881</v>
      </c>
      <c r="Q21" s="384">
        <f t="shared" si="6"/>
        <v>3881</v>
      </c>
      <c r="R21" s="384">
        <f t="shared" si="10"/>
        <v>3881</v>
      </c>
      <c r="S21" s="384">
        <f t="shared" si="10"/>
        <v>3881</v>
      </c>
      <c r="T21" s="384">
        <f t="shared" ref="T21:X22" si="12">+S21</f>
        <v>3881</v>
      </c>
      <c r="U21" s="384">
        <f t="shared" si="12"/>
        <v>3881</v>
      </c>
      <c r="V21" s="384">
        <f t="shared" si="12"/>
        <v>3881</v>
      </c>
      <c r="W21" s="384">
        <f t="shared" si="12"/>
        <v>3881</v>
      </c>
      <c r="X21" s="384">
        <f t="shared" si="12"/>
        <v>3881</v>
      </c>
      <c r="Y21" s="384">
        <f>$I21-SUM($K21:X21)</f>
        <v>1489.25</v>
      </c>
      <c r="Z21" s="384">
        <f>$I21-SUM($K21:Y21)</f>
        <v>0</v>
      </c>
      <c r="AQ21" s="384">
        <f t="shared" si="7"/>
        <v>0</v>
      </c>
    </row>
    <row r="22" spans="3:43" x14ac:dyDescent="0.2">
      <c r="C22" s="389" t="s">
        <v>258</v>
      </c>
      <c r="D22" s="385"/>
      <c r="E22" s="390">
        <v>120233.58</v>
      </c>
      <c r="F22" s="385"/>
      <c r="G22" s="390">
        <v>64410.33</v>
      </c>
      <c r="H22" s="385"/>
      <c r="I22" s="385">
        <v>55823.25</v>
      </c>
      <c r="J22" s="384">
        <f t="shared" si="5"/>
        <v>30.980051533110025</v>
      </c>
      <c r="K22" s="390">
        <v>3881</v>
      </c>
      <c r="L22" s="384">
        <f t="shared" si="6"/>
        <v>3881</v>
      </c>
      <c r="M22" s="384">
        <f t="shared" si="6"/>
        <v>3881</v>
      </c>
      <c r="N22" s="384">
        <f t="shared" si="6"/>
        <v>3881</v>
      </c>
      <c r="O22" s="384">
        <f t="shared" si="6"/>
        <v>3881</v>
      </c>
      <c r="P22" s="384">
        <f t="shared" si="6"/>
        <v>3881</v>
      </c>
      <c r="Q22" s="384">
        <f t="shared" si="6"/>
        <v>3881</v>
      </c>
      <c r="R22" s="384">
        <f t="shared" si="10"/>
        <v>3881</v>
      </c>
      <c r="S22" s="384">
        <f t="shared" si="10"/>
        <v>3881</v>
      </c>
      <c r="T22" s="384">
        <f t="shared" si="12"/>
        <v>3881</v>
      </c>
      <c r="U22" s="384">
        <f t="shared" si="12"/>
        <v>3881</v>
      </c>
      <c r="V22" s="384">
        <f t="shared" si="12"/>
        <v>3881</v>
      </c>
      <c r="W22" s="384">
        <f t="shared" si="12"/>
        <v>3881</v>
      </c>
      <c r="X22" s="384">
        <f t="shared" si="12"/>
        <v>3881</v>
      </c>
      <c r="Y22" s="384">
        <f>$I22-SUM($K22:X22)</f>
        <v>1489.25</v>
      </c>
      <c r="Z22" s="384">
        <f>$I22-SUM($K22:Y22)</f>
        <v>0</v>
      </c>
      <c r="AQ22" s="384">
        <f t="shared" si="7"/>
        <v>0</v>
      </c>
    </row>
    <row r="23" spans="3:43" x14ac:dyDescent="0.2">
      <c r="C23" s="392" t="s">
        <v>259</v>
      </c>
      <c r="D23" s="385"/>
      <c r="E23" s="390">
        <v>499048.03</v>
      </c>
      <c r="F23" s="385"/>
      <c r="G23" s="391">
        <v>221238.45</v>
      </c>
      <c r="H23" s="385"/>
      <c r="I23" s="385">
        <v>277809.58</v>
      </c>
      <c r="J23" s="384">
        <f t="shared" si="5"/>
        <v>4.9999802624987479</v>
      </c>
      <c r="K23" s="390">
        <v>99810</v>
      </c>
      <c r="L23" s="384">
        <f>+K23</f>
        <v>99810</v>
      </c>
      <c r="M23" s="384">
        <f>$I23-SUM($K23:L23)</f>
        <v>78189.580000000016</v>
      </c>
      <c r="N23" s="384">
        <f>$I23-SUM($K23:M23)</f>
        <v>0</v>
      </c>
      <c r="O23" s="384">
        <f>$I23-SUM($K23:N23)</f>
        <v>0</v>
      </c>
      <c r="P23" s="384">
        <f>$I23-SUM($K23:O23)</f>
        <v>0</v>
      </c>
      <c r="Q23" s="384">
        <f>$I23-SUM($K23:P23)</f>
        <v>0</v>
      </c>
      <c r="R23" s="384">
        <f>$I23-SUM($K23:Q23)</f>
        <v>0</v>
      </c>
      <c r="S23" s="384">
        <f>$I23-SUM($K23:R23)</f>
        <v>0</v>
      </c>
      <c r="T23" s="384">
        <f>$I23-SUM($K23:S23)</f>
        <v>0</v>
      </c>
      <c r="U23" s="384">
        <f>$I23-SUM($K23:T23)</f>
        <v>0</v>
      </c>
      <c r="V23" s="384">
        <f>$I23-SUM($K23:U23)</f>
        <v>0</v>
      </c>
      <c r="W23" s="384">
        <f>$I23-SUM($K23:V23)</f>
        <v>0</v>
      </c>
      <c r="X23" s="384">
        <f>$I23-SUM($K23:W23)</f>
        <v>0</v>
      </c>
      <c r="Y23" s="384">
        <f>$I23-SUM($K23:X23)</f>
        <v>0</v>
      </c>
      <c r="Z23" s="384">
        <f>$I23-SUM($K23:Y23)</f>
        <v>0</v>
      </c>
      <c r="AQ23" s="384">
        <f t="shared" si="7"/>
        <v>0</v>
      </c>
    </row>
    <row r="24" spans="3:43" x14ac:dyDescent="0.2">
      <c r="C24" s="392"/>
      <c r="D24" s="385"/>
      <c r="E24" s="390"/>
      <c r="F24" s="385"/>
      <c r="G24" s="391"/>
      <c r="H24" s="385"/>
      <c r="I24" s="385"/>
      <c r="J24" s="385"/>
      <c r="K24" s="390"/>
    </row>
    <row r="25" spans="3:43" ht="13.5" thickBot="1" x14ac:dyDescent="0.25">
      <c r="C25" s="389" t="s">
        <v>260</v>
      </c>
      <c r="D25" s="385"/>
      <c r="E25" s="393">
        <f>SUM(E16:E24)</f>
        <v>332236764.95999992</v>
      </c>
      <c r="F25" s="385"/>
      <c r="G25" s="393">
        <f>SUM(G16:G24)</f>
        <v>214544556.77000004</v>
      </c>
      <c r="H25" s="385"/>
      <c r="I25" s="393">
        <f>SUM(I16:I24)</f>
        <v>117692208.18999998</v>
      </c>
      <c r="J25" s="384">
        <f>E25/K25</f>
        <v>33.563889748895043</v>
      </c>
      <c r="K25" s="393">
        <f t="shared" ref="K25:AO25" si="13">SUM(K16:K24)</f>
        <v>9898637.1199999992</v>
      </c>
      <c r="L25" s="393">
        <f t="shared" si="13"/>
        <v>9898637.1199999992</v>
      </c>
      <c r="M25" s="393">
        <f t="shared" si="13"/>
        <v>9877016.6999999993</v>
      </c>
      <c r="N25" s="393">
        <f t="shared" si="13"/>
        <v>9798827.1199999992</v>
      </c>
      <c r="O25" s="393">
        <f t="shared" si="13"/>
        <v>9798827.1199999992</v>
      </c>
      <c r="P25" s="393">
        <f t="shared" si="13"/>
        <v>9798827.1199999992</v>
      </c>
      <c r="Q25" s="393">
        <f t="shared" si="13"/>
        <v>9798827.1199999992</v>
      </c>
      <c r="R25" s="393">
        <f t="shared" si="13"/>
        <v>8188212.4099999862</v>
      </c>
      <c r="S25" s="393">
        <f t="shared" si="13"/>
        <v>6972741.6800000006</v>
      </c>
      <c r="T25" s="393">
        <f t="shared" si="13"/>
        <v>6394544.46</v>
      </c>
      <c r="U25" s="393">
        <f t="shared" si="13"/>
        <v>6344351.8200000003</v>
      </c>
      <c r="V25" s="393">
        <f t="shared" si="13"/>
        <v>6344351.8200000003</v>
      </c>
      <c r="W25" s="393">
        <f t="shared" si="13"/>
        <v>6344351.8200000003</v>
      </c>
      <c r="X25" s="393">
        <f t="shared" si="13"/>
        <v>4959954.6600000076</v>
      </c>
      <c r="Y25" s="393">
        <f t="shared" si="13"/>
        <v>3068440.34</v>
      </c>
      <c r="Z25" s="393">
        <f t="shared" si="13"/>
        <v>193309.22999998927</v>
      </c>
      <c r="AA25" s="393">
        <f t="shared" si="13"/>
        <v>12350.529999999999</v>
      </c>
      <c r="AB25" s="393">
        <f t="shared" si="13"/>
        <v>0</v>
      </c>
      <c r="AC25" s="393">
        <f t="shared" si="13"/>
        <v>0</v>
      </c>
      <c r="AD25" s="393">
        <f t="shared" si="13"/>
        <v>0</v>
      </c>
      <c r="AE25" s="393">
        <f t="shared" si="13"/>
        <v>0</v>
      </c>
      <c r="AF25" s="393">
        <f t="shared" si="13"/>
        <v>0</v>
      </c>
      <c r="AG25" s="393">
        <f t="shared" si="13"/>
        <v>0</v>
      </c>
      <c r="AH25" s="393">
        <f t="shared" si="13"/>
        <v>0</v>
      </c>
      <c r="AI25" s="393">
        <f t="shared" si="13"/>
        <v>0</v>
      </c>
      <c r="AJ25" s="393">
        <f t="shared" si="13"/>
        <v>0</v>
      </c>
      <c r="AK25" s="393">
        <f t="shared" si="13"/>
        <v>0</v>
      </c>
      <c r="AL25" s="393">
        <f t="shared" si="13"/>
        <v>0</v>
      </c>
      <c r="AM25" s="393">
        <f t="shared" si="13"/>
        <v>0</v>
      </c>
      <c r="AN25" s="393">
        <f t="shared" si="13"/>
        <v>0</v>
      </c>
      <c r="AO25" s="393">
        <f t="shared" si="13"/>
        <v>0</v>
      </c>
      <c r="AQ25" s="393">
        <f>SUM(AQ16:AQ24)</f>
        <v>0</v>
      </c>
    </row>
    <row r="26" spans="3:43" ht="13.5" thickTop="1" x14ac:dyDescent="0.2">
      <c r="C26" s="389"/>
      <c r="D26" s="385"/>
      <c r="E26" s="390"/>
      <c r="F26" s="385"/>
      <c r="G26" s="390"/>
      <c r="H26" s="385"/>
      <c r="I26" s="385"/>
      <c r="J26" s="385"/>
      <c r="K26" s="390"/>
    </row>
    <row r="27" spans="3:43" ht="13.5" thickBot="1" x14ac:dyDescent="0.25">
      <c r="C27" s="389" t="s">
        <v>261</v>
      </c>
      <c r="D27" s="385"/>
      <c r="E27" s="395">
        <v>23042394.82</v>
      </c>
      <c r="F27" s="385"/>
      <c r="G27" s="395">
        <v>18425234.450000003</v>
      </c>
      <c r="H27" s="385"/>
      <c r="I27" s="396">
        <v>4617160.37</v>
      </c>
      <c r="J27" s="384">
        <f>E27/K27</f>
        <v>24.627843787457635</v>
      </c>
      <c r="K27" s="395">
        <v>935623.72</v>
      </c>
      <c r="L27" s="397">
        <f>+K27</f>
        <v>935623.72</v>
      </c>
      <c r="M27" s="397">
        <f>+L27</f>
        <v>935623.72</v>
      </c>
      <c r="N27" s="397">
        <f>+M27</f>
        <v>935623.72</v>
      </c>
      <c r="O27" s="397">
        <f>$I27-SUM($K27:N27)</f>
        <v>874665.49000000022</v>
      </c>
      <c r="P27" s="397">
        <f>$I27-SUM($K27:O27)</f>
        <v>0</v>
      </c>
      <c r="Q27" s="397">
        <f>$I27-SUM($K27:P27)</f>
        <v>0</v>
      </c>
      <c r="R27" s="397">
        <f>$I27-SUM($K27:Q27)</f>
        <v>0</v>
      </c>
      <c r="S27" s="397">
        <f>$I27-SUM($K27:R27)</f>
        <v>0</v>
      </c>
      <c r="T27" s="397">
        <f>$I27-SUM($K27:S27)</f>
        <v>0</v>
      </c>
      <c r="U27" s="397">
        <f>$I27-SUM($K27:T27)</f>
        <v>0</v>
      </c>
      <c r="V27" s="397">
        <f>$I27-SUM($K27:U27)</f>
        <v>0</v>
      </c>
      <c r="W27" s="397">
        <f>$I27-SUM($K27:V27)</f>
        <v>0</v>
      </c>
      <c r="X27" s="397">
        <f>$I27-SUM($K27:W27)</f>
        <v>0</v>
      </c>
      <c r="Y27" s="397">
        <f>$I27-SUM($K27:X27)</f>
        <v>0</v>
      </c>
      <c r="Z27" s="397">
        <f>$I27-SUM($K27:Y27)</f>
        <v>0</v>
      </c>
      <c r="AA27" s="397"/>
      <c r="AB27" s="397"/>
      <c r="AC27" s="397"/>
      <c r="AD27" s="397"/>
      <c r="AE27" s="397"/>
      <c r="AF27" s="397"/>
      <c r="AG27" s="397"/>
      <c r="AH27" s="397"/>
      <c r="AI27" s="397"/>
      <c r="AJ27" s="397"/>
      <c r="AK27" s="397"/>
      <c r="AL27" s="397"/>
      <c r="AM27" s="397"/>
      <c r="AN27" s="397"/>
      <c r="AO27" s="397"/>
      <c r="AQ27" s="397">
        <f>I27-SUM(K27:AP27)</f>
        <v>0</v>
      </c>
    </row>
    <row r="28" spans="3:43" ht="13.5" thickTop="1" x14ac:dyDescent="0.2">
      <c r="C28" s="389"/>
      <c r="D28" s="385"/>
      <c r="E28" s="390"/>
      <c r="F28" s="385"/>
      <c r="G28" s="390"/>
      <c r="H28" s="385"/>
      <c r="I28" s="385"/>
      <c r="K28" s="390"/>
    </row>
    <row r="29" spans="3:43" x14ac:dyDescent="0.2">
      <c r="C29" s="389"/>
      <c r="D29" s="385"/>
      <c r="E29" s="390"/>
      <c r="F29" s="385"/>
      <c r="G29" s="390"/>
      <c r="H29" s="385"/>
      <c r="I29" s="385"/>
      <c r="J29" s="385"/>
      <c r="K29" s="390"/>
    </row>
    <row r="30" spans="3:43" ht="13.5" thickBot="1" x14ac:dyDescent="0.25">
      <c r="C30" s="389" t="s">
        <v>262</v>
      </c>
      <c r="D30" s="385"/>
      <c r="E30" s="395">
        <v>276947196.91000003</v>
      </c>
      <c r="F30" s="385"/>
      <c r="G30" s="395">
        <v>136762044.41999999</v>
      </c>
      <c r="H30" s="385"/>
      <c r="I30" s="396">
        <v>140185152.49000004</v>
      </c>
      <c r="J30" s="384">
        <f>E30/K30</f>
        <v>30.792700151357966</v>
      </c>
      <c r="K30" s="395">
        <v>8993923.7400000002</v>
      </c>
      <c r="L30" s="397">
        <f t="shared" ref="L30:Y30" si="14">+K30</f>
        <v>8993923.7400000002</v>
      </c>
      <c r="M30" s="397">
        <f t="shared" si="14"/>
        <v>8993923.7400000002</v>
      </c>
      <c r="N30" s="397">
        <f t="shared" si="14"/>
        <v>8993923.7400000002</v>
      </c>
      <c r="O30" s="397">
        <f t="shared" si="14"/>
        <v>8993923.7400000002</v>
      </c>
      <c r="P30" s="397">
        <f t="shared" si="14"/>
        <v>8993923.7400000002</v>
      </c>
      <c r="Q30" s="397">
        <f t="shared" si="14"/>
        <v>8993923.7400000002</v>
      </c>
      <c r="R30" s="397">
        <f t="shared" si="14"/>
        <v>8993923.7400000002</v>
      </c>
      <c r="S30" s="397">
        <f t="shared" si="14"/>
        <v>8993923.7400000002</v>
      </c>
      <c r="T30" s="397">
        <f t="shared" si="14"/>
        <v>8993923.7400000002</v>
      </c>
      <c r="U30" s="397">
        <f t="shared" si="14"/>
        <v>8993923.7400000002</v>
      </c>
      <c r="V30" s="397">
        <f t="shared" si="14"/>
        <v>8993923.7400000002</v>
      </c>
      <c r="W30" s="397">
        <f t="shared" si="14"/>
        <v>8993923.7400000002</v>
      </c>
      <c r="X30" s="397">
        <f t="shared" si="14"/>
        <v>8993923.7400000002</v>
      </c>
      <c r="Y30" s="397">
        <f t="shared" si="14"/>
        <v>8993923.7400000002</v>
      </c>
      <c r="Z30" s="397">
        <f>$I30-SUM($K30:Y30)</f>
        <v>5276296.3900000751</v>
      </c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Q30" s="397">
        <f>I30-SUM(K30:AP30)</f>
        <v>0</v>
      </c>
    </row>
    <row r="31" spans="3:43" ht="13.5" thickTop="1" x14ac:dyDescent="0.2">
      <c r="C31" s="389"/>
      <c r="D31" s="385"/>
      <c r="E31" s="390"/>
      <c r="F31" s="385"/>
      <c r="G31" s="390"/>
      <c r="H31" s="385"/>
      <c r="I31" s="385"/>
      <c r="J31" s="385"/>
      <c r="K31" s="390"/>
    </row>
    <row r="32" spans="3:43" ht="13.5" thickBot="1" x14ac:dyDescent="0.25">
      <c r="C32" s="389" t="s">
        <v>263</v>
      </c>
      <c r="D32" s="385"/>
      <c r="E32" s="395">
        <v>74539066.459999993</v>
      </c>
      <c r="F32" s="385"/>
      <c r="G32" s="395">
        <v>41309729.700000003</v>
      </c>
      <c r="H32" s="385"/>
      <c r="I32" s="396">
        <v>33229336.75999999</v>
      </c>
      <c r="J32" s="384">
        <f>E32/K32</f>
        <v>31.755910153932454</v>
      </c>
      <c r="K32" s="395">
        <v>2347250.2000000002</v>
      </c>
      <c r="L32" s="397">
        <f t="shared" ref="L32:X32" si="15">+K32</f>
        <v>2347250.2000000002</v>
      </c>
      <c r="M32" s="397">
        <f t="shared" si="15"/>
        <v>2347250.2000000002</v>
      </c>
      <c r="N32" s="397">
        <f t="shared" si="15"/>
        <v>2347250.2000000002</v>
      </c>
      <c r="O32" s="397">
        <f t="shared" si="15"/>
        <v>2347250.2000000002</v>
      </c>
      <c r="P32" s="397">
        <f t="shared" si="15"/>
        <v>2347250.2000000002</v>
      </c>
      <c r="Q32" s="397">
        <f t="shared" si="15"/>
        <v>2347250.2000000002</v>
      </c>
      <c r="R32" s="397">
        <f t="shared" si="15"/>
        <v>2347250.2000000002</v>
      </c>
      <c r="S32" s="397">
        <f t="shared" si="15"/>
        <v>2347250.2000000002</v>
      </c>
      <c r="T32" s="397">
        <f t="shared" si="15"/>
        <v>2347250.2000000002</v>
      </c>
      <c r="U32" s="397">
        <f t="shared" si="15"/>
        <v>2347250.2000000002</v>
      </c>
      <c r="V32" s="397">
        <f t="shared" si="15"/>
        <v>2347250.2000000002</v>
      </c>
      <c r="W32" s="397">
        <f t="shared" si="15"/>
        <v>2347250.2000000002</v>
      </c>
      <c r="X32" s="397">
        <f t="shared" si="15"/>
        <v>2347250.2000000002</v>
      </c>
      <c r="Y32" s="397">
        <f>$I32-SUM($K32:X32)</f>
        <v>367833.95999999717</v>
      </c>
      <c r="Z32" s="397">
        <f>$I32-SUM($K32:Y32)</f>
        <v>0</v>
      </c>
      <c r="AA32" s="397"/>
      <c r="AB32" s="397"/>
      <c r="AC32" s="397"/>
      <c r="AD32" s="397"/>
      <c r="AE32" s="397"/>
      <c r="AF32" s="397"/>
      <c r="AG32" s="397"/>
      <c r="AH32" s="397"/>
      <c r="AI32" s="397"/>
      <c r="AJ32" s="397"/>
      <c r="AK32" s="397"/>
      <c r="AL32" s="397"/>
      <c r="AM32" s="397"/>
      <c r="AN32" s="397"/>
      <c r="AO32" s="397"/>
      <c r="AQ32" s="397">
        <f>I32-SUM(K32:AP32)</f>
        <v>0</v>
      </c>
    </row>
    <row r="33" spans="3:43" ht="13.5" thickTop="1" x14ac:dyDescent="0.2">
      <c r="C33" s="389"/>
      <c r="D33" s="385"/>
      <c r="E33" s="390"/>
      <c r="F33" s="385"/>
      <c r="G33" s="390"/>
      <c r="H33" s="385"/>
      <c r="I33" s="385"/>
      <c r="J33" s="385"/>
      <c r="K33" s="390"/>
    </row>
    <row r="34" spans="3:43" ht="13.5" thickBot="1" x14ac:dyDescent="0.25">
      <c r="C34" s="389" t="s">
        <v>264</v>
      </c>
      <c r="D34" s="385"/>
      <c r="E34" s="395">
        <v>333008286.97999996</v>
      </c>
      <c r="F34" s="385"/>
      <c r="G34" s="395">
        <v>181244908.27000004</v>
      </c>
      <c r="H34" s="385"/>
      <c r="I34" s="396">
        <v>151763378.70999992</v>
      </c>
      <c r="J34" s="384">
        <f>E34/K34</f>
        <v>36.197674430991277</v>
      </c>
      <c r="K34" s="395">
        <v>9199714.9600000009</v>
      </c>
      <c r="L34" s="397">
        <f t="shared" ref="L34:Z34" si="16">+K34</f>
        <v>9199714.9600000009</v>
      </c>
      <c r="M34" s="397">
        <f t="shared" si="16"/>
        <v>9199714.9600000009</v>
      </c>
      <c r="N34" s="397">
        <f t="shared" si="16"/>
        <v>9199714.9600000009</v>
      </c>
      <c r="O34" s="397">
        <f t="shared" si="16"/>
        <v>9199714.9600000009</v>
      </c>
      <c r="P34" s="397">
        <f t="shared" si="16"/>
        <v>9199714.9600000009</v>
      </c>
      <c r="Q34" s="397">
        <f t="shared" si="16"/>
        <v>9199714.9600000009</v>
      </c>
      <c r="R34" s="397">
        <f t="shared" si="16"/>
        <v>9199714.9600000009</v>
      </c>
      <c r="S34" s="397">
        <f t="shared" si="16"/>
        <v>9199714.9600000009</v>
      </c>
      <c r="T34" s="397">
        <f t="shared" si="16"/>
        <v>9199714.9600000009</v>
      </c>
      <c r="U34" s="397">
        <f t="shared" si="16"/>
        <v>9199714.9600000009</v>
      </c>
      <c r="V34" s="397">
        <f t="shared" si="16"/>
        <v>9199714.9600000009</v>
      </c>
      <c r="W34" s="397">
        <f t="shared" si="16"/>
        <v>9199714.9600000009</v>
      </c>
      <c r="X34" s="397">
        <f t="shared" si="16"/>
        <v>9199714.9600000009</v>
      </c>
      <c r="Y34" s="397">
        <f t="shared" si="16"/>
        <v>9199714.9600000009</v>
      </c>
      <c r="Z34" s="397">
        <f t="shared" si="16"/>
        <v>9199714.9600000009</v>
      </c>
      <c r="AA34" s="397">
        <f>$I34-SUM($K34:Z34)</f>
        <v>4567939.349999845</v>
      </c>
      <c r="AB34" s="397"/>
      <c r="AC34" s="397"/>
      <c r="AD34" s="397"/>
      <c r="AE34" s="397"/>
      <c r="AF34" s="397"/>
      <c r="AG34" s="397"/>
      <c r="AH34" s="397"/>
      <c r="AI34" s="397"/>
      <c r="AJ34" s="397"/>
      <c r="AK34" s="397"/>
      <c r="AL34" s="397"/>
      <c r="AM34" s="397"/>
      <c r="AN34" s="397"/>
      <c r="AO34" s="397"/>
      <c r="AQ34" s="397">
        <f>I34-SUM(K34:AP34)</f>
        <v>0</v>
      </c>
    </row>
    <row r="35" spans="3:43" ht="13.5" thickTop="1" x14ac:dyDescent="0.2">
      <c r="C35" s="389"/>
      <c r="D35" s="385"/>
      <c r="E35" s="390"/>
      <c r="F35" s="385"/>
      <c r="G35" s="390"/>
      <c r="H35" s="385"/>
      <c r="I35" s="385"/>
      <c r="J35" s="385"/>
      <c r="K35" s="390"/>
    </row>
    <row r="36" spans="3:43" ht="13.5" thickBot="1" x14ac:dyDescent="0.25">
      <c r="C36" s="389" t="s">
        <v>265</v>
      </c>
      <c r="D36" s="385"/>
      <c r="E36" s="395">
        <v>186552063.12</v>
      </c>
      <c r="F36" s="385"/>
      <c r="G36" s="395">
        <v>95886825.739999995</v>
      </c>
      <c r="H36" s="385"/>
      <c r="I36" s="396">
        <v>90665237.38000001</v>
      </c>
      <c r="J36" s="384">
        <f>E36/K36</f>
        <v>36.280221230083292</v>
      </c>
      <c r="K36" s="395">
        <v>5141977</v>
      </c>
      <c r="L36" s="397">
        <f t="shared" ref="L36:AA36" si="17">+K36</f>
        <v>5141977</v>
      </c>
      <c r="M36" s="397">
        <f t="shared" si="17"/>
        <v>5141977</v>
      </c>
      <c r="N36" s="397">
        <f t="shared" si="17"/>
        <v>5141977</v>
      </c>
      <c r="O36" s="397">
        <f t="shared" si="17"/>
        <v>5141977</v>
      </c>
      <c r="P36" s="397">
        <f t="shared" si="17"/>
        <v>5141977</v>
      </c>
      <c r="Q36" s="397">
        <f t="shared" si="17"/>
        <v>5141977</v>
      </c>
      <c r="R36" s="397">
        <f t="shared" si="17"/>
        <v>5141977</v>
      </c>
      <c r="S36" s="397">
        <f t="shared" si="17"/>
        <v>5141977</v>
      </c>
      <c r="T36" s="397">
        <f t="shared" si="17"/>
        <v>5141977</v>
      </c>
      <c r="U36" s="397">
        <f t="shared" si="17"/>
        <v>5141977</v>
      </c>
      <c r="V36" s="397">
        <f t="shared" si="17"/>
        <v>5141977</v>
      </c>
      <c r="W36" s="397">
        <f t="shared" si="17"/>
        <v>5141977</v>
      </c>
      <c r="X36" s="397">
        <f t="shared" si="17"/>
        <v>5141977</v>
      </c>
      <c r="Y36" s="397">
        <f t="shared" si="17"/>
        <v>5141977</v>
      </c>
      <c r="Z36" s="397">
        <f t="shared" si="17"/>
        <v>5141977</v>
      </c>
      <c r="AA36" s="397">
        <f t="shared" si="17"/>
        <v>5141977</v>
      </c>
      <c r="AB36" s="397">
        <f>$I36-SUM($K36:AA36)</f>
        <v>3251628.3800000101</v>
      </c>
      <c r="AC36" s="397"/>
      <c r="AD36" s="397"/>
      <c r="AE36" s="397"/>
      <c r="AF36" s="397"/>
      <c r="AG36" s="397"/>
      <c r="AH36" s="397"/>
      <c r="AI36" s="397"/>
      <c r="AJ36" s="397"/>
      <c r="AK36" s="397"/>
      <c r="AL36" s="397"/>
      <c r="AM36" s="397"/>
      <c r="AN36" s="397"/>
      <c r="AO36" s="397"/>
      <c r="AQ36" s="397">
        <f>I36-SUM(K36:AP36)</f>
        <v>0</v>
      </c>
    </row>
    <row r="37" spans="3:43" ht="13.5" thickTop="1" x14ac:dyDescent="0.2">
      <c r="C37" s="389"/>
      <c r="D37" s="385"/>
      <c r="E37" s="390"/>
      <c r="F37" s="385"/>
      <c r="G37" s="390"/>
      <c r="H37" s="385"/>
      <c r="I37" s="385"/>
      <c r="J37" s="385"/>
      <c r="K37" s="390"/>
    </row>
    <row r="38" spans="3:43" ht="13.5" thickBot="1" x14ac:dyDescent="0.25">
      <c r="C38" s="389" t="s">
        <v>266</v>
      </c>
      <c r="D38" s="385"/>
      <c r="E38" s="395">
        <v>1222316424.1200001</v>
      </c>
      <c r="F38" s="385"/>
      <c r="G38" s="395">
        <v>310808658.04000002</v>
      </c>
      <c r="H38" s="385"/>
      <c r="I38" s="396">
        <v>911507766.08000016</v>
      </c>
      <c r="J38" s="384">
        <f>E38/K38</f>
        <v>33.882373724573633</v>
      </c>
      <c r="K38" s="395">
        <v>36075289</v>
      </c>
      <c r="L38" s="397">
        <f t="shared" ref="L38:AI38" si="18">+K38</f>
        <v>36075289</v>
      </c>
      <c r="M38" s="397">
        <f t="shared" si="18"/>
        <v>36075289</v>
      </c>
      <c r="N38" s="397">
        <f t="shared" si="18"/>
        <v>36075289</v>
      </c>
      <c r="O38" s="397">
        <f t="shared" si="18"/>
        <v>36075289</v>
      </c>
      <c r="P38" s="397">
        <f t="shared" si="18"/>
        <v>36075289</v>
      </c>
      <c r="Q38" s="397">
        <f t="shared" si="18"/>
        <v>36075289</v>
      </c>
      <c r="R38" s="397">
        <f t="shared" si="18"/>
        <v>36075289</v>
      </c>
      <c r="S38" s="397">
        <f t="shared" si="18"/>
        <v>36075289</v>
      </c>
      <c r="T38" s="397">
        <f t="shared" si="18"/>
        <v>36075289</v>
      </c>
      <c r="U38" s="397">
        <f t="shared" si="18"/>
        <v>36075289</v>
      </c>
      <c r="V38" s="397">
        <f t="shared" si="18"/>
        <v>36075289</v>
      </c>
      <c r="W38" s="397">
        <f t="shared" si="18"/>
        <v>36075289</v>
      </c>
      <c r="X38" s="397">
        <f t="shared" si="18"/>
        <v>36075289</v>
      </c>
      <c r="Y38" s="397">
        <f t="shared" si="18"/>
        <v>36075289</v>
      </c>
      <c r="Z38" s="397">
        <f t="shared" si="18"/>
        <v>36075289</v>
      </c>
      <c r="AA38" s="397">
        <f t="shared" si="18"/>
        <v>36075289</v>
      </c>
      <c r="AB38" s="397">
        <f t="shared" si="18"/>
        <v>36075289</v>
      </c>
      <c r="AC38" s="397">
        <f t="shared" si="18"/>
        <v>36075289</v>
      </c>
      <c r="AD38" s="397">
        <f t="shared" si="18"/>
        <v>36075289</v>
      </c>
      <c r="AE38" s="397">
        <f t="shared" si="18"/>
        <v>36075289</v>
      </c>
      <c r="AF38" s="397">
        <f t="shared" si="18"/>
        <v>36075289</v>
      </c>
      <c r="AG38" s="397">
        <f t="shared" si="18"/>
        <v>36075289</v>
      </c>
      <c r="AH38" s="397">
        <f t="shared" si="18"/>
        <v>36075289</v>
      </c>
      <c r="AI38" s="397">
        <f t="shared" si="18"/>
        <v>36075289</v>
      </c>
      <c r="AJ38" s="397">
        <f>$I38-SUM($K38:AI38)</f>
        <v>9625541.0800001621</v>
      </c>
      <c r="AK38" s="397">
        <f>$I38-SUM($K38:AJ38)</f>
        <v>0</v>
      </c>
      <c r="AL38" s="397">
        <f>$I38-SUM($K38:AK38)</f>
        <v>0</v>
      </c>
      <c r="AM38" s="397">
        <f>$I38-SUM($K38:AL38)</f>
        <v>0</v>
      </c>
      <c r="AN38" s="397">
        <f>$I38-SUM($K38:AM38)</f>
        <v>0</v>
      </c>
      <c r="AO38" s="397"/>
      <c r="AQ38" s="397">
        <f>I38-SUM(K38:AP38)</f>
        <v>0</v>
      </c>
    </row>
    <row r="39" spans="3:43" ht="13.5" thickTop="1" x14ac:dyDescent="0.2">
      <c r="C39" s="389"/>
      <c r="D39" s="385"/>
      <c r="E39" s="390"/>
      <c r="F39" s="385"/>
      <c r="G39" s="390"/>
      <c r="H39" s="385"/>
      <c r="I39" s="385"/>
      <c r="J39" s="385"/>
      <c r="K39" s="390"/>
    </row>
    <row r="40" spans="3:43" ht="13.5" thickBot="1" x14ac:dyDescent="0.25">
      <c r="C40" s="389" t="s">
        <v>267</v>
      </c>
      <c r="D40" s="385"/>
      <c r="E40" s="395">
        <v>237857577.15000001</v>
      </c>
      <c r="F40" s="385"/>
      <c r="G40" s="395">
        <v>77832726.929999977</v>
      </c>
      <c r="H40" s="385"/>
      <c r="I40" s="396">
        <v>160024850.22000003</v>
      </c>
      <c r="J40" s="384">
        <f>E40/K40</f>
        <v>22.625462889287533</v>
      </c>
      <c r="K40" s="395">
        <v>10512827</v>
      </c>
      <c r="L40" s="397">
        <f t="shared" ref="L40:Y40" si="19">+K40</f>
        <v>10512827</v>
      </c>
      <c r="M40" s="397">
        <f t="shared" si="19"/>
        <v>10512827</v>
      </c>
      <c r="N40" s="397">
        <f t="shared" si="19"/>
        <v>10512827</v>
      </c>
      <c r="O40" s="397">
        <f t="shared" si="19"/>
        <v>10512827</v>
      </c>
      <c r="P40" s="397">
        <f t="shared" si="19"/>
        <v>10512827</v>
      </c>
      <c r="Q40" s="397">
        <f t="shared" si="19"/>
        <v>10512827</v>
      </c>
      <c r="R40" s="397">
        <f t="shared" si="19"/>
        <v>10512827</v>
      </c>
      <c r="S40" s="397">
        <f t="shared" si="19"/>
        <v>10512827</v>
      </c>
      <c r="T40" s="397">
        <f t="shared" si="19"/>
        <v>10512827</v>
      </c>
      <c r="U40" s="397">
        <f t="shared" si="19"/>
        <v>10512827</v>
      </c>
      <c r="V40" s="397">
        <f t="shared" si="19"/>
        <v>10512827</v>
      </c>
      <c r="W40" s="397">
        <f t="shared" si="19"/>
        <v>10512827</v>
      </c>
      <c r="X40" s="397">
        <f t="shared" si="19"/>
        <v>10512827</v>
      </c>
      <c r="Y40" s="397">
        <f t="shared" si="19"/>
        <v>10512827</v>
      </c>
      <c r="Z40" s="397">
        <f>$I40-SUM($K40:Y40)</f>
        <v>2332445.2200000286</v>
      </c>
      <c r="AA40" s="397">
        <f>$I40-SUM($K40:Z40)</f>
        <v>0</v>
      </c>
      <c r="AB40" s="397">
        <f>$I40-SUM($K40:AA40)</f>
        <v>0</v>
      </c>
      <c r="AC40" s="397">
        <f>$I40-SUM($K40:AB40)</f>
        <v>0</v>
      </c>
      <c r="AD40" s="397">
        <f>$I40-SUM($K40:AC40)</f>
        <v>0</v>
      </c>
      <c r="AE40" s="397">
        <f>$I40-SUM($K40:AD40)</f>
        <v>0</v>
      </c>
      <c r="AF40" s="397">
        <f>$I40-SUM($K40:AE40)</f>
        <v>0</v>
      </c>
      <c r="AG40" s="397">
        <f>$I40-SUM($K40:AF40)</f>
        <v>0</v>
      </c>
      <c r="AH40" s="397">
        <f>$I40-SUM($K40:AG40)</f>
        <v>0</v>
      </c>
      <c r="AI40" s="397">
        <f>$I40-SUM($K40:AH40)</f>
        <v>0</v>
      </c>
      <c r="AJ40" s="397">
        <f>$I40-SUM($K40:AI40)</f>
        <v>0</v>
      </c>
      <c r="AK40" s="397">
        <f>$I40-SUM($K40:AJ40)</f>
        <v>0</v>
      </c>
      <c r="AL40" s="397">
        <f>$I40-SUM($K40:AK40)</f>
        <v>0</v>
      </c>
      <c r="AM40" s="397">
        <f>$I40-SUM($K40:AL40)</f>
        <v>0</v>
      </c>
      <c r="AN40" s="397">
        <f>$I40-SUM($K40:AM40)</f>
        <v>0</v>
      </c>
      <c r="AO40" s="397"/>
      <c r="AQ40" s="397">
        <f>I40-SUM(K40:AP40)</f>
        <v>0</v>
      </c>
    </row>
    <row r="41" spans="3:43" ht="13.5" thickTop="1" x14ac:dyDescent="0.2">
      <c r="C41" s="385"/>
      <c r="D41" s="385"/>
      <c r="E41" s="391"/>
      <c r="F41" s="385"/>
      <c r="G41" s="391"/>
      <c r="H41" s="385"/>
      <c r="I41" s="385"/>
      <c r="J41" s="385"/>
      <c r="K41" s="385"/>
      <c r="AQ41" s="384">
        <f>I41-SUM(K41:AP41)</f>
        <v>0</v>
      </c>
    </row>
    <row r="42" spans="3:43" ht="13.5" thickBot="1" x14ac:dyDescent="0.25">
      <c r="C42" s="389" t="s">
        <v>268</v>
      </c>
      <c r="D42" s="385"/>
      <c r="E42" s="398">
        <f>+E13+E25+E27+E30+E32+E34+E36+E38+E40</f>
        <v>3026216514.7199998</v>
      </c>
      <c r="F42" s="385"/>
      <c r="G42" s="398">
        <f>+G13+G25+G27+G30+G32+G34+G36+G38+G40</f>
        <v>1330900506.2100003</v>
      </c>
      <c r="H42" s="399">
        <f>SUM(H7:H40)</f>
        <v>0</v>
      </c>
      <c r="I42" s="398">
        <f>+I13+I25+I27+I30+I32+I34+I36+I38+I40</f>
        <v>1695316008.51</v>
      </c>
      <c r="J42" s="384">
        <f>E42/K42</f>
        <v>32.029672229725982</v>
      </c>
      <c r="K42" s="398">
        <f t="shared" ref="K42:AO42" si="20">+K13+K25+K27+K30+K32+K34+K36+K38+K40</f>
        <v>94481657.289999992</v>
      </c>
      <c r="L42" s="398">
        <f t="shared" si="20"/>
        <v>94481657.289999992</v>
      </c>
      <c r="M42" s="398">
        <f t="shared" si="20"/>
        <v>94438416.450000003</v>
      </c>
      <c r="N42" s="398">
        <f t="shared" si="20"/>
        <v>94282037.289999992</v>
      </c>
      <c r="O42" s="398">
        <f t="shared" si="20"/>
        <v>93885453.420000002</v>
      </c>
      <c r="P42" s="398">
        <f t="shared" si="20"/>
        <v>92047195.730000004</v>
      </c>
      <c r="Q42" s="398">
        <f t="shared" si="20"/>
        <v>92047195.730000004</v>
      </c>
      <c r="R42" s="398">
        <f t="shared" si="20"/>
        <v>85810488.929999977</v>
      </c>
      <c r="S42" s="398">
        <f t="shared" si="20"/>
        <v>80575086</v>
      </c>
      <c r="T42" s="398">
        <f t="shared" si="20"/>
        <v>79996888.780000001</v>
      </c>
      <c r="U42" s="398">
        <f t="shared" si="20"/>
        <v>79797789.420000002</v>
      </c>
      <c r="V42" s="398">
        <f t="shared" si="20"/>
        <v>78642290.719999999</v>
      </c>
      <c r="W42" s="398">
        <f t="shared" si="20"/>
        <v>78642290.719999999</v>
      </c>
      <c r="X42" s="398">
        <f t="shared" si="20"/>
        <v>77257893.560000002</v>
      </c>
      <c r="Y42" s="398">
        <f t="shared" si="20"/>
        <v>73386963</v>
      </c>
      <c r="Z42" s="398">
        <f t="shared" si="20"/>
        <v>58245988.800000094</v>
      </c>
      <c r="AA42" s="398">
        <f t="shared" si="20"/>
        <v>45817233.919999845</v>
      </c>
      <c r="AB42" s="398">
        <f t="shared" si="20"/>
        <v>39326917.38000001</v>
      </c>
      <c r="AC42" s="398">
        <f t="shared" si="20"/>
        <v>36075289</v>
      </c>
      <c r="AD42" s="398">
        <f t="shared" si="20"/>
        <v>36075289</v>
      </c>
      <c r="AE42" s="398">
        <f t="shared" si="20"/>
        <v>36075289</v>
      </c>
      <c r="AF42" s="398">
        <f t="shared" si="20"/>
        <v>36075289</v>
      </c>
      <c r="AG42" s="398">
        <f t="shared" si="20"/>
        <v>36075289</v>
      </c>
      <c r="AH42" s="398">
        <f t="shared" si="20"/>
        <v>36075289</v>
      </c>
      <c r="AI42" s="398">
        <f t="shared" si="20"/>
        <v>36075289</v>
      </c>
      <c r="AJ42" s="398">
        <f t="shared" si="20"/>
        <v>9625541.0800001621</v>
      </c>
      <c r="AK42" s="398">
        <f t="shared" si="20"/>
        <v>0</v>
      </c>
      <c r="AL42" s="398">
        <f t="shared" si="20"/>
        <v>0</v>
      </c>
      <c r="AM42" s="398">
        <f t="shared" si="20"/>
        <v>0</v>
      </c>
      <c r="AN42" s="398">
        <f t="shared" si="20"/>
        <v>0</v>
      </c>
      <c r="AO42" s="398">
        <f t="shared" si="20"/>
        <v>0</v>
      </c>
      <c r="AQ42" s="398">
        <f>+AQ13+AQ25+AQ27+AQ30+AQ32+AQ34+AQ36+AQ38+AQ40</f>
        <v>0</v>
      </c>
    </row>
    <row r="43" spans="3:43" ht="13.5" thickTop="1" x14ac:dyDescent="0.2">
      <c r="E43" s="391"/>
      <c r="F43" s="385"/>
      <c r="G43" s="391"/>
      <c r="H43" s="385"/>
      <c r="I43" s="391"/>
      <c r="J43" s="385"/>
      <c r="K43" s="391"/>
    </row>
    <row r="44" spans="3:43" x14ac:dyDescent="0.2">
      <c r="C44" s="385"/>
      <c r="D44" s="385"/>
      <c r="E44" s="385"/>
      <c r="F44" s="385"/>
      <c r="G44" s="385"/>
      <c r="H44" s="385"/>
      <c r="I44" s="385"/>
      <c r="J44" s="385"/>
      <c r="K44" s="385"/>
    </row>
    <row r="45" spans="3:43" x14ac:dyDescent="0.2">
      <c r="C45" s="400"/>
      <c r="D45" s="385"/>
      <c r="E45" s="385"/>
      <c r="F45" s="385"/>
      <c r="G45" s="385"/>
      <c r="H45" s="385"/>
      <c r="I45" s="385"/>
      <c r="J45" s="385"/>
      <c r="K45" s="385"/>
    </row>
    <row r="46" spans="3:43" x14ac:dyDescent="0.2">
      <c r="C46" s="385"/>
      <c r="D46" s="385"/>
      <c r="E46" s="385"/>
      <c r="F46" s="385"/>
      <c r="G46" s="385"/>
      <c r="H46" s="385"/>
      <c r="I46" s="385"/>
      <c r="J46" s="385"/>
      <c r="K46" s="385"/>
    </row>
    <row r="47" spans="3:43" x14ac:dyDescent="0.2">
      <c r="C47" s="385"/>
      <c r="D47" s="385"/>
      <c r="E47" s="385"/>
      <c r="F47" s="385"/>
      <c r="G47" s="385"/>
      <c r="H47" s="385"/>
      <c r="I47" s="385"/>
      <c r="J47" s="385"/>
      <c r="K47" s="385"/>
    </row>
    <row r="51" spans="3:43" x14ac:dyDescent="0.2">
      <c r="D51" s="384" t="s">
        <v>269</v>
      </c>
    </row>
    <row r="53" spans="3:43" x14ac:dyDescent="0.2">
      <c r="F53" s="384" t="s">
        <v>270</v>
      </c>
    </row>
    <row r="54" spans="3:43" x14ac:dyDescent="0.2">
      <c r="E54" s="391"/>
      <c r="F54" s="391"/>
      <c r="G54" s="385"/>
      <c r="H54" s="391"/>
      <c r="I54" s="391"/>
      <c r="J54" s="385"/>
      <c r="K54" s="387">
        <v>2000</v>
      </c>
    </row>
    <row r="55" spans="3:43" x14ac:dyDescent="0.2">
      <c r="E55" s="386" t="s">
        <v>239</v>
      </c>
      <c r="F55" s="385"/>
      <c r="G55" s="386" t="s">
        <v>240</v>
      </c>
      <c r="H55" s="385"/>
      <c r="I55" s="387" t="s">
        <v>241</v>
      </c>
      <c r="J55" s="385"/>
      <c r="K55" s="386" t="s">
        <v>242</v>
      </c>
    </row>
    <row r="56" spans="3:43" x14ac:dyDescent="0.2">
      <c r="E56" s="386" t="s">
        <v>243</v>
      </c>
      <c r="F56" s="385"/>
      <c r="G56" s="386" t="s">
        <v>244</v>
      </c>
      <c r="H56" s="385"/>
      <c r="I56" s="387" t="s">
        <v>245</v>
      </c>
      <c r="J56" s="385"/>
      <c r="K56" s="388" t="s">
        <v>305</v>
      </c>
    </row>
    <row r="57" spans="3:43" x14ac:dyDescent="0.2">
      <c r="AQ57" s="384">
        <f>I57-SUM(K57:AP57)</f>
        <v>0</v>
      </c>
    </row>
    <row r="58" spans="3:43" x14ac:dyDescent="0.2">
      <c r="C58" s="384" t="s">
        <v>271</v>
      </c>
      <c r="E58" s="384">
        <v>299012.98</v>
      </c>
      <c r="G58" s="384">
        <v>217537.62</v>
      </c>
      <c r="I58" s="384">
        <v>81475.360000000001</v>
      </c>
      <c r="J58" s="384">
        <f>E58/K58</f>
        <v>34.96409962581852</v>
      </c>
      <c r="K58" s="384">
        <v>8552</v>
      </c>
      <c r="L58" s="384">
        <f t="shared" ref="L58:S60" si="21">+K58</f>
        <v>8552</v>
      </c>
      <c r="M58" s="384">
        <f t="shared" si="21"/>
        <v>8552</v>
      </c>
      <c r="N58" s="384">
        <f t="shared" si="21"/>
        <v>8552</v>
      </c>
      <c r="O58" s="384">
        <f t="shared" si="21"/>
        <v>8552</v>
      </c>
      <c r="P58" s="384">
        <f t="shared" si="21"/>
        <v>8552</v>
      </c>
      <c r="Q58" s="384">
        <f t="shared" si="21"/>
        <v>8552</v>
      </c>
      <c r="R58" s="384">
        <f t="shared" si="21"/>
        <v>8552</v>
      </c>
      <c r="S58" s="384">
        <f t="shared" si="21"/>
        <v>8552</v>
      </c>
      <c r="T58" s="384">
        <f>$I58-SUM($K58:S58)</f>
        <v>4507.3600000000006</v>
      </c>
      <c r="U58" s="384">
        <f>$I58-SUM($K58:T58)</f>
        <v>0</v>
      </c>
      <c r="V58" s="384">
        <f>$I58-SUM($K58:U58)</f>
        <v>0</v>
      </c>
      <c r="W58" s="384">
        <f>$I58-SUM($K58:V58)</f>
        <v>0</v>
      </c>
      <c r="X58" s="384">
        <f>$I58-SUM($K58:W58)</f>
        <v>0</v>
      </c>
      <c r="Y58" s="384">
        <f>$I58-SUM($K58:X58)</f>
        <v>0</v>
      </c>
      <c r="Z58" s="384">
        <f>$I58-SUM($K58:Y58)</f>
        <v>0</v>
      </c>
      <c r="AA58" s="384">
        <f>$I58-SUM($K58:Z58)</f>
        <v>0</v>
      </c>
      <c r="AB58" s="384">
        <f>$I58-SUM($K58:AA58)</f>
        <v>0</v>
      </c>
      <c r="AC58" s="384">
        <f>$I58-SUM($K58:AB58)</f>
        <v>0</v>
      </c>
      <c r="AD58" s="384">
        <f>$I58-SUM($K58:AC58)</f>
        <v>0</v>
      </c>
      <c r="AE58" s="384">
        <f>$I58-SUM($K58:AD58)</f>
        <v>0</v>
      </c>
      <c r="AF58" s="384">
        <f>$I58-SUM($K58:AE58)</f>
        <v>0</v>
      </c>
      <c r="AG58" s="384">
        <f>$I58-SUM($K58:AF58)</f>
        <v>0</v>
      </c>
      <c r="AH58" s="384">
        <f>$I58-SUM($K58:AG58)</f>
        <v>0</v>
      </c>
      <c r="AI58" s="384">
        <f>$I58-SUM($K58:AH58)</f>
        <v>0</v>
      </c>
      <c r="AJ58" s="384">
        <f>$I58-SUM($K58:AI58)</f>
        <v>0</v>
      </c>
      <c r="AK58" s="384">
        <f>$I58-SUM($K58:AJ58)</f>
        <v>0</v>
      </c>
      <c r="AL58" s="384">
        <f>$I58-SUM($K58:AK58)</f>
        <v>0</v>
      </c>
      <c r="AM58" s="384">
        <f>$I58-SUM($K58:AL58)</f>
        <v>0</v>
      </c>
      <c r="AN58" s="384">
        <f>$I58-SUM($K58:AM58)</f>
        <v>0</v>
      </c>
      <c r="AO58" s="384">
        <f>$I58-SUM($K58:AN58)</f>
        <v>0</v>
      </c>
      <c r="AQ58" s="384">
        <f>I58-SUM(K58:AP58)</f>
        <v>0</v>
      </c>
    </row>
    <row r="59" spans="3:43" x14ac:dyDescent="0.2">
      <c r="C59" s="384" t="s">
        <v>272</v>
      </c>
      <c r="E59" s="384">
        <v>760980.54</v>
      </c>
      <c r="G59" s="384">
        <v>311234.11</v>
      </c>
      <c r="I59" s="384">
        <v>449746.43</v>
      </c>
      <c r="J59" s="384">
        <f>I59/K59</f>
        <v>35.180415362953688</v>
      </c>
      <c r="K59" s="384">
        <v>12784</v>
      </c>
      <c r="L59" s="384">
        <f t="shared" si="21"/>
        <v>12784</v>
      </c>
      <c r="M59" s="384">
        <f t="shared" si="21"/>
        <v>12784</v>
      </c>
      <c r="N59" s="384">
        <f t="shared" si="21"/>
        <v>12784</v>
      </c>
      <c r="O59" s="384">
        <f t="shared" si="21"/>
        <v>12784</v>
      </c>
      <c r="P59" s="384">
        <f t="shared" si="21"/>
        <v>12784</v>
      </c>
      <c r="Q59" s="384">
        <f t="shared" si="21"/>
        <v>12784</v>
      </c>
      <c r="R59" s="384">
        <f t="shared" si="21"/>
        <v>12784</v>
      </c>
      <c r="S59" s="384">
        <f t="shared" si="21"/>
        <v>12784</v>
      </c>
      <c r="T59" s="384">
        <f t="shared" ref="T59:AO59" si="22">+S59</f>
        <v>12784</v>
      </c>
      <c r="U59" s="384">
        <f t="shared" si="22"/>
        <v>12784</v>
      </c>
      <c r="V59" s="384">
        <f t="shared" si="22"/>
        <v>12784</v>
      </c>
      <c r="W59" s="384">
        <f t="shared" si="22"/>
        <v>12784</v>
      </c>
      <c r="X59" s="384">
        <f t="shared" si="22"/>
        <v>12784</v>
      </c>
      <c r="Y59" s="384">
        <f t="shared" si="22"/>
        <v>12784</v>
      </c>
      <c r="Z59" s="384">
        <f t="shared" si="22"/>
        <v>12784</v>
      </c>
      <c r="AA59" s="384">
        <f t="shared" si="22"/>
        <v>12784</v>
      </c>
      <c r="AB59" s="384">
        <f t="shared" si="22"/>
        <v>12784</v>
      </c>
      <c r="AC59" s="384">
        <f t="shared" si="22"/>
        <v>12784</v>
      </c>
      <c r="AD59" s="384">
        <f t="shared" si="22"/>
        <v>12784</v>
      </c>
      <c r="AE59" s="384">
        <f t="shared" si="22"/>
        <v>12784</v>
      </c>
      <c r="AF59" s="384">
        <f t="shared" si="22"/>
        <v>12784</v>
      </c>
      <c r="AG59" s="384">
        <f t="shared" si="22"/>
        <v>12784</v>
      </c>
      <c r="AH59" s="384">
        <f t="shared" si="22"/>
        <v>12784</v>
      </c>
      <c r="AI59" s="384">
        <f t="shared" si="22"/>
        <v>12784</v>
      </c>
      <c r="AJ59" s="384">
        <f t="shared" si="22"/>
        <v>12784</v>
      </c>
      <c r="AK59" s="384">
        <f t="shared" si="22"/>
        <v>12784</v>
      </c>
      <c r="AL59" s="384">
        <f t="shared" si="22"/>
        <v>12784</v>
      </c>
      <c r="AM59" s="384">
        <f t="shared" si="22"/>
        <v>12784</v>
      </c>
      <c r="AN59" s="384">
        <f t="shared" si="22"/>
        <v>12784</v>
      </c>
      <c r="AO59" s="384">
        <f t="shared" si="22"/>
        <v>12784</v>
      </c>
      <c r="AQ59" s="384">
        <f>I59-SUM(K59:AP59)</f>
        <v>53442.429999999993</v>
      </c>
    </row>
    <row r="60" spans="3:43" x14ac:dyDescent="0.2">
      <c r="C60" s="384" t="s">
        <v>273</v>
      </c>
      <c r="E60" s="384">
        <v>2016876.51</v>
      </c>
      <c r="G60" s="384">
        <v>1208263.73</v>
      </c>
      <c r="I60" s="384">
        <v>808612.78</v>
      </c>
      <c r="J60" s="384">
        <f>I60/K60</f>
        <v>23.864147680321096</v>
      </c>
      <c r="K60" s="384">
        <v>33884</v>
      </c>
      <c r="L60" s="384">
        <f t="shared" si="21"/>
        <v>33884</v>
      </c>
      <c r="M60" s="384">
        <f t="shared" si="21"/>
        <v>33884</v>
      </c>
      <c r="N60" s="384">
        <f t="shared" si="21"/>
        <v>33884</v>
      </c>
      <c r="O60" s="384">
        <f t="shared" si="21"/>
        <v>33884</v>
      </c>
      <c r="P60" s="384">
        <f t="shared" si="21"/>
        <v>33884</v>
      </c>
      <c r="Q60" s="384">
        <f t="shared" si="21"/>
        <v>33884</v>
      </c>
      <c r="R60" s="384">
        <f t="shared" si="21"/>
        <v>33884</v>
      </c>
      <c r="S60" s="384">
        <f t="shared" si="21"/>
        <v>33884</v>
      </c>
      <c r="T60" s="384">
        <f t="shared" ref="T60:AG60" si="23">+S60</f>
        <v>33884</v>
      </c>
      <c r="U60" s="384">
        <f t="shared" si="23"/>
        <v>33884</v>
      </c>
      <c r="V60" s="384">
        <f t="shared" si="23"/>
        <v>33884</v>
      </c>
      <c r="W60" s="384">
        <f t="shared" si="23"/>
        <v>33884</v>
      </c>
      <c r="X60" s="384">
        <f t="shared" si="23"/>
        <v>33884</v>
      </c>
      <c r="Y60" s="384">
        <f t="shared" si="23"/>
        <v>33884</v>
      </c>
      <c r="Z60" s="384">
        <f t="shared" si="23"/>
        <v>33884</v>
      </c>
      <c r="AA60" s="384">
        <f t="shared" si="23"/>
        <v>33884</v>
      </c>
      <c r="AB60" s="384">
        <f t="shared" si="23"/>
        <v>33884</v>
      </c>
      <c r="AC60" s="384">
        <f t="shared" si="23"/>
        <v>33884</v>
      </c>
      <c r="AD60" s="384">
        <f t="shared" si="23"/>
        <v>33884</v>
      </c>
      <c r="AE60" s="384">
        <f t="shared" si="23"/>
        <v>33884</v>
      </c>
      <c r="AF60" s="384">
        <f t="shared" si="23"/>
        <v>33884</v>
      </c>
      <c r="AG60" s="384">
        <f t="shared" si="23"/>
        <v>33884</v>
      </c>
      <c r="AH60" s="384">
        <f>$I60-SUM($K60:AG60)</f>
        <v>29280.780000000028</v>
      </c>
      <c r="AI60" s="384">
        <f>$I60-SUM($K60:AH60)</f>
        <v>0</v>
      </c>
      <c r="AJ60" s="384">
        <f>$I60-SUM($K60:AI60)</f>
        <v>0</v>
      </c>
      <c r="AK60" s="384">
        <f>$I60-SUM($K60:AJ60)</f>
        <v>0</v>
      </c>
      <c r="AL60" s="384">
        <f>$I60-SUM($K60:AK60)</f>
        <v>0</v>
      </c>
      <c r="AM60" s="384">
        <f>$I60-SUM($K60:AL60)</f>
        <v>0</v>
      </c>
      <c r="AN60" s="384">
        <f>$I60-SUM($K60:AM60)</f>
        <v>0</v>
      </c>
      <c r="AO60" s="384">
        <f>$I60-SUM($K60:AN60)</f>
        <v>0</v>
      </c>
      <c r="AQ60" s="384">
        <f>I60-SUM(K60:AP60)</f>
        <v>0</v>
      </c>
    </row>
    <row r="62" spans="3:43" ht="13.5" thickBot="1" x14ac:dyDescent="0.25">
      <c r="C62" s="384" t="s">
        <v>274</v>
      </c>
      <c r="E62" s="401">
        <f>SUM(E58:E60)</f>
        <v>3076870.0300000003</v>
      </c>
      <c r="G62" s="401">
        <f>SUM(G58:G60)</f>
        <v>1737035.46</v>
      </c>
      <c r="I62" s="401">
        <f>SUM(I58:I60)</f>
        <v>1339834.57</v>
      </c>
      <c r="K62" s="401">
        <f t="shared" ref="K62:AO62" si="24">SUM(K58:K60)</f>
        <v>55220</v>
      </c>
      <c r="L62" s="401">
        <f t="shared" si="24"/>
        <v>55220</v>
      </c>
      <c r="M62" s="401">
        <f t="shared" si="24"/>
        <v>55220</v>
      </c>
      <c r="N62" s="401">
        <f t="shared" si="24"/>
        <v>55220</v>
      </c>
      <c r="O62" s="401">
        <f t="shared" si="24"/>
        <v>55220</v>
      </c>
      <c r="P62" s="401">
        <f t="shared" si="24"/>
        <v>55220</v>
      </c>
      <c r="Q62" s="401">
        <f t="shared" si="24"/>
        <v>55220</v>
      </c>
      <c r="R62" s="401">
        <f t="shared" si="24"/>
        <v>55220</v>
      </c>
      <c r="S62" s="401">
        <f t="shared" si="24"/>
        <v>55220</v>
      </c>
      <c r="T62" s="401">
        <f t="shared" si="24"/>
        <v>51175.360000000001</v>
      </c>
      <c r="U62" s="401">
        <f t="shared" si="24"/>
        <v>46668</v>
      </c>
      <c r="V62" s="401">
        <f t="shared" si="24"/>
        <v>46668</v>
      </c>
      <c r="W62" s="401">
        <f t="shared" si="24"/>
        <v>46668</v>
      </c>
      <c r="X62" s="401">
        <f t="shared" si="24"/>
        <v>46668</v>
      </c>
      <c r="Y62" s="401">
        <f t="shared" si="24"/>
        <v>46668</v>
      </c>
      <c r="Z62" s="401">
        <f t="shared" si="24"/>
        <v>46668</v>
      </c>
      <c r="AA62" s="401">
        <f t="shared" si="24"/>
        <v>46668</v>
      </c>
      <c r="AB62" s="401">
        <f t="shared" si="24"/>
        <v>46668</v>
      </c>
      <c r="AC62" s="401">
        <f t="shared" si="24"/>
        <v>46668</v>
      </c>
      <c r="AD62" s="401">
        <f t="shared" si="24"/>
        <v>46668</v>
      </c>
      <c r="AE62" s="401">
        <f t="shared" si="24"/>
        <v>46668</v>
      </c>
      <c r="AF62" s="401">
        <f t="shared" si="24"/>
        <v>46668</v>
      </c>
      <c r="AG62" s="401">
        <f t="shared" si="24"/>
        <v>46668</v>
      </c>
      <c r="AH62" s="401">
        <f t="shared" si="24"/>
        <v>42064.780000000028</v>
      </c>
      <c r="AI62" s="401">
        <f t="shared" si="24"/>
        <v>12784</v>
      </c>
      <c r="AJ62" s="401">
        <f t="shared" si="24"/>
        <v>12784</v>
      </c>
      <c r="AK62" s="401">
        <f t="shared" si="24"/>
        <v>12784</v>
      </c>
      <c r="AL62" s="401">
        <f t="shared" si="24"/>
        <v>12784</v>
      </c>
      <c r="AM62" s="401">
        <f t="shared" si="24"/>
        <v>12784</v>
      </c>
      <c r="AN62" s="401">
        <f t="shared" si="24"/>
        <v>12784</v>
      </c>
      <c r="AO62" s="401">
        <f t="shared" si="24"/>
        <v>12784</v>
      </c>
      <c r="AQ62" s="401">
        <f>SUM(AQ58:AQ60)</f>
        <v>53442.429999999993</v>
      </c>
    </row>
    <row r="63" spans="3:43" ht="13.5" thickTop="1" x14ac:dyDescent="0.2"/>
    <row r="64" spans="3:43" x14ac:dyDescent="0.2">
      <c r="C64" s="384" t="s">
        <v>275</v>
      </c>
      <c r="E64" s="384">
        <v>1408063.74</v>
      </c>
      <c r="G64" s="384">
        <v>613206.54</v>
      </c>
      <c r="I64" s="384">
        <v>794857.2</v>
      </c>
      <c r="J64" s="384">
        <f>E64/K64</f>
        <v>34.964707605969558</v>
      </c>
      <c r="K64" s="384">
        <v>40271</v>
      </c>
      <c r="L64" s="384">
        <f t="shared" ref="L64:AC64" si="25">+K64</f>
        <v>40271</v>
      </c>
      <c r="M64" s="384">
        <f t="shared" si="25"/>
        <v>40271</v>
      </c>
      <c r="N64" s="384">
        <f t="shared" si="25"/>
        <v>40271</v>
      </c>
      <c r="O64" s="384">
        <f t="shared" si="25"/>
        <v>40271</v>
      </c>
      <c r="P64" s="384">
        <f t="shared" si="25"/>
        <v>40271</v>
      </c>
      <c r="Q64" s="384">
        <f t="shared" si="25"/>
        <v>40271</v>
      </c>
      <c r="R64" s="384">
        <f t="shared" si="25"/>
        <v>40271</v>
      </c>
      <c r="S64" s="384">
        <f t="shared" si="25"/>
        <v>40271</v>
      </c>
      <c r="T64" s="384">
        <f t="shared" si="25"/>
        <v>40271</v>
      </c>
      <c r="U64" s="384">
        <f t="shared" si="25"/>
        <v>40271</v>
      </c>
      <c r="V64" s="384">
        <f t="shared" si="25"/>
        <v>40271</v>
      </c>
      <c r="W64" s="384">
        <f t="shared" si="25"/>
        <v>40271</v>
      </c>
      <c r="X64" s="384">
        <f t="shared" si="25"/>
        <v>40271</v>
      </c>
      <c r="Y64" s="384">
        <f t="shared" si="25"/>
        <v>40271</v>
      </c>
      <c r="Z64" s="384">
        <f t="shared" si="25"/>
        <v>40271</v>
      </c>
      <c r="AA64" s="384">
        <f t="shared" si="25"/>
        <v>40271</v>
      </c>
      <c r="AB64" s="384">
        <f t="shared" si="25"/>
        <v>40271</v>
      </c>
      <c r="AC64" s="384">
        <f t="shared" si="25"/>
        <v>40271</v>
      </c>
      <c r="AD64" s="384">
        <f>$I64-SUM($K64:AC64)</f>
        <v>29708.199999999953</v>
      </c>
      <c r="AE64" s="384">
        <f>$I64-SUM($K64:AD64)</f>
        <v>0</v>
      </c>
      <c r="AF64" s="384">
        <f>$I64-SUM($K64:AE64)</f>
        <v>0</v>
      </c>
      <c r="AG64" s="384">
        <f>$I64-SUM($K64:AF64)</f>
        <v>0</v>
      </c>
      <c r="AH64" s="384">
        <f>$I64-SUM($K64:AG64)</f>
        <v>0</v>
      </c>
      <c r="AI64" s="384">
        <f>$I64-SUM($K64:AH64)</f>
        <v>0</v>
      </c>
      <c r="AJ64" s="384">
        <f>$I64-SUM($K64:AI64)</f>
        <v>0</v>
      </c>
      <c r="AK64" s="384">
        <f>$I64-SUM($K64:AJ64)</f>
        <v>0</v>
      </c>
      <c r="AL64" s="384">
        <f>$I64-SUM($K64:AK64)</f>
        <v>0</v>
      </c>
      <c r="AM64" s="384">
        <f>$I64-SUM($K64:AL64)</f>
        <v>0</v>
      </c>
      <c r="AN64" s="384">
        <f>$I64-SUM($K64:AM64)</f>
        <v>0</v>
      </c>
      <c r="AO64" s="384">
        <f>$I64-SUM($K64:AN64)</f>
        <v>0</v>
      </c>
      <c r="AQ64" s="384">
        <f>I64-SUM(K64:AP64)</f>
        <v>0</v>
      </c>
    </row>
    <row r="65" spans="3:43" x14ac:dyDescent="0.2">
      <c r="C65" s="384" t="s">
        <v>276</v>
      </c>
      <c r="E65" s="384">
        <v>274153.31</v>
      </c>
      <c r="G65" s="384">
        <v>116273.59</v>
      </c>
      <c r="I65" s="384">
        <v>157879.72</v>
      </c>
      <c r="J65" s="384">
        <f>E65/K65</f>
        <v>59.520909683022147</v>
      </c>
      <c r="K65" s="384">
        <v>4606</v>
      </c>
      <c r="L65" s="384">
        <f t="shared" ref="L65:AC65" si="26">+K65</f>
        <v>4606</v>
      </c>
      <c r="M65" s="384">
        <f t="shared" si="26"/>
        <v>4606</v>
      </c>
      <c r="N65" s="384">
        <f t="shared" si="26"/>
        <v>4606</v>
      </c>
      <c r="O65" s="384">
        <f t="shared" si="26"/>
        <v>4606</v>
      </c>
      <c r="P65" s="384">
        <f t="shared" si="26"/>
        <v>4606</v>
      </c>
      <c r="Q65" s="384">
        <f t="shared" si="26"/>
        <v>4606</v>
      </c>
      <c r="R65" s="384">
        <f t="shared" si="26"/>
        <v>4606</v>
      </c>
      <c r="S65" s="384">
        <f t="shared" si="26"/>
        <v>4606</v>
      </c>
      <c r="T65" s="384">
        <f t="shared" si="26"/>
        <v>4606</v>
      </c>
      <c r="U65" s="384">
        <f t="shared" si="26"/>
        <v>4606</v>
      </c>
      <c r="V65" s="384">
        <f t="shared" si="26"/>
        <v>4606</v>
      </c>
      <c r="W65" s="384">
        <f t="shared" si="26"/>
        <v>4606</v>
      </c>
      <c r="X65" s="384">
        <f t="shared" si="26"/>
        <v>4606</v>
      </c>
      <c r="Y65" s="384">
        <f t="shared" si="26"/>
        <v>4606</v>
      </c>
      <c r="Z65" s="384">
        <f t="shared" si="26"/>
        <v>4606</v>
      </c>
      <c r="AA65" s="384">
        <f t="shared" si="26"/>
        <v>4606</v>
      </c>
      <c r="AB65" s="384">
        <f t="shared" si="26"/>
        <v>4606</v>
      </c>
      <c r="AC65" s="384">
        <f t="shared" si="26"/>
        <v>4606</v>
      </c>
      <c r="AD65" s="384">
        <f t="shared" ref="AD65:AO65" si="27">+AC65</f>
        <v>4606</v>
      </c>
      <c r="AE65" s="384">
        <f t="shared" si="27"/>
        <v>4606</v>
      </c>
      <c r="AF65" s="384">
        <f t="shared" si="27"/>
        <v>4606</v>
      </c>
      <c r="AG65" s="384">
        <f t="shared" si="27"/>
        <v>4606</v>
      </c>
      <c r="AH65" s="384">
        <f t="shared" si="27"/>
        <v>4606</v>
      </c>
      <c r="AI65" s="384">
        <f t="shared" si="27"/>
        <v>4606</v>
      </c>
      <c r="AJ65" s="384">
        <f t="shared" si="27"/>
        <v>4606</v>
      </c>
      <c r="AK65" s="384">
        <f t="shared" si="27"/>
        <v>4606</v>
      </c>
      <c r="AL65" s="384">
        <f t="shared" si="27"/>
        <v>4606</v>
      </c>
      <c r="AM65" s="384">
        <f t="shared" si="27"/>
        <v>4606</v>
      </c>
      <c r="AN65" s="384">
        <f t="shared" si="27"/>
        <v>4606</v>
      </c>
      <c r="AO65" s="384">
        <f t="shared" si="27"/>
        <v>4606</v>
      </c>
      <c r="AQ65" s="384">
        <f>I65-SUM(K65:AP65)</f>
        <v>15093.720000000001</v>
      </c>
    </row>
    <row r="66" spans="3:43" x14ac:dyDescent="0.2">
      <c r="C66" s="384" t="s">
        <v>277</v>
      </c>
      <c r="E66" s="384">
        <v>884614.94</v>
      </c>
      <c r="G66" s="384">
        <v>575801.15</v>
      </c>
      <c r="I66" s="384">
        <v>308813.78999999998</v>
      </c>
      <c r="J66" s="384">
        <f>E66/K66</f>
        <v>59.521931099448253</v>
      </c>
      <c r="K66" s="384">
        <v>14862</v>
      </c>
      <c r="L66" s="384">
        <f t="shared" ref="L66:AC66" si="28">+K66</f>
        <v>14862</v>
      </c>
      <c r="M66" s="384">
        <f t="shared" si="28"/>
        <v>14862</v>
      </c>
      <c r="N66" s="384">
        <f t="shared" si="28"/>
        <v>14862</v>
      </c>
      <c r="O66" s="384">
        <f t="shared" si="28"/>
        <v>14862</v>
      </c>
      <c r="P66" s="384">
        <f t="shared" si="28"/>
        <v>14862</v>
      </c>
      <c r="Q66" s="384">
        <f t="shared" si="28"/>
        <v>14862</v>
      </c>
      <c r="R66" s="384">
        <f t="shared" si="28"/>
        <v>14862</v>
      </c>
      <c r="S66" s="384">
        <f t="shared" si="28"/>
        <v>14862</v>
      </c>
      <c r="T66" s="384">
        <f t="shared" si="28"/>
        <v>14862</v>
      </c>
      <c r="U66" s="384">
        <f t="shared" si="28"/>
        <v>14862</v>
      </c>
      <c r="V66" s="384">
        <f t="shared" si="28"/>
        <v>14862</v>
      </c>
      <c r="W66" s="384">
        <f t="shared" si="28"/>
        <v>14862</v>
      </c>
      <c r="X66" s="384">
        <f t="shared" si="28"/>
        <v>14862</v>
      </c>
      <c r="Y66" s="384">
        <f t="shared" si="28"/>
        <v>14862</v>
      </c>
      <c r="Z66" s="384">
        <f t="shared" si="28"/>
        <v>14862</v>
      </c>
      <c r="AA66" s="384">
        <f t="shared" si="28"/>
        <v>14862</v>
      </c>
      <c r="AB66" s="384">
        <f t="shared" si="28"/>
        <v>14862</v>
      </c>
      <c r="AC66" s="384">
        <f t="shared" si="28"/>
        <v>14862</v>
      </c>
      <c r="AD66" s="384">
        <f>+AC66</f>
        <v>14862</v>
      </c>
      <c r="AE66" s="384">
        <f>$I66-SUM($K66:AD66)</f>
        <v>11573.789999999979</v>
      </c>
      <c r="AF66" s="384">
        <f>$I66-SUM($K66:AE66)</f>
        <v>0</v>
      </c>
      <c r="AG66" s="384">
        <f>$I66-SUM($K66:AF66)</f>
        <v>0</v>
      </c>
      <c r="AH66" s="384">
        <f>$I66-SUM($K66:AG66)</f>
        <v>0</v>
      </c>
      <c r="AI66" s="384">
        <f>$I66-SUM($K66:AH66)</f>
        <v>0</v>
      </c>
      <c r="AJ66" s="384">
        <f>$I66-SUM($K66:AI66)</f>
        <v>0</v>
      </c>
      <c r="AK66" s="384">
        <f>$I66-SUM($K66:AJ66)</f>
        <v>0</v>
      </c>
      <c r="AL66" s="384">
        <f>$I66-SUM($K66:AK66)</f>
        <v>0</v>
      </c>
      <c r="AM66" s="384">
        <f>$I66-SUM($K66:AL66)</f>
        <v>0</v>
      </c>
      <c r="AN66" s="384">
        <f>$I66-SUM($K66:AM66)</f>
        <v>0</v>
      </c>
      <c r="AO66" s="384">
        <f>$I66-SUM($K66:AN66)</f>
        <v>0</v>
      </c>
      <c r="AQ66" s="384">
        <f>I66-SUM(K66:AP66)</f>
        <v>0</v>
      </c>
    </row>
    <row r="67" spans="3:43" x14ac:dyDescent="0.2">
      <c r="C67" s="384" t="s">
        <v>278</v>
      </c>
      <c r="E67" s="384">
        <v>131002.14</v>
      </c>
      <c r="G67" s="384">
        <v>121085.79</v>
      </c>
      <c r="I67" s="384">
        <v>9916.3500000000058</v>
      </c>
      <c r="J67" s="384">
        <f>E67/K67</f>
        <v>59.519373012267152</v>
      </c>
      <c r="K67" s="384">
        <v>2201</v>
      </c>
      <c r="L67" s="384">
        <f>+K67</f>
        <v>2201</v>
      </c>
      <c r="M67" s="384">
        <f>+L67</f>
        <v>2201</v>
      </c>
      <c r="N67" s="384">
        <f>+M67</f>
        <v>2201</v>
      </c>
      <c r="O67" s="384">
        <f>$I67-SUM($K67:N67)</f>
        <v>1112.3500000000058</v>
      </c>
      <c r="P67" s="384">
        <f>$I67-SUM($K67:O67)</f>
        <v>0</v>
      </c>
      <c r="Q67" s="384">
        <f>$I67-SUM($K67:P67)</f>
        <v>0</v>
      </c>
      <c r="R67" s="384">
        <f>$I67-SUM($K67:Q67)</f>
        <v>0</v>
      </c>
      <c r="S67" s="384">
        <f>$I67-SUM($K67:R67)</f>
        <v>0</v>
      </c>
      <c r="T67" s="384">
        <f>$I67-SUM($K67:S67)</f>
        <v>0</v>
      </c>
      <c r="U67" s="384">
        <f>$I67-SUM($K67:T67)</f>
        <v>0</v>
      </c>
      <c r="V67" s="384">
        <f>$I67-SUM($K67:U67)</f>
        <v>0</v>
      </c>
      <c r="W67" s="384">
        <f>$I67-SUM($K67:V67)</f>
        <v>0</v>
      </c>
      <c r="X67" s="384">
        <f>$I67-SUM($K67:W67)</f>
        <v>0</v>
      </c>
      <c r="Y67" s="384">
        <f>$I67-SUM($K67:X67)</f>
        <v>0</v>
      </c>
      <c r="Z67" s="384">
        <f>$I67-SUM($K67:Y67)</f>
        <v>0</v>
      </c>
      <c r="AA67" s="384">
        <f>$I67-SUM($K67:Z67)</f>
        <v>0</v>
      </c>
      <c r="AB67" s="384">
        <f>$I67-SUM($K67:AA67)</f>
        <v>0</v>
      </c>
      <c r="AC67" s="384">
        <f>$I67-SUM($K67:AB67)</f>
        <v>0</v>
      </c>
      <c r="AD67" s="384">
        <f>$I67-SUM($K67:AC67)</f>
        <v>0</v>
      </c>
      <c r="AE67" s="384">
        <f>$I67-SUM($K67:AD67)</f>
        <v>0</v>
      </c>
      <c r="AF67" s="384">
        <f>$I67-SUM($K67:AE67)</f>
        <v>0</v>
      </c>
      <c r="AG67" s="384">
        <f>$I67-SUM($K67:AF67)</f>
        <v>0</v>
      </c>
      <c r="AH67" s="384">
        <f>$I67-SUM($K67:AG67)</f>
        <v>0</v>
      </c>
      <c r="AI67" s="384">
        <f>$I67-SUM($K67:AH67)</f>
        <v>0</v>
      </c>
      <c r="AJ67" s="384">
        <f>$I67-SUM($K67:AI67)</f>
        <v>0</v>
      </c>
      <c r="AK67" s="384">
        <f>$I67-SUM($K67:AJ67)</f>
        <v>0</v>
      </c>
      <c r="AL67" s="384">
        <f>$I67-SUM($K67:AK67)</f>
        <v>0</v>
      </c>
      <c r="AM67" s="384">
        <f>$I67-SUM($K67:AL67)</f>
        <v>0</v>
      </c>
      <c r="AN67" s="384">
        <f>$I67-SUM($K67:AM67)</f>
        <v>0</v>
      </c>
      <c r="AO67" s="384">
        <f>$I67-SUM($K67:AN67)</f>
        <v>0</v>
      </c>
      <c r="AQ67" s="384">
        <f>I67-SUM(K67:AP67)</f>
        <v>0</v>
      </c>
    </row>
    <row r="69" spans="3:43" ht="13.5" thickBot="1" x14ac:dyDescent="0.25">
      <c r="C69" s="384" t="s">
        <v>279</v>
      </c>
      <c r="E69" s="401">
        <f>SUM(E64:E68)</f>
        <v>2697834.1300000004</v>
      </c>
      <c r="G69" s="401">
        <f>SUM(G64:G68)</f>
        <v>1426367.07</v>
      </c>
      <c r="I69" s="401">
        <f>SUM(I64:I68)</f>
        <v>1271467.06</v>
      </c>
      <c r="J69" s="384">
        <f>E69/K69</f>
        <v>43.555604294478535</v>
      </c>
      <c r="K69" s="401">
        <f t="shared" ref="K69:AO69" si="29">SUM(K64:K68)</f>
        <v>61940</v>
      </c>
      <c r="L69" s="401">
        <f t="shared" si="29"/>
        <v>61940</v>
      </c>
      <c r="M69" s="401">
        <f t="shared" si="29"/>
        <v>61940</v>
      </c>
      <c r="N69" s="401">
        <f t="shared" si="29"/>
        <v>61940</v>
      </c>
      <c r="O69" s="401">
        <f t="shared" si="29"/>
        <v>60851.350000000006</v>
      </c>
      <c r="P69" s="401">
        <f t="shared" si="29"/>
        <v>59739</v>
      </c>
      <c r="Q69" s="401">
        <f t="shared" si="29"/>
        <v>59739</v>
      </c>
      <c r="R69" s="401">
        <f t="shared" si="29"/>
        <v>59739</v>
      </c>
      <c r="S69" s="401">
        <f t="shared" si="29"/>
        <v>59739</v>
      </c>
      <c r="T69" s="401">
        <f t="shared" si="29"/>
        <v>59739</v>
      </c>
      <c r="U69" s="401">
        <f t="shared" si="29"/>
        <v>59739</v>
      </c>
      <c r="V69" s="401">
        <f t="shared" si="29"/>
        <v>59739</v>
      </c>
      <c r="W69" s="401">
        <f t="shared" si="29"/>
        <v>59739</v>
      </c>
      <c r="X69" s="401">
        <f t="shared" si="29"/>
        <v>59739</v>
      </c>
      <c r="Y69" s="401">
        <f t="shared" si="29"/>
        <v>59739</v>
      </c>
      <c r="Z69" s="401">
        <f t="shared" si="29"/>
        <v>59739</v>
      </c>
      <c r="AA69" s="401">
        <f t="shared" si="29"/>
        <v>59739</v>
      </c>
      <c r="AB69" s="401">
        <f t="shared" si="29"/>
        <v>59739</v>
      </c>
      <c r="AC69" s="401">
        <f t="shared" si="29"/>
        <v>59739</v>
      </c>
      <c r="AD69" s="401">
        <f t="shared" si="29"/>
        <v>49176.199999999953</v>
      </c>
      <c r="AE69" s="401">
        <f t="shared" si="29"/>
        <v>16179.789999999979</v>
      </c>
      <c r="AF69" s="401">
        <f t="shared" si="29"/>
        <v>4606</v>
      </c>
      <c r="AG69" s="401">
        <f t="shared" si="29"/>
        <v>4606</v>
      </c>
      <c r="AH69" s="401">
        <f t="shared" si="29"/>
        <v>4606</v>
      </c>
      <c r="AI69" s="401">
        <f t="shared" si="29"/>
        <v>4606</v>
      </c>
      <c r="AJ69" s="401">
        <f t="shared" si="29"/>
        <v>4606</v>
      </c>
      <c r="AK69" s="401">
        <f t="shared" si="29"/>
        <v>4606</v>
      </c>
      <c r="AL69" s="401">
        <f t="shared" si="29"/>
        <v>4606</v>
      </c>
      <c r="AM69" s="401">
        <f t="shared" si="29"/>
        <v>4606</v>
      </c>
      <c r="AN69" s="401">
        <f t="shared" si="29"/>
        <v>4606</v>
      </c>
      <c r="AO69" s="401">
        <f t="shared" si="29"/>
        <v>4606</v>
      </c>
      <c r="AQ69" s="401">
        <f>SUM(AQ64:AQ68)</f>
        <v>15093.720000000001</v>
      </c>
    </row>
    <row r="70" spans="3:43" ht="13.5" thickTop="1" x14ac:dyDescent="0.2"/>
    <row r="71" spans="3:43" ht="13.5" thickBot="1" x14ac:dyDescent="0.25">
      <c r="C71" s="389" t="s">
        <v>280</v>
      </c>
      <c r="D71" s="385"/>
      <c r="E71" s="395">
        <v>1701565.31</v>
      </c>
      <c r="F71" s="385"/>
      <c r="G71" s="395">
        <v>462851.05</v>
      </c>
      <c r="H71" s="385"/>
      <c r="I71" s="396">
        <v>1238714.26</v>
      </c>
      <c r="J71" s="384">
        <f>E71/K71</f>
        <v>59.524428391520324</v>
      </c>
      <c r="K71" s="395">
        <v>28586</v>
      </c>
      <c r="L71" s="397">
        <f t="shared" ref="L71:AO71" si="30">+K71</f>
        <v>28586</v>
      </c>
      <c r="M71" s="397">
        <f t="shared" si="30"/>
        <v>28586</v>
      </c>
      <c r="N71" s="397">
        <f t="shared" si="30"/>
        <v>28586</v>
      </c>
      <c r="O71" s="397">
        <f t="shared" si="30"/>
        <v>28586</v>
      </c>
      <c r="P71" s="397">
        <f t="shared" si="30"/>
        <v>28586</v>
      </c>
      <c r="Q71" s="397">
        <f t="shared" si="30"/>
        <v>28586</v>
      </c>
      <c r="R71" s="397">
        <f t="shared" si="30"/>
        <v>28586</v>
      </c>
      <c r="S71" s="397">
        <f t="shared" si="30"/>
        <v>28586</v>
      </c>
      <c r="T71" s="397">
        <f t="shared" si="30"/>
        <v>28586</v>
      </c>
      <c r="U71" s="397">
        <f t="shared" si="30"/>
        <v>28586</v>
      </c>
      <c r="V71" s="397">
        <f t="shared" si="30"/>
        <v>28586</v>
      </c>
      <c r="W71" s="397">
        <f t="shared" si="30"/>
        <v>28586</v>
      </c>
      <c r="X71" s="397">
        <f t="shared" si="30"/>
        <v>28586</v>
      </c>
      <c r="Y71" s="397">
        <f t="shared" si="30"/>
        <v>28586</v>
      </c>
      <c r="Z71" s="397">
        <f t="shared" si="30"/>
        <v>28586</v>
      </c>
      <c r="AA71" s="397">
        <f t="shared" si="30"/>
        <v>28586</v>
      </c>
      <c r="AB71" s="397">
        <f t="shared" si="30"/>
        <v>28586</v>
      </c>
      <c r="AC71" s="397">
        <f t="shared" si="30"/>
        <v>28586</v>
      </c>
      <c r="AD71" s="397">
        <f t="shared" si="30"/>
        <v>28586</v>
      </c>
      <c r="AE71" s="397">
        <f t="shared" si="30"/>
        <v>28586</v>
      </c>
      <c r="AF71" s="397">
        <f t="shared" si="30"/>
        <v>28586</v>
      </c>
      <c r="AG71" s="397">
        <f t="shared" si="30"/>
        <v>28586</v>
      </c>
      <c r="AH71" s="397">
        <f t="shared" si="30"/>
        <v>28586</v>
      </c>
      <c r="AI71" s="397">
        <f t="shared" si="30"/>
        <v>28586</v>
      </c>
      <c r="AJ71" s="397">
        <f t="shared" si="30"/>
        <v>28586</v>
      </c>
      <c r="AK71" s="397">
        <f t="shared" si="30"/>
        <v>28586</v>
      </c>
      <c r="AL71" s="397">
        <f t="shared" si="30"/>
        <v>28586</v>
      </c>
      <c r="AM71" s="397">
        <f t="shared" si="30"/>
        <v>28586</v>
      </c>
      <c r="AN71" s="397">
        <f t="shared" si="30"/>
        <v>28586</v>
      </c>
      <c r="AO71" s="397">
        <f t="shared" si="30"/>
        <v>28586</v>
      </c>
      <c r="AQ71" s="397">
        <f>I71-SUM(K71:AP71)</f>
        <v>352548.26</v>
      </c>
    </row>
    <row r="72" spans="3:43" ht="13.5" thickTop="1" x14ac:dyDescent="0.2"/>
    <row r="73" spans="3:43" ht="13.5" thickBot="1" x14ac:dyDescent="0.25">
      <c r="C73" s="389" t="s">
        <v>281</v>
      </c>
      <c r="D73" s="385"/>
      <c r="E73" s="395">
        <v>1790576.07</v>
      </c>
      <c r="F73" s="385"/>
      <c r="G73" s="395">
        <v>966398.98</v>
      </c>
      <c r="H73" s="385"/>
      <c r="I73" s="396">
        <v>824177.09</v>
      </c>
      <c r="J73" s="384">
        <f>E73/K73</f>
        <v>34.965359695372001</v>
      </c>
      <c r="K73" s="395">
        <v>51210</v>
      </c>
      <c r="L73" s="397">
        <f t="shared" ref="L73:Z73" si="31">+K73</f>
        <v>51210</v>
      </c>
      <c r="M73" s="397">
        <f t="shared" si="31"/>
        <v>51210</v>
      </c>
      <c r="N73" s="397">
        <f t="shared" si="31"/>
        <v>51210</v>
      </c>
      <c r="O73" s="397">
        <f t="shared" si="31"/>
        <v>51210</v>
      </c>
      <c r="P73" s="397">
        <f t="shared" si="31"/>
        <v>51210</v>
      </c>
      <c r="Q73" s="397">
        <f t="shared" si="31"/>
        <v>51210</v>
      </c>
      <c r="R73" s="397">
        <f t="shared" si="31"/>
        <v>51210</v>
      </c>
      <c r="S73" s="397">
        <f t="shared" si="31"/>
        <v>51210</v>
      </c>
      <c r="T73" s="397">
        <f t="shared" si="31"/>
        <v>51210</v>
      </c>
      <c r="U73" s="397">
        <f t="shared" si="31"/>
        <v>51210</v>
      </c>
      <c r="V73" s="397">
        <f t="shared" si="31"/>
        <v>51210</v>
      </c>
      <c r="W73" s="397">
        <f t="shared" si="31"/>
        <v>51210</v>
      </c>
      <c r="X73" s="397">
        <f t="shared" si="31"/>
        <v>51210</v>
      </c>
      <c r="Y73" s="397">
        <f t="shared" si="31"/>
        <v>51210</v>
      </c>
      <c r="Z73" s="397">
        <f t="shared" si="31"/>
        <v>51210</v>
      </c>
      <c r="AA73" s="397">
        <f>$I73-SUM($K73:Z73)</f>
        <v>4817.0899999999674</v>
      </c>
      <c r="AB73" s="397">
        <f>$I73-SUM($K73:AA73)</f>
        <v>0</v>
      </c>
      <c r="AC73" s="397">
        <f>$I73-SUM($K73:AB73)</f>
        <v>0</v>
      </c>
      <c r="AD73" s="397">
        <f>$I73-SUM($K73:AC73)</f>
        <v>0</v>
      </c>
      <c r="AE73" s="397">
        <f>$I73-SUM($K73:AD73)</f>
        <v>0</v>
      </c>
      <c r="AF73" s="397">
        <f>$I73-SUM($K73:AE73)</f>
        <v>0</v>
      </c>
      <c r="AG73" s="397">
        <f>$I73-SUM($K73:AF73)</f>
        <v>0</v>
      </c>
      <c r="AH73" s="397">
        <f>$I73-SUM($K73:AG73)</f>
        <v>0</v>
      </c>
      <c r="AI73" s="397">
        <f>$I73-SUM($K73:AH73)</f>
        <v>0</v>
      </c>
      <c r="AJ73" s="397">
        <f>$I73-SUM($K73:AI73)</f>
        <v>0</v>
      </c>
      <c r="AK73" s="397">
        <f>$I73-SUM($K73:AJ73)</f>
        <v>0</v>
      </c>
      <c r="AL73" s="397">
        <f>$I73-SUM($K73:AK73)</f>
        <v>0</v>
      </c>
      <c r="AM73" s="397">
        <f>$I73-SUM($K73:AL73)</f>
        <v>0</v>
      </c>
      <c r="AN73" s="397">
        <f>$I73-SUM($K73:AM73)</f>
        <v>0</v>
      </c>
      <c r="AO73" s="397">
        <f>$I73-SUM($K73:AN73)</f>
        <v>0</v>
      </c>
      <c r="AQ73" s="397">
        <f>I73-SUM(K73:AP73)</f>
        <v>0</v>
      </c>
    </row>
    <row r="74" spans="3:43" ht="13.5" thickTop="1" x14ac:dyDescent="0.2"/>
    <row r="75" spans="3:43" ht="13.5" thickBot="1" x14ac:dyDescent="0.25">
      <c r="C75" s="389" t="s">
        <v>282</v>
      </c>
      <c r="D75" s="385"/>
      <c r="E75" s="395">
        <v>333253.61</v>
      </c>
      <c r="F75" s="385"/>
      <c r="G75" s="395">
        <v>202631.34</v>
      </c>
      <c r="H75" s="385"/>
      <c r="I75" s="396">
        <v>130622.27</v>
      </c>
      <c r="J75" s="384">
        <f>E75/K75</f>
        <v>34.965230301122652</v>
      </c>
      <c r="K75" s="395">
        <v>9531</v>
      </c>
      <c r="L75" s="397">
        <f t="shared" ref="L75:W75" si="32">+K75</f>
        <v>9531</v>
      </c>
      <c r="M75" s="397">
        <f t="shared" si="32"/>
        <v>9531</v>
      </c>
      <c r="N75" s="397">
        <f t="shared" si="32"/>
        <v>9531</v>
      </c>
      <c r="O75" s="397">
        <f t="shared" si="32"/>
        <v>9531</v>
      </c>
      <c r="P75" s="397">
        <f t="shared" si="32"/>
        <v>9531</v>
      </c>
      <c r="Q75" s="397">
        <f t="shared" si="32"/>
        <v>9531</v>
      </c>
      <c r="R75" s="397">
        <f t="shared" si="32"/>
        <v>9531</v>
      </c>
      <c r="S75" s="397">
        <f t="shared" si="32"/>
        <v>9531</v>
      </c>
      <c r="T75" s="397">
        <f t="shared" si="32"/>
        <v>9531</v>
      </c>
      <c r="U75" s="397">
        <f t="shared" si="32"/>
        <v>9531</v>
      </c>
      <c r="V75" s="397">
        <f t="shared" si="32"/>
        <v>9531</v>
      </c>
      <c r="W75" s="397">
        <f t="shared" si="32"/>
        <v>9531</v>
      </c>
      <c r="X75" s="397">
        <f>$I75-SUM($K75:W75)</f>
        <v>6719.2700000000041</v>
      </c>
      <c r="Y75" s="397">
        <f>$I75-SUM($K75:X75)</f>
        <v>0</v>
      </c>
      <c r="Z75" s="397">
        <f>$I75-SUM($K75:Y75)</f>
        <v>0</v>
      </c>
      <c r="AA75" s="397">
        <f>$I75-SUM($K75:Z75)</f>
        <v>0</v>
      </c>
      <c r="AB75" s="397">
        <f>$I75-SUM($K75:AA75)</f>
        <v>0</v>
      </c>
      <c r="AC75" s="397">
        <f>$I75-SUM($K75:AB75)</f>
        <v>0</v>
      </c>
      <c r="AD75" s="397">
        <f>$I75-SUM($K75:AC75)</f>
        <v>0</v>
      </c>
      <c r="AE75" s="397">
        <f>$I75-SUM($K75:AD75)</f>
        <v>0</v>
      </c>
      <c r="AF75" s="397">
        <f>$I75-SUM($K75:AE75)</f>
        <v>0</v>
      </c>
      <c r="AG75" s="397">
        <f>$I75-SUM($K75:AF75)</f>
        <v>0</v>
      </c>
      <c r="AH75" s="397">
        <f>$I75-SUM($K75:AG75)</f>
        <v>0</v>
      </c>
      <c r="AI75" s="397">
        <f>$I75-SUM($K75:AH75)</f>
        <v>0</v>
      </c>
      <c r="AJ75" s="397">
        <f>$I75-SUM($K75:AI75)</f>
        <v>0</v>
      </c>
      <c r="AK75" s="397">
        <f>$I75-SUM($K75:AJ75)</f>
        <v>0</v>
      </c>
      <c r="AL75" s="397">
        <f>$I75-SUM($K75:AK75)</f>
        <v>0</v>
      </c>
      <c r="AM75" s="397">
        <f>$I75-SUM($K75:AL75)</f>
        <v>0</v>
      </c>
      <c r="AN75" s="397">
        <f>$I75-SUM($K75:AM75)</f>
        <v>0</v>
      </c>
      <c r="AO75" s="397">
        <f>$I75-SUM($K75:AN75)</f>
        <v>0</v>
      </c>
      <c r="AQ75" s="397">
        <f>I75-SUM(K75:AP75)</f>
        <v>0</v>
      </c>
    </row>
    <row r="76" spans="3:43" ht="13.5" thickTop="1" x14ac:dyDescent="0.2"/>
    <row r="77" spans="3:43" ht="13.5" thickBot="1" x14ac:dyDescent="0.25">
      <c r="C77" s="389" t="s">
        <v>283</v>
      </c>
      <c r="D77" s="385"/>
      <c r="E77" s="395">
        <v>3150960.7</v>
      </c>
      <c r="F77" s="385"/>
      <c r="G77" s="395">
        <v>294928.84000000003</v>
      </c>
      <c r="H77" s="385"/>
      <c r="I77" s="396">
        <v>2856031.86</v>
      </c>
      <c r="J77" s="384">
        <f>E77/K77</f>
        <v>59.523966676741729</v>
      </c>
      <c r="K77" s="395">
        <v>52936</v>
      </c>
      <c r="L77" s="397">
        <f t="shared" ref="L77:AO77" si="33">+K77</f>
        <v>52936</v>
      </c>
      <c r="M77" s="397">
        <f t="shared" si="33"/>
        <v>52936</v>
      </c>
      <c r="N77" s="397">
        <f t="shared" si="33"/>
        <v>52936</v>
      </c>
      <c r="O77" s="397">
        <f t="shared" si="33"/>
        <v>52936</v>
      </c>
      <c r="P77" s="397">
        <f t="shared" si="33"/>
        <v>52936</v>
      </c>
      <c r="Q77" s="397">
        <f t="shared" si="33"/>
        <v>52936</v>
      </c>
      <c r="R77" s="397">
        <f t="shared" si="33"/>
        <v>52936</v>
      </c>
      <c r="S77" s="397">
        <f t="shared" si="33"/>
        <v>52936</v>
      </c>
      <c r="T77" s="397">
        <f t="shared" si="33"/>
        <v>52936</v>
      </c>
      <c r="U77" s="397">
        <f t="shared" si="33"/>
        <v>52936</v>
      </c>
      <c r="V77" s="397">
        <f t="shared" si="33"/>
        <v>52936</v>
      </c>
      <c r="W77" s="397">
        <f t="shared" si="33"/>
        <v>52936</v>
      </c>
      <c r="X77" s="397">
        <f t="shared" si="33"/>
        <v>52936</v>
      </c>
      <c r="Y77" s="397">
        <f t="shared" si="33"/>
        <v>52936</v>
      </c>
      <c r="Z77" s="397">
        <f t="shared" si="33"/>
        <v>52936</v>
      </c>
      <c r="AA77" s="397">
        <f t="shared" si="33"/>
        <v>52936</v>
      </c>
      <c r="AB77" s="397">
        <f t="shared" si="33"/>
        <v>52936</v>
      </c>
      <c r="AC77" s="397">
        <f t="shared" si="33"/>
        <v>52936</v>
      </c>
      <c r="AD77" s="397">
        <f t="shared" si="33"/>
        <v>52936</v>
      </c>
      <c r="AE77" s="397">
        <f t="shared" si="33"/>
        <v>52936</v>
      </c>
      <c r="AF77" s="397">
        <f t="shared" si="33"/>
        <v>52936</v>
      </c>
      <c r="AG77" s="397">
        <f t="shared" si="33"/>
        <v>52936</v>
      </c>
      <c r="AH77" s="397">
        <f t="shared" si="33"/>
        <v>52936</v>
      </c>
      <c r="AI77" s="397">
        <f t="shared" si="33"/>
        <v>52936</v>
      </c>
      <c r="AJ77" s="397">
        <f t="shared" si="33"/>
        <v>52936</v>
      </c>
      <c r="AK77" s="397">
        <f t="shared" si="33"/>
        <v>52936</v>
      </c>
      <c r="AL77" s="397">
        <f t="shared" si="33"/>
        <v>52936</v>
      </c>
      <c r="AM77" s="397">
        <f t="shared" si="33"/>
        <v>52936</v>
      </c>
      <c r="AN77" s="397">
        <f t="shared" si="33"/>
        <v>52936</v>
      </c>
      <c r="AO77" s="397">
        <f t="shared" si="33"/>
        <v>52936</v>
      </c>
      <c r="AQ77" s="397">
        <f>I77-SUM(K77:AP77)</f>
        <v>1215015.8599999999</v>
      </c>
    </row>
    <row r="78" spans="3:43" ht="13.5" thickTop="1" x14ac:dyDescent="0.2"/>
    <row r="79" spans="3:43" ht="13.5" thickBot="1" x14ac:dyDescent="0.25">
      <c r="C79" s="389" t="s">
        <v>284</v>
      </c>
      <c r="D79" s="385"/>
      <c r="E79" s="395">
        <v>2260582.98</v>
      </c>
      <c r="F79" s="385"/>
      <c r="G79" s="395">
        <v>540594.73</v>
      </c>
      <c r="H79" s="385"/>
      <c r="I79" s="396">
        <v>1719988.25</v>
      </c>
      <c r="J79" s="384">
        <f>E79/K79</f>
        <v>34.964858243236975</v>
      </c>
      <c r="K79" s="395">
        <v>64653</v>
      </c>
      <c r="L79" s="397">
        <f t="shared" ref="L79:AJ79" si="34">+K79</f>
        <v>64653</v>
      </c>
      <c r="M79" s="397">
        <f t="shared" si="34"/>
        <v>64653</v>
      </c>
      <c r="N79" s="397">
        <f t="shared" si="34"/>
        <v>64653</v>
      </c>
      <c r="O79" s="397">
        <f t="shared" si="34"/>
        <v>64653</v>
      </c>
      <c r="P79" s="397">
        <f t="shared" si="34"/>
        <v>64653</v>
      </c>
      <c r="Q79" s="397">
        <f t="shared" si="34"/>
        <v>64653</v>
      </c>
      <c r="R79" s="397">
        <f t="shared" si="34"/>
        <v>64653</v>
      </c>
      <c r="S79" s="397">
        <f t="shared" si="34"/>
        <v>64653</v>
      </c>
      <c r="T79" s="397">
        <f t="shared" si="34"/>
        <v>64653</v>
      </c>
      <c r="U79" s="397">
        <f t="shared" si="34"/>
        <v>64653</v>
      </c>
      <c r="V79" s="397">
        <f t="shared" si="34"/>
        <v>64653</v>
      </c>
      <c r="W79" s="397">
        <f t="shared" si="34"/>
        <v>64653</v>
      </c>
      <c r="X79" s="397">
        <f t="shared" si="34"/>
        <v>64653</v>
      </c>
      <c r="Y79" s="397">
        <f t="shared" si="34"/>
        <v>64653</v>
      </c>
      <c r="Z79" s="397">
        <f t="shared" si="34"/>
        <v>64653</v>
      </c>
      <c r="AA79" s="397">
        <f t="shared" si="34"/>
        <v>64653</v>
      </c>
      <c r="AB79" s="397">
        <f t="shared" si="34"/>
        <v>64653</v>
      </c>
      <c r="AC79" s="397">
        <f t="shared" si="34"/>
        <v>64653</v>
      </c>
      <c r="AD79" s="397">
        <f t="shared" si="34"/>
        <v>64653</v>
      </c>
      <c r="AE79" s="397">
        <f t="shared" si="34"/>
        <v>64653</v>
      </c>
      <c r="AF79" s="397">
        <f t="shared" si="34"/>
        <v>64653</v>
      </c>
      <c r="AG79" s="397">
        <f t="shared" si="34"/>
        <v>64653</v>
      </c>
      <c r="AH79" s="397">
        <f t="shared" si="34"/>
        <v>64653</v>
      </c>
      <c r="AI79" s="397">
        <f t="shared" si="34"/>
        <v>64653</v>
      </c>
      <c r="AJ79" s="397">
        <f t="shared" si="34"/>
        <v>64653</v>
      </c>
      <c r="AK79" s="397">
        <f>$I79-SUM($K79:AJ79)</f>
        <v>39010.25</v>
      </c>
      <c r="AL79" s="397">
        <f>$I79-SUM($K79:AK79)</f>
        <v>0</v>
      </c>
      <c r="AM79" s="397">
        <f>$I79-SUM($K79:AL79)</f>
        <v>0</v>
      </c>
      <c r="AN79" s="397">
        <f>$I79-SUM($K79:AM79)</f>
        <v>0</v>
      </c>
      <c r="AO79" s="397">
        <f>$I79-SUM($K79:AN79)</f>
        <v>0</v>
      </c>
      <c r="AQ79" s="397">
        <f>I79-SUM(K79:AP79)</f>
        <v>0</v>
      </c>
    </row>
    <row r="80" spans="3:43" ht="13.5" thickTop="1" x14ac:dyDescent="0.2"/>
    <row r="81" spans="3:43" ht="13.5" thickBot="1" x14ac:dyDescent="0.25">
      <c r="C81" s="389" t="s">
        <v>285</v>
      </c>
      <c r="D81" s="385"/>
      <c r="E81" s="395">
        <v>10592322</v>
      </c>
      <c r="F81" s="385"/>
      <c r="G81" s="395">
        <v>1056315.42</v>
      </c>
      <c r="H81" s="385"/>
      <c r="I81" s="396">
        <v>9536006.5800000001</v>
      </c>
      <c r="J81" s="384">
        <f>E81/K81</f>
        <v>59.52381273496637</v>
      </c>
      <c r="K81" s="395">
        <v>177951</v>
      </c>
      <c r="L81" s="397">
        <f t="shared" ref="L81:AO81" si="35">+K81</f>
        <v>177951</v>
      </c>
      <c r="M81" s="397">
        <f t="shared" si="35"/>
        <v>177951</v>
      </c>
      <c r="N81" s="397">
        <f t="shared" si="35"/>
        <v>177951</v>
      </c>
      <c r="O81" s="397">
        <f t="shared" si="35"/>
        <v>177951</v>
      </c>
      <c r="P81" s="397">
        <f t="shared" si="35"/>
        <v>177951</v>
      </c>
      <c r="Q81" s="397">
        <f t="shared" si="35"/>
        <v>177951</v>
      </c>
      <c r="R81" s="397">
        <f t="shared" si="35"/>
        <v>177951</v>
      </c>
      <c r="S81" s="397">
        <f t="shared" si="35"/>
        <v>177951</v>
      </c>
      <c r="T81" s="397">
        <f t="shared" si="35"/>
        <v>177951</v>
      </c>
      <c r="U81" s="397">
        <f t="shared" si="35"/>
        <v>177951</v>
      </c>
      <c r="V81" s="397">
        <f t="shared" si="35"/>
        <v>177951</v>
      </c>
      <c r="W81" s="397">
        <f t="shared" si="35"/>
        <v>177951</v>
      </c>
      <c r="X81" s="397">
        <f t="shared" si="35"/>
        <v>177951</v>
      </c>
      <c r="Y81" s="397">
        <f t="shared" si="35"/>
        <v>177951</v>
      </c>
      <c r="Z81" s="397">
        <f t="shared" si="35"/>
        <v>177951</v>
      </c>
      <c r="AA81" s="397">
        <f t="shared" si="35"/>
        <v>177951</v>
      </c>
      <c r="AB81" s="397">
        <f t="shared" si="35"/>
        <v>177951</v>
      </c>
      <c r="AC81" s="397">
        <f t="shared" si="35"/>
        <v>177951</v>
      </c>
      <c r="AD81" s="397">
        <f t="shared" si="35"/>
        <v>177951</v>
      </c>
      <c r="AE81" s="397">
        <f t="shared" si="35"/>
        <v>177951</v>
      </c>
      <c r="AF81" s="397">
        <f t="shared" si="35"/>
        <v>177951</v>
      </c>
      <c r="AG81" s="397">
        <f t="shared" si="35"/>
        <v>177951</v>
      </c>
      <c r="AH81" s="397">
        <f t="shared" si="35"/>
        <v>177951</v>
      </c>
      <c r="AI81" s="397">
        <f t="shared" si="35"/>
        <v>177951</v>
      </c>
      <c r="AJ81" s="397">
        <f t="shared" si="35"/>
        <v>177951</v>
      </c>
      <c r="AK81" s="397">
        <f t="shared" si="35"/>
        <v>177951</v>
      </c>
      <c r="AL81" s="397">
        <f t="shared" si="35"/>
        <v>177951</v>
      </c>
      <c r="AM81" s="397">
        <f t="shared" si="35"/>
        <v>177951</v>
      </c>
      <c r="AN81" s="397">
        <f t="shared" si="35"/>
        <v>177951</v>
      </c>
      <c r="AO81" s="397">
        <f t="shared" si="35"/>
        <v>177951</v>
      </c>
      <c r="AQ81" s="397">
        <f>I81-SUM(K81:AP81)</f>
        <v>4019525.58</v>
      </c>
    </row>
    <row r="82" spans="3:43" ht="13.5" thickTop="1" x14ac:dyDescent="0.2">
      <c r="AQ82" s="384">
        <f>I82-SUM(K82:AP82)</f>
        <v>0</v>
      </c>
    </row>
    <row r="83" spans="3:43" ht="13.5" thickBot="1" x14ac:dyDescent="0.25">
      <c r="C83" s="384" t="s">
        <v>286</v>
      </c>
      <c r="E83" s="401">
        <f>+E62+E69+E71+E73+E75+E77+E79+E81</f>
        <v>25603964.830000002</v>
      </c>
      <c r="G83" s="401">
        <f>+G62+G69+G71+G73+G75+G77+G79+G81</f>
        <v>6687122.8900000006</v>
      </c>
      <c r="I83" s="401">
        <f>+I62+I69+I71+I73+I75+I77+I79+I81</f>
        <v>18916841.939999998</v>
      </c>
      <c r="J83" s="384">
        <f>E83/K83</f>
        <v>51.001170913118223</v>
      </c>
      <c r="K83" s="401">
        <f t="shared" ref="K83:AO83" si="36">+K62+K69+K71+K73+K75+K77+K79+K81</f>
        <v>502027</v>
      </c>
      <c r="L83" s="401">
        <f t="shared" si="36"/>
        <v>502027</v>
      </c>
      <c r="M83" s="401">
        <f t="shared" si="36"/>
        <v>502027</v>
      </c>
      <c r="N83" s="401">
        <f t="shared" si="36"/>
        <v>502027</v>
      </c>
      <c r="O83" s="401">
        <f t="shared" si="36"/>
        <v>500938.35</v>
      </c>
      <c r="P83" s="401">
        <f t="shared" si="36"/>
        <v>499826</v>
      </c>
      <c r="Q83" s="401">
        <f t="shared" si="36"/>
        <v>499826</v>
      </c>
      <c r="R83" s="401">
        <f t="shared" si="36"/>
        <v>499826</v>
      </c>
      <c r="S83" s="401">
        <f t="shared" si="36"/>
        <v>499826</v>
      </c>
      <c r="T83" s="401">
        <f t="shared" si="36"/>
        <v>495781.36</v>
      </c>
      <c r="U83" s="401">
        <f t="shared" si="36"/>
        <v>491274</v>
      </c>
      <c r="V83" s="401">
        <f t="shared" si="36"/>
        <v>491274</v>
      </c>
      <c r="W83" s="401">
        <f t="shared" si="36"/>
        <v>491274</v>
      </c>
      <c r="X83" s="401">
        <f t="shared" si="36"/>
        <v>488462.27</v>
      </c>
      <c r="Y83" s="401">
        <f t="shared" si="36"/>
        <v>481743</v>
      </c>
      <c r="Z83" s="401">
        <f t="shared" si="36"/>
        <v>481743</v>
      </c>
      <c r="AA83" s="401">
        <f t="shared" si="36"/>
        <v>435350.08999999997</v>
      </c>
      <c r="AB83" s="401">
        <f t="shared" si="36"/>
        <v>430533</v>
      </c>
      <c r="AC83" s="401">
        <f t="shared" si="36"/>
        <v>430533</v>
      </c>
      <c r="AD83" s="401">
        <f t="shared" si="36"/>
        <v>419970.19999999995</v>
      </c>
      <c r="AE83" s="401">
        <f t="shared" si="36"/>
        <v>386973.79</v>
      </c>
      <c r="AF83" s="401">
        <f t="shared" si="36"/>
        <v>375400</v>
      </c>
      <c r="AG83" s="401">
        <f t="shared" si="36"/>
        <v>375400</v>
      </c>
      <c r="AH83" s="401">
        <f t="shared" si="36"/>
        <v>370796.78</v>
      </c>
      <c r="AI83" s="401">
        <f t="shared" si="36"/>
        <v>341516</v>
      </c>
      <c r="AJ83" s="401">
        <f t="shared" si="36"/>
        <v>341516</v>
      </c>
      <c r="AK83" s="401">
        <f t="shared" si="36"/>
        <v>315873.25</v>
      </c>
      <c r="AL83" s="401">
        <f t="shared" si="36"/>
        <v>276863</v>
      </c>
      <c r="AM83" s="401">
        <f t="shared" si="36"/>
        <v>276863</v>
      </c>
      <c r="AN83" s="401">
        <f t="shared" si="36"/>
        <v>276863</v>
      </c>
      <c r="AO83" s="401">
        <f t="shared" si="36"/>
        <v>276863</v>
      </c>
      <c r="AQ83" s="401">
        <f>+AQ62+AQ69+AQ71+AQ73+AQ75+AQ77+AQ79+AQ81</f>
        <v>5655625.8499999996</v>
      </c>
    </row>
    <row r="84" spans="3:43" ht="13.5" thickTop="1" x14ac:dyDescent="0.2"/>
    <row r="86" spans="3:43" ht="13.5" thickBot="1" x14ac:dyDescent="0.25">
      <c r="E86" s="397">
        <f>+E83+E42</f>
        <v>3051820479.5499997</v>
      </c>
      <c r="G86" s="397">
        <f>+G83+G42</f>
        <v>1337587629.1000004</v>
      </c>
      <c r="I86" s="397">
        <f>+I83+I42</f>
        <v>1714232850.45</v>
      </c>
      <c r="J86" s="384">
        <f>E86/K86</f>
        <v>32.129944235815451</v>
      </c>
      <c r="K86" s="397">
        <f t="shared" ref="K86:AO86" si="37">+K83+K42</f>
        <v>94983684.289999992</v>
      </c>
      <c r="L86" s="397">
        <f t="shared" si="37"/>
        <v>94983684.289999992</v>
      </c>
      <c r="M86" s="397">
        <f t="shared" si="37"/>
        <v>94940443.450000003</v>
      </c>
      <c r="N86" s="397">
        <f t="shared" si="37"/>
        <v>94784064.289999992</v>
      </c>
      <c r="O86" s="397">
        <f t="shared" si="37"/>
        <v>94386391.769999996</v>
      </c>
      <c r="P86" s="397">
        <f t="shared" si="37"/>
        <v>92547021.730000004</v>
      </c>
      <c r="Q86" s="397">
        <f t="shared" si="37"/>
        <v>92547021.730000004</v>
      </c>
      <c r="R86" s="397">
        <f t="shared" si="37"/>
        <v>86310314.929999977</v>
      </c>
      <c r="S86" s="397">
        <f t="shared" si="37"/>
        <v>81074912</v>
      </c>
      <c r="T86" s="397">
        <f t="shared" si="37"/>
        <v>80492670.140000001</v>
      </c>
      <c r="U86" s="397">
        <f t="shared" si="37"/>
        <v>80289063.420000002</v>
      </c>
      <c r="V86" s="397">
        <f t="shared" si="37"/>
        <v>79133564.719999999</v>
      </c>
      <c r="W86" s="397">
        <f t="shared" si="37"/>
        <v>79133564.719999999</v>
      </c>
      <c r="X86" s="397">
        <f t="shared" si="37"/>
        <v>77746355.829999998</v>
      </c>
      <c r="Y86" s="397">
        <f t="shared" si="37"/>
        <v>73868706</v>
      </c>
      <c r="Z86" s="397">
        <f t="shared" si="37"/>
        <v>58727731.800000094</v>
      </c>
      <c r="AA86" s="397">
        <f t="shared" si="37"/>
        <v>46252584.009999849</v>
      </c>
      <c r="AB86" s="397">
        <f t="shared" si="37"/>
        <v>39757450.38000001</v>
      </c>
      <c r="AC86" s="397">
        <f t="shared" si="37"/>
        <v>36505822</v>
      </c>
      <c r="AD86" s="397">
        <f t="shared" si="37"/>
        <v>36495259.200000003</v>
      </c>
      <c r="AE86" s="397">
        <f t="shared" si="37"/>
        <v>36462262.789999999</v>
      </c>
      <c r="AF86" s="397">
        <f t="shared" si="37"/>
        <v>36450689</v>
      </c>
      <c r="AG86" s="397">
        <f t="shared" si="37"/>
        <v>36450689</v>
      </c>
      <c r="AH86" s="397">
        <f t="shared" si="37"/>
        <v>36446085.780000001</v>
      </c>
      <c r="AI86" s="397">
        <f t="shared" si="37"/>
        <v>36416805</v>
      </c>
      <c r="AJ86" s="397">
        <f t="shared" si="37"/>
        <v>9967057.0800001621</v>
      </c>
      <c r="AK86" s="397">
        <f t="shared" si="37"/>
        <v>315873.25</v>
      </c>
      <c r="AL86" s="397">
        <f t="shared" si="37"/>
        <v>276863</v>
      </c>
      <c r="AM86" s="397">
        <f t="shared" si="37"/>
        <v>276863</v>
      </c>
      <c r="AN86" s="397">
        <f t="shared" si="37"/>
        <v>276863</v>
      </c>
      <c r="AO86" s="397">
        <f t="shared" si="37"/>
        <v>276863</v>
      </c>
      <c r="AQ86" s="397">
        <f>+AQ83+AQ42</f>
        <v>5655625.8499999996</v>
      </c>
    </row>
    <row r="87" spans="3:43" ht="13.5" thickTop="1" x14ac:dyDescent="0.2"/>
    <row r="90" spans="3:43" x14ac:dyDescent="0.2">
      <c r="C90" s="402" t="s">
        <v>287</v>
      </c>
    </row>
    <row r="92" spans="3:43" x14ac:dyDescent="0.2">
      <c r="C92" s="403" t="s">
        <v>288</v>
      </c>
      <c r="E92" s="384">
        <f>+E13+E62</f>
        <v>342793610.22999996</v>
      </c>
      <c r="G92" s="384">
        <f>+G13+G62</f>
        <v>255822857.35000002</v>
      </c>
      <c r="I92" s="384">
        <f>+I13+I62</f>
        <v>86970752.879999995</v>
      </c>
      <c r="J92" s="384">
        <f t="shared" ref="J92:J100" si="38">E92/K92</f>
        <v>29.986403845458828</v>
      </c>
      <c r="K92" s="384">
        <f t="shared" ref="K92:AO92" si="39">+K13+K62</f>
        <v>11431634.549999999</v>
      </c>
      <c r="L92" s="384">
        <f t="shared" si="39"/>
        <v>11431634.549999999</v>
      </c>
      <c r="M92" s="384">
        <f t="shared" si="39"/>
        <v>11410014.129999999</v>
      </c>
      <c r="N92" s="384">
        <f t="shared" si="39"/>
        <v>11331824.549999999</v>
      </c>
      <c r="O92" s="384">
        <f t="shared" si="39"/>
        <v>10996198.91</v>
      </c>
      <c r="P92" s="384">
        <f t="shared" si="39"/>
        <v>10032606.709999999</v>
      </c>
      <c r="Q92" s="384">
        <f t="shared" si="39"/>
        <v>10032606.709999999</v>
      </c>
      <c r="R92" s="384">
        <f t="shared" si="39"/>
        <v>5406514.6199999955</v>
      </c>
      <c r="S92" s="384">
        <f t="shared" si="39"/>
        <v>1386582.42</v>
      </c>
      <c r="T92" s="384">
        <f t="shared" si="39"/>
        <v>1382537.78</v>
      </c>
      <c r="U92" s="384">
        <f t="shared" si="39"/>
        <v>1229123.700000003</v>
      </c>
      <c r="V92" s="384">
        <f t="shared" si="39"/>
        <v>73625</v>
      </c>
      <c r="W92" s="384">
        <f t="shared" si="39"/>
        <v>73625</v>
      </c>
      <c r="X92" s="384">
        <f t="shared" si="39"/>
        <v>73625</v>
      </c>
      <c r="Y92" s="384">
        <f t="shared" si="39"/>
        <v>73625</v>
      </c>
      <c r="Z92" s="384">
        <f t="shared" si="39"/>
        <v>73625</v>
      </c>
      <c r="AA92" s="384">
        <f t="shared" si="39"/>
        <v>66346.039999999979</v>
      </c>
      <c r="AB92" s="384">
        <f t="shared" si="39"/>
        <v>46668</v>
      </c>
      <c r="AC92" s="384">
        <f t="shared" si="39"/>
        <v>46668</v>
      </c>
      <c r="AD92" s="384">
        <f t="shared" si="39"/>
        <v>46668</v>
      </c>
      <c r="AE92" s="384">
        <f t="shared" si="39"/>
        <v>46668</v>
      </c>
      <c r="AF92" s="384">
        <f t="shared" si="39"/>
        <v>46668</v>
      </c>
      <c r="AG92" s="384">
        <f t="shared" si="39"/>
        <v>46668</v>
      </c>
      <c r="AH92" s="384">
        <f t="shared" si="39"/>
        <v>42064.780000000028</v>
      </c>
      <c r="AI92" s="384">
        <f t="shared" si="39"/>
        <v>12784</v>
      </c>
      <c r="AJ92" s="384">
        <f t="shared" si="39"/>
        <v>12784</v>
      </c>
      <c r="AK92" s="384">
        <f t="shared" si="39"/>
        <v>12784</v>
      </c>
      <c r="AL92" s="384">
        <f t="shared" si="39"/>
        <v>12784</v>
      </c>
      <c r="AM92" s="384">
        <f t="shared" si="39"/>
        <v>12784</v>
      </c>
      <c r="AN92" s="384">
        <f t="shared" si="39"/>
        <v>12784</v>
      </c>
      <c r="AO92" s="384">
        <f t="shared" si="39"/>
        <v>12784</v>
      </c>
      <c r="AQ92" s="384">
        <f t="shared" ref="AQ92:AQ100" si="40">I92-SUM(K92:AP92)</f>
        <v>53442.429999992251</v>
      </c>
    </row>
    <row r="93" spans="3:43" x14ac:dyDescent="0.2">
      <c r="C93" s="403" t="s">
        <v>289</v>
      </c>
      <c r="E93" s="384">
        <f>+E25+E69</f>
        <v>334934599.08999991</v>
      </c>
      <c r="G93" s="384">
        <f>+G25+G69</f>
        <v>215970923.84000003</v>
      </c>
      <c r="I93" s="384">
        <f>+I25+I69</f>
        <v>118963675.24999999</v>
      </c>
      <c r="J93" s="384">
        <f t="shared" si="38"/>
        <v>33.626023377448632</v>
      </c>
      <c r="K93" s="384">
        <f t="shared" ref="K93:AO93" si="41">+K25+K69</f>
        <v>9960577.1199999992</v>
      </c>
      <c r="L93" s="384">
        <f t="shared" si="41"/>
        <v>9960577.1199999992</v>
      </c>
      <c r="M93" s="384">
        <f t="shared" si="41"/>
        <v>9938956.6999999993</v>
      </c>
      <c r="N93" s="384">
        <f t="shared" si="41"/>
        <v>9860767.1199999992</v>
      </c>
      <c r="O93" s="384">
        <f t="shared" si="41"/>
        <v>9859678.4699999988</v>
      </c>
      <c r="P93" s="384">
        <f t="shared" si="41"/>
        <v>9858566.1199999992</v>
      </c>
      <c r="Q93" s="384">
        <f t="shared" si="41"/>
        <v>9858566.1199999992</v>
      </c>
      <c r="R93" s="384">
        <f t="shared" si="41"/>
        <v>8247951.4099999862</v>
      </c>
      <c r="S93" s="384">
        <f t="shared" si="41"/>
        <v>7032480.6800000006</v>
      </c>
      <c r="T93" s="384">
        <f t="shared" si="41"/>
        <v>6454283.46</v>
      </c>
      <c r="U93" s="384">
        <f t="shared" si="41"/>
        <v>6404090.8200000003</v>
      </c>
      <c r="V93" s="384">
        <f t="shared" si="41"/>
        <v>6404090.8200000003</v>
      </c>
      <c r="W93" s="384">
        <f t="shared" si="41"/>
        <v>6404090.8200000003</v>
      </c>
      <c r="X93" s="384">
        <f t="shared" si="41"/>
        <v>5019693.6600000076</v>
      </c>
      <c r="Y93" s="384">
        <f t="shared" si="41"/>
        <v>3128179.34</v>
      </c>
      <c r="Z93" s="384">
        <f t="shared" si="41"/>
        <v>253048.22999998927</v>
      </c>
      <c r="AA93" s="384">
        <f t="shared" si="41"/>
        <v>72089.53</v>
      </c>
      <c r="AB93" s="384">
        <f t="shared" si="41"/>
        <v>59739</v>
      </c>
      <c r="AC93" s="384">
        <f t="shared" si="41"/>
        <v>59739</v>
      </c>
      <c r="AD93" s="384">
        <f t="shared" si="41"/>
        <v>49176.199999999953</v>
      </c>
      <c r="AE93" s="384">
        <f t="shared" si="41"/>
        <v>16179.789999999979</v>
      </c>
      <c r="AF93" s="384">
        <f t="shared" si="41"/>
        <v>4606</v>
      </c>
      <c r="AG93" s="384">
        <f t="shared" si="41"/>
        <v>4606</v>
      </c>
      <c r="AH93" s="384">
        <f t="shared" si="41"/>
        <v>4606</v>
      </c>
      <c r="AI93" s="384">
        <f t="shared" si="41"/>
        <v>4606</v>
      </c>
      <c r="AJ93" s="384">
        <f t="shared" si="41"/>
        <v>4606</v>
      </c>
      <c r="AK93" s="384">
        <f t="shared" si="41"/>
        <v>4606</v>
      </c>
      <c r="AL93" s="384">
        <f t="shared" si="41"/>
        <v>4606</v>
      </c>
      <c r="AM93" s="384">
        <f t="shared" si="41"/>
        <v>4606</v>
      </c>
      <c r="AN93" s="384">
        <f t="shared" si="41"/>
        <v>4606</v>
      </c>
      <c r="AO93" s="384">
        <f t="shared" si="41"/>
        <v>4606</v>
      </c>
      <c r="AQ93" s="384">
        <f t="shared" si="40"/>
        <v>15093.719999998808</v>
      </c>
    </row>
    <row r="94" spans="3:43" x14ac:dyDescent="0.2">
      <c r="C94" s="389" t="s">
        <v>261</v>
      </c>
      <c r="E94" s="384">
        <f>+E27+E71</f>
        <v>24743960.129999999</v>
      </c>
      <c r="G94" s="384">
        <f>+G27+G71</f>
        <v>18888085.500000004</v>
      </c>
      <c r="I94" s="384">
        <f>+I27+I71</f>
        <v>5855874.6299999999</v>
      </c>
      <c r="J94" s="384">
        <f t="shared" si="38"/>
        <v>25.662425525019597</v>
      </c>
      <c r="K94" s="384">
        <f t="shared" ref="K94:AO94" si="42">+K27+K71</f>
        <v>964209.72</v>
      </c>
      <c r="L94" s="384">
        <f t="shared" si="42"/>
        <v>964209.72</v>
      </c>
      <c r="M94" s="384">
        <f t="shared" si="42"/>
        <v>964209.72</v>
      </c>
      <c r="N94" s="384">
        <f t="shared" si="42"/>
        <v>964209.72</v>
      </c>
      <c r="O94" s="384">
        <f t="shared" si="42"/>
        <v>903251.49000000022</v>
      </c>
      <c r="P94" s="384">
        <f t="shared" si="42"/>
        <v>28586</v>
      </c>
      <c r="Q94" s="384">
        <f t="shared" si="42"/>
        <v>28586</v>
      </c>
      <c r="R94" s="384">
        <f t="shared" si="42"/>
        <v>28586</v>
      </c>
      <c r="S94" s="384">
        <f t="shared" si="42"/>
        <v>28586</v>
      </c>
      <c r="T94" s="384">
        <f t="shared" si="42"/>
        <v>28586</v>
      </c>
      <c r="U94" s="384">
        <f t="shared" si="42"/>
        <v>28586</v>
      </c>
      <c r="V94" s="384">
        <f t="shared" si="42"/>
        <v>28586</v>
      </c>
      <c r="W94" s="384">
        <f t="shared" si="42"/>
        <v>28586</v>
      </c>
      <c r="X94" s="384">
        <f t="shared" si="42"/>
        <v>28586</v>
      </c>
      <c r="Y94" s="384">
        <f t="shared" si="42"/>
        <v>28586</v>
      </c>
      <c r="Z94" s="384">
        <f t="shared" si="42"/>
        <v>28586</v>
      </c>
      <c r="AA94" s="384">
        <f t="shared" si="42"/>
        <v>28586</v>
      </c>
      <c r="AB94" s="384">
        <f t="shared" si="42"/>
        <v>28586</v>
      </c>
      <c r="AC94" s="384">
        <f t="shared" si="42"/>
        <v>28586</v>
      </c>
      <c r="AD94" s="384">
        <f t="shared" si="42"/>
        <v>28586</v>
      </c>
      <c r="AE94" s="384">
        <f t="shared" si="42"/>
        <v>28586</v>
      </c>
      <c r="AF94" s="384">
        <f t="shared" si="42"/>
        <v>28586</v>
      </c>
      <c r="AG94" s="384">
        <f t="shared" si="42"/>
        <v>28586</v>
      </c>
      <c r="AH94" s="384">
        <f t="shared" si="42"/>
        <v>28586</v>
      </c>
      <c r="AI94" s="384">
        <f t="shared" si="42"/>
        <v>28586</v>
      </c>
      <c r="AJ94" s="384">
        <f t="shared" si="42"/>
        <v>28586</v>
      </c>
      <c r="AK94" s="384">
        <f t="shared" si="42"/>
        <v>28586</v>
      </c>
      <c r="AL94" s="384">
        <f t="shared" si="42"/>
        <v>28586</v>
      </c>
      <c r="AM94" s="384">
        <f t="shared" si="42"/>
        <v>28586</v>
      </c>
      <c r="AN94" s="384">
        <f t="shared" si="42"/>
        <v>28586</v>
      </c>
      <c r="AO94" s="384">
        <f t="shared" si="42"/>
        <v>28586</v>
      </c>
      <c r="AQ94" s="384">
        <f t="shared" si="40"/>
        <v>352548.25999999978</v>
      </c>
    </row>
    <row r="95" spans="3:43" x14ac:dyDescent="0.2">
      <c r="C95" s="389" t="s">
        <v>262</v>
      </c>
      <c r="E95" s="384">
        <f>+E30+E73</f>
        <v>278737772.98000002</v>
      </c>
      <c r="G95" s="384">
        <f>+G30+G73</f>
        <v>137728443.39999998</v>
      </c>
      <c r="I95" s="384">
        <f>+I30+I73</f>
        <v>141009329.58000004</v>
      </c>
      <c r="J95" s="384">
        <f t="shared" si="38"/>
        <v>30.816324113301615</v>
      </c>
      <c r="K95" s="384">
        <f t="shared" ref="K95:AO95" si="43">+K30+K73</f>
        <v>9045133.7400000002</v>
      </c>
      <c r="L95" s="384">
        <f t="shared" si="43"/>
        <v>9045133.7400000002</v>
      </c>
      <c r="M95" s="384">
        <f t="shared" si="43"/>
        <v>9045133.7400000002</v>
      </c>
      <c r="N95" s="384">
        <f t="shared" si="43"/>
        <v>9045133.7400000002</v>
      </c>
      <c r="O95" s="384">
        <f t="shared" si="43"/>
        <v>9045133.7400000002</v>
      </c>
      <c r="P95" s="384">
        <f t="shared" si="43"/>
        <v>9045133.7400000002</v>
      </c>
      <c r="Q95" s="384">
        <f t="shared" si="43"/>
        <v>9045133.7400000002</v>
      </c>
      <c r="R95" s="384">
        <f t="shared" si="43"/>
        <v>9045133.7400000002</v>
      </c>
      <c r="S95" s="384">
        <f t="shared" si="43"/>
        <v>9045133.7400000002</v>
      </c>
      <c r="T95" s="384">
        <f t="shared" si="43"/>
        <v>9045133.7400000002</v>
      </c>
      <c r="U95" s="384">
        <f t="shared" si="43"/>
        <v>9045133.7400000002</v>
      </c>
      <c r="V95" s="384">
        <f t="shared" si="43"/>
        <v>9045133.7400000002</v>
      </c>
      <c r="W95" s="384">
        <f t="shared" si="43"/>
        <v>9045133.7400000002</v>
      </c>
      <c r="X95" s="384">
        <f t="shared" si="43"/>
        <v>9045133.7400000002</v>
      </c>
      <c r="Y95" s="384">
        <f t="shared" si="43"/>
        <v>9045133.7400000002</v>
      </c>
      <c r="Z95" s="384">
        <f t="shared" si="43"/>
        <v>5327506.3900000751</v>
      </c>
      <c r="AA95" s="384">
        <f t="shared" si="43"/>
        <v>4817.0899999999674</v>
      </c>
      <c r="AB95" s="384">
        <f t="shared" si="43"/>
        <v>0</v>
      </c>
      <c r="AC95" s="384">
        <f t="shared" si="43"/>
        <v>0</v>
      </c>
      <c r="AD95" s="384">
        <f t="shared" si="43"/>
        <v>0</v>
      </c>
      <c r="AE95" s="384">
        <f t="shared" si="43"/>
        <v>0</v>
      </c>
      <c r="AF95" s="384">
        <f t="shared" si="43"/>
        <v>0</v>
      </c>
      <c r="AG95" s="384">
        <f t="shared" si="43"/>
        <v>0</v>
      </c>
      <c r="AH95" s="384">
        <f t="shared" si="43"/>
        <v>0</v>
      </c>
      <c r="AI95" s="384">
        <f t="shared" si="43"/>
        <v>0</v>
      </c>
      <c r="AJ95" s="384">
        <f t="shared" si="43"/>
        <v>0</v>
      </c>
      <c r="AK95" s="384">
        <f t="shared" si="43"/>
        <v>0</v>
      </c>
      <c r="AL95" s="384">
        <f t="shared" si="43"/>
        <v>0</v>
      </c>
      <c r="AM95" s="384">
        <f t="shared" si="43"/>
        <v>0</v>
      </c>
      <c r="AN95" s="384">
        <f t="shared" si="43"/>
        <v>0</v>
      </c>
      <c r="AO95" s="384">
        <f t="shared" si="43"/>
        <v>0</v>
      </c>
      <c r="AQ95" s="384">
        <f t="shared" si="40"/>
        <v>0</v>
      </c>
    </row>
    <row r="96" spans="3:43" x14ac:dyDescent="0.2">
      <c r="C96" s="389" t="s">
        <v>282</v>
      </c>
      <c r="E96" s="384">
        <f>+E32+E75</f>
        <v>74872320.069999993</v>
      </c>
      <c r="G96" s="384">
        <f>+G32+G75</f>
        <v>41512361.040000007</v>
      </c>
      <c r="I96" s="384">
        <f>+I32+I75</f>
        <v>33359959.02999999</v>
      </c>
      <c r="J96" s="384">
        <f t="shared" si="38"/>
        <v>31.768888885400134</v>
      </c>
      <c r="K96" s="384">
        <f t="shared" ref="K96:AO96" si="44">+K32+K75</f>
        <v>2356781.2000000002</v>
      </c>
      <c r="L96" s="384">
        <f t="shared" si="44"/>
        <v>2356781.2000000002</v>
      </c>
      <c r="M96" s="384">
        <f t="shared" si="44"/>
        <v>2356781.2000000002</v>
      </c>
      <c r="N96" s="384">
        <f t="shared" si="44"/>
        <v>2356781.2000000002</v>
      </c>
      <c r="O96" s="384">
        <f t="shared" si="44"/>
        <v>2356781.2000000002</v>
      </c>
      <c r="P96" s="384">
        <f t="shared" si="44"/>
        <v>2356781.2000000002</v>
      </c>
      <c r="Q96" s="384">
        <f t="shared" si="44"/>
        <v>2356781.2000000002</v>
      </c>
      <c r="R96" s="384">
        <f t="shared" si="44"/>
        <v>2356781.2000000002</v>
      </c>
      <c r="S96" s="384">
        <f t="shared" si="44"/>
        <v>2356781.2000000002</v>
      </c>
      <c r="T96" s="384">
        <f t="shared" si="44"/>
        <v>2356781.2000000002</v>
      </c>
      <c r="U96" s="384">
        <f t="shared" si="44"/>
        <v>2356781.2000000002</v>
      </c>
      <c r="V96" s="384">
        <f t="shared" si="44"/>
        <v>2356781.2000000002</v>
      </c>
      <c r="W96" s="384">
        <f t="shared" si="44"/>
        <v>2356781.2000000002</v>
      </c>
      <c r="X96" s="384">
        <f t="shared" si="44"/>
        <v>2353969.4700000002</v>
      </c>
      <c r="Y96" s="384">
        <f t="shared" si="44"/>
        <v>367833.95999999717</v>
      </c>
      <c r="Z96" s="384">
        <f t="shared" si="44"/>
        <v>0</v>
      </c>
      <c r="AA96" s="384">
        <f t="shared" si="44"/>
        <v>0</v>
      </c>
      <c r="AB96" s="384">
        <f t="shared" si="44"/>
        <v>0</v>
      </c>
      <c r="AC96" s="384">
        <f t="shared" si="44"/>
        <v>0</v>
      </c>
      <c r="AD96" s="384">
        <f t="shared" si="44"/>
        <v>0</v>
      </c>
      <c r="AE96" s="384">
        <f t="shared" si="44"/>
        <v>0</v>
      </c>
      <c r="AF96" s="384">
        <f t="shared" si="44"/>
        <v>0</v>
      </c>
      <c r="AG96" s="384">
        <f t="shared" si="44"/>
        <v>0</v>
      </c>
      <c r="AH96" s="384">
        <f t="shared" si="44"/>
        <v>0</v>
      </c>
      <c r="AI96" s="384">
        <f t="shared" si="44"/>
        <v>0</v>
      </c>
      <c r="AJ96" s="384">
        <f t="shared" si="44"/>
        <v>0</v>
      </c>
      <c r="AK96" s="384">
        <f t="shared" si="44"/>
        <v>0</v>
      </c>
      <c r="AL96" s="384">
        <f t="shared" si="44"/>
        <v>0</v>
      </c>
      <c r="AM96" s="384">
        <f t="shared" si="44"/>
        <v>0</v>
      </c>
      <c r="AN96" s="384">
        <f t="shared" si="44"/>
        <v>0</v>
      </c>
      <c r="AO96" s="384">
        <f t="shared" si="44"/>
        <v>0</v>
      </c>
      <c r="AQ96" s="384">
        <f t="shared" si="40"/>
        <v>0</v>
      </c>
    </row>
    <row r="97" spans="3:43" x14ac:dyDescent="0.2">
      <c r="C97" s="389" t="s">
        <v>283</v>
      </c>
      <c r="E97" s="384">
        <f>+E34+E77</f>
        <v>336159247.67999995</v>
      </c>
      <c r="G97" s="384">
        <f>+G34+G77</f>
        <v>181539837.11000004</v>
      </c>
      <c r="I97" s="384">
        <f>+I34+I77</f>
        <v>154619410.56999993</v>
      </c>
      <c r="J97" s="384">
        <f t="shared" si="38"/>
        <v>36.331128141896308</v>
      </c>
      <c r="K97" s="384">
        <f t="shared" ref="K97:AO97" si="45">+K34+K77</f>
        <v>9252650.9600000009</v>
      </c>
      <c r="L97" s="384">
        <f t="shared" si="45"/>
        <v>9252650.9600000009</v>
      </c>
      <c r="M97" s="384">
        <f t="shared" si="45"/>
        <v>9252650.9600000009</v>
      </c>
      <c r="N97" s="384">
        <f t="shared" si="45"/>
        <v>9252650.9600000009</v>
      </c>
      <c r="O97" s="384">
        <f t="shared" si="45"/>
        <v>9252650.9600000009</v>
      </c>
      <c r="P97" s="384">
        <f t="shared" si="45"/>
        <v>9252650.9600000009</v>
      </c>
      <c r="Q97" s="384">
        <f t="shared" si="45"/>
        <v>9252650.9600000009</v>
      </c>
      <c r="R97" s="384">
        <f t="shared" si="45"/>
        <v>9252650.9600000009</v>
      </c>
      <c r="S97" s="384">
        <f t="shared" si="45"/>
        <v>9252650.9600000009</v>
      </c>
      <c r="T97" s="384">
        <f t="shared" si="45"/>
        <v>9252650.9600000009</v>
      </c>
      <c r="U97" s="384">
        <f t="shared" si="45"/>
        <v>9252650.9600000009</v>
      </c>
      <c r="V97" s="384">
        <f t="shared" si="45"/>
        <v>9252650.9600000009</v>
      </c>
      <c r="W97" s="384">
        <f t="shared" si="45"/>
        <v>9252650.9600000009</v>
      </c>
      <c r="X97" s="384">
        <f t="shared" si="45"/>
        <v>9252650.9600000009</v>
      </c>
      <c r="Y97" s="384">
        <f t="shared" si="45"/>
        <v>9252650.9600000009</v>
      </c>
      <c r="Z97" s="384">
        <f t="shared" si="45"/>
        <v>9252650.9600000009</v>
      </c>
      <c r="AA97" s="384">
        <f t="shared" si="45"/>
        <v>4620875.349999845</v>
      </c>
      <c r="AB97" s="384">
        <f t="shared" si="45"/>
        <v>52936</v>
      </c>
      <c r="AC97" s="384">
        <f t="shared" si="45"/>
        <v>52936</v>
      </c>
      <c r="AD97" s="384">
        <f t="shared" si="45"/>
        <v>52936</v>
      </c>
      <c r="AE97" s="384">
        <f t="shared" si="45"/>
        <v>52936</v>
      </c>
      <c r="AF97" s="384">
        <f t="shared" si="45"/>
        <v>52936</v>
      </c>
      <c r="AG97" s="384">
        <f t="shared" si="45"/>
        <v>52936</v>
      </c>
      <c r="AH97" s="384">
        <f t="shared" si="45"/>
        <v>52936</v>
      </c>
      <c r="AI97" s="384">
        <f t="shared" si="45"/>
        <v>52936</v>
      </c>
      <c r="AJ97" s="384">
        <f t="shared" si="45"/>
        <v>52936</v>
      </c>
      <c r="AK97" s="384">
        <f t="shared" si="45"/>
        <v>52936</v>
      </c>
      <c r="AL97" s="384">
        <f t="shared" si="45"/>
        <v>52936</v>
      </c>
      <c r="AM97" s="384">
        <f t="shared" si="45"/>
        <v>52936</v>
      </c>
      <c r="AN97" s="384">
        <f t="shared" si="45"/>
        <v>52936</v>
      </c>
      <c r="AO97" s="384">
        <f t="shared" si="45"/>
        <v>52936</v>
      </c>
      <c r="AQ97" s="384">
        <f t="shared" si="40"/>
        <v>1215015.8600000143</v>
      </c>
    </row>
    <row r="98" spans="3:43" x14ac:dyDescent="0.2">
      <c r="C98" s="389" t="s">
        <v>265</v>
      </c>
      <c r="E98" s="384">
        <f>+E36</f>
        <v>186552063.12</v>
      </c>
      <c r="G98" s="384">
        <f>+G36</f>
        <v>95886825.739999995</v>
      </c>
      <c r="I98" s="384">
        <f>+I36</f>
        <v>90665237.38000001</v>
      </c>
      <c r="J98" s="384">
        <f t="shared" si="38"/>
        <v>36.280221230083292</v>
      </c>
      <c r="K98" s="384">
        <f t="shared" ref="K98:AO98" si="46">+K36</f>
        <v>5141977</v>
      </c>
      <c r="L98" s="384">
        <f t="shared" si="46"/>
        <v>5141977</v>
      </c>
      <c r="M98" s="384">
        <f t="shared" si="46"/>
        <v>5141977</v>
      </c>
      <c r="N98" s="384">
        <f t="shared" si="46"/>
        <v>5141977</v>
      </c>
      <c r="O98" s="384">
        <f t="shared" si="46"/>
        <v>5141977</v>
      </c>
      <c r="P98" s="384">
        <f t="shared" si="46"/>
        <v>5141977</v>
      </c>
      <c r="Q98" s="384">
        <f t="shared" si="46"/>
        <v>5141977</v>
      </c>
      <c r="R98" s="384">
        <f t="shared" si="46"/>
        <v>5141977</v>
      </c>
      <c r="S98" s="384">
        <f t="shared" si="46"/>
        <v>5141977</v>
      </c>
      <c r="T98" s="384">
        <f t="shared" si="46"/>
        <v>5141977</v>
      </c>
      <c r="U98" s="384">
        <f t="shared" si="46"/>
        <v>5141977</v>
      </c>
      <c r="V98" s="384">
        <f t="shared" si="46"/>
        <v>5141977</v>
      </c>
      <c r="W98" s="384">
        <f t="shared" si="46"/>
        <v>5141977</v>
      </c>
      <c r="X98" s="384">
        <f t="shared" si="46"/>
        <v>5141977</v>
      </c>
      <c r="Y98" s="384">
        <f t="shared" si="46"/>
        <v>5141977</v>
      </c>
      <c r="Z98" s="384">
        <f t="shared" si="46"/>
        <v>5141977</v>
      </c>
      <c r="AA98" s="384">
        <f t="shared" si="46"/>
        <v>5141977</v>
      </c>
      <c r="AB98" s="384">
        <f t="shared" si="46"/>
        <v>3251628.3800000101</v>
      </c>
      <c r="AC98" s="384">
        <f t="shared" si="46"/>
        <v>0</v>
      </c>
      <c r="AD98" s="384">
        <f t="shared" si="46"/>
        <v>0</v>
      </c>
      <c r="AE98" s="384">
        <f t="shared" si="46"/>
        <v>0</v>
      </c>
      <c r="AF98" s="384">
        <f t="shared" si="46"/>
        <v>0</v>
      </c>
      <c r="AG98" s="384">
        <f t="shared" si="46"/>
        <v>0</v>
      </c>
      <c r="AH98" s="384">
        <f t="shared" si="46"/>
        <v>0</v>
      </c>
      <c r="AI98" s="384">
        <f t="shared" si="46"/>
        <v>0</v>
      </c>
      <c r="AJ98" s="384">
        <f t="shared" si="46"/>
        <v>0</v>
      </c>
      <c r="AK98" s="384">
        <f t="shared" si="46"/>
        <v>0</v>
      </c>
      <c r="AL98" s="384">
        <f t="shared" si="46"/>
        <v>0</v>
      </c>
      <c r="AM98" s="384">
        <f t="shared" si="46"/>
        <v>0</v>
      </c>
      <c r="AN98" s="384">
        <f t="shared" si="46"/>
        <v>0</v>
      </c>
      <c r="AO98" s="384">
        <f t="shared" si="46"/>
        <v>0</v>
      </c>
      <c r="AQ98" s="384">
        <f t="shared" si="40"/>
        <v>0</v>
      </c>
    </row>
    <row r="99" spans="3:43" x14ac:dyDescent="0.2">
      <c r="C99" s="389" t="s">
        <v>284</v>
      </c>
      <c r="E99" s="384">
        <f>+E38+E79</f>
        <v>1224577007.1000001</v>
      </c>
      <c r="G99" s="384">
        <f>+G38+G79</f>
        <v>311349252.77000004</v>
      </c>
      <c r="I99" s="384">
        <f>+I38+I79</f>
        <v>913227754.33000016</v>
      </c>
      <c r="J99" s="384">
        <f t="shared" si="38"/>
        <v>33.884310248754694</v>
      </c>
      <c r="K99" s="384">
        <f t="shared" ref="K99:AO99" si="47">+K38+K79</f>
        <v>36139942</v>
      </c>
      <c r="L99" s="384">
        <f t="shared" si="47"/>
        <v>36139942</v>
      </c>
      <c r="M99" s="384">
        <f t="shared" si="47"/>
        <v>36139942</v>
      </c>
      <c r="N99" s="384">
        <f t="shared" si="47"/>
        <v>36139942</v>
      </c>
      <c r="O99" s="384">
        <f t="shared" si="47"/>
        <v>36139942</v>
      </c>
      <c r="P99" s="384">
        <f t="shared" si="47"/>
        <v>36139942</v>
      </c>
      <c r="Q99" s="384">
        <f t="shared" si="47"/>
        <v>36139942</v>
      </c>
      <c r="R99" s="384">
        <f t="shared" si="47"/>
        <v>36139942</v>
      </c>
      <c r="S99" s="384">
        <f t="shared" si="47"/>
        <v>36139942</v>
      </c>
      <c r="T99" s="384">
        <f t="shared" si="47"/>
        <v>36139942</v>
      </c>
      <c r="U99" s="384">
        <f t="shared" si="47"/>
        <v>36139942</v>
      </c>
      <c r="V99" s="384">
        <f t="shared" si="47"/>
        <v>36139942</v>
      </c>
      <c r="W99" s="384">
        <f t="shared" si="47"/>
        <v>36139942</v>
      </c>
      <c r="X99" s="384">
        <f t="shared" si="47"/>
        <v>36139942</v>
      </c>
      <c r="Y99" s="384">
        <f t="shared" si="47"/>
        <v>36139942</v>
      </c>
      <c r="Z99" s="384">
        <f t="shared" si="47"/>
        <v>36139942</v>
      </c>
      <c r="AA99" s="384">
        <f t="shared" si="47"/>
        <v>36139942</v>
      </c>
      <c r="AB99" s="384">
        <f t="shared" si="47"/>
        <v>36139942</v>
      </c>
      <c r="AC99" s="384">
        <f t="shared" si="47"/>
        <v>36139942</v>
      </c>
      <c r="AD99" s="384">
        <f t="shared" si="47"/>
        <v>36139942</v>
      </c>
      <c r="AE99" s="384">
        <f t="shared" si="47"/>
        <v>36139942</v>
      </c>
      <c r="AF99" s="384">
        <f t="shared" si="47"/>
        <v>36139942</v>
      </c>
      <c r="AG99" s="384">
        <f t="shared" si="47"/>
        <v>36139942</v>
      </c>
      <c r="AH99" s="384">
        <f t="shared" si="47"/>
        <v>36139942</v>
      </c>
      <c r="AI99" s="384">
        <f t="shared" si="47"/>
        <v>36139942</v>
      </c>
      <c r="AJ99" s="384">
        <f t="shared" si="47"/>
        <v>9690194.0800001621</v>
      </c>
      <c r="AK99" s="384">
        <f t="shared" si="47"/>
        <v>39010.25</v>
      </c>
      <c r="AL99" s="384">
        <f t="shared" si="47"/>
        <v>0</v>
      </c>
      <c r="AM99" s="384">
        <f t="shared" si="47"/>
        <v>0</v>
      </c>
      <c r="AN99" s="384">
        <f t="shared" si="47"/>
        <v>0</v>
      </c>
      <c r="AO99" s="384">
        <f t="shared" si="47"/>
        <v>0</v>
      </c>
      <c r="AQ99" s="384">
        <f t="shared" si="40"/>
        <v>0</v>
      </c>
    </row>
    <row r="100" spans="3:43" x14ac:dyDescent="0.2">
      <c r="C100" s="389" t="s">
        <v>285</v>
      </c>
      <c r="E100" s="384">
        <f>+E40+E81</f>
        <v>248449899.15000001</v>
      </c>
      <c r="G100" s="384">
        <f>+G40+G81</f>
        <v>78889042.349999979</v>
      </c>
      <c r="I100" s="384">
        <f>+I40+I81</f>
        <v>169560856.80000004</v>
      </c>
      <c r="J100" s="384">
        <f t="shared" si="38"/>
        <v>23.239646277380373</v>
      </c>
      <c r="K100" s="384">
        <f t="shared" ref="K100:AO100" si="48">+K40+K81</f>
        <v>10690778</v>
      </c>
      <c r="L100" s="384">
        <f t="shared" si="48"/>
        <v>10690778</v>
      </c>
      <c r="M100" s="384">
        <f t="shared" si="48"/>
        <v>10690778</v>
      </c>
      <c r="N100" s="384">
        <f t="shared" si="48"/>
        <v>10690778</v>
      </c>
      <c r="O100" s="384">
        <f t="shared" si="48"/>
        <v>10690778</v>
      </c>
      <c r="P100" s="384">
        <f t="shared" si="48"/>
        <v>10690778</v>
      </c>
      <c r="Q100" s="384">
        <f t="shared" si="48"/>
        <v>10690778</v>
      </c>
      <c r="R100" s="384">
        <f t="shared" si="48"/>
        <v>10690778</v>
      </c>
      <c r="S100" s="384">
        <f t="shared" si="48"/>
        <v>10690778</v>
      </c>
      <c r="T100" s="384">
        <f t="shared" si="48"/>
        <v>10690778</v>
      </c>
      <c r="U100" s="384">
        <f t="shared" si="48"/>
        <v>10690778</v>
      </c>
      <c r="V100" s="384">
        <f t="shared" si="48"/>
        <v>10690778</v>
      </c>
      <c r="W100" s="384">
        <f t="shared" si="48"/>
        <v>10690778</v>
      </c>
      <c r="X100" s="384">
        <f t="shared" si="48"/>
        <v>10690778</v>
      </c>
      <c r="Y100" s="384">
        <f t="shared" si="48"/>
        <v>10690778</v>
      </c>
      <c r="Z100" s="384">
        <f t="shared" si="48"/>
        <v>2510396.2200000286</v>
      </c>
      <c r="AA100" s="384">
        <f t="shared" si="48"/>
        <v>177951</v>
      </c>
      <c r="AB100" s="384">
        <f t="shared" si="48"/>
        <v>177951</v>
      </c>
      <c r="AC100" s="384">
        <f t="shared" si="48"/>
        <v>177951</v>
      </c>
      <c r="AD100" s="384">
        <f t="shared" si="48"/>
        <v>177951</v>
      </c>
      <c r="AE100" s="384">
        <f t="shared" si="48"/>
        <v>177951</v>
      </c>
      <c r="AF100" s="384">
        <f t="shared" si="48"/>
        <v>177951</v>
      </c>
      <c r="AG100" s="384">
        <f t="shared" si="48"/>
        <v>177951</v>
      </c>
      <c r="AH100" s="384">
        <f t="shared" si="48"/>
        <v>177951</v>
      </c>
      <c r="AI100" s="384">
        <f t="shared" si="48"/>
        <v>177951</v>
      </c>
      <c r="AJ100" s="384">
        <f t="shared" si="48"/>
        <v>177951</v>
      </c>
      <c r="AK100" s="384">
        <f t="shared" si="48"/>
        <v>177951</v>
      </c>
      <c r="AL100" s="384">
        <f t="shared" si="48"/>
        <v>177951</v>
      </c>
      <c r="AM100" s="384">
        <f t="shared" si="48"/>
        <v>177951</v>
      </c>
      <c r="AN100" s="384">
        <f t="shared" si="48"/>
        <v>177951</v>
      </c>
      <c r="AO100" s="384">
        <f t="shared" si="48"/>
        <v>177951</v>
      </c>
      <c r="AQ100" s="384">
        <f t="shared" si="40"/>
        <v>4019525.5800000131</v>
      </c>
    </row>
    <row r="102" spans="3:43" ht="13.5" thickBot="1" x14ac:dyDescent="0.25">
      <c r="E102" s="401">
        <f>SUM(E92:E101)</f>
        <v>3051820479.5499997</v>
      </c>
      <c r="G102" s="401">
        <f>SUM(G92:G101)</f>
        <v>1337587629.0999999</v>
      </c>
      <c r="I102" s="401">
        <f>SUM(I92:I101)</f>
        <v>1714232850.45</v>
      </c>
      <c r="J102" s="384">
        <f>E102/K102</f>
        <v>32.129944235815451</v>
      </c>
      <c r="K102" s="401">
        <f t="shared" ref="K102:AO102" si="49">SUM(K92:K101)</f>
        <v>94983684.289999992</v>
      </c>
      <c r="L102" s="401">
        <f t="shared" si="49"/>
        <v>94983684.289999992</v>
      </c>
      <c r="M102" s="401">
        <f t="shared" si="49"/>
        <v>94940443.450000003</v>
      </c>
      <c r="N102" s="401">
        <f t="shared" si="49"/>
        <v>94784064.289999992</v>
      </c>
      <c r="O102" s="401">
        <f t="shared" si="49"/>
        <v>94386391.769999996</v>
      </c>
      <c r="P102" s="401">
        <f t="shared" si="49"/>
        <v>92547021.730000004</v>
      </c>
      <c r="Q102" s="401">
        <f t="shared" si="49"/>
        <v>92547021.730000004</v>
      </c>
      <c r="R102" s="401">
        <f t="shared" si="49"/>
        <v>86310314.929999977</v>
      </c>
      <c r="S102" s="401">
        <f t="shared" si="49"/>
        <v>81074912</v>
      </c>
      <c r="T102" s="401">
        <f t="shared" si="49"/>
        <v>80492670.140000001</v>
      </c>
      <c r="U102" s="401">
        <f t="shared" si="49"/>
        <v>80289063.420000002</v>
      </c>
      <c r="V102" s="401">
        <f t="shared" si="49"/>
        <v>79133564.719999999</v>
      </c>
      <c r="W102" s="401">
        <f t="shared" si="49"/>
        <v>79133564.719999999</v>
      </c>
      <c r="X102" s="401">
        <f t="shared" si="49"/>
        <v>77746355.830000013</v>
      </c>
      <c r="Y102" s="401">
        <f t="shared" si="49"/>
        <v>73868706</v>
      </c>
      <c r="Z102" s="401">
        <f t="shared" si="49"/>
        <v>58727731.800000094</v>
      </c>
      <c r="AA102" s="401">
        <f t="shared" si="49"/>
        <v>46252584.009999841</v>
      </c>
      <c r="AB102" s="401">
        <f t="shared" si="49"/>
        <v>39757450.38000001</v>
      </c>
      <c r="AC102" s="401">
        <f t="shared" si="49"/>
        <v>36505822</v>
      </c>
      <c r="AD102" s="401">
        <f t="shared" si="49"/>
        <v>36495259.200000003</v>
      </c>
      <c r="AE102" s="401">
        <f t="shared" si="49"/>
        <v>36462262.789999999</v>
      </c>
      <c r="AF102" s="401">
        <f t="shared" si="49"/>
        <v>36450689</v>
      </c>
      <c r="AG102" s="401">
        <f t="shared" si="49"/>
        <v>36450689</v>
      </c>
      <c r="AH102" s="401">
        <f t="shared" si="49"/>
        <v>36446085.780000001</v>
      </c>
      <c r="AI102" s="401">
        <f t="shared" si="49"/>
        <v>36416805</v>
      </c>
      <c r="AJ102" s="401">
        <f t="shared" si="49"/>
        <v>9967057.0800001621</v>
      </c>
      <c r="AK102" s="401">
        <f t="shared" si="49"/>
        <v>315873.25</v>
      </c>
      <c r="AL102" s="401">
        <f t="shared" si="49"/>
        <v>276863</v>
      </c>
      <c r="AM102" s="401">
        <f t="shared" si="49"/>
        <v>276863</v>
      </c>
      <c r="AN102" s="401">
        <f t="shared" si="49"/>
        <v>276863</v>
      </c>
      <c r="AO102" s="401">
        <f t="shared" si="49"/>
        <v>276863</v>
      </c>
      <c r="AQ102" s="401">
        <f>SUM(AQ92:AQ101)</f>
        <v>5655625.8500000183</v>
      </c>
    </row>
    <row r="103" spans="3:43" ht="13.5" thickTop="1" x14ac:dyDescent="0.2"/>
    <row r="105" spans="3:43" x14ac:dyDescent="0.2">
      <c r="C105" s="402" t="s">
        <v>290</v>
      </c>
    </row>
    <row r="106" spans="3:43" x14ac:dyDescent="0.2">
      <c r="C106" s="402"/>
      <c r="J106" s="404" t="s">
        <v>291</v>
      </c>
      <c r="K106" s="405">
        <f t="shared" ref="K106:AO106" si="50">+K3</f>
        <v>2000</v>
      </c>
      <c r="L106" s="405">
        <f t="shared" si="50"/>
        <v>2001</v>
      </c>
      <c r="M106" s="405">
        <f t="shared" si="50"/>
        <v>2002</v>
      </c>
      <c r="N106" s="405">
        <f t="shared" si="50"/>
        <v>2003</v>
      </c>
      <c r="O106" s="405">
        <f t="shared" si="50"/>
        <v>2004</v>
      </c>
      <c r="P106" s="405">
        <f t="shared" si="50"/>
        <v>2005</v>
      </c>
      <c r="Q106" s="405">
        <f t="shared" si="50"/>
        <v>2006</v>
      </c>
      <c r="R106" s="405">
        <f t="shared" si="50"/>
        <v>2007</v>
      </c>
      <c r="S106" s="405">
        <f t="shared" si="50"/>
        <v>2008</v>
      </c>
      <c r="T106" s="405">
        <f t="shared" si="50"/>
        <v>2009</v>
      </c>
      <c r="U106" s="405">
        <f t="shared" si="50"/>
        <v>2010</v>
      </c>
      <c r="V106" s="405">
        <f t="shared" si="50"/>
        <v>2011</v>
      </c>
      <c r="W106" s="405">
        <f t="shared" si="50"/>
        <v>2012</v>
      </c>
      <c r="X106" s="405">
        <f t="shared" si="50"/>
        <v>2013</v>
      </c>
      <c r="Y106" s="405">
        <f t="shared" si="50"/>
        <v>2014</v>
      </c>
      <c r="Z106" s="405">
        <f t="shared" si="50"/>
        <v>2015</v>
      </c>
      <c r="AA106" s="405">
        <f t="shared" si="50"/>
        <v>2016</v>
      </c>
      <c r="AB106" s="405">
        <f t="shared" si="50"/>
        <v>2017</v>
      </c>
      <c r="AC106" s="405">
        <f t="shared" si="50"/>
        <v>2018</v>
      </c>
      <c r="AD106" s="405">
        <f t="shared" si="50"/>
        <v>2019</v>
      </c>
      <c r="AE106" s="405">
        <f t="shared" si="50"/>
        <v>2020</v>
      </c>
      <c r="AF106" s="405">
        <f t="shared" si="50"/>
        <v>2021</v>
      </c>
      <c r="AG106" s="405">
        <f t="shared" si="50"/>
        <v>2022</v>
      </c>
      <c r="AH106" s="405">
        <f t="shared" si="50"/>
        <v>2023</v>
      </c>
      <c r="AI106" s="405">
        <f t="shared" si="50"/>
        <v>2024</v>
      </c>
      <c r="AJ106" s="405">
        <f t="shared" si="50"/>
        <v>2025</v>
      </c>
      <c r="AK106" s="405">
        <f t="shared" si="50"/>
        <v>2026</v>
      </c>
      <c r="AL106" s="405">
        <f t="shared" si="50"/>
        <v>2027</v>
      </c>
      <c r="AM106" s="405">
        <f t="shared" si="50"/>
        <v>2028</v>
      </c>
      <c r="AN106" s="405">
        <f t="shared" si="50"/>
        <v>2029</v>
      </c>
      <c r="AO106" s="405">
        <f t="shared" si="50"/>
        <v>2030</v>
      </c>
    </row>
    <row r="107" spans="3:43" x14ac:dyDescent="0.2">
      <c r="C107" s="402"/>
    </row>
    <row r="108" spans="3:43" x14ac:dyDescent="0.2">
      <c r="C108" s="403" t="s">
        <v>288</v>
      </c>
      <c r="I108" s="384">
        <f t="shared" ref="I108:I116" si="51">+K108*J108</f>
        <v>13534362.242617887</v>
      </c>
      <c r="J108" s="384">
        <v>30</v>
      </c>
      <c r="K108" s="384">
        <f t="shared" ref="K108:K116" si="52">+K121-K92</f>
        <v>451145.40808726288</v>
      </c>
      <c r="L108" s="384">
        <f t="shared" ref="L108:AN108" si="53">+K108</f>
        <v>451145.40808726288</v>
      </c>
      <c r="M108" s="384">
        <f t="shared" si="53"/>
        <v>451145.40808726288</v>
      </c>
      <c r="N108" s="384">
        <f t="shared" si="53"/>
        <v>451145.40808726288</v>
      </c>
      <c r="O108" s="384">
        <f t="shared" si="53"/>
        <v>451145.40808726288</v>
      </c>
      <c r="P108" s="384">
        <f t="shared" si="53"/>
        <v>451145.40808726288</v>
      </c>
      <c r="Q108" s="384">
        <f t="shared" si="53"/>
        <v>451145.40808726288</v>
      </c>
      <c r="R108" s="384">
        <f t="shared" si="53"/>
        <v>451145.40808726288</v>
      </c>
      <c r="S108" s="384">
        <f t="shared" si="53"/>
        <v>451145.40808726288</v>
      </c>
      <c r="T108" s="384">
        <f t="shared" si="53"/>
        <v>451145.40808726288</v>
      </c>
      <c r="U108" s="384">
        <f t="shared" si="53"/>
        <v>451145.40808726288</v>
      </c>
      <c r="V108" s="384">
        <f t="shared" si="53"/>
        <v>451145.40808726288</v>
      </c>
      <c r="W108" s="384">
        <f t="shared" si="53"/>
        <v>451145.40808726288</v>
      </c>
      <c r="X108" s="384">
        <f t="shared" si="53"/>
        <v>451145.40808726288</v>
      </c>
      <c r="Y108" s="384">
        <f t="shared" si="53"/>
        <v>451145.40808726288</v>
      </c>
      <c r="Z108" s="384">
        <f t="shared" si="53"/>
        <v>451145.40808726288</v>
      </c>
      <c r="AA108" s="384">
        <f t="shared" si="53"/>
        <v>451145.40808726288</v>
      </c>
      <c r="AB108" s="384">
        <f t="shared" si="53"/>
        <v>451145.40808726288</v>
      </c>
      <c r="AC108" s="384">
        <f t="shared" si="53"/>
        <v>451145.40808726288</v>
      </c>
      <c r="AD108" s="384">
        <f t="shared" si="53"/>
        <v>451145.40808726288</v>
      </c>
      <c r="AE108" s="384">
        <f t="shared" si="53"/>
        <v>451145.40808726288</v>
      </c>
      <c r="AF108" s="384">
        <f t="shared" si="53"/>
        <v>451145.40808726288</v>
      </c>
      <c r="AG108" s="384">
        <f t="shared" si="53"/>
        <v>451145.40808726288</v>
      </c>
      <c r="AH108" s="384">
        <f t="shared" si="53"/>
        <v>451145.40808726288</v>
      </c>
      <c r="AI108" s="384">
        <f t="shared" si="53"/>
        <v>451145.40808726288</v>
      </c>
      <c r="AJ108" s="384">
        <f t="shared" si="53"/>
        <v>451145.40808726288</v>
      </c>
      <c r="AK108" s="384">
        <f t="shared" si="53"/>
        <v>451145.40808726288</v>
      </c>
      <c r="AL108" s="384">
        <f t="shared" si="53"/>
        <v>451145.40808726288</v>
      </c>
      <c r="AM108" s="384">
        <f t="shared" si="53"/>
        <v>451145.40808726288</v>
      </c>
      <c r="AN108" s="384">
        <f t="shared" si="53"/>
        <v>451145.40808726288</v>
      </c>
      <c r="AO108" s="384">
        <v>0</v>
      </c>
      <c r="AQ108" s="384">
        <f t="shared" ref="AQ108:AQ116" si="54">I108-SUM(K108:AP108)</f>
        <v>0</v>
      </c>
    </row>
    <row r="109" spans="3:43" x14ac:dyDescent="0.2">
      <c r="C109" s="403" t="s">
        <v>289</v>
      </c>
      <c r="I109" s="384">
        <f t="shared" si="51"/>
        <v>11382155.822747368</v>
      </c>
      <c r="J109" s="384">
        <v>30</v>
      </c>
      <c r="K109" s="384">
        <f t="shared" si="52"/>
        <v>379405.19409157895</v>
      </c>
      <c r="L109" s="384">
        <f t="shared" ref="L109:AN109" si="55">+K109</f>
        <v>379405.19409157895</v>
      </c>
      <c r="M109" s="384">
        <f t="shared" si="55"/>
        <v>379405.19409157895</v>
      </c>
      <c r="N109" s="384">
        <f t="shared" si="55"/>
        <v>379405.19409157895</v>
      </c>
      <c r="O109" s="384">
        <f t="shared" si="55"/>
        <v>379405.19409157895</v>
      </c>
      <c r="P109" s="384">
        <f t="shared" si="55"/>
        <v>379405.19409157895</v>
      </c>
      <c r="Q109" s="384">
        <f t="shared" si="55"/>
        <v>379405.19409157895</v>
      </c>
      <c r="R109" s="384">
        <f t="shared" si="55"/>
        <v>379405.19409157895</v>
      </c>
      <c r="S109" s="384">
        <f t="shared" si="55"/>
        <v>379405.19409157895</v>
      </c>
      <c r="T109" s="384">
        <f t="shared" si="55"/>
        <v>379405.19409157895</v>
      </c>
      <c r="U109" s="384">
        <f t="shared" si="55"/>
        <v>379405.19409157895</v>
      </c>
      <c r="V109" s="384">
        <f t="shared" si="55"/>
        <v>379405.19409157895</v>
      </c>
      <c r="W109" s="384">
        <f t="shared" si="55"/>
        <v>379405.19409157895</v>
      </c>
      <c r="X109" s="384">
        <f t="shared" si="55"/>
        <v>379405.19409157895</v>
      </c>
      <c r="Y109" s="384">
        <f t="shared" si="55"/>
        <v>379405.19409157895</v>
      </c>
      <c r="Z109" s="384">
        <f t="shared" si="55"/>
        <v>379405.19409157895</v>
      </c>
      <c r="AA109" s="384">
        <f t="shared" si="55"/>
        <v>379405.19409157895</v>
      </c>
      <c r="AB109" s="384">
        <f t="shared" si="55"/>
        <v>379405.19409157895</v>
      </c>
      <c r="AC109" s="384">
        <f t="shared" si="55"/>
        <v>379405.19409157895</v>
      </c>
      <c r="AD109" s="384">
        <f t="shared" si="55"/>
        <v>379405.19409157895</v>
      </c>
      <c r="AE109" s="384">
        <f t="shared" si="55"/>
        <v>379405.19409157895</v>
      </c>
      <c r="AF109" s="384">
        <f t="shared" si="55"/>
        <v>379405.19409157895</v>
      </c>
      <c r="AG109" s="384">
        <f t="shared" si="55"/>
        <v>379405.19409157895</v>
      </c>
      <c r="AH109" s="384">
        <f t="shared" si="55"/>
        <v>379405.19409157895</v>
      </c>
      <c r="AI109" s="384">
        <f t="shared" si="55"/>
        <v>379405.19409157895</v>
      </c>
      <c r="AJ109" s="384">
        <f t="shared" si="55"/>
        <v>379405.19409157895</v>
      </c>
      <c r="AK109" s="384">
        <f t="shared" si="55"/>
        <v>379405.19409157895</v>
      </c>
      <c r="AL109" s="384">
        <f t="shared" si="55"/>
        <v>379405.19409157895</v>
      </c>
      <c r="AM109" s="384">
        <f t="shared" si="55"/>
        <v>379405.19409157895</v>
      </c>
      <c r="AN109" s="384">
        <f t="shared" si="55"/>
        <v>379405.19409157895</v>
      </c>
      <c r="AO109" s="384">
        <v>0</v>
      </c>
      <c r="AQ109" s="384">
        <f t="shared" si="54"/>
        <v>0</v>
      </c>
    </row>
    <row r="110" spans="3:43" x14ac:dyDescent="0.2">
      <c r="C110" s="389" t="s">
        <v>261</v>
      </c>
      <c r="I110" s="384">
        <f t="shared" si="51"/>
        <v>404620.95477234107</v>
      </c>
      <c r="J110" s="384">
        <v>30</v>
      </c>
      <c r="K110" s="384">
        <f t="shared" si="52"/>
        <v>13487.365159078036</v>
      </c>
      <c r="L110" s="384">
        <f t="shared" ref="L110:AN110" si="56">+K110</f>
        <v>13487.365159078036</v>
      </c>
      <c r="M110" s="384">
        <f t="shared" si="56"/>
        <v>13487.365159078036</v>
      </c>
      <c r="N110" s="384">
        <f t="shared" si="56"/>
        <v>13487.365159078036</v>
      </c>
      <c r="O110" s="384">
        <f t="shared" si="56"/>
        <v>13487.365159078036</v>
      </c>
      <c r="P110" s="384">
        <f t="shared" si="56"/>
        <v>13487.365159078036</v>
      </c>
      <c r="Q110" s="384">
        <f t="shared" si="56"/>
        <v>13487.365159078036</v>
      </c>
      <c r="R110" s="384">
        <f t="shared" si="56"/>
        <v>13487.365159078036</v>
      </c>
      <c r="S110" s="384">
        <f t="shared" si="56"/>
        <v>13487.365159078036</v>
      </c>
      <c r="T110" s="384">
        <f t="shared" si="56"/>
        <v>13487.365159078036</v>
      </c>
      <c r="U110" s="384">
        <f t="shared" si="56"/>
        <v>13487.365159078036</v>
      </c>
      <c r="V110" s="384">
        <f t="shared" si="56"/>
        <v>13487.365159078036</v>
      </c>
      <c r="W110" s="384">
        <f t="shared" si="56"/>
        <v>13487.365159078036</v>
      </c>
      <c r="X110" s="384">
        <f t="shared" si="56"/>
        <v>13487.365159078036</v>
      </c>
      <c r="Y110" s="384">
        <f t="shared" si="56"/>
        <v>13487.365159078036</v>
      </c>
      <c r="Z110" s="384">
        <f t="shared" si="56"/>
        <v>13487.365159078036</v>
      </c>
      <c r="AA110" s="384">
        <f t="shared" si="56"/>
        <v>13487.365159078036</v>
      </c>
      <c r="AB110" s="384">
        <f t="shared" si="56"/>
        <v>13487.365159078036</v>
      </c>
      <c r="AC110" s="384">
        <f t="shared" si="56"/>
        <v>13487.365159078036</v>
      </c>
      <c r="AD110" s="384">
        <f t="shared" si="56"/>
        <v>13487.365159078036</v>
      </c>
      <c r="AE110" s="384">
        <f t="shared" si="56"/>
        <v>13487.365159078036</v>
      </c>
      <c r="AF110" s="384">
        <f t="shared" si="56"/>
        <v>13487.365159078036</v>
      </c>
      <c r="AG110" s="384">
        <f t="shared" si="56"/>
        <v>13487.365159078036</v>
      </c>
      <c r="AH110" s="384">
        <f t="shared" si="56"/>
        <v>13487.365159078036</v>
      </c>
      <c r="AI110" s="384">
        <f t="shared" si="56"/>
        <v>13487.365159078036</v>
      </c>
      <c r="AJ110" s="384">
        <f t="shared" si="56"/>
        <v>13487.365159078036</v>
      </c>
      <c r="AK110" s="384">
        <f t="shared" si="56"/>
        <v>13487.365159078036</v>
      </c>
      <c r="AL110" s="384">
        <f t="shared" si="56"/>
        <v>13487.365159078036</v>
      </c>
      <c r="AM110" s="384">
        <f t="shared" si="56"/>
        <v>13487.365159078036</v>
      </c>
      <c r="AN110" s="384">
        <f t="shared" si="56"/>
        <v>13487.365159078036</v>
      </c>
      <c r="AO110" s="384">
        <v>0</v>
      </c>
      <c r="AQ110" s="384">
        <f t="shared" si="54"/>
        <v>0</v>
      </c>
    </row>
    <row r="111" spans="3:43" x14ac:dyDescent="0.2">
      <c r="C111" s="389" t="s">
        <v>262</v>
      </c>
      <c r="I111" s="384">
        <f t="shared" si="51"/>
        <v>10485974.464125596</v>
      </c>
      <c r="J111" s="384">
        <v>30</v>
      </c>
      <c r="K111" s="384">
        <f t="shared" si="52"/>
        <v>349532.48213751987</v>
      </c>
      <c r="L111" s="384">
        <f t="shared" ref="L111:AN111" si="57">+K111</f>
        <v>349532.48213751987</v>
      </c>
      <c r="M111" s="384">
        <f t="shared" si="57"/>
        <v>349532.48213751987</v>
      </c>
      <c r="N111" s="384">
        <f t="shared" si="57"/>
        <v>349532.48213751987</v>
      </c>
      <c r="O111" s="384">
        <f t="shared" si="57"/>
        <v>349532.48213751987</v>
      </c>
      <c r="P111" s="384">
        <f t="shared" si="57"/>
        <v>349532.48213751987</v>
      </c>
      <c r="Q111" s="384">
        <f t="shared" si="57"/>
        <v>349532.48213751987</v>
      </c>
      <c r="R111" s="384">
        <f t="shared" si="57"/>
        <v>349532.48213751987</v>
      </c>
      <c r="S111" s="384">
        <f t="shared" si="57"/>
        <v>349532.48213751987</v>
      </c>
      <c r="T111" s="384">
        <f t="shared" si="57"/>
        <v>349532.48213751987</v>
      </c>
      <c r="U111" s="384">
        <f t="shared" si="57"/>
        <v>349532.48213751987</v>
      </c>
      <c r="V111" s="384">
        <f t="shared" si="57"/>
        <v>349532.48213751987</v>
      </c>
      <c r="W111" s="384">
        <f t="shared" si="57"/>
        <v>349532.48213751987</v>
      </c>
      <c r="X111" s="384">
        <f t="shared" si="57"/>
        <v>349532.48213751987</v>
      </c>
      <c r="Y111" s="384">
        <f t="shared" si="57"/>
        <v>349532.48213751987</v>
      </c>
      <c r="Z111" s="384">
        <f t="shared" si="57"/>
        <v>349532.48213751987</v>
      </c>
      <c r="AA111" s="384">
        <f t="shared" si="57"/>
        <v>349532.48213751987</v>
      </c>
      <c r="AB111" s="384">
        <f t="shared" si="57"/>
        <v>349532.48213751987</v>
      </c>
      <c r="AC111" s="384">
        <f t="shared" si="57"/>
        <v>349532.48213751987</v>
      </c>
      <c r="AD111" s="384">
        <f t="shared" si="57"/>
        <v>349532.48213751987</v>
      </c>
      <c r="AE111" s="384">
        <f t="shared" si="57"/>
        <v>349532.48213751987</v>
      </c>
      <c r="AF111" s="384">
        <f t="shared" si="57"/>
        <v>349532.48213751987</v>
      </c>
      <c r="AG111" s="384">
        <f t="shared" si="57"/>
        <v>349532.48213751987</v>
      </c>
      <c r="AH111" s="384">
        <f t="shared" si="57"/>
        <v>349532.48213751987</v>
      </c>
      <c r="AI111" s="384">
        <f t="shared" si="57"/>
        <v>349532.48213751987</v>
      </c>
      <c r="AJ111" s="384">
        <f t="shared" si="57"/>
        <v>349532.48213751987</v>
      </c>
      <c r="AK111" s="384">
        <f t="shared" si="57"/>
        <v>349532.48213751987</v>
      </c>
      <c r="AL111" s="384">
        <f t="shared" si="57"/>
        <v>349532.48213751987</v>
      </c>
      <c r="AM111" s="384">
        <f t="shared" si="57"/>
        <v>349532.48213751987</v>
      </c>
      <c r="AN111" s="384">
        <f t="shared" si="57"/>
        <v>349532.48213751987</v>
      </c>
      <c r="AO111" s="384">
        <v>0</v>
      </c>
      <c r="AQ111" s="384">
        <f t="shared" si="54"/>
        <v>0</v>
      </c>
    </row>
    <row r="112" spans="3:43" x14ac:dyDescent="0.2">
      <c r="C112" s="389" t="s">
        <v>282</v>
      </c>
      <c r="I112" s="384">
        <f t="shared" si="51"/>
        <v>2843200.5021908926</v>
      </c>
      <c r="J112" s="384">
        <v>30</v>
      </c>
      <c r="K112" s="384">
        <f t="shared" si="52"/>
        <v>94773.350073029753</v>
      </c>
      <c r="L112" s="384">
        <f t="shared" ref="L112:AN112" si="58">+K112</f>
        <v>94773.350073029753</v>
      </c>
      <c r="M112" s="384">
        <f t="shared" si="58"/>
        <v>94773.350073029753</v>
      </c>
      <c r="N112" s="384">
        <f t="shared" si="58"/>
        <v>94773.350073029753</v>
      </c>
      <c r="O112" s="384">
        <f t="shared" si="58"/>
        <v>94773.350073029753</v>
      </c>
      <c r="P112" s="384">
        <f t="shared" si="58"/>
        <v>94773.350073029753</v>
      </c>
      <c r="Q112" s="384">
        <f t="shared" si="58"/>
        <v>94773.350073029753</v>
      </c>
      <c r="R112" s="384">
        <f t="shared" si="58"/>
        <v>94773.350073029753</v>
      </c>
      <c r="S112" s="384">
        <f t="shared" si="58"/>
        <v>94773.350073029753</v>
      </c>
      <c r="T112" s="384">
        <f t="shared" si="58"/>
        <v>94773.350073029753</v>
      </c>
      <c r="U112" s="384">
        <f t="shared" si="58"/>
        <v>94773.350073029753</v>
      </c>
      <c r="V112" s="384">
        <f t="shared" si="58"/>
        <v>94773.350073029753</v>
      </c>
      <c r="W112" s="384">
        <f t="shared" si="58"/>
        <v>94773.350073029753</v>
      </c>
      <c r="X112" s="384">
        <f t="shared" si="58"/>
        <v>94773.350073029753</v>
      </c>
      <c r="Y112" s="384">
        <f t="shared" si="58"/>
        <v>94773.350073029753</v>
      </c>
      <c r="Z112" s="384">
        <f t="shared" si="58"/>
        <v>94773.350073029753</v>
      </c>
      <c r="AA112" s="384">
        <f t="shared" si="58"/>
        <v>94773.350073029753</v>
      </c>
      <c r="AB112" s="384">
        <f t="shared" si="58"/>
        <v>94773.350073029753</v>
      </c>
      <c r="AC112" s="384">
        <f t="shared" si="58"/>
        <v>94773.350073029753</v>
      </c>
      <c r="AD112" s="384">
        <f t="shared" si="58"/>
        <v>94773.350073029753</v>
      </c>
      <c r="AE112" s="384">
        <f t="shared" si="58"/>
        <v>94773.350073029753</v>
      </c>
      <c r="AF112" s="384">
        <f t="shared" si="58"/>
        <v>94773.350073029753</v>
      </c>
      <c r="AG112" s="384">
        <f t="shared" si="58"/>
        <v>94773.350073029753</v>
      </c>
      <c r="AH112" s="384">
        <f t="shared" si="58"/>
        <v>94773.350073029753</v>
      </c>
      <c r="AI112" s="384">
        <f t="shared" si="58"/>
        <v>94773.350073029753</v>
      </c>
      <c r="AJ112" s="384">
        <f t="shared" si="58"/>
        <v>94773.350073029753</v>
      </c>
      <c r="AK112" s="384">
        <f t="shared" si="58"/>
        <v>94773.350073029753</v>
      </c>
      <c r="AL112" s="384">
        <f t="shared" si="58"/>
        <v>94773.350073029753</v>
      </c>
      <c r="AM112" s="384">
        <f t="shared" si="58"/>
        <v>94773.350073029753</v>
      </c>
      <c r="AN112" s="384">
        <f t="shared" si="58"/>
        <v>94773.350073029753</v>
      </c>
      <c r="AO112" s="384">
        <v>0</v>
      </c>
      <c r="AQ112" s="384">
        <f t="shared" si="54"/>
        <v>0</v>
      </c>
    </row>
    <row r="113" spans="3:43" x14ac:dyDescent="0.2">
      <c r="C113" s="389" t="s">
        <v>283</v>
      </c>
      <c r="I113" s="384">
        <f t="shared" si="51"/>
        <v>10715765.54177938</v>
      </c>
      <c r="J113" s="384">
        <v>30</v>
      </c>
      <c r="K113" s="384">
        <f t="shared" si="52"/>
        <v>357192.18472597934</v>
      </c>
      <c r="L113" s="384">
        <f t="shared" ref="L113:AN113" si="59">+K113</f>
        <v>357192.18472597934</v>
      </c>
      <c r="M113" s="384">
        <f t="shared" si="59"/>
        <v>357192.18472597934</v>
      </c>
      <c r="N113" s="384">
        <f t="shared" si="59"/>
        <v>357192.18472597934</v>
      </c>
      <c r="O113" s="384">
        <f t="shared" si="59"/>
        <v>357192.18472597934</v>
      </c>
      <c r="P113" s="384">
        <f t="shared" si="59"/>
        <v>357192.18472597934</v>
      </c>
      <c r="Q113" s="384">
        <f t="shared" si="59"/>
        <v>357192.18472597934</v>
      </c>
      <c r="R113" s="384">
        <f t="shared" si="59"/>
        <v>357192.18472597934</v>
      </c>
      <c r="S113" s="384">
        <f t="shared" si="59"/>
        <v>357192.18472597934</v>
      </c>
      <c r="T113" s="384">
        <f t="shared" si="59"/>
        <v>357192.18472597934</v>
      </c>
      <c r="U113" s="384">
        <f t="shared" si="59"/>
        <v>357192.18472597934</v>
      </c>
      <c r="V113" s="384">
        <f t="shared" si="59"/>
        <v>357192.18472597934</v>
      </c>
      <c r="W113" s="384">
        <f t="shared" si="59"/>
        <v>357192.18472597934</v>
      </c>
      <c r="X113" s="384">
        <f t="shared" si="59"/>
        <v>357192.18472597934</v>
      </c>
      <c r="Y113" s="384">
        <f t="shared" si="59"/>
        <v>357192.18472597934</v>
      </c>
      <c r="Z113" s="384">
        <f t="shared" si="59"/>
        <v>357192.18472597934</v>
      </c>
      <c r="AA113" s="384">
        <f t="shared" si="59"/>
        <v>357192.18472597934</v>
      </c>
      <c r="AB113" s="384">
        <f t="shared" si="59"/>
        <v>357192.18472597934</v>
      </c>
      <c r="AC113" s="384">
        <f t="shared" si="59"/>
        <v>357192.18472597934</v>
      </c>
      <c r="AD113" s="384">
        <f t="shared" si="59"/>
        <v>357192.18472597934</v>
      </c>
      <c r="AE113" s="384">
        <f t="shared" si="59"/>
        <v>357192.18472597934</v>
      </c>
      <c r="AF113" s="384">
        <f t="shared" si="59"/>
        <v>357192.18472597934</v>
      </c>
      <c r="AG113" s="384">
        <f t="shared" si="59"/>
        <v>357192.18472597934</v>
      </c>
      <c r="AH113" s="384">
        <f t="shared" si="59"/>
        <v>357192.18472597934</v>
      </c>
      <c r="AI113" s="384">
        <f t="shared" si="59"/>
        <v>357192.18472597934</v>
      </c>
      <c r="AJ113" s="384">
        <f t="shared" si="59"/>
        <v>357192.18472597934</v>
      </c>
      <c r="AK113" s="384">
        <f t="shared" si="59"/>
        <v>357192.18472597934</v>
      </c>
      <c r="AL113" s="384">
        <f t="shared" si="59"/>
        <v>357192.18472597934</v>
      </c>
      <c r="AM113" s="384">
        <f t="shared" si="59"/>
        <v>357192.18472597934</v>
      </c>
      <c r="AN113" s="384">
        <f t="shared" si="59"/>
        <v>357192.18472597934</v>
      </c>
      <c r="AO113" s="384">
        <v>0</v>
      </c>
      <c r="AQ113" s="384">
        <f t="shared" si="54"/>
        <v>0</v>
      </c>
    </row>
    <row r="114" spans="3:43" x14ac:dyDescent="0.2">
      <c r="C114" s="389" t="s">
        <v>265</v>
      </c>
      <c r="I114" s="384">
        <f t="shared" si="51"/>
        <v>6872690.3810250107</v>
      </c>
      <c r="J114" s="384">
        <v>30</v>
      </c>
      <c r="K114" s="384">
        <f t="shared" si="52"/>
        <v>229089.67936750036</v>
      </c>
      <c r="L114" s="384">
        <f t="shared" ref="L114:AN114" si="60">+K114</f>
        <v>229089.67936750036</v>
      </c>
      <c r="M114" s="384">
        <f t="shared" si="60"/>
        <v>229089.67936750036</v>
      </c>
      <c r="N114" s="384">
        <f t="shared" si="60"/>
        <v>229089.67936750036</v>
      </c>
      <c r="O114" s="384">
        <f t="shared" si="60"/>
        <v>229089.67936750036</v>
      </c>
      <c r="P114" s="384">
        <f t="shared" si="60"/>
        <v>229089.67936750036</v>
      </c>
      <c r="Q114" s="384">
        <f t="shared" si="60"/>
        <v>229089.67936750036</v>
      </c>
      <c r="R114" s="384">
        <f t="shared" si="60"/>
        <v>229089.67936750036</v>
      </c>
      <c r="S114" s="384">
        <f t="shared" si="60"/>
        <v>229089.67936750036</v>
      </c>
      <c r="T114" s="384">
        <f t="shared" si="60"/>
        <v>229089.67936750036</v>
      </c>
      <c r="U114" s="384">
        <f t="shared" si="60"/>
        <v>229089.67936750036</v>
      </c>
      <c r="V114" s="384">
        <f t="shared" si="60"/>
        <v>229089.67936750036</v>
      </c>
      <c r="W114" s="384">
        <f t="shared" si="60"/>
        <v>229089.67936750036</v>
      </c>
      <c r="X114" s="384">
        <f t="shared" si="60"/>
        <v>229089.67936750036</v>
      </c>
      <c r="Y114" s="384">
        <f t="shared" si="60"/>
        <v>229089.67936750036</v>
      </c>
      <c r="Z114" s="384">
        <f t="shared" si="60"/>
        <v>229089.67936750036</v>
      </c>
      <c r="AA114" s="384">
        <f t="shared" si="60"/>
        <v>229089.67936750036</v>
      </c>
      <c r="AB114" s="384">
        <f t="shared" si="60"/>
        <v>229089.67936750036</v>
      </c>
      <c r="AC114" s="384">
        <f t="shared" si="60"/>
        <v>229089.67936750036</v>
      </c>
      <c r="AD114" s="384">
        <f t="shared" si="60"/>
        <v>229089.67936750036</v>
      </c>
      <c r="AE114" s="384">
        <f t="shared" si="60"/>
        <v>229089.67936750036</v>
      </c>
      <c r="AF114" s="384">
        <f t="shared" si="60"/>
        <v>229089.67936750036</v>
      </c>
      <c r="AG114" s="384">
        <f t="shared" si="60"/>
        <v>229089.67936750036</v>
      </c>
      <c r="AH114" s="384">
        <f t="shared" si="60"/>
        <v>229089.67936750036</v>
      </c>
      <c r="AI114" s="384">
        <f t="shared" si="60"/>
        <v>229089.67936750036</v>
      </c>
      <c r="AJ114" s="384">
        <f t="shared" si="60"/>
        <v>229089.67936750036</v>
      </c>
      <c r="AK114" s="384">
        <f t="shared" si="60"/>
        <v>229089.67936750036</v>
      </c>
      <c r="AL114" s="384">
        <f t="shared" si="60"/>
        <v>229089.67936750036</v>
      </c>
      <c r="AM114" s="384">
        <f t="shared" si="60"/>
        <v>229089.67936750036</v>
      </c>
      <c r="AN114" s="384">
        <f t="shared" si="60"/>
        <v>229089.67936750036</v>
      </c>
      <c r="AO114" s="384">
        <v>0</v>
      </c>
      <c r="AQ114" s="384">
        <f t="shared" si="54"/>
        <v>0</v>
      </c>
    </row>
    <row r="115" spans="3:43" x14ac:dyDescent="0.2">
      <c r="C115" s="389" t="s">
        <v>284</v>
      </c>
      <c r="I115" s="384">
        <f t="shared" si="51"/>
        <v>46263994.715184197</v>
      </c>
      <c r="J115" s="384">
        <v>30</v>
      </c>
      <c r="K115" s="384">
        <f t="shared" si="52"/>
        <v>1542133.1571728066</v>
      </c>
      <c r="L115" s="384">
        <f t="shared" ref="L115:AN115" si="61">+K115</f>
        <v>1542133.1571728066</v>
      </c>
      <c r="M115" s="384">
        <f t="shared" si="61"/>
        <v>1542133.1571728066</v>
      </c>
      <c r="N115" s="384">
        <f t="shared" si="61"/>
        <v>1542133.1571728066</v>
      </c>
      <c r="O115" s="384">
        <f t="shared" si="61"/>
        <v>1542133.1571728066</v>
      </c>
      <c r="P115" s="384">
        <f t="shared" si="61"/>
        <v>1542133.1571728066</v>
      </c>
      <c r="Q115" s="384">
        <f t="shared" si="61"/>
        <v>1542133.1571728066</v>
      </c>
      <c r="R115" s="384">
        <f t="shared" si="61"/>
        <v>1542133.1571728066</v>
      </c>
      <c r="S115" s="384">
        <f t="shared" si="61"/>
        <v>1542133.1571728066</v>
      </c>
      <c r="T115" s="384">
        <f t="shared" si="61"/>
        <v>1542133.1571728066</v>
      </c>
      <c r="U115" s="384">
        <f t="shared" si="61"/>
        <v>1542133.1571728066</v>
      </c>
      <c r="V115" s="384">
        <f t="shared" si="61"/>
        <v>1542133.1571728066</v>
      </c>
      <c r="W115" s="384">
        <f t="shared" si="61"/>
        <v>1542133.1571728066</v>
      </c>
      <c r="X115" s="384">
        <f t="shared" si="61"/>
        <v>1542133.1571728066</v>
      </c>
      <c r="Y115" s="384">
        <f t="shared" si="61"/>
        <v>1542133.1571728066</v>
      </c>
      <c r="Z115" s="384">
        <f t="shared" si="61"/>
        <v>1542133.1571728066</v>
      </c>
      <c r="AA115" s="384">
        <f t="shared" si="61"/>
        <v>1542133.1571728066</v>
      </c>
      <c r="AB115" s="384">
        <f t="shared" si="61"/>
        <v>1542133.1571728066</v>
      </c>
      <c r="AC115" s="384">
        <f t="shared" si="61"/>
        <v>1542133.1571728066</v>
      </c>
      <c r="AD115" s="384">
        <f t="shared" si="61"/>
        <v>1542133.1571728066</v>
      </c>
      <c r="AE115" s="384">
        <f t="shared" si="61"/>
        <v>1542133.1571728066</v>
      </c>
      <c r="AF115" s="384">
        <f t="shared" si="61"/>
        <v>1542133.1571728066</v>
      </c>
      <c r="AG115" s="384">
        <f t="shared" si="61"/>
        <v>1542133.1571728066</v>
      </c>
      <c r="AH115" s="384">
        <f t="shared" si="61"/>
        <v>1542133.1571728066</v>
      </c>
      <c r="AI115" s="384">
        <f t="shared" si="61"/>
        <v>1542133.1571728066</v>
      </c>
      <c r="AJ115" s="384">
        <f t="shared" si="61"/>
        <v>1542133.1571728066</v>
      </c>
      <c r="AK115" s="384">
        <f t="shared" si="61"/>
        <v>1542133.1571728066</v>
      </c>
      <c r="AL115" s="384">
        <f t="shared" si="61"/>
        <v>1542133.1571728066</v>
      </c>
      <c r="AM115" s="384">
        <f t="shared" si="61"/>
        <v>1542133.1571728066</v>
      </c>
      <c r="AN115" s="384">
        <f t="shared" si="61"/>
        <v>1542133.1571728066</v>
      </c>
      <c r="AO115" s="384">
        <v>0</v>
      </c>
      <c r="AQ115" s="384">
        <f t="shared" si="54"/>
        <v>0</v>
      </c>
    </row>
    <row r="116" spans="3:43" x14ac:dyDescent="0.2">
      <c r="C116" s="389" t="s">
        <v>285</v>
      </c>
      <c r="I116" s="384">
        <f t="shared" si="51"/>
        <v>5811137.7837039903</v>
      </c>
      <c r="J116" s="384">
        <v>20</v>
      </c>
      <c r="K116" s="384">
        <f t="shared" si="52"/>
        <v>290556.88918519951</v>
      </c>
      <c r="L116" s="384">
        <f t="shared" ref="L116:AD116" si="62">+K116</f>
        <v>290556.88918519951</v>
      </c>
      <c r="M116" s="384">
        <f t="shared" si="62"/>
        <v>290556.88918519951</v>
      </c>
      <c r="N116" s="384">
        <f t="shared" si="62"/>
        <v>290556.88918519951</v>
      </c>
      <c r="O116" s="384">
        <f t="shared" si="62"/>
        <v>290556.88918519951</v>
      </c>
      <c r="P116" s="384">
        <f t="shared" si="62"/>
        <v>290556.88918519951</v>
      </c>
      <c r="Q116" s="384">
        <f t="shared" si="62"/>
        <v>290556.88918519951</v>
      </c>
      <c r="R116" s="384">
        <f t="shared" si="62"/>
        <v>290556.88918519951</v>
      </c>
      <c r="S116" s="384">
        <f t="shared" si="62"/>
        <v>290556.88918519951</v>
      </c>
      <c r="T116" s="384">
        <f t="shared" si="62"/>
        <v>290556.88918519951</v>
      </c>
      <c r="U116" s="384">
        <f t="shared" si="62"/>
        <v>290556.88918519951</v>
      </c>
      <c r="V116" s="384">
        <f t="shared" si="62"/>
        <v>290556.88918519951</v>
      </c>
      <c r="W116" s="384">
        <f t="shared" si="62"/>
        <v>290556.88918519951</v>
      </c>
      <c r="X116" s="384">
        <f t="shared" si="62"/>
        <v>290556.88918519951</v>
      </c>
      <c r="Y116" s="384">
        <f t="shared" si="62"/>
        <v>290556.88918519951</v>
      </c>
      <c r="Z116" s="384">
        <f t="shared" si="62"/>
        <v>290556.88918519951</v>
      </c>
      <c r="AA116" s="384">
        <f t="shared" si="62"/>
        <v>290556.88918519951</v>
      </c>
      <c r="AB116" s="384">
        <f t="shared" si="62"/>
        <v>290556.88918519951</v>
      </c>
      <c r="AC116" s="384">
        <f t="shared" si="62"/>
        <v>290556.88918519951</v>
      </c>
      <c r="AD116" s="384">
        <f t="shared" si="62"/>
        <v>290556.88918519951</v>
      </c>
      <c r="AE116" s="384">
        <v>0</v>
      </c>
      <c r="AF116" s="384">
        <v>0</v>
      </c>
      <c r="AG116" s="384">
        <v>0</v>
      </c>
      <c r="AH116" s="384">
        <v>0</v>
      </c>
      <c r="AI116" s="384">
        <v>0</v>
      </c>
      <c r="AJ116" s="384">
        <v>0</v>
      </c>
      <c r="AK116" s="384">
        <v>0</v>
      </c>
      <c r="AL116" s="384">
        <v>0</v>
      </c>
      <c r="AM116" s="384">
        <v>0</v>
      </c>
      <c r="AN116" s="384">
        <v>0</v>
      </c>
      <c r="AO116" s="384">
        <v>0</v>
      </c>
      <c r="AQ116" s="384">
        <f t="shared" si="54"/>
        <v>0</v>
      </c>
    </row>
    <row r="118" spans="3:43" ht="13.5" thickBot="1" x14ac:dyDescent="0.25">
      <c r="I118" s="401">
        <f>SUM(I108:I117)</f>
        <v>108313902.40814665</v>
      </c>
      <c r="K118" s="401">
        <f t="shared" ref="K118:AO118" si="63">SUM(K108:K117)</f>
        <v>3707315.7099999553</v>
      </c>
      <c r="L118" s="401">
        <f t="shared" si="63"/>
        <v>3707315.7099999553</v>
      </c>
      <c r="M118" s="401">
        <f t="shared" si="63"/>
        <v>3707315.7099999553</v>
      </c>
      <c r="N118" s="401">
        <f t="shared" si="63"/>
        <v>3707315.7099999553</v>
      </c>
      <c r="O118" s="401">
        <f t="shared" si="63"/>
        <v>3707315.7099999553</v>
      </c>
      <c r="P118" s="401">
        <f t="shared" si="63"/>
        <v>3707315.7099999553</v>
      </c>
      <c r="Q118" s="401">
        <f t="shared" si="63"/>
        <v>3707315.7099999553</v>
      </c>
      <c r="R118" s="401">
        <f t="shared" si="63"/>
        <v>3707315.7099999553</v>
      </c>
      <c r="S118" s="401">
        <f t="shared" si="63"/>
        <v>3707315.7099999553</v>
      </c>
      <c r="T118" s="401">
        <f t="shared" si="63"/>
        <v>3707315.7099999553</v>
      </c>
      <c r="U118" s="401">
        <f t="shared" si="63"/>
        <v>3707315.7099999553</v>
      </c>
      <c r="V118" s="401">
        <f t="shared" si="63"/>
        <v>3707315.7099999553</v>
      </c>
      <c r="W118" s="401">
        <f t="shared" si="63"/>
        <v>3707315.7099999553</v>
      </c>
      <c r="X118" s="401">
        <f t="shared" si="63"/>
        <v>3707315.7099999553</v>
      </c>
      <c r="Y118" s="401">
        <f t="shared" si="63"/>
        <v>3707315.7099999553</v>
      </c>
      <c r="Z118" s="401">
        <f t="shared" si="63"/>
        <v>3707315.7099999553</v>
      </c>
      <c r="AA118" s="401">
        <f t="shared" si="63"/>
        <v>3707315.7099999553</v>
      </c>
      <c r="AB118" s="401">
        <f t="shared" si="63"/>
        <v>3707315.7099999553</v>
      </c>
      <c r="AC118" s="401">
        <f t="shared" si="63"/>
        <v>3707315.7099999553</v>
      </c>
      <c r="AD118" s="401">
        <f t="shared" si="63"/>
        <v>3707315.7099999553</v>
      </c>
      <c r="AE118" s="401">
        <f t="shared" si="63"/>
        <v>3416758.8208147557</v>
      </c>
      <c r="AF118" s="401">
        <f t="shared" si="63"/>
        <v>3416758.8208147557</v>
      </c>
      <c r="AG118" s="401">
        <f t="shared" si="63"/>
        <v>3416758.8208147557</v>
      </c>
      <c r="AH118" s="401">
        <f t="shared" si="63"/>
        <v>3416758.8208147557</v>
      </c>
      <c r="AI118" s="401">
        <f t="shared" si="63"/>
        <v>3416758.8208147557</v>
      </c>
      <c r="AJ118" s="401">
        <f t="shared" si="63"/>
        <v>3416758.8208147557</v>
      </c>
      <c r="AK118" s="401">
        <f t="shared" si="63"/>
        <v>3416758.8208147557</v>
      </c>
      <c r="AL118" s="401">
        <f t="shared" si="63"/>
        <v>3416758.8208147557</v>
      </c>
      <c r="AM118" s="401">
        <f t="shared" si="63"/>
        <v>3416758.8208147557</v>
      </c>
      <c r="AN118" s="401">
        <f t="shared" si="63"/>
        <v>3416758.8208147557</v>
      </c>
      <c r="AO118" s="401">
        <f t="shared" si="63"/>
        <v>0</v>
      </c>
      <c r="AQ118" s="401">
        <f>SUM(AQ108:AQ117)</f>
        <v>0</v>
      </c>
    </row>
    <row r="119" spans="3:43" ht="13.5" thickTop="1" x14ac:dyDescent="0.2"/>
    <row r="120" spans="3:43" x14ac:dyDescent="0.2">
      <c r="C120" s="402" t="s">
        <v>292</v>
      </c>
    </row>
    <row r="121" spans="3:43" x14ac:dyDescent="0.2">
      <c r="C121" s="403" t="s">
        <v>288</v>
      </c>
      <c r="I121" s="384">
        <f t="shared" ref="I121:I129" si="64">+I92+I108</f>
        <v>100505115.12261789</v>
      </c>
      <c r="K121" s="384">
        <v>11882779.958087262</v>
      </c>
      <c r="L121" s="384">
        <f t="shared" ref="L121:AO121" si="65">+L92+L108</f>
        <v>11882779.958087262</v>
      </c>
      <c r="M121" s="384">
        <f t="shared" si="65"/>
        <v>11861159.538087262</v>
      </c>
      <c r="N121" s="384">
        <f t="shared" si="65"/>
        <v>11782969.958087262</v>
      </c>
      <c r="O121" s="384">
        <f t="shared" si="65"/>
        <v>11447344.318087263</v>
      </c>
      <c r="P121" s="384">
        <f t="shared" si="65"/>
        <v>10483752.118087262</v>
      </c>
      <c r="Q121" s="384">
        <f t="shared" si="65"/>
        <v>10483752.118087262</v>
      </c>
      <c r="R121" s="384">
        <f t="shared" si="65"/>
        <v>5857660.0280872583</v>
      </c>
      <c r="S121" s="384">
        <f t="shared" si="65"/>
        <v>1837727.8280872628</v>
      </c>
      <c r="T121" s="384">
        <f t="shared" si="65"/>
        <v>1833683.1880872629</v>
      </c>
      <c r="U121" s="384">
        <f t="shared" si="65"/>
        <v>1680269.1080872659</v>
      </c>
      <c r="V121" s="384">
        <f t="shared" si="65"/>
        <v>524770.40808726288</v>
      </c>
      <c r="W121" s="384">
        <f t="shared" si="65"/>
        <v>524770.40808726288</v>
      </c>
      <c r="X121" s="384">
        <f t="shared" si="65"/>
        <v>524770.40808726288</v>
      </c>
      <c r="Y121" s="384">
        <f t="shared" si="65"/>
        <v>524770.40808726288</v>
      </c>
      <c r="Z121" s="384">
        <f t="shared" si="65"/>
        <v>524770.40808726288</v>
      </c>
      <c r="AA121" s="384">
        <f t="shared" si="65"/>
        <v>517491.44808726286</v>
      </c>
      <c r="AB121" s="384">
        <f t="shared" si="65"/>
        <v>497813.40808726288</v>
      </c>
      <c r="AC121" s="384">
        <f t="shared" si="65"/>
        <v>497813.40808726288</v>
      </c>
      <c r="AD121" s="384">
        <f t="shared" si="65"/>
        <v>497813.40808726288</v>
      </c>
      <c r="AE121" s="384">
        <f t="shared" si="65"/>
        <v>497813.40808726288</v>
      </c>
      <c r="AF121" s="384">
        <f t="shared" si="65"/>
        <v>497813.40808726288</v>
      </c>
      <c r="AG121" s="384">
        <f t="shared" si="65"/>
        <v>497813.40808726288</v>
      </c>
      <c r="AH121" s="384">
        <f t="shared" si="65"/>
        <v>493210.18808726291</v>
      </c>
      <c r="AI121" s="384">
        <f t="shared" si="65"/>
        <v>463929.40808726288</v>
      </c>
      <c r="AJ121" s="384">
        <f t="shared" si="65"/>
        <v>463929.40808726288</v>
      </c>
      <c r="AK121" s="384">
        <f t="shared" si="65"/>
        <v>463929.40808726288</v>
      </c>
      <c r="AL121" s="384">
        <f t="shared" si="65"/>
        <v>463929.40808726288</v>
      </c>
      <c r="AM121" s="384">
        <f t="shared" si="65"/>
        <v>463929.40808726288</v>
      </c>
      <c r="AN121" s="384">
        <f t="shared" si="65"/>
        <v>463929.40808726288</v>
      </c>
      <c r="AO121" s="384">
        <f t="shared" si="65"/>
        <v>12784</v>
      </c>
      <c r="AQ121" s="384">
        <f t="shared" ref="AQ121:AQ130" si="66">I121-SUM(K121:AP121)</f>
        <v>53442.429999902844</v>
      </c>
    </row>
    <row r="122" spans="3:43" x14ac:dyDescent="0.2">
      <c r="C122" s="403" t="s">
        <v>289</v>
      </c>
      <c r="I122" s="384">
        <f t="shared" si="64"/>
        <v>130345831.07274735</v>
      </c>
      <c r="K122" s="384">
        <v>10339982.314091578</v>
      </c>
      <c r="L122" s="384">
        <f t="shared" ref="L122:AO122" si="67">+L93+L109</f>
        <v>10339982.314091578</v>
      </c>
      <c r="M122" s="384">
        <f t="shared" si="67"/>
        <v>10318361.894091578</v>
      </c>
      <c r="N122" s="384">
        <f t="shared" si="67"/>
        <v>10240172.314091578</v>
      </c>
      <c r="O122" s="384">
        <f t="shared" si="67"/>
        <v>10239083.664091578</v>
      </c>
      <c r="P122" s="384">
        <f t="shared" si="67"/>
        <v>10237971.314091578</v>
      </c>
      <c r="Q122" s="384">
        <f t="shared" si="67"/>
        <v>10237971.314091578</v>
      </c>
      <c r="R122" s="384">
        <f t="shared" si="67"/>
        <v>8627356.6040915661</v>
      </c>
      <c r="S122" s="384">
        <f t="shared" si="67"/>
        <v>7411885.8740915796</v>
      </c>
      <c r="T122" s="384">
        <f t="shared" si="67"/>
        <v>6833688.6540915789</v>
      </c>
      <c r="U122" s="384">
        <f t="shared" si="67"/>
        <v>6783496.0140915792</v>
      </c>
      <c r="V122" s="384">
        <f t="shared" si="67"/>
        <v>6783496.0140915792</v>
      </c>
      <c r="W122" s="384">
        <f t="shared" si="67"/>
        <v>6783496.0140915792</v>
      </c>
      <c r="X122" s="384">
        <f t="shared" si="67"/>
        <v>5399098.8540915865</v>
      </c>
      <c r="Y122" s="384">
        <f t="shared" si="67"/>
        <v>3507584.5340915788</v>
      </c>
      <c r="Z122" s="384">
        <f t="shared" si="67"/>
        <v>632453.42409156822</v>
      </c>
      <c r="AA122" s="384">
        <f t="shared" si="67"/>
        <v>451494.72409157897</v>
      </c>
      <c r="AB122" s="384">
        <f t="shared" si="67"/>
        <v>439144.19409157895</v>
      </c>
      <c r="AC122" s="384">
        <f t="shared" si="67"/>
        <v>439144.19409157895</v>
      </c>
      <c r="AD122" s="384">
        <f t="shared" si="67"/>
        <v>428581.3940915789</v>
      </c>
      <c r="AE122" s="384">
        <f t="shared" si="67"/>
        <v>395584.98409157892</v>
      </c>
      <c r="AF122" s="384">
        <f t="shared" si="67"/>
        <v>384011.19409157895</v>
      </c>
      <c r="AG122" s="384">
        <f t="shared" si="67"/>
        <v>384011.19409157895</v>
      </c>
      <c r="AH122" s="384">
        <f t="shared" si="67"/>
        <v>384011.19409157895</v>
      </c>
      <c r="AI122" s="384">
        <f t="shared" si="67"/>
        <v>384011.19409157895</v>
      </c>
      <c r="AJ122" s="384">
        <f t="shared" si="67"/>
        <v>384011.19409157895</v>
      </c>
      <c r="AK122" s="384">
        <f t="shared" si="67"/>
        <v>384011.19409157895</v>
      </c>
      <c r="AL122" s="384">
        <f t="shared" si="67"/>
        <v>384011.19409157895</v>
      </c>
      <c r="AM122" s="384">
        <f t="shared" si="67"/>
        <v>384011.19409157895</v>
      </c>
      <c r="AN122" s="384">
        <f t="shared" si="67"/>
        <v>384011.19409157895</v>
      </c>
      <c r="AO122" s="384">
        <f t="shared" si="67"/>
        <v>4606</v>
      </c>
      <c r="AQ122" s="384">
        <f t="shared" si="66"/>
        <v>15093.720000073314</v>
      </c>
    </row>
    <row r="123" spans="3:43" x14ac:dyDescent="0.2">
      <c r="C123" s="389" t="s">
        <v>261</v>
      </c>
      <c r="I123" s="384">
        <f t="shared" si="64"/>
        <v>6260495.584772341</v>
      </c>
      <c r="K123" s="384">
        <v>977697.08515907801</v>
      </c>
      <c r="L123" s="384">
        <f t="shared" ref="L123:AO123" si="68">+L94+L110</f>
        <v>977697.08515907801</v>
      </c>
      <c r="M123" s="384">
        <f t="shared" si="68"/>
        <v>977697.08515907801</v>
      </c>
      <c r="N123" s="384">
        <f t="shared" si="68"/>
        <v>977697.08515907801</v>
      </c>
      <c r="O123" s="384">
        <f t="shared" si="68"/>
        <v>916738.85515907826</v>
      </c>
      <c r="P123" s="384">
        <f t="shared" si="68"/>
        <v>42073.365159078036</v>
      </c>
      <c r="Q123" s="384">
        <f t="shared" si="68"/>
        <v>42073.365159078036</v>
      </c>
      <c r="R123" s="384">
        <f t="shared" si="68"/>
        <v>42073.365159078036</v>
      </c>
      <c r="S123" s="384">
        <f t="shared" si="68"/>
        <v>42073.365159078036</v>
      </c>
      <c r="T123" s="384">
        <f t="shared" si="68"/>
        <v>42073.365159078036</v>
      </c>
      <c r="U123" s="384">
        <f t="shared" si="68"/>
        <v>42073.365159078036</v>
      </c>
      <c r="V123" s="384">
        <f t="shared" si="68"/>
        <v>42073.365159078036</v>
      </c>
      <c r="W123" s="384">
        <f t="shared" si="68"/>
        <v>42073.365159078036</v>
      </c>
      <c r="X123" s="384">
        <f t="shared" si="68"/>
        <v>42073.365159078036</v>
      </c>
      <c r="Y123" s="384">
        <f t="shared" si="68"/>
        <v>42073.365159078036</v>
      </c>
      <c r="Z123" s="384">
        <f t="shared" si="68"/>
        <v>42073.365159078036</v>
      </c>
      <c r="AA123" s="384">
        <f t="shared" si="68"/>
        <v>42073.365159078036</v>
      </c>
      <c r="AB123" s="384">
        <f t="shared" si="68"/>
        <v>42073.365159078036</v>
      </c>
      <c r="AC123" s="384">
        <f t="shared" si="68"/>
        <v>42073.365159078036</v>
      </c>
      <c r="AD123" s="384">
        <f t="shared" si="68"/>
        <v>42073.365159078036</v>
      </c>
      <c r="AE123" s="384">
        <f t="shared" si="68"/>
        <v>42073.365159078036</v>
      </c>
      <c r="AF123" s="384">
        <f t="shared" si="68"/>
        <v>42073.365159078036</v>
      </c>
      <c r="AG123" s="384">
        <f t="shared" si="68"/>
        <v>42073.365159078036</v>
      </c>
      <c r="AH123" s="384">
        <f t="shared" si="68"/>
        <v>42073.365159078036</v>
      </c>
      <c r="AI123" s="384">
        <f t="shared" si="68"/>
        <v>42073.365159078036</v>
      </c>
      <c r="AJ123" s="384">
        <f t="shared" si="68"/>
        <v>42073.365159078036</v>
      </c>
      <c r="AK123" s="384">
        <f t="shared" si="68"/>
        <v>42073.365159078036</v>
      </c>
      <c r="AL123" s="384">
        <f t="shared" si="68"/>
        <v>42073.365159078036</v>
      </c>
      <c r="AM123" s="384">
        <f t="shared" si="68"/>
        <v>42073.365159078036</v>
      </c>
      <c r="AN123" s="384">
        <f t="shared" si="68"/>
        <v>42073.365159078036</v>
      </c>
      <c r="AO123" s="384">
        <f t="shared" si="68"/>
        <v>28586</v>
      </c>
      <c r="AQ123" s="384">
        <f t="shared" si="66"/>
        <v>352548.26000001095</v>
      </c>
    </row>
    <row r="124" spans="3:43" x14ac:dyDescent="0.2">
      <c r="C124" s="389" t="s">
        <v>262</v>
      </c>
      <c r="I124" s="384">
        <f t="shared" si="64"/>
        <v>151495304.04412565</v>
      </c>
      <c r="K124" s="384">
        <v>9394666.2221375201</v>
      </c>
      <c r="L124" s="384">
        <f t="shared" ref="L124:AO124" si="69">+L95+L111</f>
        <v>9394666.2221375201</v>
      </c>
      <c r="M124" s="384">
        <f t="shared" si="69"/>
        <v>9394666.2221375201</v>
      </c>
      <c r="N124" s="384">
        <f t="shared" si="69"/>
        <v>9394666.2221375201</v>
      </c>
      <c r="O124" s="384">
        <f t="shared" si="69"/>
        <v>9394666.2221375201</v>
      </c>
      <c r="P124" s="384">
        <f t="shared" si="69"/>
        <v>9394666.2221375201</v>
      </c>
      <c r="Q124" s="384">
        <f t="shared" si="69"/>
        <v>9394666.2221375201</v>
      </c>
      <c r="R124" s="384">
        <f t="shared" si="69"/>
        <v>9394666.2221375201</v>
      </c>
      <c r="S124" s="384">
        <f t="shared" si="69"/>
        <v>9394666.2221375201</v>
      </c>
      <c r="T124" s="384">
        <f t="shared" si="69"/>
        <v>9394666.2221375201</v>
      </c>
      <c r="U124" s="384">
        <f t="shared" si="69"/>
        <v>9394666.2221375201</v>
      </c>
      <c r="V124" s="384">
        <f t="shared" si="69"/>
        <v>9394666.2221375201</v>
      </c>
      <c r="W124" s="384">
        <f t="shared" si="69"/>
        <v>9394666.2221375201</v>
      </c>
      <c r="X124" s="384">
        <f t="shared" si="69"/>
        <v>9394666.2221375201</v>
      </c>
      <c r="Y124" s="384">
        <f t="shared" si="69"/>
        <v>9394666.2221375201</v>
      </c>
      <c r="Z124" s="384">
        <f t="shared" si="69"/>
        <v>5677038.872137595</v>
      </c>
      <c r="AA124" s="384">
        <f t="shared" si="69"/>
        <v>354349.57213751983</v>
      </c>
      <c r="AB124" s="384">
        <f t="shared" si="69"/>
        <v>349532.48213751987</v>
      </c>
      <c r="AC124" s="384">
        <f t="shared" si="69"/>
        <v>349532.48213751987</v>
      </c>
      <c r="AD124" s="384">
        <f t="shared" si="69"/>
        <v>349532.48213751987</v>
      </c>
      <c r="AE124" s="384">
        <f t="shared" si="69"/>
        <v>349532.48213751987</v>
      </c>
      <c r="AF124" s="384">
        <f t="shared" si="69"/>
        <v>349532.48213751987</v>
      </c>
      <c r="AG124" s="384">
        <f t="shared" si="69"/>
        <v>349532.48213751987</v>
      </c>
      <c r="AH124" s="384">
        <f t="shared" si="69"/>
        <v>349532.48213751987</v>
      </c>
      <c r="AI124" s="384">
        <f t="shared" si="69"/>
        <v>349532.48213751987</v>
      </c>
      <c r="AJ124" s="384">
        <f t="shared" si="69"/>
        <v>349532.48213751987</v>
      </c>
      <c r="AK124" s="384">
        <f t="shared" si="69"/>
        <v>349532.48213751987</v>
      </c>
      <c r="AL124" s="384">
        <f t="shared" si="69"/>
        <v>349532.48213751987</v>
      </c>
      <c r="AM124" s="384">
        <f t="shared" si="69"/>
        <v>349532.48213751987</v>
      </c>
      <c r="AN124" s="384">
        <f t="shared" si="69"/>
        <v>349532.48213751987</v>
      </c>
      <c r="AO124" s="384">
        <f t="shared" si="69"/>
        <v>0</v>
      </c>
      <c r="AQ124" s="384">
        <f t="shared" si="66"/>
        <v>-2.384185791015625E-7</v>
      </c>
    </row>
    <row r="125" spans="3:43" x14ac:dyDescent="0.2">
      <c r="C125" s="389" t="s">
        <v>282</v>
      </c>
      <c r="I125" s="384">
        <f t="shared" si="64"/>
        <v>36203159.532190882</v>
      </c>
      <c r="K125" s="384">
        <v>2451554.5500730299</v>
      </c>
      <c r="L125" s="384">
        <f t="shared" ref="L125:AO125" si="70">+L96+L112</f>
        <v>2451554.5500730299</v>
      </c>
      <c r="M125" s="384">
        <f t="shared" si="70"/>
        <v>2451554.5500730299</v>
      </c>
      <c r="N125" s="384">
        <f t="shared" si="70"/>
        <v>2451554.5500730299</v>
      </c>
      <c r="O125" s="384">
        <f t="shared" si="70"/>
        <v>2451554.5500730299</v>
      </c>
      <c r="P125" s="384">
        <f t="shared" si="70"/>
        <v>2451554.5500730299</v>
      </c>
      <c r="Q125" s="384">
        <f t="shared" si="70"/>
        <v>2451554.5500730299</v>
      </c>
      <c r="R125" s="384">
        <f t="shared" si="70"/>
        <v>2451554.5500730299</v>
      </c>
      <c r="S125" s="384">
        <f t="shared" si="70"/>
        <v>2451554.5500730299</v>
      </c>
      <c r="T125" s="384">
        <f t="shared" si="70"/>
        <v>2451554.5500730299</v>
      </c>
      <c r="U125" s="384">
        <f t="shared" si="70"/>
        <v>2451554.5500730299</v>
      </c>
      <c r="V125" s="384">
        <f t="shared" si="70"/>
        <v>2451554.5500730299</v>
      </c>
      <c r="W125" s="384">
        <f t="shared" si="70"/>
        <v>2451554.5500730299</v>
      </c>
      <c r="X125" s="384">
        <f t="shared" si="70"/>
        <v>2448742.82007303</v>
      </c>
      <c r="Y125" s="384">
        <f t="shared" si="70"/>
        <v>462607.31007302692</v>
      </c>
      <c r="Z125" s="384">
        <f t="shared" si="70"/>
        <v>94773.350073029753</v>
      </c>
      <c r="AA125" s="384">
        <f t="shared" si="70"/>
        <v>94773.350073029753</v>
      </c>
      <c r="AB125" s="384">
        <f t="shared" si="70"/>
        <v>94773.350073029753</v>
      </c>
      <c r="AC125" s="384">
        <f t="shared" si="70"/>
        <v>94773.350073029753</v>
      </c>
      <c r="AD125" s="384">
        <f t="shared" si="70"/>
        <v>94773.350073029753</v>
      </c>
      <c r="AE125" s="384">
        <f t="shared" si="70"/>
        <v>94773.350073029753</v>
      </c>
      <c r="AF125" s="384">
        <f t="shared" si="70"/>
        <v>94773.350073029753</v>
      </c>
      <c r="AG125" s="384">
        <f t="shared" si="70"/>
        <v>94773.350073029753</v>
      </c>
      <c r="AH125" s="384">
        <f t="shared" si="70"/>
        <v>94773.350073029753</v>
      </c>
      <c r="AI125" s="384">
        <f t="shared" si="70"/>
        <v>94773.350073029753</v>
      </c>
      <c r="AJ125" s="384">
        <f t="shared" si="70"/>
        <v>94773.350073029753</v>
      </c>
      <c r="AK125" s="384">
        <f t="shared" si="70"/>
        <v>94773.350073029753</v>
      </c>
      <c r="AL125" s="384">
        <f t="shared" si="70"/>
        <v>94773.350073029753</v>
      </c>
      <c r="AM125" s="384">
        <f t="shared" si="70"/>
        <v>94773.350073029753</v>
      </c>
      <c r="AN125" s="384">
        <f t="shared" si="70"/>
        <v>94773.350073029753</v>
      </c>
      <c r="AO125" s="384">
        <f t="shared" si="70"/>
        <v>0</v>
      </c>
      <c r="AQ125" s="384">
        <f t="shared" si="66"/>
        <v>0</v>
      </c>
    </row>
    <row r="126" spans="3:43" x14ac:dyDescent="0.2">
      <c r="C126" s="389" t="s">
        <v>283</v>
      </c>
      <c r="I126" s="384">
        <f t="shared" si="64"/>
        <v>165335176.1117793</v>
      </c>
      <c r="K126" s="384">
        <v>9609843.1447259802</v>
      </c>
      <c r="L126" s="384">
        <f t="shared" ref="L126:AO126" si="71">+L97+L113</f>
        <v>9609843.1447259802</v>
      </c>
      <c r="M126" s="384">
        <f t="shared" si="71"/>
        <v>9609843.1447259802</v>
      </c>
      <c r="N126" s="384">
        <f t="shared" si="71"/>
        <v>9609843.1447259802</v>
      </c>
      <c r="O126" s="384">
        <f t="shared" si="71"/>
        <v>9609843.1447259802</v>
      </c>
      <c r="P126" s="384">
        <f t="shared" si="71"/>
        <v>9609843.1447259802</v>
      </c>
      <c r="Q126" s="384">
        <f t="shared" si="71"/>
        <v>9609843.1447259802</v>
      </c>
      <c r="R126" s="384">
        <f t="shared" si="71"/>
        <v>9609843.1447259802</v>
      </c>
      <c r="S126" s="384">
        <f t="shared" si="71"/>
        <v>9609843.1447259802</v>
      </c>
      <c r="T126" s="384">
        <f t="shared" si="71"/>
        <v>9609843.1447259802</v>
      </c>
      <c r="U126" s="384">
        <f t="shared" si="71"/>
        <v>9609843.1447259802</v>
      </c>
      <c r="V126" s="384">
        <f t="shared" si="71"/>
        <v>9609843.1447259802</v>
      </c>
      <c r="W126" s="384">
        <f t="shared" si="71"/>
        <v>9609843.1447259802</v>
      </c>
      <c r="X126" s="384">
        <f t="shared" si="71"/>
        <v>9609843.1447259802</v>
      </c>
      <c r="Y126" s="384">
        <f t="shared" si="71"/>
        <v>9609843.1447259802</v>
      </c>
      <c r="Z126" s="384">
        <f t="shared" si="71"/>
        <v>9609843.1447259802</v>
      </c>
      <c r="AA126" s="384">
        <f t="shared" si="71"/>
        <v>4978067.5347258244</v>
      </c>
      <c r="AB126" s="384">
        <f t="shared" si="71"/>
        <v>410128.18472597934</v>
      </c>
      <c r="AC126" s="384">
        <f t="shared" si="71"/>
        <v>410128.18472597934</v>
      </c>
      <c r="AD126" s="384">
        <f t="shared" si="71"/>
        <v>410128.18472597934</v>
      </c>
      <c r="AE126" s="384">
        <f t="shared" si="71"/>
        <v>410128.18472597934</v>
      </c>
      <c r="AF126" s="384">
        <f t="shared" si="71"/>
        <v>410128.18472597934</v>
      </c>
      <c r="AG126" s="384">
        <f t="shared" si="71"/>
        <v>410128.18472597934</v>
      </c>
      <c r="AH126" s="384">
        <f t="shared" si="71"/>
        <v>410128.18472597934</v>
      </c>
      <c r="AI126" s="384">
        <f t="shared" si="71"/>
        <v>410128.18472597934</v>
      </c>
      <c r="AJ126" s="384">
        <f t="shared" si="71"/>
        <v>410128.18472597934</v>
      </c>
      <c r="AK126" s="384">
        <f t="shared" si="71"/>
        <v>410128.18472597934</v>
      </c>
      <c r="AL126" s="384">
        <f t="shared" si="71"/>
        <v>410128.18472597934</v>
      </c>
      <c r="AM126" s="384">
        <f t="shared" si="71"/>
        <v>410128.18472597934</v>
      </c>
      <c r="AN126" s="384">
        <f t="shared" si="71"/>
        <v>410128.18472597934</v>
      </c>
      <c r="AO126" s="384">
        <f t="shared" si="71"/>
        <v>52936</v>
      </c>
      <c r="AQ126" s="384">
        <f t="shared" si="66"/>
        <v>1215015.8600001931</v>
      </c>
    </row>
    <row r="127" spans="3:43" x14ac:dyDescent="0.2">
      <c r="C127" s="389" t="s">
        <v>265</v>
      </c>
      <c r="I127" s="384">
        <f t="shared" si="64"/>
        <v>97537927.761025026</v>
      </c>
      <c r="K127" s="384">
        <v>5371066.6793675004</v>
      </c>
      <c r="L127" s="384">
        <f t="shared" ref="L127:AO127" si="72">+L98+L114</f>
        <v>5371066.6793675004</v>
      </c>
      <c r="M127" s="384">
        <f t="shared" si="72"/>
        <v>5371066.6793675004</v>
      </c>
      <c r="N127" s="384">
        <f t="shared" si="72"/>
        <v>5371066.6793675004</v>
      </c>
      <c r="O127" s="384">
        <f t="shared" si="72"/>
        <v>5371066.6793675004</v>
      </c>
      <c r="P127" s="384">
        <f t="shared" si="72"/>
        <v>5371066.6793675004</v>
      </c>
      <c r="Q127" s="384">
        <f t="shared" si="72"/>
        <v>5371066.6793675004</v>
      </c>
      <c r="R127" s="384">
        <f t="shared" si="72"/>
        <v>5371066.6793675004</v>
      </c>
      <c r="S127" s="384">
        <f t="shared" si="72"/>
        <v>5371066.6793675004</v>
      </c>
      <c r="T127" s="384">
        <f t="shared" si="72"/>
        <v>5371066.6793675004</v>
      </c>
      <c r="U127" s="384">
        <f t="shared" si="72"/>
        <v>5371066.6793675004</v>
      </c>
      <c r="V127" s="384">
        <f t="shared" si="72"/>
        <v>5371066.6793675004</v>
      </c>
      <c r="W127" s="384">
        <f t="shared" si="72"/>
        <v>5371066.6793675004</v>
      </c>
      <c r="X127" s="384">
        <f t="shared" si="72"/>
        <v>5371066.6793675004</v>
      </c>
      <c r="Y127" s="384">
        <f t="shared" si="72"/>
        <v>5371066.6793675004</v>
      </c>
      <c r="Z127" s="384">
        <f t="shared" si="72"/>
        <v>5371066.6793675004</v>
      </c>
      <c r="AA127" s="384">
        <f t="shared" si="72"/>
        <v>5371066.6793675004</v>
      </c>
      <c r="AB127" s="384">
        <f t="shared" si="72"/>
        <v>3480718.0593675105</v>
      </c>
      <c r="AC127" s="384">
        <f t="shared" si="72"/>
        <v>229089.67936750036</v>
      </c>
      <c r="AD127" s="384">
        <f t="shared" si="72"/>
        <v>229089.67936750036</v>
      </c>
      <c r="AE127" s="384">
        <f t="shared" si="72"/>
        <v>229089.67936750036</v>
      </c>
      <c r="AF127" s="384">
        <f t="shared" si="72"/>
        <v>229089.67936750036</v>
      </c>
      <c r="AG127" s="384">
        <f t="shared" si="72"/>
        <v>229089.67936750036</v>
      </c>
      <c r="AH127" s="384">
        <f t="shared" si="72"/>
        <v>229089.67936750036</v>
      </c>
      <c r="AI127" s="384">
        <f t="shared" si="72"/>
        <v>229089.67936750036</v>
      </c>
      <c r="AJ127" s="384">
        <f t="shared" si="72"/>
        <v>229089.67936750036</v>
      </c>
      <c r="AK127" s="384">
        <f t="shared" si="72"/>
        <v>229089.67936750036</v>
      </c>
      <c r="AL127" s="384">
        <f t="shared" si="72"/>
        <v>229089.67936750036</v>
      </c>
      <c r="AM127" s="384">
        <f t="shared" si="72"/>
        <v>229089.67936750036</v>
      </c>
      <c r="AN127" s="384">
        <f t="shared" si="72"/>
        <v>229089.67936750036</v>
      </c>
      <c r="AO127" s="384">
        <f t="shared" si="72"/>
        <v>0</v>
      </c>
      <c r="AQ127" s="384">
        <f t="shared" si="66"/>
        <v>0</v>
      </c>
    </row>
    <row r="128" spans="3:43" x14ac:dyDescent="0.2">
      <c r="C128" s="389" t="s">
        <v>284</v>
      </c>
      <c r="I128" s="384">
        <f t="shared" si="64"/>
        <v>959491749.04518437</v>
      </c>
      <c r="K128" s="384">
        <v>37682075.157172807</v>
      </c>
      <c r="L128" s="384">
        <f t="shared" ref="L128:AO128" si="73">+L99+L115</f>
        <v>37682075.157172807</v>
      </c>
      <c r="M128" s="384">
        <f t="shared" si="73"/>
        <v>37682075.157172807</v>
      </c>
      <c r="N128" s="384">
        <f t="shared" si="73"/>
        <v>37682075.157172807</v>
      </c>
      <c r="O128" s="384">
        <f t="shared" si="73"/>
        <v>37682075.157172807</v>
      </c>
      <c r="P128" s="384">
        <f t="shared" si="73"/>
        <v>37682075.157172807</v>
      </c>
      <c r="Q128" s="384">
        <f t="shared" si="73"/>
        <v>37682075.157172807</v>
      </c>
      <c r="R128" s="384">
        <f t="shared" si="73"/>
        <v>37682075.157172807</v>
      </c>
      <c r="S128" s="384">
        <f t="shared" si="73"/>
        <v>37682075.157172807</v>
      </c>
      <c r="T128" s="384">
        <f t="shared" si="73"/>
        <v>37682075.157172807</v>
      </c>
      <c r="U128" s="384">
        <f t="shared" si="73"/>
        <v>37682075.157172807</v>
      </c>
      <c r="V128" s="384">
        <f t="shared" si="73"/>
        <v>37682075.157172807</v>
      </c>
      <c r="W128" s="384">
        <f t="shared" si="73"/>
        <v>37682075.157172807</v>
      </c>
      <c r="X128" s="384">
        <f t="shared" si="73"/>
        <v>37682075.157172807</v>
      </c>
      <c r="Y128" s="384">
        <f t="shared" si="73"/>
        <v>37682075.157172807</v>
      </c>
      <c r="Z128" s="384">
        <f t="shared" si="73"/>
        <v>37682075.157172807</v>
      </c>
      <c r="AA128" s="384">
        <f t="shared" si="73"/>
        <v>37682075.157172807</v>
      </c>
      <c r="AB128" s="384">
        <f t="shared" si="73"/>
        <v>37682075.157172807</v>
      </c>
      <c r="AC128" s="384">
        <f t="shared" si="73"/>
        <v>37682075.157172807</v>
      </c>
      <c r="AD128" s="384">
        <f t="shared" si="73"/>
        <v>37682075.157172807</v>
      </c>
      <c r="AE128" s="384">
        <f t="shared" si="73"/>
        <v>37682075.157172807</v>
      </c>
      <c r="AF128" s="384">
        <f t="shared" si="73"/>
        <v>37682075.157172807</v>
      </c>
      <c r="AG128" s="384">
        <f t="shared" si="73"/>
        <v>37682075.157172807</v>
      </c>
      <c r="AH128" s="384">
        <f t="shared" si="73"/>
        <v>37682075.157172807</v>
      </c>
      <c r="AI128" s="384">
        <f t="shared" si="73"/>
        <v>37682075.157172807</v>
      </c>
      <c r="AJ128" s="384">
        <f t="shared" si="73"/>
        <v>11232327.237172969</v>
      </c>
      <c r="AK128" s="384">
        <f t="shared" si="73"/>
        <v>1581143.4071728066</v>
      </c>
      <c r="AL128" s="384">
        <f t="shared" si="73"/>
        <v>1542133.1571728066</v>
      </c>
      <c r="AM128" s="384">
        <f t="shared" si="73"/>
        <v>1542133.1571728066</v>
      </c>
      <c r="AN128" s="384">
        <f t="shared" si="73"/>
        <v>1542133.1571728066</v>
      </c>
      <c r="AO128" s="384">
        <f t="shared" si="73"/>
        <v>0</v>
      </c>
      <c r="AQ128" s="384">
        <f t="shared" si="66"/>
        <v>0</v>
      </c>
    </row>
    <row r="129" spans="3:43" x14ac:dyDescent="0.2">
      <c r="C129" s="389" t="s">
        <v>285</v>
      </c>
      <c r="I129" s="384">
        <f t="shared" si="64"/>
        <v>175371994.58370402</v>
      </c>
      <c r="K129" s="384">
        <v>10981334.8891852</v>
      </c>
      <c r="L129" s="384">
        <f t="shared" ref="L129:AO129" si="74">+L100+L116</f>
        <v>10981334.8891852</v>
      </c>
      <c r="M129" s="384">
        <f t="shared" si="74"/>
        <v>10981334.8891852</v>
      </c>
      <c r="N129" s="384">
        <f t="shared" si="74"/>
        <v>10981334.8891852</v>
      </c>
      <c r="O129" s="384">
        <f t="shared" si="74"/>
        <v>10981334.8891852</v>
      </c>
      <c r="P129" s="384">
        <f t="shared" si="74"/>
        <v>10981334.8891852</v>
      </c>
      <c r="Q129" s="384">
        <f t="shared" si="74"/>
        <v>10981334.8891852</v>
      </c>
      <c r="R129" s="384">
        <f t="shared" si="74"/>
        <v>10981334.8891852</v>
      </c>
      <c r="S129" s="384">
        <f t="shared" si="74"/>
        <v>10981334.8891852</v>
      </c>
      <c r="T129" s="384">
        <f t="shared" si="74"/>
        <v>10981334.8891852</v>
      </c>
      <c r="U129" s="384">
        <f t="shared" si="74"/>
        <v>10981334.8891852</v>
      </c>
      <c r="V129" s="384">
        <f t="shared" si="74"/>
        <v>10981334.8891852</v>
      </c>
      <c r="W129" s="384">
        <f t="shared" si="74"/>
        <v>10981334.8891852</v>
      </c>
      <c r="X129" s="384">
        <f t="shared" si="74"/>
        <v>10981334.8891852</v>
      </c>
      <c r="Y129" s="384">
        <f t="shared" si="74"/>
        <v>10981334.8891852</v>
      </c>
      <c r="Z129" s="384">
        <f t="shared" si="74"/>
        <v>2800953.1091852281</v>
      </c>
      <c r="AA129" s="384">
        <f t="shared" si="74"/>
        <v>468507.88918519951</v>
      </c>
      <c r="AB129" s="384">
        <f t="shared" si="74"/>
        <v>468507.88918519951</v>
      </c>
      <c r="AC129" s="384">
        <f t="shared" si="74"/>
        <v>468507.88918519951</v>
      </c>
      <c r="AD129" s="384">
        <f t="shared" si="74"/>
        <v>468507.88918519951</v>
      </c>
      <c r="AE129" s="384">
        <f t="shared" si="74"/>
        <v>177951</v>
      </c>
      <c r="AF129" s="384">
        <f t="shared" si="74"/>
        <v>177951</v>
      </c>
      <c r="AG129" s="384">
        <f t="shared" si="74"/>
        <v>177951</v>
      </c>
      <c r="AH129" s="384">
        <f t="shared" si="74"/>
        <v>177951</v>
      </c>
      <c r="AI129" s="384">
        <f t="shared" si="74"/>
        <v>177951</v>
      </c>
      <c r="AJ129" s="384">
        <f t="shared" si="74"/>
        <v>177951</v>
      </c>
      <c r="AK129" s="384">
        <f t="shared" si="74"/>
        <v>177951</v>
      </c>
      <c r="AL129" s="384">
        <f t="shared" si="74"/>
        <v>177951</v>
      </c>
      <c r="AM129" s="384">
        <f t="shared" si="74"/>
        <v>177951</v>
      </c>
      <c r="AN129" s="384">
        <f t="shared" si="74"/>
        <v>177951</v>
      </c>
      <c r="AO129" s="384">
        <f t="shared" si="74"/>
        <v>177951</v>
      </c>
      <c r="AQ129" s="384">
        <f t="shared" si="66"/>
        <v>4019525.5800000429</v>
      </c>
    </row>
    <row r="130" spans="3:43" x14ac:dyDescent="0.2">
      <c r="C130" s="403" t="s">
        <v>162</v>
      </c>
      <c r="I130" s="384">
        <v>374900000</v>
      </c>
      <c r="K130" s="384">
        <v>10846000</v>
      </c>
      <c r="L130" s="384">
        <f t="shared" ref="L130:AO130" si="75">+K130</f>
        <v>10846000</v>
      </c>
      <c r="M130" s="384">
        <f t="shared" si="75"/>
        <v>10846000</v>
      </c>
      <c r="N130" s="384">
        <f t="shared" si="75"/>
        <v>10846000</v>
      </c>
      <c r="O130" s="384">
        <f t="shared" si="75"/>
        <v>10846000</v>
      </c>
      <c r="P130" s="384">
        <f t="shared" si="75"/>
        <v>10846000</v>
      </c>
      <c r="Q130" s="384">
        <f t="shared" si="75"/>
        <v>10846000</v>
      </c>
      <c r="R130" s="384">
        <f t="shared" si="75"/>
        <v>10846000</v>
      </c>
      <c r="S130" s="384">
        <f t="shared" si="75"/>
        <v>10846000</v>
      </c>
      <c r="T130" s="384">
        <f t="shared" si="75"/>
        <v>10846000</v>
      </c>
      <c r="U130" s="384">
        <f t="shared" si="75"/>
        <v>10846000</v>
      </c>
      <c r="V130" s="384">
        <f t="shared" si="75"/>
        <v>10846000</v>
      </c>
      <c r="W130" s="384">
        <f t="shared" si="75"/>
        <v>10846000</v>
      </c>
      <c r="X130" s="384">
        <f t="shared" si="75"/>
        <v>10846000</v>
      </c>
      <c r="Y130" s="384">
        <f t="shared" si="75"/>
        <v>10846000</v>
      </c>
      <c r="Z130" s="384">
        <f t="shared" si="75"/>
        <v>10846000</v>
      </c>
      <c r="AA130" s="384">
        <f t="shared" si="75"/>
        <v>10846000</v>
      </c>
      <c r="AB130" s="384">
        <f t="shared" si="75"/>
        <v>10846000</v>
      </c>
      <c r="AC130" s="384">
        <f t="shared" si="75"/>
        <v>10846000</v>
      </c>
      <c r="AD130" s="384">
        <f t="shared" si="75"/>
        <v>10846000</v>
      </c>
      <c r="AE130" s="384">
        <f t="shared" si="75"/>
        <v>10846000</v>
      </c>
      <c r="AF130" s="384">
        <f t="shared" si="75"/>
        <v>10846000</v>
      </c>
      <c r="AG130" s="384">
        <f t="shared" si="75"/>
        <v>10846000</v>
      </c>
      <c r="AH130" s="384">
        <f t="shared" si="75"/>
        <v>10846000</v>
      </c>
      <c r="AI130" s="384">
        <f t="shared" si="75"/>
        <v>10846000</v>
      </c>
      <c r="AJ130" s="384">
        <f t="shared" si="75"/>
        <v>10846000</v>
      </c>
      <c r="AK130" s="384">
        <f t="shared" si="75"/>
        <v>10846000</v>
      </c>
      <c r="AL130" s="384">
        <f t="shared" si="75"/>
        <v>10846000</v>
      </c>
      <c r="AM130" s="384">
        <f t="shared" si="75"/>
        <v>10846000</v>
      </c>
      <c r="AN130" s="384">
        <f t="shared" si="75"/>
        <v>10846000</v>
      </c>
      <c r="AO130" s="384">
        <f t="shared" si="75"/>
        <v>10846000</v>
      </c>
      <c r="AQ130" s="384">
        <f t="shared" si="66"/>
        <v>38674000</v>
      </c>
    </row>
    <row r="131" spans="3:43" ht="13.5" thickBot="1" x14ac:dyDescent="0.25">
      <c r="I131" s="401">
        <f>SUM(I121:I130)</f>
        <v>2197446752.8581467</v>
      </c>
      <c r="K131" s="401">
        <f t="shared" ref="K131:AO131" si="76">SUM(K121:K130)</f>
        <v>109536999.99999996</v>
      </c>
      <c r="L131" s="401">
        <f t="shared" si="76"/>
        <v>109536999.99999996</v>
      </c>
      <c r="M131" s="401">
        <f t="shared" si="76"/>
        <v>109493759.15999995</v>
      </c>
      <c r="N131" s="401">
        <f t="shared" si="76"/>
        <v>109337379.99999996</v>
      </c>
      <c r="O131" s="401">
        <f t="shared" si="76"/>
        <v>108939707.47999994</v>
      </c>
      <c r="P131" s="401">
        <f t="shared" si="76"/>
        <v>107100337.43999995</v>
      </c>
      <c r="Q131" s="401">
        <f t="shared" si="76"/>
        <v>107100337.43999995</v>
      </c>
      <c r="R131" s="401">
        <f t="shared" si="76"/>
        <v>100863630.63999994</v>
      </c>
      <c r="S131" s="401">
        <f t="shared" si="76"/>
        <v>95628227.709999964</v>
      </c>
      <c r="T131" s="401">
        <f t="shared" si="76"/>
        <v>95045985.849999964</v>
      </c>
      <c r="U131" s="401">
        <f t="shared" si="76"/>
        <v>94842379.129999965</v>
      </c>
      <c r="V131" s="401">
        <f t="shared" si="76"/>
        <v>93686880.429999962</v>
      </c>
      <c r="W131" s="401">
        <f t="shared" si="76"/>
        <v>93686880.429999962</v>
      </c>
      <c r="X131" s="401">
        <f t="shared" si="76"/>
        <v>92299671.539999977</v>
      </c>
      <c r="Y131" s="401">
        <f t="shared" si="76"/>
        <v>88422021.709999964</v>
      </c>
      <c r="Z131" s="401">
        <f t="shared" si="76"/>
        <v>73281047.51000005</v>
      </c>
      <c r="AA131" s="401">
        <f t="shared" si="76"/>
        <v>60805899.719999798</v>
      </c>
      <c r="AB131" s="401">
        <f t="shared" si="76"/>
        <v>54310766.089999966</v>
      </c>
      <c r="AC131" s="401">
        <f t="shared" si="76"/>
        <v>51059137.709999956</v>
      </c>
      <c r="AD131" s="401">
        <f t="shared" si="76"/>
        <v>51048574.909999952</v>
      </c>
      <c r="AE131" s="401">
        <f t="shared" si="76"/>
        <v>50725021.610814758</v>
      </c>
      <c r="AF131" s="401">
        <f t="shared" si="76"/>
        <v>50713447.820814759</v>
      </c>
      <c r="AG131" s="401">
        <f t="shared" si="76"/>
        <v>50713447.820814759</v>
      </c>
      <c r="AH131" s="401">
        <f t="shared" si="76"/>
        <v>50708844.600814752</v>
      </c>
      <c r="AI131" s="401">
        <f t="shared" si="76"/>
        <v>50679563.820814759</v>
      </c>
      <c r="AJ131" s="401">
        <f t="shared" si="76"/>
        <v>24229815.900814917</v>
      </c>
      <c r="AK131" s="401">
        <f t="shared" si="76"/>
        <v>14578632.070814755</v>
      </c>
      <c r="AL131" s="401">
        <f t="shared" si="76"/>
        <v>14539621.820814755</v>
      </c>
      <c r="AM131" s="401">
        <f t="shared" si="76"/>
        <v>14539621.820814755</v>
      </c>
      <c r="AN131" s="401">
        <f t="shared" si="76"/>
        <v>14539621.820814755</v>
      </c>
      <c r="AO131" s="401">
        <f t="shared" si="76"/>
        <v>11122863</v>
      </c>
      <c r="AQ131" s="401">
        <f>SUM(AQ121:AQ130)</f>
        <v>44329625.849999987</v>
      </c>
    </row>
    <row r="132" spans="3:43" ht="13.5" thickTop="1" x14ac:dyDescent="0.2">
      <c r="I132" s="384">
        <f>+I131-I130</f>
        <v>1822546752.8581467</v>
      </c>
      <c r="J132" s="406"/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44"/>
  <sheetViews>
    <sheetView workbookViewId="0"/>
  </sheetViews>
  <sheetFormatPr defaultRowHeight="12.75" x14ac:dyDescent="0.2"/>
  <cols>
    <col min="1" max="1" width="4.140625" customWidth="1"/>
    <col min="2" max="2" width="15" bestFit="1" customWidth="1"/>
    <col min="3" max="3" width="5" bestFit="1" customWidth="1"/>
    <col min="4" max="4" width="12" bestFit="1" customWidth="1"/>
    <col min="5" max="21" width="13.85546875" bestFit="1" customWidth="1"/>
    <col min="22" max="22" width="12" bestFit="1" customWidth="1"/>
  </cols>
  <sheetData>
    <row r="1" spans="1:22" x14ac:dyDescent="0.2">
      <c r="A1" s="137" t="s">
        <v>153</v>
      </c>
      <c r="B1" s="9"/>
      <c r="C1" s="9"/>
    </row>
    <row r="2" spans="1:22" x14ac:dyDescent="0.2">
      <c r="A2" s="13"/>
    </row>
    <row r="3" spans="1:22" x14ac:dyDescent="0.2">
      <c r="A3" s="13"/>
    </row>
    <row r="4" spans="1:22" x14ac:dyDescent="0.2">
      <c r="A4" s="13"/>
    </row>
    <row r="5" spans="1:22" x14ac:dyDescent="0.2">
      <c r="A5" s="13"/>
    </row>
    <row r="6" spans="1:22" x14ac:dyDescent="0.2">
      <c r="A6" s="13"/>
    </row>
    <row r="7" spans="1:22" x14ac:dyDescent="0.2">
      <c r="A7" s="13"/>
    </row>
    <row r="8" spans="1:22" x14ac:dyDescent="0.2">
      <c r="A8" s="13"/>
    </row>
    <row r="9" spans="1:22" x14ac:dyDescent="0.2">
      <c r="C9" s="133">
        <v>2000</v>
      </c>
      <c r="D9" s="135">
        <v>2001</v>
      </c>
      <c r="E9" s="135">
        <v>2002</v>
      </c>
      <c r="F9" s="135">
        <v>2003</v>
      </c>
      <c r="G9" s="135">
        <v>2004</v>
      </c>
      <c r="H9" s="135">
        <v>2005</v>
      </c>
      <c r="I9" s="135">
        <v>2006</v>
      </c>
      <c r="J9" s="135">
        <v>2007</v>
      </c>
      <c r="K9" s="135">
        <v>2008</v>
      </c>
      <c r="L9" s="135">
        <v>2009</v>
      </c>
      <c r="M9" s="135">
        <v>2010</v>
      </c>
      <c r="N9" s="135">
        <v>2011</v>
      </c>
      <c r="O9" s="135">
        <v>2012</v>
      </c>
      <c r="P9" s="135">
        <v>2013</v>
      </c>
      <c r="Q9" s="135">
        <v>2014</v>
      </c>
      <c r="R9" s="135">
        <v>2015</v>
      </c>
      <c r="S9" s="135">
        <v>2016</v>
      </c>
      <c r="T9" s="135">
        <v>2017</v>
      </c>
      <c r="U9" s="135">
        <v>2018</v>
      </c>
      <c r="V9" s="135">
        <v>2019</v>
      </c>
    </row>
    <row r="10" spans="1:22" x14ac:dyDescent="0.2">
      <c r="C10" s="134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x14ac:dyDescent="0.2">
      <c r="A11">
        <f>Summary!A17</f>
        <v>1</v>
      </c>
      <c r="B11" t="s">
        <v>55</v>
      </c>
      <c r="C11" s="217">
        <v>0</v>
      </c>
      <c r="D11" s="218">
        <v>1242599.8999999999</v>
      </c>
      <c r="E11" s="218">
        <v>239999.94999999925</v>
      </c>
      <c r="F11" s="218">
        <v>399999.96</v>
      </c>
      <c r="G11" s="218">
        <v>239999.88</v>
      </c>
      <c r="H11" s="218">
        <v>474999.93799999991</v>
      </c>
      <c r="I11" s="218">
        <v>489249.93613999989</v>
      </c>
      <c r="J11" s="218">
        <v>503927.43422419991</v>
      </c>
      <c r="K11" s="218">
        <v>519045.25725092593</v>
      </c>
      <c r="L11" s="218">
        <v>534616.61496845377</v>
      </c>
      <c r="M11" s="218">
        <v>550655.11341750738</v>
      </c>
      <c r="N11" s="218">
        <v>567174.76682003262</v>
      </c>
      <c r="O11" s="218">
        <v>584190.0098246336</v>
      </c>
      <c r="P11" s="218">
        <v>601715.71011937258</v>
      </c>
      <c r="Q11" s="218">
        <v>619767.18142295373</v>
      </c>
      <c r="R11" s="218">
        <v>638360.19686564233</v>
      </c>
      <c r="S11" s="218">
        <v>657511.00277161156</v>
      </c>
      <c r="T11" s="218">
        <v>677236.33285475988</v>
      </c>
      <c r="U11" s="218">
        <v>697553.42284040269</v>
      </c>
      <c r="V11" s="218">
        <v>718480.02552561474</v>
      </c>
    </row>
    <row r="12" spans="1:22" x14ac:dyDescent="0.2">
      <c r="A12">
        <f>Summary!A18</f>
        <v>2</v>
      </c>
      <c r="B12" t="s">
        <v>56</v>
      </c>
      <c r="C12" s="217">
        <v>0</v>
      </c>
      <c r="D12" s="219">
        <v>6476152.9199999981</v>
      </c>
      <c r="E12" s="219">
        <v>4148462.07</v>
      </c>
      <c r="F12" s="219">
        <v>9273526.5500000007</v>
      </c>
      <c r="G12" s="219">
        <v>4044029</v>
      </c>
      <c r="H12" s="219">
        <v>5849494.4759999998</v>
      </c>
      <c r="I12" s="219">
        <v>6024979.3102799999</v>
      </c>
      <c r="J12" s="219">
        <v>6205728.6895883996</v>
      </c>
      <c r="K12" s="219">
        <v>6391900.5502760522</v>
      </c>
      <c r="L12" s="219">
        <v>6583657.5667843344</v>
      </c>
      <c r="M12" s="219">
        <v>6781167.293787865</v>
      </c>
      <c r="N12" s="219">
        <v>6984602.3126015011</v>
      </c>
      <c r="O12" s="219">
        <v>7194140.3819795465</v>
      </c>
      <c r="P12" s="219">
        <v>7409964.5934389327</v>
      </c>
      <c r="Q12" s="219">
        <v>7632263.5312421005</v>
      </c>
      <c r="R12" s="219">
        <v>7861231.4371793633</v>
      </c>
      <c r="S12" s="219">
        <v>8097068.3802947449</v>
      </c>
      <c r="T12" s="219">
        <v>8339980.4317035871</v>
      </c>
      <c r="U12" s="219">
        <v>8590179.8446546942</v>
      </c>
      <c r="V12" s="219">
        <v>8847885.2399943359</v>
      </c>
    </row>
    <row r="13" spans="1:22" x14ac:dyDescent="0.2">
      <c r="A13">
        <f>Summary!A19</f>
        <v>3</v>
      </c>
      <c r="B13" s="9" t="s">
        <v>57</v>
      </c>
      <c r="C13" s="217">
        <v>0</v>
      </c>
      <c r="D13" s="219">
        <v>1392192</v>
      </c>
      <c r="E13" s="219">
        <v>288695.92</v>
      </c>
      <c r="F13" s="219">
        <v>1959781.09</v>
      </c>
      <c r="G13" s="219">
        <v>716258.43</v>
      </c>
      <c r="H13" s="219">
        <v>1484360.4879999999</v>
      </c>
      <c r="I13" s="219">
        <v>1528891.3026399999</v>
      </c>
      <c r="J13" s="219">
        <v>1574758.0417191999</v>
      </c>
      <c r="K13" s="219">
        <v>1622000.7829707759</v>
      </c>
      <c r="L13" s="219">
        <v>1670660.8064598991</v>
      </c>
      <c r="M13" s="219">
        <v>1720780.6306536961</v>
      </c>
      <c r="N13" s="219">
        <v>1772404.0495733072</v>
      </c>
      <c r="O13" s="219">
        <v>1825576.1710605065</v>
      </c>
      <c r="P13" s="219">
        <v>1880343.4561923218</v>
      </c>
      <c r="Q13" s="219">
        <v>1936753.7598780915</v>
      </c>
      <c r="R13" s="219">
        <v>1994856.3726744342</v>
      </c>
      <c r="S13" s="219">
        <v>2054702.0638546674</v>
      </c>
      <c r="T13" s="219">
        <v>2116343.1257703076</v>
      </c>
      <c r="U13" s="219">
        <v>2179833.4195434167</v>
      </c>
      <c r="V13" s="219">
        <v>2245228.4221297191</v>
      </c>
    </row>
    <row r="14" spans="1:22" x14ac:dyDescent="0.2">
      <c r="A14">
        <f>Summary!A20</f>
        <v>4</v>
      </c>
      <c r="B14" s="9" t="s">
        <v>58</v>
      </c>
      <c r="C14" s="217">
        <v>0</v>
      </c>
      <c r="D14" s="219">
        <v>5095192</v>
      </c>
      <c r="E14" s="219">
        <v>561695.92000000004</v>
      </c>
      <c r="F14" s="219">
        <v>2024981.09</v>
      </c>
      <c r="G14" s="219">
        <v>213158.43</v>
      </c>
      <c r="H14" s="219">
        <v>2191980.4879999999</v>
      </c>
      <c r="I14" s="219">
        <v>2257739.90264</v>
      </c>
      <c r="J14" s="219">
        <v>2325472.0997191998</v>
      </c>
      <c r="K14" s="219">
        <v>2395236.2627107757</v>
      </c>
      <c r="L14" s="219">
        <v>2467093.3505920991</v>
      </c>
      <c r="M14" s="219">
        <v>2541106.1511098621</v>
      </c>
      <c r="N14" s="219">
        <v>2617339.3356431583</v>
      </c>
      <c r="O14" s="219">
        <v>2695859.5157124531</v>
      </c>
      <c r="P14" s="219">
        <v>2776735.3011838268</v>
      </c>
      <c r="Q14" s="219">
        <v>2860037.3602193417</v>
      </c>
      <c r="R14" s="219">
        <v>2945838.4810259221</v>
      </c>
      <c r="S14" s="219">
        <v>3034213.6354566999</v>
      </c>
      <c r="T14" s="219">
        <v>3125240.0445204009</v>
      </c>
      <c r="U14" s="219">
        <v>3218997.2458560131</v>
      </c>
      <c r="V14" s="219">
        <v>3315567.1632316937</v>
      </c>
    </row>
    <row r="15" spans="1:22" x14ac:dyDescent="0.2">
      <c r="A15">
        <f>Summary!A21</f>
        <v>5</v>
      </c>
      <c r="B15" s="9" t="s">
        <v>59</v>
      </c>
      <c r="C15" s="217">
        <v>0</v>
      </c>
      <c r="D15" s="219">
        <v>715136</v>
      </c>
      <c r="E15" s="219">
        <v>1466295.92</v>
      </c>
      <c r="F15" s="219">
        <v>313481.09000000003</v>
      </c>
      <c r="G15" s="219">
        <v>2812858.43</v>
      </c>
      <c r="H15" s="219">
        <v>2165429.2879999997</v>
      </c>
      <c r="I15" s="219">
        <v>2230392.16664</v>
      </c>
      <c r="J15" s="219">
        <v>2297303.9316392001</v>
      </c>
      <c r="K15" s="219">
        <v>2366223.0495883762</v>
      </c>
      <c r="L15" s="219">
        <v>2437209.7410760275</v>
      </c>
      <c r="M15" s="219">
        <v>2510326.0333083086</v>
      </c>
      <c r="N15" s="219">
        <v>2585635.8143075579</v>
      </c>
      <c r="O15" s="219">
        <v>2663204.8887367845</v>
      </c>
      <c r="P15" s="219">
        <v>2743101.0353988879</v>
      </c>
      <c r="Q15" s="219">
        <v>2825394.0664608548</v>
      </c>
      <c r="R15" s="219">
        <v>2910155.8884546803</v>
      </c>
      <c r="S15" s="219">
        <v>2997460.5651083207</v>
      </c>
      <c r="T15" s="219">
        <v>3087384.3820615704</v>
      </c>
      <c r="U15" s="219">
        <v>3180005.9135234174</v>
      </c>
      <c r="V15" s="219">
        <v>3275406.0909291198</v>
      </c>
    </row>
    <row r="16" spans="1:22" x14ac:dyDescent="0.2">
      <c r="A16">
        <f>Summary!A22</f>
        <v>6</v>
      </c>
      <c r="B16" s="9" t="s">
        <v>60</v>
      </c>
      <c r="C16" s="217">
        <v>0</v>
      </c>
      <c r="D16" s="219">
        <v>974492</v>
      </c>
      <c r="E16" s="219">
        <v>1680395.92</v>
      </c>
      <c r="F16" s="219">
        <v>313481.09000000003</v>
      </c>
      <c r="G16" s="219">
        <v>941658.43</v>
      </c>
      <c r="H16" s="219">
        <v>1979460.4879999999</v>
      </c>
      <c r="I16" s="219">
        <v>2038844.3026399999</v>
      </c>
      <c r="J16" s="219">
        <v>2100009.6317191999</v>
      </c>
      <c r="K16" s="219">
        <v>2163009.9206707762</v>
      </c>
      <c r="L16" s="219">
        <v>2227900.2182908994</v>
      </c>
      <c r="M16" s="219">
        <v>2294737.2248396263</v>
      </c>
      <c r="N16" s="219">
        <v>2363579.3415848152</v>
      </c>
      <c r="O16" s="219">
        <v>2434486.7218323597</v>
      </c>
      <c r="P16" s="219">
        <v>2507521.3234873307</v>
      </c>
      <c r="Q16" s="219">
        <v>2582746.9631919507</v>
      </c>
      <c r="R16" s="219">
        <v>2660229.3720877091</v>
      </c>
      <c r="S16" s="219">
        <v>2740036.2532503405</v>
      </c>
      <c r="T16" s="219">
        <v>2822237.3408478508</v>
      </c>
      <c r="U16" s="219">
        <v>2906904.4610732864</v>
      </c>
      <c r="V16" s="219">
        <v>2994111.5949054849</v>
      </c>
    </row>
    <row r="17" spans="1:22" x14ac:dyDescent="0.2">
      <c r="A17">
        <f>Summary!A23</f>
        <v>7</v>
      </c>
      <c r="B17" t="s">
        <v>61</v>
      </c>
      <c r="C17" s="217">
        <v>0</v>
      </c>
      <c r="D17" s="219">
        <v>2359867.1800000002</v>
      </c>
      <c r="E17" s="219">
        <v>51955.200000000186</v>
      </c>
      <c r="F17" s="219">
        <v>453987.6</v>
      </c>
      <c r="G17" s="219">
        <v>54796.5</v>
      </c>
      <c r="H17" s="219">
        <v>594021.29600000032</v>
      </c>
      <c r="I17" s="219">
        <v>611841.93488000031</v>
      </c>
      <c r="J17" s="219">
        <v>630197.19292640034</v>
      </c>
      <c r="K17" s="219">
        <v>649103.10871419241</v>
      </c>
      <c r="L17" s="219">
        <v>668576.20197561814</v>
      </c>
      <c r="M17" s="219">
        <v>688633.48803488666</v>
      </c>
      <c r="N17" s="219">
        <v>709292.49267593329</v>
      </c>
      <c r="O17" s="219">
        <v>730571.26745621127</v>
      </c>
      <c r="P17" s="219">
        <v>752488.40547989763</v>
      </c>
      <c r="Q17" s="219">
        <v>775063.05764429457</v>
      </c>
      <c r="R17" s="219">
        <v>798314.94937362347</v>
      </c>
      <c r="S17" s="219">
        <v>822264.39785483223</v>
      </c>
      <c r="T17" s="219">
        <v>846932.32979047718</v>
      </c>
      <c r="U17" s="219">
        <v>872340.29968419147</v>
      </c>
      <c r="V17" s="219">
        <v>898510.50867471728</v>
      </c>
    </row>
    <row r="18" spans="1:22" x14ac:dyDescent="0.2">
      <c r="A18">
        <f>Summary!A24</f>
        <v>8</v>
      </c>
      <c r="B18" t="s">
        <v>62</v>
      </c>
      <c r="C18" s="217">
        <v>0</v>
      </c>
      <c r="D18" s="219">
        <v>296039.05</v>
      </c>
      <c r="E18" s="219">
        <v>1656351.77</v>
      </c>
      <c r="F18" s="219">
        <v>768259.69</v>
      </c>
      <c r="G18" s="219">
        <v>270547</v>
      </c>
      <c r="H18" s="219">
        <v>651964.07999999996</v>
      </c>
      <c r="I18" s="219">
        <v>671523.0024</v>
      </c>
      <c r="J18" s="219">
        <v>691668.69247200002</v>
      </c>
      <c r="K18" s="219">
        <v>712418.75324615999</v>
      </c>
      <c r="L18" s="219">
        <v>733791.31584354478</v>
      </c>
      <c r="M18" s="219">
        <v>755805.05531885114</v>
      </c>
      <c r="N18" s="219">
        <v>778479.20697841665</v>
      </c>
      <c r="O18" s="219">
        <v>801833.58318776917</v>
      </c>
      <c r="P18" s="219">
        <v>825888.59068340226</v>
      </c>
      <c r="Q18" s="219">
        <v>850665.24840390438</v>
      </c>
      <c r="R18" s="219">
        <v>876185.20585602149</v>
      </c>
      <c r="S18" s="219">
        <v>902470.76203170221</v>
      </c>
      <c r="T18" s="219">
        <v>929544.88489265332</v>
      </c>
      <c r="U18" s="219">
        <v>957431.23143943294</v>
      </c>
      <c r="V18" s="219">
        <v>986154.16838261602</v>
      </c>
    </row>
    <row r="19" spans="1:22" x14ac:dyDescent="0.2">
      <c r="A19">
        <f>Summary!A25</f>
        <v>9</v>
      </c>
      <c r="B19" t="s">
        <v>63</v>
      </c>
      <c r="C19" s="217">
        <v>0</v>
      </c>
      <c r="D19" s="219">
        <v>627871.68000000005</v>
      </c>
      <c r="E19" s="219">
        <v>7085452.5600000005</v>
      </c>
      <c r="F19" s="219">
        <v>1209378.25</v>
      </c>
      <c r="G19" s="219">
        <v>434627.63</v>
      </c>
      <c r="H19" s="219">
        <v>2222979.2160000005</v>
      </c>
      <c r="I19" s="219">
        <v>2289668.5924800006</v>
      </c>
      <c r="J19" s="219">
        <v>2358358.6502544004</v>
      </c>
      <c r="K19" s="219">
        <v>2429109.4097620323</v>
      </c>
      <c r="L19" s="219">
        <v>2501982.6920548934</v>
      </c>
      <c r="M19" s="219">
        <v>2577042.1728165401</v>
      </c>
      <c r="N19" s="219">
        <v>2654353.4380010362</v>
      </c>
      <c r="O19" s="219">
        <v>2733984.0411410672</v>
      </c>
      <c r="P19" s="219">
        <v>2816003.5623752992</v>
      </c>
      <c r="Q19" s="219">
        <v>2900483.6692465581</v>
      </c>
      <c r="R19" s="219">
        <v>2987498.179323955</v>
      </c>
      <c r="S19" s="219">
        <v>3077123.1247036736</v>
      </c>
      <c r="T19" s="219">
        <v>3169436.8184447838</v>
      </c>
      <c r="U19" s="219">
        <v>3264519.9229981275</v>
      </c>
      <c r="V19" s="219">
        <v>3362455.5206880714</v>
      </c>
    </row>
    <row r="20" spans="1:22" x14ac:dyDescent="0.2">
      <c r="A20">
        <f>Summary!A26</f>
        <v>10</v>
      </c>
      <c r="B20" t="s">
        <v>64</v>
      </c>
      <c r="C20" s="217">
        <v>0</v>
      </c>
      <c r="D20" s="219">
        <v>2140736.38</v>
      </c>
      <c r="E20" s="219">
        <v>2090891.7</v>
      </c>
      <c r="F20" s="219">
        <v>3759535.24</v>
      </c>
      <c r="G20" s="219">
        <v>1669261.97</v>
      </c>
      <c r="H20" s="219">
        <v>2255300.8720000004</v>
      </c>
      <c r="I20" s="219">
        <v>2322959.8981600003</v>
      </c>
      <c r="J20" s="219">
        <v>2392648.6951048006</v>
      </c>
      <c r="K20" s="219">
        <v>2464428.1559579447</v>
      </c>
      <c r="L20" s="219">
        <v>2538361.0006366833</v>
      </c>
      <c r="M20" s="219">
        <v>2614511.8306557839</v>
      </c>
      <c r="N20" s="219">
        <v>2692947.1855754573</v>
      </c>
      <c r="O20" s="219">
        <v>2773735.6011427213</v>
      </c>
      <c r="P20" s="219">
        <v>2856947.6691770027</v>
      </c>
      <c r="Q20" s="219">
        <v>2942656.0992523129</v>
      </c>
      <c r="R20" s="219">
        <v>3030935.7822298822</v>
      </c>
      <c r="S20" s="219">
        <v>3121863.8556967787</v>
      </c>
      <c r="T20" s="219">
        <v>3215519.7713676821</v>
      </c>
      <c r="U20" s="219">
        <v>3311985.3645087127</v>
      </c>
      <c r="V20" s="219">
        <v>3411344.9254439743</v>
      </c>
    </row>
    <row r="21" spans="1:22" x14ac:dyDescent="0.2">
      <c r="A21">
        <f>Summary!A27</f>
        <v>11</v>
      </c>
      <c r="B21" t="s">
        <v>65</v>
      </c>
      <c r="C21" s="217">
        <v>0</v>
      </c>
      <c r="D21" s="219">
        <v>17423162.359999992</v>
      </c>
      <c r="E21" s="219">
        <v>2384312.89</v>
      </c>
      <c r="F21" s="219">
        <v>3137634.37</v>
      </c>
      <c r="G21" s="219">
        <v>5659421.9600000009</v>
      </c>
      <c r="H21" s="219">
        <v>4800000</v>
      </c>
      <c r="I21" s="219">
        <v>4944000</v>
      </c>
      <c r="J21" s="219">
        <v>5092320</v>
      </c>
      <c r="K21" s="219">
        <v>5245089.5999999996</v>
      </c>
      <c r="L21" s="219">
        <v>5402442.2880000006</v>
      </c>
      <c r="M21" s="219">
        <v>5564515.556640001</v>
      </c>
      <c r="N21" s="219">
        <v>5731451.0233392008</v>
      </c>
      <c r="O21" s="219">
        <v>5903394.5540393768</v>
      </c>
      <c r="P21" s="219">
        <v>6080496.3906605579</v>
      </c>
      <c r="Q21" s="219">
        <v>6262911.2823803751</v>
      </c>
      <c r="R21" s="219">
        <v>6450798.6208517868</v>
      </c>
      <c r="S21" s="219">
        <v>6644322.5794773409</v>
      </c>
      <c r="T21" s="219">
        <v>6843652.2568616616</v>
      </c>
      <c r="U21" s="219">
        <v>7048961.8245675117</v>
      </c>
      <c r="V21" s="219">
        <v>7260430.6793045374</v>
      </c>
    </row>
    <row r="22" spans="1:22" x14ac:dyDescent="0.2">
      <c r="A22">
        <f>Summary!A28</f>
        <v>12</v>
      </c>
      <c r="B22" t="s">
        <v>66</v>
      </c>
      <c r="C22" s="217">
        <v>0</v>
      </c>
      <c r="D22" s="219">
        <v>5440512.71</v>
      </c>
      <c r="E22" s="219">
        <v>1207895.95</v>
      </c>
      <c r="F22" s="219">
        <v>294093.09999999998</v>
      </c>
      <c r="G22" s="219">
        <v>776726.04</v>
      </c>
      <c r="H22" s="219">
        <v>1724501.2119999998</v>
      </c>
      <c r="I22" s="219">
        <v>1776236.2483599999</v>
      </c>
      <c r="J22" s="219">
        <v>1829523.3358107999</v>
      </c>
      <c r="K22" s="219">
        <v>1884409.035885124</v>
      </c>
      <c r="L22" s="219">
        <v>1940941.3069616777</v>
      </c>
      <c r="M22" s="219">
        <v>1999169.546170528</v>
      </c>
      <c r="N22" s="219">
        <v>2059144.632555644</v>
      </c>
      <c r="O22" s="219">
        <v>2120918.9715323136</v>
      </c>
      <c r="P22" s="219">
        <v>2184546.5406782832</v>
      </c>
      <c r="Q22" s="219">
        <v>2250082.936898632</v>
      </c>
      <c r="R22" s="219">
        <v>2317585.425005591</v>
      </c>
      <c r="S22" s="219">
        <v>2387112.9877557587</v>
      </c>
      <c r="T22" s="219">
        <v>2458726.3773884317</v>
      </c>
      <c r="U22" s="219">
        <v>2532488.1687100846</v>
      </c>
      <c r="V22" s="219">
        <v>2608462.8137713871</v>
      </c>
    </row>
    <row r="23" spans="1:22" x14ac:dyDescent="0.2">
      <c r="A23">
        <f>Summary!A29</f>
        <v>13</v>
      </c>
      <c r="B23" t="s">
        <v>67</v>
      </c>
      <c r="C23" s="217">
        <v>0</v>
      </c>
      <c r="D23" s="219">
        <v>663432.53</v>
      </c>
      <c r="E23" s="219">
        <v>5903033.8899999997</v>
      </c>
      <c r="F23" s="219">
        <v>291631.14</v>
      </c>
      <c r="G23" s="219">
        <v>776726.04</v>
      </c>
      <c r="H23" s="219">
        <v>1704336.4780000001</v>
      </c>
      <c r="I23" s="219">
        <v>1755466.5723400002</v>
      </c>
      <c r="J23" s="219">
        <v>1808130.5695102003</v>
      </c>
      <c r="K23" s="219">
        <v>1862374.4865955063</v>
      </c>
      <c r="L23" s="219">
        <v>1918245.7211933716</v>
      </c>
      <c r="M23" s="219">
        <v>1975793.0928291727</v>
      </c>
      <c r="N23" s="219">
        <v>2035066.885614048</v>
      </c>
      <c r="O23" s="219">
        <v>2096118.8921824696</v>
      </c>
      <c r="P23" s="219">
        <v>2159002.4589479435</v>
      </c>
      <c r="Q23" s="219">
        <v>2223772.5327163818</v>
      </c>
      <c r="R23" s="219">
        <v>2290485.7086978732</v>
      </c>
      <c r="S23" s="219">
        <v>2359200.2799588093</v>
      </c>
      <c r="T23" s="219">
        <v>2429976.2883575736</v>
      </c>
      <c r="U23" s="219">
        <v>2502875.5770083009</v>
      </c>
      <c r="V23" s="219">
        <v>2577961.8443185501</v>
      </c>
    </row>
    <row r="24" spans="1:22" x14ac:dyDescent="0.2">
      <c r="A24">
        <f>Summary!A30</f>
        <v>14</v>
      </c>
      <c r="B24" t="s">
        <v>70</v>
      </c>
      <c r="C24" s="217">
        <v>0</v>
      </c>
      <c r="D24" s="219">
        <v>804291.35</v>
      </c>
      <c r="E24" s="219">
        <v>9620475.7899999991</v>
      </c>
      <c r="F24" s="219">
        <v>604210.52</v>
      </c>
      <c r="G24" s="219">
        <v>1057868.8999999999</v>
      </c>
      <c r="H24" s="219">
        <v>2649788.426</v>
      </c>
      <c r="I24" s="219">
        <v>2729282.0787800001</v>
      </c>
      <c r="J24" s="219">
        <v>2811160.5411434001</v>
      </c>
      <c r="K24" s="219">
        <v>2895495.3573777024</v>
      </c>
      <c r="L24" s="219">
        <v>2982360.2180990335</v>
      </c>
      <c r="M24" s="219">
        <v>3071831.0246420046</v>
      </c>
      <c r="N24" s="219">
        <v>3163985.9553812649</v>
      </c>
      <c r="O24" s="219">
        <v>3258905.534042703</v>
      </c>
      <c r="P24" s="219">
        <v>3356672.7000639844</v>
      </c>
      <c r="Q24" s="219">
        <v>3457372.8810659042</v>
      </c>
      <c r="R24" s="219">
        <v>3561094.0674978816</v>
      </c>
      <c r="S24" s="219">
        <v>3667926.8895228179</v>
      </c>
      <c r="T24" s="219">
        <v>3777964.6962085026</v>
      </c>
      <c r="U24" s="219">
        <v>3891303.637094758</v>
      </c>
      <c r="V24" s="219">
        <v>4008042.7462076009</v>
      </c>
    </row>
    <row r="25" spans="1:22" x14ac:dyDescent="0.2">
      <c r="A25">
        <f>Summary!A31</f>
        <v>15</v>
      </c>
      <c r="B25" t="s">
        <v>68</v>
      </c>
      <c r="C25" s="217">
        <v>0</v>
      </c>
      <c r="D25" s="219">
        <v>1658414.77</v>
      </c>
      <c r="E25" s="219">
        <v>1457064.86</v>
      </c>
      <c r="F25" s="219">
        <v>7037610.2299999995</v>
      </c>
      <c r="G25" s="219">
        <v>1239680.1499999999</v>
      </c>
      <c r="H25" s="219">
        <v>2496885.3419999997</v>
      </c>
      <c r="I25" s="219">
        <v>2571791.9022599999</v>
      </c>
      <c r="J25" s="219">
        <v>2648945.6593277999</v>
      </c>
      <c r="K25" s="219">
        <v>2728414.029107634</v>
      </c>
      <c r="L25" s="219">
        <v>2810266.4499808629</v>
      </c>
      <c r="M25" s="219">
        <v>2894574.4434802891</v>
      </c>
      <c r="N25" s="219">
        <v>2981411.6767846979</v>
      </c>
      <c r="O25" s="219">
        <v>3070854.0270882389</v>
      </c>
      <c r="P25" s="219">
        <v>3162979.6479008859</v>
      </c>
      <c r="Q25" s="219">
        <v>3257869.0373379127</v>
      </c>
      <c r="R25" s="219">
        <v>3355605.1084580501</v>
      </c>
      <c r="S25" s="219">
        <v>3456273.2617117916</v>
      </c>
      <c r="T25" s="219">
        <v>3559961.4595631454</v>
      </c>
      <c r="U25" s="219">
        <v>3666760.3033500398</v>
      </c>
      <c r="V25" s="219">
        <v>3776763.112450541</v>
      </c>
    </row>
    <row r="26" spans="1:22" x14ac:dyDescent="0.2">
      <c r="A26">
        <f>Summary!A32</f>
        <v>16</v>
      </c>
      <c r="B26" t="s">
        <v>69</v>
      </c>
      <c r="C26" s="217">
        <v>0</v>
      </c>
      <c r="D26" s="219">
        <v>3327231.63</v>
      </c>
      <c r="E26" s="219">
        <v>2131175.73</v>
      </c>
      <c r="F26" s="219">
        <v>3334634.44</v>
      </c>
      <c r="G26" s="219">
        <v>625478.57999999996</v>
      </c>
      <c r="H26" s="219">
        <v>2269388.4619999998</v>
      </c>
      <c r="I26" s="219">
        <v>2337470.1158599998</v>
      </c>
      <c r="J26" s="219">
        <v>2407594.2193358</v>
      </c>
      <c r="K26" s="219">
        <v>2479822.0459158742</v>
      </c>
      <c r="L26" s="219">
        <v>2554216.7072933502</v>
      </c>
      <c r="M26" s="219">
        <v>2630843.2085121507</v>
      </c>
      <c r="N26" s="219">
        <v>2709768.5047675152</v>
      </c>
      <c r="O26" s="219">
        <v>2791061.5599105409</v>
      </c>
      <c r="P26" s="219">
        <v>2874793.4067078573</v>
      </c>
      <c r="Q26" s="219">
        <v>2961037.2089090929</v>
      </c>
      <c r="R26" s="219">
        <v>3049868.3251763657</v>
      </c>
      <c r="S26" s="219">
        <v>3141364.3749316568</v>
      </c>
      <c r="T26" s="219">
        <v>3235605.3061796064</v>
      </c>
      <c r="U26" s="219">
        <v>3332673.4653649945</v>
      </c>
      <c r="V26" s="219">
        <v>3432653.6693259445</v>
      </c>
    </row>
    <row r="27" spans="1:22" x14ac:dyDescent="0.2">
      <c r="A27">
        <f>Summary!A33</f>
        <v>17</v>
      </c>
      <c r="B27" t="s">
        <v>71</v>
      </c>
      <c r="C27" s="217">
        <v>0</v>
      </c>
      <c r="D27" s="219">
        <v>4505591.18</v>
      </c>
      <c r="E27" s="219">
        <v>2109515.17</v>
      </c>
      <c r="F27" s="219">
        <v>609625.87</v>
      </c>
      <c r="G27" s="219">
        <v>2352594.6800000002</v>
      </c>
      <c r="H27" s="219">
        <v>2434176.6479999996</v>
      </c>
      <c r="I27" s="219">
        <v>2507201.9474399998</v>
      </c>
      <c r="J27" s="219">
        <v>2582418.0058631999</v>
      </c>
      <c r="K27" s="219">
        <v>2659890.5460390961</v>
      </c>
      <c r="L27" s="219">
        <v>2739687.2624202692</v>
      </c>
      <c r="M27" s="219">
        <v>2821877.8802928776</v>
      </c>
      <c r="N27" s="219">
        <v>2906534.216701664</v>
      </c>
      <c r="O27" s="219">
        <v>2993730.2432027142</v>
      </c>
      <c r="P27" s="219">
        <v>3083542.1504987958</v>
      </c>
      <c r="Q27" s="219">
        <v>3176048.4150137599</v>
      </c>
      <c r="R27" s="219">
        <v>3271329.8674641727</v>
      </c>
      <c r="S27" s="219">
        <v>3369469.763488098</v>
      </c>
      <c r="T27" s="219">
        <v>3470553.8563927412</v>
      </c>
      <c r="U27" s="219">
        <v>3574670.4720845236</v>
      </c>
      <c r="V27" s="219">
        <v>3681910.5862470595</v>
      </c>
    </row>
    <row r="28" spans="1:22" x14ac:dyDescent="0.2">
      <c r="A28">
        <f>Summary!A34</f>
        <v>18</v>
      </c>
      <c r="B28" t="s">
        <v>72</v>
      </c>
      <c r="C28" s="217">
        <v>0</v>
      </c>
      <c r="D28" s="219">
        <v>2047591.71</v>
      </c>
      <c r="E28" s="219">
        <v>7775098.5700000077</v>
      </c>
      <c r="F28" s="219">
        <v>3053459.57</v>
      </c>
      <c r="G28" s="219">
        <v>5375258.9699999997</v>
      </c>
      <c r="H28" s="219">
        <v>6217891.3880000012</v>
      </c>
      <c r="I28" s="219">
        <v>6404428.1296400018</v>
      </c>
      <c r="J28" s="219">
        <v>6596560.9735292019</v>
      </c>
      <c r="K28" s="219">
        <v>6794457.8027350781</v>
      </c>
      <c r="L28" s="219">
        <v>6998291.5368171306</v>
      </c>
      <c r="M28" s="219">
        <v>7208240.2829216449</v>
      </c>
      <c r="N28" s="219">
        <v>7424487.4914092943</v>
      </c>
      <c r="O28" s="219">
        <v>7647222.1161515731</v>
      </c>
      <c r="P28" s="219">
        <v>7876638.7796361204</v>
      </c>
      <c r="Q28" s="219">
        <v>8112937.9430252044</v>
      </c>
      <c r="R28" s="219">
        <v>8356326.0813159607</v>
      </c>
      <c r="S28" s="219">
        <v>8607015.8637554403</v>
      </c>
      <c r="T28" s="219">
        <v>8865226.3396681044</v>
      </c>
      <c r="U28" s="219">
        <v>9131183.1298581474</v>
      </c>
      <c r="V28" s="219">
        <v>9405118.6237538923</v>
      </c>
    </row>
    <row r="29" spans="1:22" x14ac:dyDescent="0.2">
      <c r="A29">
        <f>Summary!A35</f>
        <v>19</v>
      </c>
      <c r="B29" t="s">
        <v>73</v>
      </c>
      <c r="C29" s="217">
        <v>0</v>
      </c>
      <c r="D29" s="219">
        <v>2815.86</v>
      </c>
      <c r="E29" s="219">
        <v>332999.71999999997</v>
      </c>
      <c r="F29" s="219">
        <v>3047.79</v>
      </c>
      <c r="G29" s="219">
        <v>3183.29</v>
      </c>
      <c r="H29" s="219">
        <v>69003.861999999994</v>
      </c>
      <c r="I29" s="219">
        <v>71073.977859999999</v>
      </c>
      <c r="J29" s="219">
        <v>73206.197195800007</v>
      </c>
      <c r="K29" s="219">
        <v>75402.383111674004</v>
      </c>
      <c r="L29" s="219">
        <v>77664.454605024221</v>
      </c>
      <c r="M29" s="219">
        <v>79994.388243174952</v>
      </c>
      <c r="N29" s="219">
        <v>82394.219890470209</v>
      </c>
      <c r="O29" s="219">
        <v>84866.046487184314</v>
      </c>
      <c r="P29" s="219">
        <v>87412.027881799848</v>
      </c>
      <c r="Q29" s="219">
        <v>90034.388718253846</v>
      </c>
      <c r="R29" s="219">
        <v>92735.420379801464</v>
      </c>
      <c r="S29" s="219">
        <v>95517.482991195517</v>
      </c>
      <c r="T29" s="219">
        <v>98383.007480931381</v>
      </c>
      <c r="U29" s="219">
        <v>101334.49770535933</v>
      </c>
      <c r="V29" s="219">
        <v>104374.53263652012</v>
      </c>
    </row>
    <row r="30" spans="1:22" x14ac:dyDescent="0.2">
      <c r="A30">
        <f>Summary!A36</f>
        <v>20</v>
      </c>
      <c r="B30" t="s">
        <v>74</v>
      </c>
      <c r="C30" s="217">
        <v>0</v>
      </c>
      <c r="D30" s="219">
        <v>438.02</v>
      </c>
      <c r="E30" s="219">
        <v>455.7</v>
      </c>
      <c r="F30" s="219">
        <v>474.1</v>
      </c>
      <c r="G30" s="219">
        <v>495.18</v>
      </c>
      <c r="H30" s="219">
        <v>50000</v>
      </c>
      <c r="I30" s="219">
        <v>51500</v>
      </c>
      <c r="J30" s="219">
        <v>53045</v>
      </c>
      <c r="K30" s="219">
        <v>54636.35</v>
      </c>
      <c r="L30" s="219">
        <v>56275.440499999997</v>
      </c>
      <c r="M30" s="219">
        <v>57963.703714999996</v>
      </c>
      <c r="N30" s="219">
        <v>59702.614826450001</v>
      </c>
      <c r="O30" s="219">
        <v>61493.693271243501</v>
      </c>
      <c r="P30" s="219">
        <v>63338.504069380804</v>
      </c>
      <c r="Q30" s="219">
        <v>65238.659191462233</v>
      </c>
      <c r="R30" s="219">
        <v>67195.818967206098</v>
      </c>
      <c r="S30" s="219">
        <v>69211.693536222287</v>
      </c>
      <c r="T30" s="219">
        <v>71288.04434230896</v>
      </c>
      <c r="U30" s="219">
        <v>73426.685672578227</v>
      </c>
      <c r="V30" s="219">
        <v>75629.486242755578</v>
      </c>
    </row>
    <row r="31" spans="1:22" x14ac:dyDescent="0.2">
      <c r="A31">
        <f>Summary!A37</f>
        <v>21</v>
      </c>
      <c r="B31" t="s">
        <v>75</v>
      </c>
      <c r="C31" s="217">
        <v>0</v>
      </c>
      <c r="D31" s="219">
        <v>907.34</v>
      </c>
      <c r="E31" s="219">
        <v>943.94</v>
      </c>
      <c r="F31" s="219">
        <v>982.06</v>
      </c>
      <c r="G31" s="219">
        <v>1025.72</v>
      </c>
      <c r="H31" s="219">
        <v>100000</v>
      </c>
      <c r="I31" s="219">
        <v>103000</v>
      </c>
      <c r="J31" s="219">
        <v>106090</v>
      </c>
      <c r="K31" s="219">
        <v>109272.7</v>
      </c>
      <c r="L31" s="219">
        <v>112550.88099999999</v>
      </c>
      <c r="M31" s="219">
        <v>115927.40742999999</v>
      </c>
      <c r="N31" s="219">
        <v>119405.2296529</v>
      </c>
      <c r="O31" s="219">
        <v>122987.386542487</v>
      </c>
      <c r="P31" s="219">
        <v>126677.00813876161</v>
      </c>
      <c r="Q31" s="219">
        <v>130477.31838292447</v>
      </c>
      <c r="R31" s="219">
        <v>134391.6379344122</v>
      </c>
      <c r="S31" s="219">
        <v>138423.38707244457</v>
      </c>
      <c r="T31" s="219">
        <v>142576.08868461792</v>
      </c>
      <c r="U31" s="219">
        <v>146853.37134515645</v>
      </c>
      <c r="V31" s="219">
        <v>151258.97248551116</v>
      </c>
    </row>
    <row r="32" spans="1:22" x14ac:dyDescent="0.2">
      <c r="A32">
        <f>Summary!A38</f>
        <v>22</v>
      </c>
      <c r="B32" t="s">
        <v>86</v>
      </c>
      <c r="C32" s="217">
        <v>0</v>
      </c>
      <c r="D32" s="219">
        <v>1752.08</v>
      </c>
      <c r="E32" s="219">
        <v>1822.8</v>
      </c>
      <c r="F32" s="219">
        <v>1896.4</v>
      </c>
      <c r="G32" s="219">
        <v>1980.72</v>
      </c>
      <c r="H32" s="219">
        <v>200000</v>
      </c>
      <c r="I32" s="219">
        <v>206000</v>
      </c>
      <c r="J32" s="219">
        <v>212180</v>
      </c>
      <c r="K32" s="219">
        <v>218545.4</v>
      </c>
      <c r="L32" s="219">
        <v>225101.76199999999</v>
      </c>
      <c r="M32" s="219">
        <v>231854.81485999998</v>
      </c>
      <c r="N32" s="219">
        <v>238810.4593058</v>
      </c>
      <c r="O32" s="219">
        <v>245974.773084974</v>
      </c>
      <c r="P32" s="219">
        <v>253354.01627752322</v>
      </c>
      <c r="Q32" s="219">
        <v>260954.63676584893</v>
      </c>
      <c r="R32" s="219">
        <v>268783.27586882439</v>
      </c>
      <c r="S32" s="219">
        <v>276846.77414488915</v>
      </c>
      <c r="T32" s="219">
        <v>285152.17736923584</v>
      </c>
      <c r="U32" s="219">
        <v>293706.74269031291</v>
      </c>
      <c r="V32" s="219">
        <v>302517.94497102231</v>
      </c>
    </row>
    <row r="33" spans="1:22" x14ac:dyDescent="0.2">
      <c r="A33">
        <f>Summary!A39</f>
        <v>23</v>
      </c>
      <c r="B33" t="s">
        <v>76</v>
      </c>
      <c r="C33" s="217">
        <v>0</v>
      </c>
      <c r="D33" s="219">
        <v>1423.58</v>
      </c>
      <c r="E33" s="219">
        <v>1481.02</v>
      </c>
      <c r="F33" s="219">
        <v>1540.83</v>
      </c>
      <c r="G33" s="219">
        <v>1609.33</v>
      </c>
      <c r="H33" s="219">
        <v>100000</v>
      </c>
      <c r="I33" s="219">
        <v>103000</v>
      </c>
      <c r="J33" s="219">
        <v>106090</v>
      </c>
      <c r="K33" s="219">
        <v>109272.7</v>
      </c>
      <c r="L33" s="219">
        <v>112550.88099999999</v>
      </c>
      <c r="M33" s="219">
        <v>115927.40742999999</v>
      </c>
      <c r="N33" s="219">
        <v>119405.2296529</v>
      </c>
      <c r="O33" s="219">
        <v>122987.386542487</v>
      </c>
      <c r="P33" s="219">
        <v>126677.00813876161</v>
      </c>
      <c r="Q33" s="219">
        <v>130477.31838292447</v>
      </c>
      <c r="R33" s="219">
        <v>134391.6379344122</v>
      </c>
      <c r="S33" s="219">
        <v>138423.38707244457</v>
      </c>
      <c r="T33" s="219">
        <v>142576.08868461792</v>
      </c>
      <c r="U33" s="219">
        <v>146853.37134515645</v>
      </c>
      <c r="V33" s="219">
        <v>151258.97248551116</v>
      </c>
    </row>
    <row r="34" spans="1:22" x14ac:dyDescent="0.2">
      <c r="A34">
        <f>Summary!A40</f>
        <v>24</v>
      </c>
      <c r="B34" t="s">
        <v>77</v>
      </c>
      <c r="C34" s="217">
        <v>0</v>
      </c>
      <c r="D34" s="219">
        <v>1423.58</v>
      </c>
      <c r="E34" s="219">
        <v>1481.02</v>
      </c>
      <c r="F34" s="219">
        <v>1540.83</v>
      </c>
      <c r="G34" s="219">
        <v>1609.33</v>
      </c>
      <c r="H34" s="219">
        <v>100000</v>
      </c>
      <c r="I34" s="219">
        <v>103000</v>
      </c>
      <c r="J34" s="219">
        <v>106090</v>
      </c>
      <c r="K34" s="219">
        <v>109272.7</v>
      </c>
      <c r="L34" s="219">
        <v>112550.88099999999</v>
      </c>
      <c r="M34" s="219">
        <v>115927.40742999999</v>
      </c>
      <c r="N34" s="219">
        <v>119405.2296529</v>
      </c>
      <c r="O34" s="219">
        <v>122987.386542487</v>
      </c>
      <c r="P34" s="219">
        <v>126677.00813876161</v>
      </c>
      <c r="Q34" s="219">
        <v>130477.31838292447</v>
      </c>
      <c r="R34" s="219">
        <v>134391.6379344122</v>
      </c>
      <c r="S34" s="219">
        <v>138423.38707244457</v>
      </c>
      <c r="T34" s="219">
        <v>142576.08868461792</v>
      </c>
      <c r="U34" s="219">
        <v>146853.37134515645</v>
      </c>
      <c r="V34" s="219">
        <v>151258.97248551116</v>
      </c>
    </row>
    <row r="35" spans="1:22" x14ac:dyDescent="0.2">
      <c r="A35">
        <f>Summary!A41</f>
        <v>25</v>
      </c>
      <c r="B35" t="s">
        <v>78</v>
      </c>
      <c r="C35" s="217">
        <v>0</v>
      </c>
      <c r="D35" s="219">
        <v>1423.58</v>
      </c>
      <c r="E35" s="219">
        <v>1481.02</v>
      </c>
      <c r="F35" s="219">
        <v>1540.83</v>
      </c>
      <c r="G35" s="219">
        <v>1609.33</v>
      </c>
      <c r="H35" s="219">
        <v>100000</v>
      </c>
      <c r="I35" s="219">
        <v>103000</v>
      </c>
      <c r="J35" s="219">
        <v>106090</v>
      </c>
      <c r="K35" s="219">
        <v>109272.7</v>
      </c>
      <c r="L35" s="219">
        <v>112550.88099999999</v>
      </c>
      <c r="M35" s="219">
        <v>115927.40742999999</v>
      </c>
      <c r="N35" s="219">
        <v>119405.2296529</v>
      </c>
      <c r="O35" s="219">
        <v>122987.386542487</v>
      </c>
      <c r="P35" s="219">
        <v>126677.00813876161</v>
      </c>
      <c r="Q35" s="219">
        <v>130477.31838292447</v>
      </c>
      <c r="R35" s="219">
        <v>134391.6379344122</v>
      </c>
      <c r="S35" s="219">
        <v>138423.38707244457</v>
      </c>
      <c r="T35" s="219">
        <v>142576.08868461792</v>
      </c>
      <c r="U35" s="219">
        <v>146853.37134515645</v>
      </c>
      <c r="V35" s="219">
        <v>151258.97248551116</v>
      </c>
    </row>
    <row r="36" spans="1:22" x14ac:dyDescent="0.2">
      <c r="A36">
        <f>Summary!A42</f>
        <v>26</v>
      </c>
      <c r="B36" t="s">
        <v>79</v>
      </c>
      <c r="C36" s="217">
        <v>0</v>
      </c>
      <c r="D36" s="219">
        <v>1423.58</v>
      </c>
      <c r="E36" s="219">
        <v>1481.02</v>
      </c>
      <c r="F36" s="219">
        <v>1540.83</v>
      </c>
      <c r="G36" s="219">
        <v>1609.33</v>
      </c>
      <c r="H36" s="219">
        <v>100000</v>
      </c>
      <c r="I36" s="219">
        <v>103000</v>
      </c>
      <c r="J36" s="219">
        <v>106090</v>
      </c>
      <c r="K36" s="219">
        <v>109272.7</v>
      </c>
      <c r="L36" s="219">
        <v>112550.88099999999</v>
      </c>
      <c r="M36" s="219">
        <v>115927.40742999999</v>
      </c>
      <c r="N36" s="219">
        <v>119405.2296529</v>
      </c>
      <c r="O36" s="219">
        <v>122987.386542487</v>
      </c>
      <c r="P36" s="219">
        <v>126677.00813876161</v>
      </c>
      <c r="Q36" s="219">
        <v>130477.31838292447</v>
      </c>
      <c r="R36" s="219">
        <v>134391.6379344122</v>
      </c>
      <c r="S36" s="219">
        <v>138423.38707244457</v>
      </c>
      <c r="T36" s="219">
        <v>142576.08868461792</v>
      </c>
      <c r="U36" s="219">
        <v>146853.37134515645</v>
      </c>
      <c r="V36" s="219">
        <v>151258.97248551116</v>
      </c>
    </row>
    <row r="37" spans="1:22" x14ac:dyDescent="0.2">
      <c r="A37">
        <f>Summary!A43</f>
        <v>27</v>
      </c>
      <c r="B37" t="s">
        <v>80</v>
      </c>
      <c r="C37" s="217">
        <v>0</v>
      </c>
      <c r="D37" s="219">
        <v>14278.42</v>
      </c>
      <c r="E37" s="219">
        <v>14707.35</v>
      </c>
      <c r="F37" s="219">
        <v>387074.17</v>
      </c>
      <c r="G37" s="219">
        <v>15661.04</v>
      </c>
      <c r="H37" s="219">
        <v>89337.122000000003</v>
      </c>
      <c r="I37" s="219">
        <v>92017.235660000006</v>
      </c>
      <c r="J37" s="219">
        <v>94777.752729800006</v>
      </c>
      <c r="K37" s="219">
        <v>97621.085311694012</v>
      </c>
      <c r="L37" s="219">
        <v>100549.71787104484</v>
      </c>
      <c r="M37" s="219">
        <v>103566.20940717618</v>
      </c>
      <c r="N37" s="219">
        <v>106673.19568939148</v>
      </c>
      <c r="O37" s="219">
        <v>109873.39156007323</v>
      </c>
      <c r="P37" s="219">
        <v>113169.59330687542</v>
      </c>
      <c r="Q37" s="219">
        <v>116564.68110608168</v>
      </c>
      <c r="R37" s="219">
        <v>120061.62153926413</v>
      </c>
      <c r="S37" s="219">
        <v>123663.47018544206</v>
      </c>
      <c r="T37" s="219">
        <v>127373.37429100533</v>
      </c>
      <c r="U37" s="219">
        <v>131194.57551973549</v>
      </c>
      <c r="V37" s="219">
        <v>135130.41278532756</v>
      </c>
    </row>
    <row r="38" spans="1:22" x14ac:dyDescent="0.2">
      <c r="A38">
        <f>Summary!A44</f>
        <v>28</v>
      </c>
      <c r="B38" t="s">
        <v>81</v>
      </c>
      <c r="C38" s="217">
        <v>0</v>
      </c>
      <c r="D38" s="219">
        <v>14879.11</v>
      </c>
      <c r="E38" s="219">
        <v>15323.09</v>
      </c>
      <c r="F38" s="219">
        <v>384480.99</v>
      </c>
      <c r="G38" s="219">
        <v>16310.09</v>
      </c>
      <c r="H38" s="219">
        <v>89322.498000000007</v>
      </c>
      <c r="I38" s="219">
        <v>92002.172940000004</v>
      </c>
      <c r="J38" s="219">
        <v>94762.238128200013</v>
      </c>
      <c r="K38" s="219">
        <v>97605.105272046014</v>
      </c>
      <c r="L38" s="219">
        <v>100533.2584302074</v>
      </c>
      <c r="M38" s="219">
        <v>103549.25618311363</v>
      </c>
      <c r="N38" s="219">
        <v>106655.73386860704</v>
      </c>
      <c r="O38" s="219">
        <v>109855.40588466526</v>
      </c>
      <c r="P38" s="219">
        <v>113151.06806120522</v>
      </c>
      <c r="Q38" s="219">
        <v>116545.60010304139</v>
      </c>
      <c r="R38" s="219">
        <v>120041.96810613264</v>
      </c>
      <c r="S38" s="219">
        <v>123643.22714931662</v>
      </c>
      <c r="T38" s="219">
        <v>127352.52396379612</v>
      </c>
      <c r="U38" s="219">
        <v>131173.09968271002</v>
      </c>
      <c r="V38" s="219">
        <v>135108.29267319132</v>
      </c>
    </row>
    <row r="39" spans="1:22" x14ac:dyDescent="0.2">
      <c r="A39">
        <f>Summary!A45</f>
        <v>29</v>
      </c>
      <c r="B39" t="s">
        <v>82</v>
      </c>
      <c r="C39" s="217">
        <v>0</v>
      </c>
      <c r="D39" s="219">
        <v>14879.11</v>
      </c>
      <c r="E39" s="219">
        <v>378160.86</v>
      </c>
      <c r="F39" s="219">
        <v>15780.83</v>
      </c>
      <c r="G39" s="219">
        <v>16310.09</v>
      </c>
      <c r="H39" s="219">
        <v>88150.02</v>
      </c>
      <c r="I39" s="219">
        <v>90794.520600000003</v>
      </c>
      <c r="J39" s="219">
        <v>93518.356218000001</v>
      </c>
      <c r="K39" s="219">
        <v>96323.90690454001</v>
      </c>
      <c r="L39" s="219">
        <v>99213.62411167621</v>
      </c>
      <c r="M39" s="219">
        <v>102190.0328350265</v>
      </c>
      <c r="N39" s="219">
        <v>105255.73382007731</v>
      </c>
      <c r="O39" s="219">
        <v>108413.40583467964</v>
      </c>
      <c r="P39" s="219">
        <v>111665.80800972003</v>
      </c>
      <c r="Q39" s="219">
        <v>115015.78225001163</v>
      </c>
      <c r="R39" s="219">
        <v>118466.25571751199</v>
      </c>
      <c r="S39" s="219">
        <v>122020.24338903735</v>
      </c>
      <c r="T39" s="219">
        <v>125680.85069070848</v>
      </c>
      <c r="U39" s="219">
        <v>129451.27621142974</v>
      </c>
      <c r="V39" s="219">
        <v>133334.81449777263</v>
      </c>
    </row>
    <row r="40" spans="1:22" x14ac:dyDescent="0.2">
      <c r="A40">
        <f>Summary!A46</f>
        <v>30</v>
      </c>
      <c r="B40" t="s">
        <v>83</v>
      </c>
      <c r="C40" s="217">
        <v>0</v>
      </c>
      <c r="D40" s="219">
        <v>14879.11</v>
      </c>
      <c r="E40" s="219">
        <v>378160.86</v>
      </c>
      <c r="F40" s="219">
        <v>15780.83</v>
      </c>
      <c r="G40" s="219">
        <v>16310.09</v>
      </c>
      <c r="H40" s="219">
        <v>88150.02</v>
      </c>
      <c r="I40" s="219">
        <v>90794.520600000003</v>
      </c>
      <c r="J40" s="219">
        <v>93518.356218000001</v>
      </c>
      <c r="K40" s="219">
        <v>96323.90690454001</v>
      </c>
      <c r="L40" s="219">
        <v>99213.62411167621</v>
      </c>
      <c r="M40" s="219">
        <v>102190.0328350265</v>
      </c>
      <c r="N40" s="219">
        <v>105255.73382007731</v>
      </c>
      <c r="O40" s="219">
        <v>108413.40583467964</v>
      </c>
      <c r="P40" s="219">
        <v>111665.80800972003</v>
      </c>
      <c r="Q40" s="219">
        <v>115015.78225001163</v>
      </c>
      <c r="R40" s="219">
        <v>118466.25571751199</v>
      </c>
      <c r="S40" s="219">
        <v>122020.24338903735</v>
      </c>
      <c r="T40" s="219">
        <v>125680.85069070848</v>
      </c>
      <c r="U40" s="219">
        <v>129451.27621142974</v>
      </c>
      <c r="V40" s="219">
        <v>133334.81449777263</v>
      </c>
    </row>
    <row r="41" spans="1:22" x14ac:dyDescent="0.2">
      <c r="A41">
        <f>Summary!A47</f>
        <v>31</v>
      </c>
      <c r="B41" t="s">
        <v>84</v>
      </c>
      <c r="C41" s="217">
        <v>0</v>
      </c>
      <c r="D41" s="219">
        <v>368862.32</v>
      </c>
      <c r="E41" s="219">
        <v>15323.09</v>
      </c>
      <c r="F41" s="219">
        <v>15780.83</v>
      </c>
      <c r="G41" s="219">
        <v>16310.09</v>
      </c>
      <c r="H41" s="219">
        <v>86379.108000000022</v>
      </c>
      <c r="I41" s="219">
        <v>88970.481240000023</v>
      </c>
      <c r="J41" s="219">
        <v>91639.595677200021</v>
      </c>
      <c r="K41" s="219">
        <v>94388.783547516025</v>
      </c>
      <c r="L41" s="219">
        <v>97220.447053941505</v>
      </c>
      <c r="M41" s="219">
        <v>100137.06046555976</v>
      </c>
      <c r="N41" s="219">
        <v>103141.17227952655</v>
      </c>
      <c r="O41" s="219">
        <v>106235.40744791235</v>
      </c>
      <c r="P41" s="219">
        <v>109422.46967134973</v>
      </c>
      <c r="Q41" s="219">
        <v>112705.14376149022</v>
      </c>
      <c r="R41" s="219">
        <v>116086.29807433493</v>
      </c>
      <c r="S41" s="219">
        <v>119568.88701656499</v>
      </c>
      <c r="T41" s="219">
        <v>123155.95362706194</v>
      </c>
      <c r="U41" s="219">
        <v>126850.63223587381</v>
      </c>
      <c r="V41" s="219">
        <v>130656.15120295003</v>
      </c>
    </row>
    <row r="42" spans="1:22" x14ac:dyDescent="0.2">
      <c r="A42">
        <f>Summary!A48</f>
        <v>32</v>
      </c>
      <c r="B42" t="s">
        <v>85</v>
      </c>
      <c r="C42" s="217">
        <v>0</v>
      </c>
      <c r="D42" s="219">
        <v>368261.63</v>
      </c>
      <c r="E42" s="219">
        <v>14707.35</v>
      </c>
      <c r="F42" s="219">
        <v>15149.69</v>
      </c>
      <c r="G42" s="219">
        <v>15661.04</v>
      </c>
      <c r="H42" s="219">
        <v>85748.867999999988</v>
      </c>
      <c r="I42" s="219">
        <v>88321.334039999987</v>
      </c>
      <c r="J42" s="219">
        <v>90970.974061199988</v>
      </c>
      <c r="K42" s="219">
        <v>93700.103283035991</v>
      </c>
      <c r="L42" s="219">
        <v>96511.106381527075</v>
      </c>
      <c r="M42" s="219">
        <v>99406.439572972886</v>
      </c>
      <c r="N42" s="219">
        <v>102388.63276016207</v>
      </c>
      <c r="O42" s="219">
        <v>105460.29174296693</v>
      </c>
      <c r="P42" s="219">
        <v>108624.10049525595</v>
      </c>
      <c r="Q42" s="219">
        <v>111882.82351011362</v>
      </c>
      <c r="R42" s="219">
        <v>115239.30821541704</v>
      </c>
      <c r="S42" s="219">
        <v>118696.48746187956</v>
      </c>
      <c r="T42" s="219">
        <v>122257.38208573595</v>
      </c>
      <c r="U42" s="219">
        <v>125925.10354830803</v>
      </c>
      <c r="V42" s="219">
        <v>129702.85665475728</v>
      </c>
    </row>
    <row r="43" spans="1:22" ht="13.5" thickBot="1" x14ac:dyDescent="0.25">
      <c r="A43">
        <f>Summary!A49</f>
        <v>33</v>
      </c>
      <c r="B43" s="222" t="s">
        <v>181</v>
      </c>
      <c r="C43" s="220">
        <v>0</v>
      </c>
      <c r="D43" s="221">
        <v>0</v>
      </c>
      <c r="E43" s="221">
        <v>0</v>
      </c>
      <c r="F43" s="221">
        <v>0</v>
      </c>
      <c r="G43" s="221">
        <v>0</v>
      </c>
      <c r="H43" s="221">
        <v>0</v>
      </c>
      <c r="I43" s="221">
        <v>0</v>
      </c>
      <c r="J43" s="221">
        <v>0</v>
      </c>
      <c r="K43" s="221">
        <v>0</v>
      </c>
      <c r="L43" s="221">
        <v>0</v>
      </c>
      <c r="M43" s="221">
        <v>0</v>
      </c>
      <c r="N43" s="221">
        <v>0</v>
      </c>
      <c r="O43" s="221">
        <v>0</v>
      </c>
      <c r="P43" s="221">
        <v>0</v>
      </c>
      <c r="Q43" s="221">
        <v>0</v>
      </c>
      <c r="R43" s="221">
        <v>0</v>
      </c>
      <c r="S43" s="221">
        <v>0</v>
      </c>
      <c r="T43" s="221">
        <v>0</v>
      </c>
      <c r="U43" s="221">
        <v>0</v>
      </c>
      <c r="V43" s="221">
        <v>0</v>
      </c>
    </row>
    <row r="44" spans="1:22" s="109" customFormat="1" ht="12" thickTop="1" x14ac:dyDescent="0.2">
      <c r="B44" s="109" t="s">
        <v>135</v>
      </c>
      <c r="C44" s="223">
        <f>SUM(C11:C43)</f>
        <v>0</v>
      </c>
      <c r="D44" s="223">
        <f t="shared" ref="D44:V44" si="0">SUM(D11:D43)</f>
        <v>57998154.670000002</v>
      </c>
      <c r="E44" s="223">
        <f t="shared" si="0"/>
        <v>53017298.62000002</v>
      </c>
      <c r="F44" s="223">
        <f t="shared" si="0"/>
        <v>39685921.899999991</v>
      </c>
      <c r="G44" s="223">
        <f t="shared" si="0"/>
        <v>29370635.689999983</v>
      </c>
      <c r="H44" s="223">
        <f t="shared" si="0"/>
        <v>45513050.084000029</v>
      </c>
      <c r="I44" s="223">
        <f t="shared" si="0"/>
        <v>46878441.586520009</v>
      </c>
      <c r="J44" s="223">
        <f t="shared" si="0"/>
        <v>48284794.834115602</v>
      </c>
      <c r="K44" s="223">
        <f t="shared" si="0"/>
        <v>49733338.679139085</v>
      </c>
      <c r="L44" s="223">
        <f t="shared" si="0"/>
        <v>51225338.839513227</v>
      </c>
      <c r="M44" s="223">
        <f t="shared" si="0"/>
        <v>52762099.004698649</v>
      </c>
      <c r="N44" s="223">
        <f t="shared" si="0"/>
        <v>54344961.97483959</v>
      </c>
      <c r="O44" s="223">
        <f t="shared" si="0"/>
        <v>55975310.834084794</v>
      </c>
      <c r="P44" s="223">
        <f t="shared" si="0"/>
        <v>57654570.159107335</v>
      </c>
      <c r="Q44" s="223">
        <f t="shared" si="0"/>
        <v>59384207.263880566</v>
      </c>
      <c r="R44" s="223">
        <f t="shared" si="0"/>
        <v>61165733.481796958</v>
      </c>
      <c r="S44" s="223">
        <f t="shared" si="0"/>
        <v>63000705.4862509</v>
      </c>
      <c r="T44" s="223">
        <f t="shared" si="0"/>
        <v>64890726.650838412</v>
      </c>
      <c r="U44" s="223">
        <f t="shared" si="0"/>
        <v>66837448.450363576</v>
      </c>
      <c r="V44" s="223">
        <f t="shared" si="0"/>
        <v>68842571.903874472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79"/>
  <sheetViews>
    <sheetView workbookViewId="0"/>
  </sheetViews>
  <sheetFormatPr defaultRowHeight="12.75" x14ac:dyDescent="0.2"/>
  <cols>
    <col min="2" max="2" width="15" bestFit="1" customWidth="1"/>
    <col min="3" max="4" width="8.7109375" bestFit="1" customWidth="1"/>
    <col min="5" max="5" width="9.7109375" customWidth="1"/>
    <col min="22" max="22" width="8.7109375" bestFit="1" customWidth="1"/>
    <col min="23" max="23" width="13.5703125" bestFit="1" customWidth="1"/>
    <col min="24" max="24" width="5.140625" bestFit="1" customWidth="1"/>
  </cols>
  <sheetData>
    <row r="1" spans="1:22" x14ac:dyDescent="0.2">
      <c r="A1" s="138" t="s">
        <v>161</v>
      </c>
    </row>
    <row r="2" spans="1:22" x14ac:dyDescent="0.2">
      <c r="A2" s="13"/>
    </row>
    <row r="3" spans="1:22" x14ac:dyDescent="0.2">
      <c r="B3" s="45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22" x14ac:dyDescent="0.2">
      <c r="B4" s="45"/>
      <c r="C4" s="24"/>
      <c r="D4" s="24"/>
      <c r="E4" s="465"/>
      <c r="F4" s="24"/>
      <c r="G4" s="24"/>
      <c r="H4" s="24"/>
      <c r="I4" s="45"/>
      <c r="J4" s="24"/>
      <c r="K4" s="24"/>
      <c r="L4" s="24"/>
    </row>
    <row r="5" spans="1:22" x14ac:dyDescent="0.2">
      <c r="B5" s="466"/>
      <c r="C5" s="24"/>
      <c r="D5" s="24"/>
      <c r="E5" s="465"/>
      <c r="F5" s="24"/>
      <c r="G5" s="24"/>
      <c r="H5" s="24"/>
      <c r="I5" s="45"/>
      <c r="J5" s="24"/>
      <c r="K5" s="24"/>
      <c r="L5" s="24"/>
    </row>
    <row r="7" spans="1:22" x14ac:dyDescent="0.2">
      <c r="A7" s="13" t="s">
        <v>54</v>
      </c>
    </row>
    <row r="9" spans="1:22" x14ac:dyDescent="0.2">
      <c r="C9" s="12">
        <v>2000</v>
      </c>
      <c r="D9" s="12">
        <v>2001</v>
      </c>
      <c r="E9" s="12">
        <v>2002</v>
      </c>
      <c r="F9" s="12">
        <v>2003</v>
      </c>
      <c r="G9" s="12">
        <v>2004</v>
      </c>
      <c r="H9" s="12">
        <v>2005</v>
      </c>
      <c r="I9" s="12">
        <v>2006</v>
      </c>
      <c r="J9" s="12">
        <v>2007</v>
      </c>
      <c r="K9" s="12">
        <v>2008</v>
      </c>
      <c r="L9" s="12">
        <v>2009</v>
      </c>
      <c r="M9" s="12">
        <v>2010</v>
      </c>
      <c r="N9" s="12">
        <v>2011</v>
      </c>
      <c r="O9" s="12">
        <v>2012</v>
      </c>
      <c r="P9" s="12">
        <v>2013</v>
      </c>
      <c r="Q9" s="12">
        <v>2014</v>
      </c>
      <c r="R9" s="12">
        <v>2015</v>
      </c>
      <c r="S9" s="12">
        <v>2016</v>
      </c>
      <c r="T9" s="12">
        <v>2017</v>
      </c>
      <c r="U9" s="12">
        <v>2018</v>
      </c>
      <c r="V9" s="12">
        <v>2019</v>
      </c>
    </row>
    <row r="11" spans="1:22" x14ac:dyDescent="0.2">
      <c r="A11">
        <f>Summary!A17</f>
        <v>1</v>
      </c>
      <c r="B11" t="s">
        <v>55</v>
      </c>
      <c r="C11" s="6">
        <v>94409.16</v>
      </c>
      <c r="D11" s="6">
        <v>1471963.2</v>
      </c>
      <c r="E11" s="6">
        <v>21211947.960000001</v>
      </c>
      <c r="F11" s="6">
        <v>2835914.52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 x14ac:dyDescent="0.2">
      <c r="A12">
        <f>Summary!A18</f>
        <v>2</v>
      </c>
      <c r="B12" t="s">
        <v>56</v>
      </c>
      <c r="C12" s="6">
        <v>7425150.8399999999</v>
      </c>
      <c r="D12" s="6">
        <v>18826276.359999999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 x14ac:dyDescent="0.2">
      <c r="A13">
        <f>Summary!A19</f>
        <v>3</v>
      </c>
      <c r="B13" s="9" t="s">
        <v>57</v>
      </c>
      <c r="C13" s="6">
        <v>640575</v>
      </c>
      <c r="D13" s="6">
        <v>6225024</v>
      </c>
      <c r="E13" s="6">
        <v>4058147.2</v>
      </c>
      <c r="F13" s="6">
        <v>2200091.69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 x14ac:dyDescent="0.2">
      <c r="A14">
        <f>Summary!A20</f>
        <v>4</v>
      </c>
      <c r="B14" s="9" t="s">
        <v>58</v>
      </c>
      <c r="C14" s="6">
        <v>640575</v>
      </c>
      <c r="D14" s="6">
        <v>6225024</v>
      </c>
      <c r="E14" s="6">
        <v>4058147.2</v>
      </c>
      <c r="F14" s="6">
        <v>2200091.69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 x14ac:dyDescent="0.2">
      <c r="A15">
        <f>Summary!A21</f>
        <v>5</v>
      </c>
      <c r="B15" s="9" t="s">
        <v>59</v>
      </c>
      <c r="C15" s="6">
        <v>640575</v>
      </c>
      <c r="D15" s="6">
        <v>6225024</v>
      </c>
      <c r="E15" s="6">
        <v>4058147.2</v>
      </c>
      <c r="F15" s="6">
        <v>2200091.69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 x14ac:dyDescent="0.2">
      <c r="A16">
        <f>Summary!A22</f>
        <v>6</v>
      </c>
      <c r="B16" s="9" t="s">
        <v>60</v>
      </c>
      <c r="C16" s="6">
        <v>640575</v>
      </c>
      <c r="D16" s="6">
        <v>6225024</v>
      </c>
      <c r="E16" s="6">
        <v>4058147.2</v>
      </c>
      <c r="F16" s="6">
        <v>2200091.69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spans="1:22" x14ac:dyDescent="0.2">
      <c r="A17">
        <f>Summary!A23</f>
        <v>7</v>
      </c>
      <c r="B17" t="s">
        <v>61</v>
      </c>
      <c r="C17" s="6">
        <v>1317400</v>
      </c>
      <c r="D17" s="6">
        <v>7279104</v>
      </c>
      <c r="E17" s="6">
        <v>1766161.92</v>
      </c>
      <c r="F17" s="6">
        <v>1476105.18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 x14ac:dyDescent="0.2">
      <c r="A18">
        <f>Summary!A24</f>
        <v>8</v>
      </c>
      <c r="B18" t="s">
        <v>62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 x14ac:dyDescent="0.2">
      <c r="A19">
        <f>Summary!A25</f>
        <v>9</v>
      </c>
      <c r="B19" t="s">
        <v>63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 x14ac:dyDescent="0.2">
      <c r="A20">
        <f>Summary!A26</f>
        <v>10</v>
      </c>
      <c r="B20" t="s">
        <v>64</v>
      </c>
      <c r="C20" s="6">
        <v>2203523.13</v>
      </c>
      <c r="D20" s="6">
        <v>27587393.209999997</v>
      </c>
      <c r="E20" s="6">
        <v>3755790.25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 x14ac:dyDescent="0.2">
      <c r="A21">
        <f>Summary!A27</f>
        <v>11</v>
      </c>
      <c r="B21" t="s">
        <v>65</v>
      </c>
      <c r="C21" s="6">
        <v>14227709.41</v>
      </c>
      <c r="D21" s="6">
        <v>14239251.33</v>
      </c>
      <c r="E21" s="6">
        <v>71334.62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 x14ac:dyDescent="0.2">
      <c r="A22">
        <f>Summary!A28</f>
        <v>12</v>
      </c>
      <c r="B22" t="s">
        <v>66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 x14ac:dyDescent="0.2">
      <c r="A23">
        <f>Summary!A29</f>
        <v>13</v>
      </c>
      <c r="B23" t="s">
        <v>67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  <row r="24" spans="1:22" x14ac:dyDescent="0.2">
      <c r="A24">
        <f>Summary!A30</f>
        <v>14</v>
      </c>
      <c r="B24" t="s">
        <v>70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</row>
    <row r="25" spans="1:22" x14ac:dyDescent="0.2">
      <c r="A25">
        <f>Summary!A31</f>
        <v>15</v>
      </c>
      <c r="B25" t="s">
        <v>68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</row>
    <row r="26" spans="1:22" x14ac:dyDescent="0.2">
      <c r="A26">
        <f>Summary!A32</f>
        <v>16</v>
      </c>
      <c r="B26" t="s">
        <v>69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</row>
    <row r="27" spans="1:22" x14ac:dyDescent="0.2">
      <c r="A27">
        <f>Summary!A33</f>
        <v>17</v>
      </c>
      <c r="B27" t="s">
        <v>71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</row>
    <row r="28" spans="1:22" x14ac:dyDescent="0.2">
      <c r="A28">
        <f>Summary!A34</f>
        <v>18</v>
      </c>
      <c r="B28" t="s">
        <v>72</v>
      </c>
      <c r="C28" s="6">
        <v>1882798.82</v>
      </c>
      <c r="D28" s="6">
        <v>2705818.05</v>
      </c>
      <c r="E28" s="6">
        <v>33595797.910000004</v>
      </c>
      <c r="F28" s="6">
        <v>5038796.01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</row>
    <row r="29" spans="1:22" x14ac:dyDescent="0.2">
      <c r="A29">
        <f>Summary!A35</f>
        <v>19</v>
      </c>
      <c r="B29" t="s">
        <v>73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</row>
    <row r="30" spans="1:22" x14ac:dyDescent="0.2">
      <c r="A30">
        <f>Summary!A36</f>
        <v>20</v>
      </c>
      <c r="B30" t="s">
        <v>74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1:22" x14ac:dyDescent="0.2">
      <c r="A31">
        <f>Summary!A37</f>
        <v>21</v>
      </c>
      <c r="B31" t="s">
        <v>75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</row>
    <row r="32" spans="1:22" x14ac:dyDescent="0.2">
      <c r="A32">
        <f>Summary!A38</f>
        <v>22</v>
      </c>
      <c r="B32" t="s">
        <v>86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spans="1:22" x14ac:dyDescent="0.2">
      <c r="A33">
        <f>Summary!A39</f>
        <v>23</v>
      </c>
      <c r="B33" t="s">
        <v>76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spans="1:22" x14ac:dyDescent="0.2">
      <c r="A34">
        <f>Summary!A40</f>
        <v>24</v>
      </c>
      <c r="B34" t="s">
        <v>77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</row>
    <row r="35" spans="1:22" x14ac:dyDescent="0.2">
      <c r="A35">
        <f>Summary!A41</f>
        <v>25</v>
      </c>
      <c r="B35" t="s">
        <v>78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</row>
    <row r="36" spans="1:22" x14ac:dyDescent="0.2">
      <c r="A36">
        <f>Summary!A42</f>
        <v>26</v>
      </c>
      <c r="B36" t="s">
        <v>79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spans="1:22" x14ac:dyDescent="0.2">
      <c r="A37">
        <f>Summary!A43</f>
        <v>27</v>
      </c>
      <c r="B37" t="s">
        <v>80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spans="1:22" x14ac:dyDescent="0.2">
      <c r="A38">
        <f>Summary!A44</f>
        <v>28</v>
      </c>
      <c r="B38" t="s">
        <v>81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</row>
    <row r="39" spans="1:22" x14ac:dyDescent="0.2">
      <c r="A39">
        <f>Summary!A45</f>
        <v>29</v>
      </c>
      <c r="B39" t="s">
        <v>82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</row>
    <row r="40" spans="1:22" x14ac:dyDescent="0.2">
      <c r="A40">
        <f>Summary!A46</f>
        <v>30</v>
      </c>
      <c r="B40" t="s">
        <v>83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</row>
    <row r="41" spans="1:22" x14ac:dyDescent="0.2">
      <c r="A41">
        <f>Summary!A47</f>
        <v>31</v>
      </c>
      <c r="B41" t="s">
        <v>84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</row>
    <row r="42" spans="1:22" x14ac:dyDescent="0.2">
      <c r="A42">
        <f>Summary!A48</f>
        <v>32</v>
      </c>
      <c r="B42" t="s">
        <v>85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</row>
    <row r="43" spans="1:22" x14ac:dyDescent="0.2">
      <c r="A43">
        <f>Summary!A49</f>
        <v>33</v>
      </c>
      <c r="B43" t="s">
        <v>181</v>
      </c>
    </row>
    <row r="44" spans="1:22" x14ac:dyDescent="0.2">
      <c r="D44" s="6">
        <f t="shared" ref="D44:V44" si="0">SUM(D11:D42)</f>
        <v>97009902.149999991</v>
      </c>
      <c r="E44" s="6">
        <f t="shared" si="0"/>
        <v>76633621.460000008</v>
      </c>
      <c r="F44" s="6">
        <f t="shared" si="0"/>
        <v>18151182.469999999</v>
      </c>
      <c r="G44" s="6">
        <f t="shared" si="0"/>
        <v>0</v>
      </c>
      <c r="H44" s="6">
        <f t="shared" si="0"/>
        <v>0</v>
      </c>
      <c r="I44" s="6">
        <f t="shared" si="0"/>
        <v>0</v>
      </c>
      <c r="J44" s="6">
        <f t="shared" si="0"/>
        <v>0</v>
      </c>
      <c r="K44" s="6">
        <f t="shared" si="0"/>
        <v>0</v>
      </c>
      <c r="L44" s="6">
        <f t="shared" si="0"/>
        <v>0</v>
      </c>
      <c r="M44" s="6">
        <f t="shared" si="0"/>
        <v>0</v>
      </c>
      <c r="N44" s="6">
        <f t="shared" si="0"/>
        <v>0</v>
      </c>
      <c r="O44" s="6">
        <f t="shared" si="0"/>
        <v>0</v>
      </c>
      <c r="P44" s="6">
        <f t="shared" si="0"/>
        <v>0</v>
      </c>
      <c r="Q44" s="6">
        <f t="shared" si="0"/>
        <v>0</v>
      </c>
      <c r="R44" s="6">
        <f t="shared" si="0"/>
        <v>0</v>
      </c>
      <c r="S44" s="6">
        <f t="shared" si="0"/>
        <v>0</v>
      </c>
      <c r="T44" s="6">
        <f t="shared" si="0"/>
        <v>0</v>
      </c>
      <c r="U44" s="6">
        <f t="shared" si="0"/>
        <v>0</v>
      </c>
      <c r="V44" s="6">
        <f t="shared" si="0"/>
        <v>0</v>
      </c>
    </row>
    <row r="45" spans="1:22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">
      <c r="A46" s="13" t="s">
        <v>156</v>
      </c>
    </row>
    <row r="48" spans="1:22" x14ac:dyDescent="0.2"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2">
        <v>2016</v>
      </c>
      <c r="T48" s="12">
        <v>2017</v>
      </c>
      <c r="U48" s="12">
        <v>2018</v>
      </c>
      <c r="V48" s="12">
        <v>2019</v>
      </c>
    </row>
    <row r="50" spans="1:22" x14ac:dyDescent="0.2">
      <c r="A50">
        <f>Summary!A17</f>
        <v>1</v>
      </c>
      <c r="B50" t="s">
        <v>55</v>
      </c>
      <c r="C50" s="14">
        <v>0</v>
      </c>
      <c r="D50" s="14">
        <f>C50*(1+Assumptions!$L$13)</f>
        <v>0</v>
      </c>
      <c r="E50" s="14">
        <f>D50*(1+Assumptions!$L$13)</f>
        <v>0</v>
      </c>
      <c r="F50" s="14">
        <f>E50*(1+Assumptions!$L$13)</f>
        <v>0</v>
      </c>
      <c r="G50" s="14">
        <f>F50*(1+Assumptions!$L$13)</f>
        <v>0</v>
      </c>
      <c r="H50" s="14">
        <f>G50*(1+Assumptions!$L$13)</f>
        <v>0</v>
      </c>
      <c r="I50" s="14">
        <f>H50*(1+Assumptions!$L$13)</f>
        <v>0</v>
      </c>
      <c r="J50" s="14">
        <f>I50*(1+Assumptions!$L$13)</f>
        <v>0</v>
      </c>
      <c r="K50" s="14">
        <f>J50*(1+Assumptions!$L$13)</f>
        <v>0</v>
      </c>
      <c r="L50" s="14">
        <f>K50*(1+Assumptions!$L$13)</f>
        <v>0</v>
      </c>
      <c r="M50" s="14">
        <f>L50*(1+Assumptions!$L$13)</f>
        <v>0</v>
      </c>
      <c r="N50" s="14">
        <f>M50*(1+Assumptions!$L$13)</f>
        <v>0</v>
      </c>
      <c r="O50" s="14">
        <f>N50*(1+Assumptions!$L$13)</f>
        <v>0</v>
      </c>
      <c r="P50" s="14">
        <f>O50*(1+Assumptions!$L$13)</f>
        <v>0</v>
      </c>
      <c r="Q50" s="14">
        <f>P50*(1+Assumptions!$L$13)</f>
        <v>0</v>
      </c>
      <c r="R50" s="14">
        <f>Q50*(1+Assumptions!$L$13)</f>
        <v>0</v>
      </c>
      <c r="S50" s="14">
        <f>R50*(1+Assumptions!$L$13)</f>
        <v>0</v>
      </c>
      <c r="T50" s="14">
        <f>S50*(1+Assumptions!$L$13)</f>
        <v>0</v>
      </c>
      <c r="U50" s="14">
        <f>T50*(1+Assumptions!$L$13)</f>
        <v>0</v>
      </c>
      <c r="V50" s="14">
        <f>U50*(1+Assumptions!$L$13)</f>
        <v>0</v>
      </c>
    </row>
    <row r="51" spans="1:22" x14ac:dyDescent="0.2">
      <c r="A51">
        <f>Summary!A18</f>
        <v>2</v>
      </c>
      <c r="B51" t="s">
        <v>56</v>
      </c>
      <c r="C51" s="14">
        <v>0</v>
      </c>
      <c r="D51" s="14">
        <v>0</v>
      </c>
      <c r="E51" s="14">
        <v>0</v>
      </c>
      <c r="F51" s="14">
        <v>0.52339999999999998</v>
      </c>
      <c r="G51" s="14">
        <v>0.53648499999999988</v>
      </c>
      <c r="H51" s="14">
        <v>0.54989712499999988</v>
      </c>
      <c r="I51" s="14">
        <v>0.56364455312499984</v>
      </c>
      <c r="J51" s="14">
        <v>0.57773566695312473</v>
      </c>
      <c r="K51" s="14">
        <v>0.59217905862695275</v>
      </c>
      <c r="L51" s="14">
        <v>0.60698353509262648</v>
      </c>
      <c r="M51" s="14">
        <v>0.62215812346994204</v>
      </c>
      <c r="N51" s="14">
        <v>0.63771207655669049</v>
      </c>
      <c r="O51" s="14">
        <v>0.65365487847060766</v>
      </c>
      <c r="P51" s="14">
        <v>0.66999625043237276</v>
      </c>
      <c r="Q51" s="14">
        <v>0.68674615669318206</v>
      </c>
      <c r="R51" s="14">
        <v>0.70391481061051153</v>
      </c>
      <c r="S51" s="14">
        <v>0.72151268087577425</v>
      </c>
      <c r="T51" s="14">
        <v>0.73955049789766858</v>
      </c>
      <c r="U51" s="14">
        <v>0.75803926034511027</v>
      </c>
      <c r="V51" s="14">
        <v>0.776990241853738</v>
      </c>
    </row>
    <row r="52" spans="1:22" x14ac:dyDescent="0.2">
      <c r="A52">
        <f>Summary!A19</f>
        <v>3</v>
      </c>
      <c r="B52" s="9" t="s">
        <v>57</v>
      </c>
      <c r="C52" s="14">
        <v>0</v>
      </c>
      <c r="D52" s="14">
        <v>0</v>
      </c>
      <c r="E52" s="14">
        <v>0</v>
      </c>
      <c r="F52" s="14">
        <v>0.57399999999999995</v>
      </c>
      <c r="G52" s="14">
        <v>0.58834999999999993</v>
      </c>
      <c r="H52" s="14">
        <v>0.60305874999999987</v>
      </c>
      <c r="I52" s="14">
        <v>0.61813521874999977</v>
      </c>
      <c r="J52" s="14">
        <v>0.63358859921874966</v>
      </c>
      <c r="K52" s="14">
        <v>0.64942831419921832</v>
      </c>
      <c r="L52" s="14">
        <v>0.66566402205419872</v>
      </c>
      <c r="M52" s="14">
        <v>0.68230562260555361</v>
      </c>
      <c r="N52" s="14">
        <v>0.69936326317069242</v>
      </c>
      <c r="O52" s="14">
        <v>0.7168473447499597</v>
      </c>
      <c r="P52" s="14">
        <v>0.73476852836870865</v>
      </c>
      <c r="Q52" s="14">
        <v>0.75313774157792635</v>
      </c>
      <c r="R52" s="14">
        <v>0.77196618511737447</v>
      </c>
      <c r="S52" s="14">
        <v>0.79126533974530877</v>
      </c>
      <c r="T52" s="14">
        <v>0.81104697323894137</v>
      </c>
      <c r="U52" s="14">
        <v>0.83132314756991488</v>
      </c>
      <c r="V52" s="14">
        <v>0.85210622625916266</v>
      </c>
    </row>
    <row r="53" spans="1:22" x14ac:dyDescent="0.2">
      <c r="A53">
        <f>Summary!A20</f>
        <v>4</v>
      </c>
      <c r="B53" s="9" t="s">
        <v>58</v>
      </c>
      <c r="C53" s="14">
        <v>0</v>
      </c>
      <c r="D53" s="14">
        <v>0</v>
      </c>
      <c r="E53" s="14">
        <v>0</v>
      </c>
      <c r="F53" s="14">
        <v>0.57399999999999995</v>
      </c>
      <c r="G53" s="14">
        <v>0.58834999999999993</v>
      </c>
      <c r="H53" s="14">
        <v>0.60305874999999987</v>
      </c>
      <c r="I53" s="14">
        <v>0.61813521874999977</v>
      </c>
      <c r="J53" s="14">
        <v>0.63358859921874966</v>
      </c>
      <c r="K53" s="14">
        <v>0.64942831419921832</v>
      </c>
      <c r="L53" s="14">
        <v>0.66566402205419872</v>
      </c>
      <c r="M53" s="14">
        <v>0.68230562260555361</v>
      </c>
      <c r="N53" s="14">
        <v>0.69936326317069242</v>
      </c>
      <c r="O53" s="14">
        <v>0.7168473447499597</v>
      </c>
      <c r="P53" s="14">
        <v>0.73476852836870865</v>
      </c>
      <c r="Q53" s="14">
        <v>0.75313774157792635</v>
      </c>
      <c r="R53" s="14">
        <v>0.77196618511737447</v>
      </c>
      <c r="S53" s="14">
        <v>0.79126533974530877</v>
      </c>
      <c r="T53" s="14">
        <v>0.81104697323894137</v>
      </c>
      <c r="U53" s="14">
        <v>0.83132314756991488</v>
      </c>
      <c r="V53" s="14">
        <v>0.85210622625916266</v>
      </c>
    </row>
    <row r="54" spans="1:22" x14ac:dyDescent="0.2">
      <c r="A54">
        <f>Summary!A21</f>
        <v>5</v>
      </c>
      <c r="B54" s="9" t="s">
        <v>59</v>
      </c>
      <c r="C54" s="14">
        <v>0</v>
      </c>
      <c r="D54" s="14">
        <v>0</v>
      </c>
      <c r="E54" s="14">
        <v>0</v>
      </c>
      <c r="F54" s="14">
        <v>0.57399999999999995</v>
      </c>
      <c r="G54" s="14">
        <v>0.58834999999999993</v>
      </c>
      <c r="H54" s="14">
        <v>0.60305874999999987</v>
      </c>
      <c r="I54" s="14">
        <v>0.61813521874999977</v>
      </c>
      <c r="J54" s="14">
        <v>0.63358859921874966</v>
      </c>
      <c r="K54" s="14">
        <v>0.64942831419921832</v>
      </c>
      <c r="L54" s="14">
        <v>0.66566402205419872</v>
      </c>
      <c r="M54" s="14">
        <v>0.68230562260555361</v>
      </c>
      <c r="N54" s="14">
        <v>0.69936326317069242</v>
      </c>
      <c r="O54" s="14">
        <v>0.7168473447499597</v>
      </c>
      <c r="P54" s="14">
        <v>0.73476852836870865</v>
      </c>
      <c r="Q54" s="14">
        <v>0.75313774157792635</v>
      </c>
      <c r="R54" s="14">
        <v>0.77196618511737447</v>
      </c>
      <c r="S54" s="14">
        <v>0.79126533974530877</v>
      </c>
      <c r="T54" s="14">
        <v>0.81104697323894137</v>
      </c>
      <c r="U54" s="14">
        <v>0.83132314756991488</v>
      </c>
      <c r="V54" s="14">
        <v>0.85210622625916266</v>
      </c>
    </row>
    <row r="55" spans="1:22" x14ac:dyDescent="0.2">
      <c r="A55">
        <f>Summary!A22</f>
        <v>6</v>
      </c>
      <c r="B55" s="9" t="s">
        <v>60</v>
      </c>
      <c r="C55" s="14">
        <v>0</v>
      </c>
      <c r="D55" s="14">
        <v>0</v>
      </c>
      <c r="E55" s="14">
        <v>0</v>
      </c>
      <c r="F55" s="14">
        <v>0.57399999999999995</v>
      </c>
      <c r="G55" s="14">
        <v>0.58834999999999993</v>
      </c>
      <c r="H55" s="14">
        <v>0.60305874999999987</v>
      </c>
      <c r="I55" s="14">
        <v>0.61813521874999977</v>
      </c>
      <c r="J55" s="14">
        <v>0.63358859921874966</v>
      </c>
      <c r="K55" s="14">
        <v>0.64942831419921832</v>
      </c>
      <c r="L55" s="14">
        <v>0.66566402205419872</v>
      </c>
      <c r="M55" s="14">
        <v>0.68230562260555361</v>
      </c>
      <c r="N55" s="14">
        <v>0.69936326317069242</v>
      </c>
      <c r="O55" s="14">
        <v>0.7168473447499597</v>
      </c>
      <c r="P55" s="14">
        <v>0.73476852836870865</v>
      </c>
      <c r="Q55" s="14">
        <v>0.75313774157792635</v>
      </c>
      <c r="R55" s="14">
        <v>0.77196618511737447</v>
      </c>
      <c r="S55" s="14">
        <v>0.79126533974530877</v>
      </c>
      <c r="T55" s="14">
        <v>0.81104697323894137</v>
      </c>
      <c r="U55" s="14">
        <v>0.83132314756991488</v>
      </c>
      <c r="V55" s="14">
        <v>0.85210622625916266</v>
      </c>
    </row>
    <row r="56" spans="1:22" x14ac:dyDescent="0.2">
      <c r="A56">
        <f>Summary!A23</f>
        <v>7</v>
      </c>
      <c r="B56" t="s">
        <v>61</v>
      </c>
      <c r="C56" s="14">
        <v>0</v>
      </c>
      <c r="D56" s="14">
        <v>0</v>
      </c>
      <c r="E56" s="14">
        <v>0</v>
      </c>
      <c r="F56" s="14">
        <v>0.53239999999999998</v>
      </c>
      <c r="G56" s="14">
        <v>0.54570999999999992</v>
      </c>
      <c r="H56" s="14">
        <v>0.55935274999999984</v>
      </c>
      <c r="I56" s="14">
        <v>0.57333656874999983</v>
      </c>
      <c r="J56" s="14">
        <v>0.58766998296874973</v>
      </c>
      <c r="K56" s="14">
        <v>0.60236173254296843</v>
      </c>
      <c r="L56" s="14">
        <v>0.61742077585654254</v>
      </c>
      <c r="M56" s="14">
        <v>0.63285629525295606</v>
      </c>
      <c r="N56" s="14">
        <v>0.64867770263427993</v>
      </c>
      <c r="O56" s="14">
        <v>0.66489464520013686</v>
      </c>
      <c r="P56" s="14">
        <v>0.6815170113301402</v>
      </c>
      <c r="Q56" s="14">
        <v>0.69855493661339363</v>
      </c>
      <c r="R56" s="14">
        <v>0.71601881002872836</v>
      </c>
      <c r="S56" s="14">
        <v>0.73391928027944653</v>
      </c>
      <c r="T56" s="14">
        <v>0.75226726228643259</v>
      </c>
      <c r="U56" s="14">
        <v>0.77107394384359329</v>
      </c>
      <c r="V56" s="14">
        <v>0.79035079243968309</v>
      </c>
    </row>
    <row r="57" spans="1:22" x14ac:dyDescent="0.2">
      <c r="A57">
        <f>Summary!A24</f>
        <v>8</v>
      </c>
      <c r="B57" t="s">
        <v>62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</row>
    <row r="58" spans="1:22" x14ac:dyDescent="0.2">
      <c r="A58">
        <f>Summary!A25</f>
        <v>9</v>
      </c>
      <c r="B58" t="s">
        <v>63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</row>
    <row r="59" spans="1:22" x14ac:dyDescent="0.2">
      <c r="A59">
        <f>Summary!A26</f>
        <v>10</v>
      </c>
      <c r="B59" t="s">
        <v>64</v>
      </c>
      <c r="C59" s="14">
        <v>0</v>
      </c>
      <c r="D59" s="14">
        <v>0</v>
      </c>
      <c r="E59" s="14">
        <v>0</v>
      </c>
      <c r="F59" s="14">
        <v>0.61280000000000001</v>
      </c>
      <c r="G59" s="14">
        <v>0.62812000000000001</v>
      </c>
      <c r="H59" s="14">
        <v>0.64382299999999992</v>
      </c>
      <c r="I59" s="14">
        <v>0.65991857499999984</v>
      </c>
      <c r="J59" s="14">
        <v>0.67641653937499979</v>
      </c>
      <c r="K59" s="14">
        <v>0.69332695285937473</v>
      </c>
      <c r="L59" s="14">
        <v>0.71066012668085909</v>
      </c>
      <c r="M59" s="14">
        <v>0.72842662984788054</v>
      </c>
      <c r="N59" s="14">
        <v>0.74663729559407743</v>
      </c>
      <c r="O59" s="14">
        <v>0.76530322798392936</v>
      </c>
      <c r="P59" s="14">
        <v>0.78443580868352747</v>
      </c>
      <c r="Q59" s="14">
        <v>0.80404670390061561</v>
      </c>
      <c r="R59" s="14">
        <v>0.82414787149813096</v>
      </c>
      <c r="S59" s="14">
        <v>0.84475156828558418</v>
      </c>
      <c r="T59" s="14">
        <v>0.86587035749272367</v>
      </c>
      <c r="U59" s="14">
        <v>0.88751711643004172</v>
      </c>
      <c r="V59" s="14">
        <v>0.90970504434079269</v>
      </c>
    </row>
    <row r="60" spans="1:22" x14ac:dyDescent="0.2">
      <c r="A60">
        <f>Summary!A27</f>
        <v>11</v>
      </c>
      <c r="B60" t="s">
        <v>65</v>
      </c>
      <c r="C60" s="14">
        <v>0</v>
      </c>
      <c r="D60" s="14">
        <v>0</v>
      </c>
      <c r="E60" s="14">
        <v>0</v>
      </c>
      <c r="F60" s="14">
        <v>0.56640000000000001</v>
      </c>
      <c r="G60" s="14">
        <v>0.58055999999999996</v>
      </c>
      <c r="H60" s="14">
        <v>0.59507399999999988</v>
      </c>
      <c r="I60" s="14">
        <v>0.60995084999999982</v>
      </c>
      <c r="J60" s="14">
        <v>0.62519962124999973</v>
      </c>
      <c r="K60" s="14">
        <v>0.64082961178124964</v>
      </c>
      <c r="L60" s="14">
        <v>0.6568503520757808</v>
      </c>
      <c r="M60" s="14">
        <v>0.67327161087767529</v>
      </c>
      <c r="N60" s="14">
        <v>0.6901034011496171</v>
      </c>
      <c r="O60" s="14">
        <v>0.70735598617835749</v>
      </c>
      <c r="P60" s="14">
        <v>0.72503988583281631</v>
      </c>
      <c r="Q60" s="14">
        <v>0.74316588297863662</v>
      </c>
      <c r="R60" s="14">
        <v>0.76174503005310246</v>
      </c>
      <c r="S60" s="14">
        <v>0.78078865580442991</v>
      </c>
      <c r="T60" s="14">
        <v>0.80030837219954054</v>
      </c>
      <c r="U60" s="14">
        <v>0.82031608150452895</v>
      </c>
      <c r="V60" s="14">
        <v>0.84082398354214205</v>
      </c>
    </row>
    <row r="61" spans="1:22" x14ac:dyDescent="0.2">
      <c r="A61">
        <f>Summary!A28</f>
        <v>12</v>
      </c>
      <c r="B61" t="s">
        <v>66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</row>
    <row r="62" spans="1:22" x14ac:dyDescent="0.2">
      <c r="A62">
        <f>Summary!A29</f>
        <v>13</v>
      </c>
      <c r="B62" t="s">
        <v>67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</row>
    <row r="63" spans="1:22" x14ac:dyDescent="0.2">
      <c r="A63">
        <f>Summary!A30</f>
        <v>14</v>
      </c>
      <c r="B63" t="s">
        <v>70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</row>
    <row r="64" spans="1:22" x14ac:dyDescent="0.2">
      <c r="A64">
        <f>Summary!A31</f>
        <v>15</v>
      </c>
      <c r="B64" t="s">
        <v>68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</row>
    <row r="65" spans="1:22" x14ac:dyDescent="0.2">
      <c r="A65">
        <f>Summary!A32</f>
        <v>16</v>
      </c>
      <c r="B65" t="s">
        <v>69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</row>
    <row r="66" spans="1:22" x14ac:dyDescent="0.2">
      <c r="A66">
        <f>Summary!A33</f>
        <v>17</v>
      </c>
      <c r="B66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</row>
    <row r="67" spans="1:22" x14ac:dyDescent="0.2">
      <c r="A67">
        <f>Summary!A34</f>
        <v>18</v>
      </c>
      <c r="B67" t="s">
        <v>72</v>
      </c>
      <c r="C67" s="14">
        <v>0</v>
      </c>
      <c r="D67" s="14">
        <v>0</v>
      </c>
      <c r="E67" s="14">
        <v>0</v>
      </c>
      <c r="F67" s="14">
        <v>0.52780000000000005</v>
      </c>
      <c r="G67" s="14">
        <v>0.540995</v>
      </c>
      <c r="H67" s="14">
        <v>0.554519875</v>
      </c>
      <c r="I67" s="14">
        <v>0.56838287187499992</v>
      </c>
      <c r="J67" s="14">
        <v>0.5825924436718749</v>
      </c>
      <c r="K67" s="14">
        <v>0.59715725476367176</v>
      </c>
      <c r="L67" s="14">
        <v>0.61208618613276355</v>
      </c>
      <c r="M67" s="14">
        <v>0.62738834078608263</v>
      </c>
      <c r="N67" s="14">
        <v>0.64307304930573461</v>
      </c>
      <c r="O67" s="14">
        <v>0.65914987553837789</v>
      </c>
      <c r="P67" s="14">
        <v>0.6756286224268373</v>
      </c>
      <c r="Q67" s="14">
        <v>0.6925193379875082</v>
      </c>
      <c r="R67" s="14">
        <v>0.70983232143719588</v>
      </c>
      <c r="S67" s="14">
        <v>0.72757812947312572</v>
      </c>
      <c r="T67" s="14">
        <v>0.7457675827099538</v>
      </c>
      <c r="U67" s="14">
        <v>0.76441177227770263</v>
      </c>
      <c r="V67" s="14">
        <v>0.78352206658464507</v>
      </c>
    </row>
    <row r="68" spans="1:22" x14ac:dyDescent="0.2">
      <c r="A68">
        <f>Summary!A35</f>
        <v>19</v>
      </c>
      <c r="B68" t="s">
        <v>73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</row>
    <row r="69" spans="1:22" x14ac:dyDescent="0.2">
      <c r="A69">
        <f>Summary!A36</f>
        <v>20</v>
      </c>
      <c r="B69" t="s">
        <v>74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</row>
    <row r="70" spans="1:22" x14ac:dyDescent="0.2">
      <c r="A70">
        <f>Summary!A37</f>
        <v>21</v>
      </c>
      <c r="B70" t="s">
        <v>75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</row>
    <row r="71" spans="1:22" x14ac:dyDescent="0.2">
      <c r="A71">
        <f>Summary!A38</f>
        <v>22</v>
      </c>
      <c r="B71" t="s">
        <v>86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</row>
    <row r="72" spans="1:22" x14ac:dyDescent="0.2">
      <c r="A72">
        <f>Summary!A39</f>
        <v>23</v>
      </c>
      <c r="B72" t="s">
        <v>76</v>
      </c>
      <c r="C72" s="14">
        <v>0</v>
      </c>
      <c r="D72" s="14">
        <f>C72*(1+Assumptions!$L$13)</f>
        <v>0</v>
      </c>
      <c r="E72" s="14">
        <f>D72*(1+Assumptions!$L$13)</f>
        <v>0</v>
      </c>
      <c r="F72" s="14">
        <f>E72*(1+Assumptions!$L$13)</f>
        <v>0</v>
      </c>
      <c r="G72" s="14">
        <f>F72*(1+Assumptions!$L$13)</f>
        <v>0</v>
      </c>
      <c r="H72" s="14">
        <f>G72*(1+Assumptions!$L$13)</f>
        <v>0</v>
      </c>
      <c r="I72" s="14">
        <f>H72*(1+Assumptions!$L$13)</f>
        <v>0</v>
      </c>
      <c r="J72" s="14">
        <f>I72*(1+Assumptions!$L$13)</f>
        <v>0</v>
      </c>
      <c r="K72" s="14">
        <f>J72*(1+Assumptions!$L$13)</f>
        <v>0</v>
      </c>
      <c r="L72" s="14">
        <f>K72*(1+Assumptions!$L$13)</f>
        <v>0</v>
      </c>
      <c r="M72" s="14">
        <f>L72*(1+Assumptions!$L$13)</f>
        <v>0</v>
      </c>
      <c r="N72" s="14">
        <f>M72*(1+Assumptions!$L$13)</f>
        <v>0</v>
      </c>
      <c r="O72" s="14">
        <f>N72*(1+Assumptions!$L$13)</f>
        <v>0</v>
      </c>
      <c r="P72" s="14">
        <f>O72*(1+Assumptions!$L$13)</f>
        <v>0</v>
      </c>
      <c r="Q72" s="14">
        <f>P72*(1+Assumptions!$L$13)</f>
        <v>0</v>
      </c>
      <c r="R72" s="14">
        <f>Q72*(1+Assumptions!$L$13)</f>
        <v>0</v>
      </c>
      <c r="S72" s="14">
        <f>R72*(1+Assumptions!$L$13)</f>
        <v>0</v>
      </c>
      <c r="T72" s="14">
        <f>S72*(1+Assumptions!$L$13)</f>
        <v>0</v>
      </c>
      <c r="U72" s="14">
        <f>T72*(1+Assumptions!$L$13)</f>
        <v>0</v>
      </c>
      <c r="V72" s="14">
        <f>U72*(1+Assumptions!$L$13)</f>
        <v>0</v>
      </c>
    </row>
    <row r="73" spans="1:22" x14ac:dyDescent="0.2">
      <c r="A73">
        <f>Summary!A40</f>
        <v>24</v>
      </c>
      <c r="B73" t="s">
        <v>77</v>
      </c>
      <c r="C73" s="14">
        <v>0</v>
      </c>
      <c r="D73" s="14">
        <f>C73*(1+Assumptions!$L$13)</f>
        <v>0</v>
      </c>
      <c r="E73" s="14">
        <f>D73*(1+Assumptions!$L$13)</f>
        <v>0</v>
      </c>
      <c r="F73" s="14">
        <f>E73*(1+Assumptions!$L$13)</f>
        <v>0</v>
      </c>
      <c r="G73" s="14">
        <f>F73*(1+Assumptions!$L$13)</f>
        <v>0</v>
      </c>
      <c r="H73" s="14">
        <f>G73*(1+Assumptions!$L$13)</f>
        <v>0</v>
      </c>
      <c r="I73" s="14">
        <f>H73*(1+Assumptions!$L$13)</f>
        <v>0</v>
      </c>
      <c r="J73" s="14">
        <f>I73*(1+Assumptions!$L$13)</f>
        <v>0</v>
      </c>
      <c r="K73" s="14">
        <f>J73*(1+Assumptions!$L$13)</f>
        <v>0</v>
      </c>
      <c r="L73" s="14">
        <f>K73*(1+Assumptions!$L$13)</f>
        <v>0</v>
      </c>
      <c r="M73" s="14">
        <f>L73*(1+Assumptions!$L$13)</f>
        <v>0</v>
      </c>
      <c r="N73" s="14">
        <f>M73*(1+Assumptions!$L$13)</f>
        <v>0</v>
      </c>
      <c r="O73" s="14">
        <f>N73*(1+Assumptions!$L$13)</f>
        <v>0</v>
      </c>
      <c r="P73" s="14">
        <f>O73*(1+Assumptions!$L$13)</f>
        <v>0</v>
      </c>
      <c r="Q73" s="14">
        <f>P73*(1+Assumptions!$L$13)</f>
        <v>0</v>
      </c>
      <c r="R73" s="14">
        <f>Q73*(1+Assumptions!$L$13)</f>
        <v>0</v>
      </c>
      <c r="S73" s="14">
        <f>R73*(1+Assumptions!$L$13)</f>
        <v>0</v>
      </c>
      <c r="T73" s="14">
        <f>S73*(1+Assumptions!$L$13)</f>
        <v>0</v>
      </c>
      <c r="U73" s="14">
        <f>T73*(1+Assumptions!$L$13)</f>
        <v>0</v>
      </c>
      <c r="V73" s="14">
        <f>U73*(1+Assumptions!$L$13)</f>
        <v>0</v>
      </c>
    </row>
    <row r="74" spans="1:22" x14ac:dyDescent="0.2">
      <c r="A74">
        <f>Summary!A41</f>
        <v>25</v>
      </c>
      <c r="B74" t="s">
        <v>78</v>
      </c>
      <c r="C74" s="14">
        <v>0</v>
      </c>
      <c r="D74" s="14">
        <f>C74*(1+Assumptions!$L$13)</f>
        <v>0</v>
      </c>
      <c r="E74" s="14">
        <f>D74*(1+Assumptions!$L$13)</f>
        <v>0</v>
      </c>
      <c r="F74" s="14">
        <f>E74*(1+Assumptions!$L$13)</f>
        <v>0</v>
      </c>
      <c r="G74" s="14">
        <f>F74*(1+Assumptions!$L$13)</f>
        <v>0</v>
      </c>
      <c r="H74" s="14">
        <f>G74*(1+Assumptions!$L$13)</f>
        <v>0</v>
      </c>
      <c r="I74" s="14">
        <f>H74*(1+Assumptions!$L$13)</f>
        <v>0</v>
      </c>
      <c r="J74" s="14">
        <f>I74*(1+Assumptions!$L$13)</f>
        <v>0</v>
      </c>
      <c r="K74" s="14">
        <f>J74*(1+Assumptions!$L$13)</f>
        <v>0</v>
      </c>
      <c r="L74" s="14">
        <f>K74*(1+Assumptions!$L$13)</f>
        <v>0</v>
      </c>
      <c r="M74" s="14">
        <f>L74*(1+Assumptions!$L$13)</f>
        <v>0</v>
      </c>
      <c r="N74" s="14">
        <f>M74*(1+Assumptions!$L$13)</f>
        <v>0</v>
      </c>
      <c r="O74" s="14">
        <f>N74*(1+Assumptions!$L$13)</f>
        <v>0</v>
      </c>
      <c r="P74" s="14">
        <f>O74*(1+Assumptions!$L$13)</f>
        <v>0</v>
      </c>
      <c r="Q74" s="14">
        <f>P74*(1+Assumptions!$L$13)</f>
        <v>0</v>
      </c>
      <c r="R74" s="14">
        <f>Q74*(1+Assumptions!$L$13)</f>
        <v>0</v>
      </c>
      <c r="S74" s="14">
        <f>R74*(1+Assumptions!$L$13)</f>
        <v>0</v>
      </c>
      <c r="T74" s="14">
        <f>S74*(1+Assumptions!$L$13)</f>
        <v>0</v>
      </c>
      <c r="U74" s="14">
        <f>T74*(1+Assumptions!$L$13)</f>
        <v>0</v>
      </c>
      <c r="V74" s="14">
        <f>U74*(1+Assumptions!$L$13)</f>
        <v>0</v>
      </c>
    </row>
    <row r="75" spans="1:22" x14ac:dyDescent="0.2">
      <c r="A75">
        <f>Summary!A42</f>
        <v>26</v>
      </c>
      <c r="B75" t="s">
        <v>79</v>
      </c>
      <c r="C75" s="14">
        <v>0</v>
      </c>
      <c r="D75" s="14">
        <f>C75*(1+Assumptions!$L$13)</f>
        <v>0</v>
      </c>
      <c r="E75" s="14">
        <f>D75*(1+Assumptions!$L$13)</f>
        <v>0</v>
      </c>
      <c r="F75" s="14">
        <f>E75*(1+Assumptions!$L$13)</f>
        <v>0</v>
      </c>
      <c r="G75" s="14">
        <f>F75*(1+Assumptions!$L$13)</f>
        <v>0</v>
      </c>
      <c r="H75" s="14">
        <f>G75*(1+Assumptions!$L$13)</f>
        <v>0</v>
      </c>
      <c r="I75" s="14">
        <f>H75*(1+Assumptions!$L$13)</f>
        <v>0</v>
      </c>
      <c r="J75" s="14">
        <f>I75*(1+Assumptions!$L$13)</f>
        <v>0</v>
      </c>
      <c r="K75" s="14">
        <f>J75*(1+Assumptions!$L$13)</f>
        <v>0</v>
      </c>
      <c r="L75" s="14">
        <f>K75*(1+Assumptions!$L$13)</f>
        <v>0</v>
      </c>
      <c r="M75" s="14">
        <f>L75*(1+Assumptions!$L$13)</f>
        <v>0</v>
      </c>
      <c r="N75" s="14">
        <f>M75*(1+Assumptions!$L$13)</f>
        <v>0</v>
      </c>
      <c r="O75" s="14">
        <f>N75*(1+Assumptions!$L$13)</f>
        <v>0</v>
      </c>
      <c r="P75" s="14">
        <f>O75*(1+Assumptions!$L$13)</f>
        <v>0</v>
      </c>
      <c r="Q75" s="14">
        <f>P75*(1+Assumptions!$L$13)</f>
        <v>0</v>
      </c>
      <c r="R75" s="14">
        <f>Q75*(1+Assumptions!$L$13)</f>
        <v>0</v>
      </c>
      <c r="S75" s="14">
        <f>R75*(1+Assumptions!$L$13)</f>
        <v>0</v>
      </c>
      <c r="T75" s="14">
        <f>S75*(1+Assumptions!$L$13)</f>
        <v>0</v>
      </c>
      <c r="U75" s="14">
        <f>T75*(1+Assumptions!$L$13)</f>
        <v>0</v>
      </c>
      <c r="V75" s="14">
        <f>U75*(1+Assumptions!$L$13)</f>
        <v>0</v>
      </c>
    </row>
    <row r="76" spans="1:22" x14ac:dyDescent="0.2">
      <c r="A76">
        <f>Summary!A43</f>
        <v>27</v>
      </c>
      <c r="B76" t="s">
        <v>80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</row>
    <row r="77" spans="1:22" x14ac:dyDescent="0.2">
      <c r="A77">
        <f>Summary!A44</f>
        <v>28</v>
      </c>
      <c r="B77" t="s">
        <v>81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</row>
    <row r="78" spans="1:22" x14ac:dyDescent="0.2">
      <c r="A78">
        <f>Summary!A45</f>
        <v>29</v>
      </c>
      <c r="B78" t="s">
        <v>82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</row>
    <row r="79" spans="1:22" x14ac:dyDescent="0.2">
      <c r="A79">
        <f>Summary!A46</f>
        <v>30</v>
      </c>
      <c r="B79" t="s">
        <v>83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</row>
    <row r="80" spans="1:22" x14ac:dyDescent="0.2">
      <c r="A80">
        <f>Summary!A47</f>
        <v>31</v>
      </c>
      <c r="B80" t="s">
        <v>84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</row>
    <row r="81" spans="1:22" x14ac:dyDescent="0.2">
      <c r="A81">
        <f>Summary!A48</f>
        <v>32</v>
      </c>
      <c r="B81" t="s">
        <v>85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</row>
    <row r="82" spans="1:22" x14ac:dyDescent="0.2">
      <c r="A82">
        <f>Summary!A49</f>
        <v>33</v>
      </c>
      <c r="B82" t="s">
        <v>181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</row>
    <row r="83" spans="1:22" x14ac:dyDescent="0.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2">
      <c r="A84" s="13" t="s">
        <v>157</v>
      </c>
    </row>
    <row r="86" spans="1:22" x14ac:dyDescent="0.2">
      <c r="C86" s="12">
        <v>2000</v>
      </c>
      <c r="D86" s="12">
        <v>2001</v>
      </c>
      <c r="E86" s="12">
        <v>2002</v>
      </c>
      <c r="F86" s="12">
        <v>2003</v>
      </c>
      <c r="G86" s="12">
        <v>2004</v>
      </c>
      <c r="H86" s="12">
        <v>2005</v>
      </c>
      <c r="I86" s="12">
        <v>2006</v>
      </c>
      <c r="J86" s="12">
        <v>2007</v>
      </c>
      <c r="K86" s="12">
        <v>2008</v>
      </c>
      <c r="L86" s="12">
        <v>2009</v>
      </c>
      <c r="M86" s="12">
        <v>2010</v>
      </c>
      <c r="N86" s="12">
        <v>2011</v>
      </c>
      <c r="O86" s="12">
        <v>2012</v>
      </c>
      <c r="P86" s="12">
        <v>2013</v>
      </c>
      <c r="Q86" s="12">
        <v>2014</v>
      </c>
      <c r="R86" s="12">
        <v>2015</v>
      </c>
      <c r="S86" s="12">
        <v>2016</v>
      </c>
      <c r="T86" s="12">
        <v>2017</v>
      </c>
      <c r="U86" s="12">
        <v>2018</v>
      </c>
      <c r="V86" s="12">
        <v>2019</v>
      </c>
    </row>
    <row r="88" spans="1:22" x14ac:dyDescent="0.2">
      <c r="A88">
        <f>Summary!A17</f>
        <v>1</v>
      </c>
      <c r="B88" t="s">
        <v>55</v>
      </c>
      <c r="C88" s="82">
        <v>0</v>
      </c>
      <c r="D88" s="82">
        <v>0</v>
      </c>
      <c r="E88" s="82">
        <v>0</v>
      </c>
      <c r="F88" s="82">
        <v>43076</v>
      </c>
      <c r="G88" s="82">
        <v>44152.9</v>
      </c>
      <c r="H88" s="82">
        <v>45256.722499999989</v>
      </c>
      <c r="I88" s="82">
        <v>46388.140562499982</v>
      </c>
      <c r="J88" s="82">
        <v>47547.844076562476</v>
      </c>
      <c r="K88" s="82">
        <v>48736.540178476534</v>
      </c>
      <c r="L88" s="82">
        <v>49954.953682938445</v>
      </c>
      <c r="M88" s="82">
        <v>51203.827525011904</v>
      </c>
      <c r="N88" s="82">
        <v>52483.923213137197</v>
      </c>
      <c r="O88" s="82">
        <v>53796.021293465623</v>
      </c>
      <c r="P88" s="82">
        <v>55140.921825802259</v>
      </c>
      <c r="Q88" s="82">
        <v>56519.444871447311</v>
      </c>
      <c r="R88" s="82">
        <v>57932.430993233487</v>
      </c>
      <c r="S88" s="82">
        <v>59380.741768064319</v>
      </c>
      <c r="T88" s="82">
        <v>60865.26031226592</v>
      </c>
      <c r="U88" s="82">
        <v>62386.89182007256</v>
      </c>
      <c r="V88" s="82">
        <v>63946.564115574365</v>
      </c>
    </row>
    <row r="89" spans="1:22" x14ac:dyDescent="0.2">
      <c r="A89">
        <f>Summary!A18</f>
        <v>2</v>
      </c>
      <c r="B89" t="s">
        <v>56</v>
      </c>
      <c r="C89" s="82">
        <v>0</v>
      </c>
      <c r="D89" s="82">
        <v>0</v>
      </c>
      <c r="E89" s="82">
        <v>0</v>
      </c>
      <c r="F89" s="82">
        <v>74305</v>
      </c>
      <c r="G89" s="82">
        <v>76162.625</v>
      </c>
      <c r="H89" s="82">
        <v>78066.690624999988</v>
      </c>
      <c r="I89" s="82">
        <v>80018.357890624975</v>
      </c>
      <c r="J89" s="82">
        <v>82018.816837890598</v>
      </c>
      <c r="K89" s="82">
        <v>84069.287258837852</v>
      </c>
      <c r="L89" s="82">
        <v>86171.019440308795</v>
      </c>
      <c r="M89" s="82">
        <v>88325.294926316506</v>
      </c>
      <c r="N89" s="82">
        <v>90533.42729947441</v>
      </c>
      <c r="O89" s="82">
        <v>92796.762981961263</v>
      </c>
      <c r="P89" s="82">
        <v>95116.682056510283</v>
      </c>
      <c r="Q89" s="82">
        <v>97494.59910792303</v>
      </c>
      <c r="R89" s="82">
        <v>99931.96408562109</v>
      </c>
      <c r="S89" s="82">
        <v>102430.26318776161</v>
      </c>
      <c r="T89" s="82">
        <v>104991.01976745564</v>
      </c>
      <c r="U89" s="82">
        <v>107615.79526164202</v>
      </c>
      <c r="V89" s="82">
        <v>110306.19014318306</v>
      </c>
    </row>
    <row r="90" spans="1:22" x14ac:dyDescent="0.2">
      <c r="A90">
        <f>Summary!A19</f>
        <v>3</v>
      </c>
      <c r="B90" s="9" t="s">
        <v>57</v>
      </c>
      <c r="C90" s="82">
        <v>0</v>
      </c>
      <c r="D90" s="82">
        <v>0</v>
      </c>
      <c r="E90" s="82">
        <v>0</v>
      </c>
      <c r="F90" s="82">
        <v>41999</v>
      </c>
      <c r="G90" s="82">
        <v>43048.974999999999</v>
      </c>
      <c r="H90" s="82">
        <v>44125.199374999997</v>
      </c>
      <c r="I90" s="82">
        <v>45228.329359374991</v>
      </c>
      <c r="J90" s="82">
        <v>46359.03759335936</v>
      </c>
      <c r="K90" s="82">
        <v>47518.013533193342</v>
      </c>
      <c r="L90" s="82">
        <v>48705.96387152317</v>
      </c>
      <c r="M90" s="82">
        <v>49923.612968311245</v>
      </c>
      <c r="N90" s="82">
        <v>51171.703292519021</v>
      </c>
      <c r="O90" s="82">
        <v>52450.995874831991</v>
      </c>
      <c r="P90" s="82">
        <v>53762.270771702788</v>
      </c>
      <c r="Q90" s="82">
        <v>55106.327540995349</v>
      </c>
      <c r="R90" s="82">
        <v>56483.985729520231</v>
      </c>
      <c r="S90" s="82">
        <v>57896.085372758229</v>
      </c>
      <c r="T90" s="82">
        <v>59343.487507077181</v>
      </c>
      <c r="U90" s="82">
        <v>60827.074694754105</v>
      </c>
      <c r="V90" s="82">
        <v>62347.751562122954</v>
      </c>
    </row>
    <row r="91" spans="1:22" x14ac:dyDescent="0.2">
      <c r="A91">
        <f>Summary!A20</f>
        <v>4</v>
      </c>
      <c r="B91" s="9" t="s">
        <v>58</v>
      </c>
      <c r="C91" s="82">
        <v>0</v>
      </c>
      <c r="D91" s="82">
        <v>0</v>
      </c>
      <c r="E91" s="82">
        <v>0</v>
      </c>
      <c r="F91" s="82">
        <v>41999</v>
      </c>
      <c r="G91" s="82">
        <v>43048.974999999999</v>
      </c>
      <c r="H91" s="82">
        <v>44125.199374999997</v>
      </c>
      <c r="I91" s="82">
        <v>45228.329359374991</v>
      </c>
      <c r="J91" s="82">
        <v>46359.03759335936</v>
      </c>
      <c r="K91" s="82">
        <v>47518.013533193342</v>
      </c>
      <c r="L91" s="82">
        <v>48705.96387152317</v>
      </c>
      <c r="M91" s="82">
        <v>49923.612968311245</v>
      </c>
      <c r="N91" s="82">
        <v>51171.703292519021</v>
      </c>
      <c r="O91" s="82">
        <v>52450.995874831991</v>
      </c>
      <c r="P91" s="82">
        <v>53762.270771702788</v>
      </c>
      <c r="Q91" s="82">
        <v>55106.327540995349</v>
      </c>
      <c r="R91" s="82">
        <v>56483.985729520231</v>
      </c>
      <c r="S91" s="82">
        <v>57896.085372758229</v>
      </c>
      <c r="T91" s="82">
        <v>59343.487507077181</v>
      </c>
      <c r="U91" s="82">
        <v>60827.074694754105</v>
      </c>
      <c r="V91" s="82">
        <v>62347.751562122954</v>
      </c>
    </row>
    <row r="92" spans="1:22" x14ac:dyDescent="0.2">
      <c r="A92">
        <f>Summary!A21</f>
        <v>5</v>
      </c>
      <c r="B92" s="9" t="s">
        <v>59</v>
      </c>
      <c r="C92" s="82">
        <v>0</v>
      </c>
      <c r="D92" s="82">
        <v>0</v>
      </c>
      <c r="E92" s="82">
        <v>0</v>
      </c>
      <c r="F92" s="82">
        <v>41999</v>
      </c>
      <c r="G92" s="82">
        <v>43048.974999999999</v>
      </c>
      <c r="H92" s="82">
        <v>44125.199374999997</v>
      </c>
      <c r="I92" s="82">
        <v>45228.329359374991</v>
      </c>
      <c r="J92" s="82">
        <v>46359.03759335936</v>
      </c>
      <c r="K92" s="82">
        <v>47518.013533193342</v>
      </c>
      <c r="L92" s="82">
        <v>48705.96387152317</v>
      </c>
      <c r="M92" s="82">
        <v>49923.612968311245</v>
      </c>
      <c r="N92" s="82">
        <v>51171.703292519021</v>
      </c>
      <c r="O92" s="82">
        <v>52450.995874831991</v>
      </c>
      <c r="P92" s="82">
        <v>53762.270771702788</v>
      </c>
      <c r="Q92" s="82">
        <v>55106.327540995349</v>
      </c>
      <c r="R92" s="82">
        <v>56483.985729520231</v>
      </c>
      <c r="S92" s="82">
        <v>57896.085372758229</v>
      </c>
      <c r="T92" s="82">
        <v>59343.487507077181</v>
      </c>
      <c r="U92" s="82">
        <v>60827.074694754105</v>
      </c>
      <c r="V92" s="82">
        <v>62347.751562122954</v>
      </c>
    </row>
    <row r="93" spans="1:22" x14ac:dyDescent="0.2">
      <c r="A93">
        <f>Summary!A22</f>
        <v>6</v>
      </c>
      <c r="B93" s="9" t="s">
        <v>60</v>
      </c>
      <c r="C93" s="82">
        <v>0</v>
      </c>
      <c r="D93" s="82">
        <v>0</v>
      </c>
      <c r="E93" s="82">
        <v>0</v>
      </c>
      <c r="F93" s="82">
        <v>41999</v>
      </c>
      <c r="G93" s="82">
        <v>43048.974999999999</v>
      </c>
      <c r="H93" s="82">
        <v>44125.199374999997</v>
      </c>
      <c r="I93" s="82">
        <v>45228.329359374991</v>
      </c>
      <c r="J93" s="82">
        <v>46359.03759335936</v>
      </c>
      <c r="K93" s="82">
        <v>47518.013533193342</v>
      </c>
      <c r="L93" s="82">
        <v>48705.96387152317</v>
      </c>
      <c r="M93" s="82">
        <v>49923.612968311245</v>
      </c>
      <c r="N93" s="82">
        <v>51171.703292519021</v>
      </c>
      <c r="O93" s="82">
        <v>52450.995874831991</v>
      </c>
      <c r="P93" s="82">
        <v>53762.270771702788</v>
      </c>
      <c r="Q93" s="82">
        <v>55106.327540995349</v>
      </c>
      <c r="R93" s="82">
        <v>56483.985729520231</v>
      </c>
      <c r="S93" s="82">
        <v>57896.085372758229</v>
      </c>
      <c r="T93" s="82">
        <v>59343.487507077181</v>
      </c>
      <c r="U93" s="82">
        <v>60827.074694754105</v>
      </c>
      <c r="V93" s="82">
        <v>62347.751562122954</v>
      </c>
    </row>
    <row r="94" spans="1:22" x14ac:dyDescent="0.2">
      <c r="A94">
        <f>Summary!A23</f>
        <v>7</v>
      </c>
      <c r="B94" t="s">
        <v>61</v>
      </c>
      <c r="C94" s="82">
        <v>0</v>
      </c>
      <c r="D94" s="82">
        <v>0</v>
      </c>
      <c r="E94" s="82">
        <v>0</v>
      </c>
      <c r="F94" s="82">
        <v>35537</v>
      </c>
      <c r="G94" s="82">
        <v>36425.424999999996</v>
      </c>
      <c r="H94" s="82">
        <v>37336.060624999991</v>
      </c>
      <c r="I94" s="82">
        <v>38269.462140624986</v>
      </c>
      <c r="J94" s="82">
        <v>39226.198694140607</v>
      </c>
      <c r="K94" s="82">
        <v>40206.853661494119</v>
      </c>
      <c r="L94" s="82">
        <v>41212.025003031471</v>
      </c>
      <c r="M94" s="82">
        <v>42242.325628107254</v>
      </c>
      <c r="N94" s="82">
        <v>43298.38376880993</v>
      </c>
      <c r="O94" s="82">
        <v>44380.843363030173</v>
      </c>
      <c r="P94" s="82">
        <v>45490.364447105923</v>
      </c>
      <c r="Q94" s="82">
        <v>46627.623558283565</v>
      </c>
      <c r="R94" s="82">
        <v>47793.31414724065</v>
      </c>
      <c r="S94" s="82">
        <v>48988.147000921665</v>
      </c>
      <c r="T94" s="82">
        <v>50212.850675944705</v>
      </c>
      <c r="U94" s="82">
        <v>51468.171942843321</v>
      </c>
      <c r="V94" s="82">
        <v>52754.8762414144</v>
      </c>
    </row>
    <row r="95" spans="1:22" x14ac:dyDescent="0.2">
      <c r="A95">
        <f>Summary!A24</f>
        <v>8</v>
      </c>
      <c r="B95" t="s">
        <v>62</v>
      </c>
      <c r="C95" s="82">
        <v>0</v>
      </c>
      <c r="D95" s="82">
        <v>0</v>
      </c>
      <c r="E95" s="82">
        <v>0</v>
      </c>
      <c r="F95" s="82">
        <v>0</v>
      </c>
      <c r="G95" s="82">
        <v>0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82">
        <v>0</v>
      </c>
      <c r="O95" s="82">
        <v>0</v>
      </c>
      <c r="P95" s="82">
        <v>0</v>
      </c>
      <c r="Q95" s="82">
        <v>0</v>
      </c>
      <c r="R95" s="82">
        <v>0</v>
      </c>
      <c r="S95" s="82">
        <v>0</v>
      </c>
      <c r="T95" s="82">
        <v>0</v>
      </c>
      <c r="U95" s="82">
        <v>0</v>
      </c>
      <c r="V95" s="82">
        <v>0</v>
      </c>
    </row>
    <row r="96" spans="1:22" x14ac:dyDescent="0.2">
      <c r="A96">
        <f>Summary!A25</f>
        <v>9</v>
      </c>
      <c r="B96" t="s">
        <v>63</v>
      </c>
      <c r="C96" s="82">
        <v>0</v>
      </c>
      <c r="D96" s="82">
        <v>0</v>
      </c>
      <c r="E96" s="82">
        <v>0</v>
      </c>
      <c r="F96" s="82">
        <v>0</v>
      </c>
      <c r="G96" s="82">
        <v>0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82">
        <v>0</v>
      </c>
      <c r="O96" s="82">
        <v>0</v>
      </c>
      <c r="P96" s="82">
        <v>0</v>
      </c>
      <c r="Q96" s="82">
        <v>0</v>
      </c>
      <c r="R96" s="82">
        <v>0</v>
      </c>
      <c r="S96" s="82">
        <v>0</v>
      </c>
      <c r="T96" s="82">
        <v>0</v>
      </c>
      <c r="U96" s="82">
        <v>0</v>
      </c>
      <c r="V96" s="82">
        <v>0</v>
      </c>
    </row>
    <row r="97" spans="1:22" x14ac:dyDescent="0.2">
      <c r="A97">
        <f>Summary!A26</f>
        <v>10</v>
      </c>
      <c r="B97" t="s">
        <v>64</v>
      </c>
      <c r="C97" s="82">
        <v>0</v>
      </c>
      <c r="D97" s="82">
        <v>0</v>
      </c>
      <c r="E97" s="82">
        <v>0</v>
      </c>
      <c r="F97" s="82">
        <v>68921</v>
      </c>
      <c r="G97" s="82">
        <v>70644.024999999994</v>
      </c>
      <c r="H97" s="82">
        <v>72410.125624999986</v>
      </c>
      <c r="I97" s="82">
        <v>74220.378765624977</v>
      </c>
      <c r="J97" s="82">
        <v>76075.888234765589</v>
      </c>
      <c r="K97" s="82">
        <v>77977.785440634718</v>
      </c>
      <c r="L97" s="82">
        <v>79927.23007665058</v>
      </c>
      <c r="M97" s="82">
        <v>81925.410828566834</v>
      </c>
      <c r="N97" s="82">
        <v>83973.546099280997</v>
      </c>
      <c r="O97" s="82">
        <v>86072.88475176302</v>
      </c>
      <c r="P97" s="82">
        <v>88224.706870557085</v>
      </c>
      <c r="Q97" s="82">
        <v>90430.324542321003</v>
      </c>
      <c r="R97" s="82">
        <v>92691.082655879014</v>
      </c>
      <c r="S97" s="82">
        <v>95008.359722275985</v>
      </c>
      <c r="T97" s="82">
        <v>97383.568715332876</v>
      </c>
      <c r="U97" s="82">
        <v>99818.157933216193</v>
      </c>
      <c r="V97" s="82">
        <v>102313.61188154659</v>
      </c>
    </row>
    <row r="98" spans="1:22" x14ac:dyDescent="0.2">
      <c r="A98">
        <f>Summary!A27</f>
        <v>11</v>
      </c>
      <c r="B98" t="s">
        <v>65</v>
      </c>
      <c r="C98" s="82">
        <v>0</v>
      </c>
      <c r="D98" s="82">
        <v>0</v>
      </c>
      <c r="E98" s="82">
        <v>0</v>
      </c>
      <c r="F98" s="82">
        <v>68921</v>
      </c>
      <c r="G98" s="82">
        <v>70644.024999999994</v>
      </c>
      <c r="H98" s="82">
        <v>72410.125624999986</v>
      </c>
      <c r="I98" s="82">
        <v>74220.378765624977</v>
      </c>
      <c r="J98" s="82">
        <v>76075.888234765589</v>
      </c>
      <c r="K98" s="82">
        <v>77977.785440634718</v>
      </c>
      <c r="L98" s="82">
        <v>79927.23007665058</v>
      </c>
      <c r="M98" s="82">
        <v>81925.410828566834</v>
      </c>
      <c r="N98" s="82">
        <v>83973.546099280997</v>
      </c>
      <c r="O98" s="82">
        <v>86072.88475176302</v>
      </c>
      <c r="P98" s="82">
        <v>88224.706870557085</v>
      </c>
      <c r="Q98" s="82">
        <v>90430.324542321003</v>
      </c>
      <c r="R98" s="82">
        <v>92691.082655879014</v>
      </c>
      <c r="S98" s="82">
        <v>95008.359722275985</v>
      </c>
      <c r="T98" s="82">
        <v>97383.568715332876</v>
      </c>
      <c r="U98" s="82">
        <v>99818.157933216193</v>
      </c>
      <c r="V98" s="82">
        <v>102313.61188154659</v>
      </c>
    </row>
    <row r="99" spans="1:22" x14ac:dyDescent="0.2">
      <c r="A99">
        <f>Summary!A28</f>
        <v>12</v>
      </c>
      <c r="B99" t="s">
        <v>66</v>
      </c>
      <c r="C99" s="82">
        <v>0</v>
      </c>
      <c r="D99" s="82">
        <v>0</v>
      </c>
      <c r="E99" s="82">
        <v>0</v>
      </c>
      <c r="F99" s="82">
        <v>0</v>
      </c>
      <c r="G99" s="82">
        <v>0</v>
      </c>
      <c r="H99" s="82">
        <v>0</v>
      </c>
      <c r="I99" s="82">
        <v>0</v>
      </c>
      <c r="J99" s="82">
        <v>0</v>
      </c>
      <c r="K99" s="82">
        <v>0</v>
      </c>
      <c r="L99" s="82">
        <v>0</v>
      </c>
      <c r="M99" s="82">
        <v>0</v>
      </c>
      <c r="N99" s="82">
        <v>0</v>
      </c>
      <c r="O99" s="82">
        <v>0</v>
      </c>
      <c r="P99" s="82">
        <v>0</v>
      </c>
      <c r="Q99" s="82">
        <v>0</v>
      </c>
      <c r="R99" s="82">
        <v>0</v>
      </c>
      <c r="S99" s="82">
        <v>0</v>
      </c>
      <c r="T99" s="82">
        <v>0</v>
      </c>
      <c r="U99" s="82">
        <v>0</v>
      </c>
      <c r="V99" s="82">
        <v>0</v>
      </c>
    </row>
    <row r="100" spans="1:22" x14ac:dyDescent="0.2">
      <c r="A100">
        <f>Summary!A29</f>
        <v>13</v>
      </c>
      <c r="B100" t="s">
        <v>67</v>
      </c>
      <c r="C100" s="82">
        <v>0</v>
      </c>
      <c r="D100" s="82">
        <v>0</v>
      </c>
      <c r="E100" s="82">
        <v>0</v>
      </c>
      <c r="F100" s="82">
        <v>0</v>
      </c>
      <c r="G100" s="82">
        <v>0</v>
      </c>
      <c r="H100" s="82">
        <v>0</v>
      </c>
      <c r="I100" s="82">
        <v>0</v>
      </c>
      <c r="J100" s="82">
        <v>0</v>
      </c>
      <c r="K100" s="82">
        <v>0</v>
      </c>
      <c r="L100" s="82">
        <v>0</v>
      </c>
      <c r="M100" s="82">
        <v>0</v>
      </c>
      <c r="N100" s="82">
        <v>0</v>
      </c>
      <c r="O100" s="82">
        <v>0</v>
      </c>
      <c r="P100" s="82">
        <v>0</v>
      </c>
      <c r="Q100" s="82">
        <v>0</v>
      </c>
      <c r="R100" s="82">
        <v>0</v>
      </c>
      <c r="S100" s="82">
        <v>0</v>
      </c>
      <c r="T100" s="82">
        <v>0</v>
      </c>
      <c r="U100" s="82">
        <v>0</v>
      </c>
      <c r="V100" s="82">
        <v>0</v>
      </c>
    </row>
    <row r="101" spans="1:22" x14ac:dyDescent="0.2">
      <c r="A101">
        <f>Summary!A30</f>
        <v>14</v>
      </c>
      <c r="B101" t="s">
        <v>70</v>
      </c>
      <c r="C101" s="82">
        <v>0</v>
      </c>
      <c r="D101" s="82">
        <v>0</v>
      </c>
      <c r="E101" s="82">
        <v>0</v>
      </c>
      <c r="F101" s="82">
        <v>0</v>
      </c>
      <c r="G101" s="82">
        <v>0</v>
      </c>
      <c r="H101" s="82">
        <v>0</v>
      </c>
      <c r="I101" s="82">
        <v>0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</v>
      </c>
      <c r="P101" s="82">
        <v>0</v>
      </c>
      <c r="Q101" s="82">
        <v>0</v>
      </c>
      <c r="R101" s="82">
        <v>0</v>
      </c>
      <c r="S101" s="82">
        <v>0</v>
      </c>
      <c r="T101" s="82">
        <v>0</v>
      </c>
      <c r="U101" s="82">
        <v>0</v>
      </c>
      <c r="V101" s="82">
        <v>0</v>
      </c>
    </row>
    <row r="102" spans="1:22" x14ac:dyDescent="0.2">
      <c r="A102">
        <f>Summary!A31</f>
        <v>15</v>
      </c>
      <c r="B102" t="s">
        <v>68</v>
      </c>
      <c r="C102" s="82">
        <v>0</v>
      </c>
      <c r="D102" s="82">
        <v>0</v>
      </c>
      <c r="E102" s="82">
        <v>0</v>
      </c>
      <c r="F102" s="82">
        <v>0</v>
      </c>
      <c r="G102" s="82">
        <v>0</v>
      </c>
      <c r="H102" s="82">
        <v>0</v>
      </c>
      <c r="I102" s="82">
        <v>0</v>
      </c>
      <c r="J102" s="82">
        <v>0</v>
      </c>
      <c r="K102" s="82">
        <v>0</v>
      </c>
      <c r="L102" s="82">
        <v>0</v>
      </c>
      <c r="M102" s="82">
        <v>0</v>
      </c>
      <c r="N102" s="82">
        <v>0</v>
      </c>
      <c r="O102" s="82">
        <v>0</v>
      </c>
      <c r="P102" s="82">
        <v>0</v>
      </c>
      <c r="Q102" s="82">
        <v>0</v>
      </c>
      <c r="R102" s="82">
        <v>0</v>
      </c>
      <c r="S102" s="82">
        <v>0</v>
      </c>
      <c r="T102" s="82">
        <v>0</v>
      </c>
      <c r="U102" s="82">
        <v>0</v>
      </c>
      <c r="V102" s="82">
        <v>0</v>
      </c>
    </row>
    <row r="103" spans="1:22" x14ac:dyDescent="0.2">
      <c r="A103">
        <f>Summary!A32</f>
        <v>16</v>
      </c>
      <c r="B103" t="s">
        <v>69</v>
      </c>
      <c r="C103" s="82">
        <v>0</v>
      </c>
      <c r="D103" s="82">
        <v>0</v>
      </c>
      <c r="E103" s="82">
        <v>0</v>
      </c>
      <c r="F103" s="82">
        <v>0</v>
      </c>
      <c r="G103" s="82">
        <v>0</v>
      </c>
      <c r="H103" s="82">
        <v>0</v>
      </c>
      <c r="I103" s="82">
        <v>0</v>
      </c>
      <c r="J103" s="82">
        <v>0</v>
      </c>
      <c r="K103" s="82">
        <v>0</v>
      </c>
      <c r="L103" s="82">
        <v>0</v>
      </c>
      <c r="M103" s="82">
        <v>0</v>
      </c>
      <c r="N103" s="82">
        <v>0</v>
      </c>
      <c r="O103" s="82">
        <v>0</v>
      </c>
      <c r="P103" s="82">
        <v>0</v>
      </c>
      <c r="Q103" s="82">
        <v>0</v>
      </c>
      <c r="R103" s="82">
        <v>0</v>
      </c>
      <c r="S103" s="82">
        <v>0</v>
      </c>
      <c r="T103" s="82">
        <v>0</v>
      </c>
      <c r="U103" s="82">
        <v>0</v>
      </c>
      <c r="V103" s="82">
        <v>0</v>
      </c>
    </row>
    <row r="104" spans="1:22" x14ac:dyDescent="0.2">
      <c r="A104">
        <f>Summary!A33</f>
        <v>17</v>
      </c>
      <c r="B104" t="s">
        <v>71</v>
      </c>
      <c r="C104" s="82">
        <v>0</v>
      </c>
      <c r="D104" s="82">
        <v>0</v>
      </c>
      <c r="E104" s="82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  <c r="P104" s="82">
        <v>0</v>
      </c>
      <c r="Q104" s="82">
        <v>0</v>
      </c>
      <c r="R104" s="82">
        <v>0</v>
      </c>
      <c r="S104" s="82">
        <v>0</v>
      </c>
      <c r="T104" s="82">
        <v>0</v>
      </c>
      <c r="U104" s="82">
        <v>0</v>
      </c>
      <c r="V104" s="82">
        <v>0</v>
      </c>
    </row>
    <row r="105" spans="1:22" x14ac:dyDescent="0.2">
      <c r="A105">
        <f>Summary!A34</f>
        <v>18</v>
      </c>
      <c r="B105" t="s">
        <v>72</v>
      </c>
      <c r="C105" s="82">
        <v>0</v>
      </c>
      <c r="D105" s="82">
        <v>0</v>
      </c>
      <c r="E105" s="82">
        <v>0</v>
      </c>
      <c r="F105" s="82">
        <v>52768</v>
      </c>
      <c r="G105" s="82">
        <v>54087.199999999997</v>
      </c>
      <c r="H105" s="82">
        <v>55439.38</v>
      </c>
      <c r="I105" s="82">
        <v>56825.364499999981</v>
      </c>
      <c r="J105" s="82">
        <v>58245.998612499978</v>
      </c>
      <c r="K105" s="82">
        <v>59702.14857781247</v>
      </c>
      <c r="L105" s="82">
        <v>61194.702292257774</v>
      </c>
      <c r="M105" s="82">
        <v>62724.569849564214</v>
      </c>
      <c r="N105" s="82">
        <v>64292.684095803314</v>
      </c>
      <c r="O105" s="82">
        <v>65900.001198198384</v>
      </c>
      <c r="P105" s="82">
        <v>67547.501228153342</v>
      </c>
      <c r="Q105" s="82">
        <v>69236.18875885717</v>
      </c>
      <c r="R105" s="82">
        <v>70967.093477828588</v>
      </c>
      <c r="S105" s="82">
        <v>72741.270814774296</v>
      </c>
      <c r="T105" s="82">
        <v>74559.802585143654</v>
      </c>
      <c r="U105" s="82">
        <v>76423.797649772241</v>
      </c>
      <c r="V105" s="82">
        <v>78334.392591016542</v>
      </c>
    </row>
    <row r="106" spans="1:22" x14ac:dyDescent="0.2">
      <c r="A106">
        <f>Summary!A35</f>
        <v>19</v>
      </c>
      <c r="B106" t="s">
        <v>73</v>
      </c>
      <c r="C106" s="82">
        <v>0</v>
      </c>
      <c r="D106" s="82">
        <v>0</v>
      </c>
      <c r="E106" s="82">
        <v>0</v>
      </c>
      <c r="F106" s="82">
        <v>0</v>
      </c>
      <c r="G106" s="82">
        <v>0</v>
      </c>
      <c r="H106" s="82">
        <v>0</v>
      </c>
      <c r="I106" s="82">
        <v>0</v>
      </c>
      <c r="J106" s="82">
        <v>0</v>
      </c>
      <c r="K106" s="82">
        <v>0</v>
      </c>
      <c r="L106" s="82">
        <v>0</v>
      </c>
      <c r="M106" s="82">
        <v>0</v>
      </c>
      <c r="N106" s="82">
        <v>0</v>
      </c>
      <c r="O106" s="82">
        <v>0</v>
      </c>
      <c r="P106" s="82">
        <v>0</v>
      </c>
      <c r="Q106" s="82">
        <v>0</v>
      </c>
      <c r="R106" s="82">
        <v>0</v>
      </c>
      <c r="S106" s="82">
        <v>0</v>
      </c>
      <c r="T106" s="82">
        <v>0</v>
      </c>
      <c r="U106" s="82">
        <v>0</v>
      </c>
      <c r="V106" s="82">
        <v>0</v>
      </c>
    </row>
    <row r="107" spans="1:22" x14ac:dyDescent="0.2">
      <c r="A107">
        <f>Summary!A36</f>
        <v>20</v>
      </c>
      <c r="B107" t="s">
        <v>74</v>
      </c>
      <c r="C107" s="82">
        <v>0</v>
      </c>
      <c r="D107" s="82">
        <v>0</v>
      </c>
      <c r="E107" s="82">
        <v>0</v>
      </c>
      <c r="F107" s="82">
        <v>0</v>
      </c>
      <c r="G107" s="82">
        <v>0</v>
      </c>
      <c r="H107" s="82">
        <v>0</v>
      </c>
      <c r="I107" s="82">
        <v>0</v>
      </c>
      <c r="J107" s="82">
        <v>0</v>
      </c>
      <c r="K107" s="82">
        <v>0</v>
      </c>
      <c r="L107" s="82">
        <v>0</v>
      </c>
      <c r="M107" s="82">
        <v>0</v>
      </c>
      <c r="N107" s="82">
        <v>0</v>
      </c>
      <c r="O107" s="82">
        <v>0</v>
      </c>
      <c r="P107" s="82">
        <v>0</v>
      </c>
      <c r="Q107" s="82">
        <v>0</v>
      </c>
      <c r="R107" s="82">
        <v>0</v>
      </c>
      <c r="S107" s="82">
        <v>0</v>
      </c>
      <c r="T107" s="82">
        <v>0</v>
      </c>
      <c r="U107" s="82">
        <v>0</v>
      </c>
      <c r="V107" s="82">
        <v>0</v>
      </c>
    </row>
    <row r="108" spans="1:22" x14ac:dyDescent="0.2">
      <c r="A108">
        <f>Summary!A37</f>
        <v>21</v>
      </c>
      <c r="B108" t="s">
        <v>75</v>
      </c>
      <c r="C108" s="82">
        <v>0</v>
      </c>
      <c r="D108" s="82">
        <v>0</v>
      </c>
      <c r="E108" s="82">
        <v>0</v>
      </c>
      <c r="F108" s="82">
        <v>0</v>
      </c>
      <c r="G108" s="82">
        <v>0</v>
      </c>
      <c r="H108" s="82">
        <v>0</v>
      </c>
      <c r="I108" s="82">
        <v>0</v>
      </c>
      <c r="J108" s="82">
        <v>0</v>
      </c>
      <c r="K108" s="82">
        <v>0</v>
      </c>
      <c r="L108" s="82">
        <v>0</v>
      </c>
      <c r="M108" s="82">
        <v>0</v>
      </c>
      <c r="N108" s="82">
        <v>0</v>
      </c>
      <c r="O108" s="82">
        <v>0</v>
      </c>
      <c r="P108" s="82">
        <v>0</v>
      </c>
      <c r="Q108" s="82">
        <v>0</v>
      </c>
      <c r="R108" s="82">
        <v>0</v>
      </c>
      <c r="S108" s="82">
        <v>0</v>
      </c>
      <c r="T108" s="82">
        <v>0</v>
      </c>
      <c r="U108" s="82">
        <v>0</v>
      </c>
      <c r="V108" s="82">
        <v>0</v>
      </c>
    </row>
    <row r="109" spans="1:22" x14ac:dyDescent="0.2">
      <c r="A109">
        <f>Summary!A38</f>
        <v>22</v>
      </c>
      <c r="B109" t="s">
        <v>86</v>
      </c>
      <c r="C109" s="82">
        <v>0</v>
      </c>
      <c r="D109" s="82">
        <v>0</v>
      </c>
      <c r="E109" s="82">
        <v>0</v>
      </c>
      <c r="F109" s="82">
        <v>0</v>
      </c>
      <c r="G109" s="82">
        <v>0</v>
      </c>
      <c r="H109" s="82">
        <v>0</v>
      </c>
      <c r="I109" s="82">
        <v>0</v>
      </c>
      <c r="J109" s="82">
        <v>0</v>
      </c>
      <c r="K109" s="82">
        <v>0</v>
      </c>
      <c r="L109" s="82">
        <v>0</v>
      </c>
      <c r="M109" s="82">
        <v>0</v>
      </c>
      <c r="N109" s="82">
        <v>0</v>
      </c>
      <c r="O109" s="82">
        <v>0</v>
      </c>
      <c r="P109" s="82">
        <v>0</v>
      </c>
      <c r="Q109" s="82">
        <v>0</v>
      </c>
      <c r="R109" s="82">
        <v>0</v>
      </c>
      <c r="S109" s="82">
        <v>0</v>
      </c>
      <c r="T109" s="82">
        <v>0</v>
      </c>
      <c r="U109" s="82">
        <v>0</v>
      </c>
      <c r="V109" s="82">
        <v>0</v>
      </c>
    </row>
    <row r="110" spans="1:22" x14ac:dyDescent="0.2">
      <c r="A110">
        <f>Summary!A39</f>
        <v>23</v>
      </c>
      <c r="B110" t="s">
        <v>76</v>
      </c>
      <c r="C110" s="82">
        <v>0</v>
      </c>
      <c r="D110" s="82">
        <v>0</v>
      </c>
      <c r="E110" s="82">
        <v>0</v>
      </c>
      <c r="F110" s="82">
        <v>0</v>
      </c>
      <c r="G110" s="82">
        <v>0</v>
      </c>
      <c r="H110" s="82">
        <v>0</v>
      </c>
      <c r="I110" s="82">
        <v>0</v>
      </c>
      <c r="J110" s="82">
        <v>0</v>
      </c>
      <c r="K110" s="82">
        <v>0</v>
      </c>
      <c r="L110" s="82">
        <v>0</v>
      </c>
      <c r="M110" s="82">
        <v>0</v>
      </c>
      <c r="N110" s="82">
        <v>0</v>
      </c>
      <c r="O110" s="82">
        <v>0</v>
      </c>
      <c r="P110" s="82">
        <v>0</v>
      </c>
      <c r="Q110" s="82">
        <v>0</v>
      </c>
      <c r="R110" s="82">
        <v>0</v>
      </c>
      <c r="S110" s="82">
        <v>0</v>
      </c>
      <c r="T110" s="82">
        <v>0</v>
      </c>
      <c r="U110" s="82">
        <v>0</v>
      </c>
      <c r="V110" s="82">
        <v>0</v>
      </c>
    </row>
    <row r="111" spans="1:22" x14ac:dyDescent="0.2">
      <c r="A111">
        <f>Summary!A40</f>
        <v>24</v>
      </c>
      <c r="B111" t="s">
        <v>77</v>
      </c>
      <c r="C111" s="82">
        <v>0</v>
      </c>
      <c r="D111" s="82">
        <v>0</v>
      </c>
      <c r="E111" s="82">
        <v>0</v>
      </c>
      <c r="F111" s="82">
        <v>0</v>
      </c>
      <c r="G111" s="82">
        <v>0</v>
      </c>
      <c r="H111" s="82">
        <v>0</v>
      </c>
      <c r="I111" s="82">
        <v>0</v>
      </c>
      <c r="J111" s="82">
        <v>0</v>
      </c>
      <c r="K111" s="82">
        <v>0</v>
      </c>
      <c r="L111" s="82">
        <v>0</v>
      </c>
      <c r="M111" s="82">
        <v>0</v>
      </c>
      <c r="N111" s="82">
        <v>0</v>
      </c>
      <c r="O111" s="82">
        <v>0</v>
      </c>
      <c r="P111" s="82">
        <v>0</v>
      </c>
      <c r="Q111" s="82">
        <v>0</v>
      </c>
      <c r="R111" s="82">
        <v>0</v>
      </c>
      <c r="S111" s="82">
        <v>0</v>
      </c>
      <c r="T111" s="82">
        <v>0</v>
      </c>
      <c r="U111" s="82">
        <v>0</v>
      </c>
      <c r="V111" s="82">
        <v>0</v>
      </c>
    </row>
    <row r="112" spans="1:22" x14ac:dyDescent="0.2">
      <c r="A112">
        <f>Summary!A41</f>
        <v>25</v>
      </c>
      <c r="B112" t="s">
        <v>78</v>
      </c>
      <c r="C112" s="82">
        <v>0</v>
      </c>
      <c r="D112" s="82">
        <v>0</v>
      </c>
      <c r="E112" s="82">
        <v>0</v>
      </c>
      <c r="F112" s="82">
        <v>0</v>
      </c>
      <c r="G112" s="82">
        <v>0</v>
      </c>
      <c r="H112" s="82">
        <v>0</v>
      </c>
      <c r="I112" s="82">
        <v>0</v>
      </c>
      <c r="J112" s="82">
        <v>0</v>
      </c>
      <c r="K112" s="82">
        <v>0</v>
      </c>
      <c r="L112" s="82">
        <v>0</v>
      </c>
      <c r="M112" s="82">
        <v>0</v>
      </c>
      <c r="N112" s="82">
        <v>0</v>
      </c>
      <c r="O112" s="82">
        <v>0</v>
      </c>
      <c r="P112" s="82">
        <v>0</v>
      </c>
      <c r="Q112" s="82">
        <v>0</v>
      </c>
      <c r="R112" s="82">
        <v>0</v>
      </c>
      <c r="S112" s="82">
        <v>0</v>
      </c>
      <c r="T112" s="82">
        <v>0</v>
      </c>
      <c r="U112" s="82">
        <v>0</v>
      </c>
      <c r="V112" s="82">
        <v>0</v>
      </c>
    </row>
    <row r="113" spans="1:22" x14ac:dyDescent="0.2">
      <c r="A113">
        <f>Summary!A42</f>
        <v>26</v>
      </c>
      <c r="B113" t="s">
        <v>79</v>
      </c>
      <c r="C113" s="82">
        <v>0</v>
      </c>
      <c r="D113" s="82">
        <v>0</v>
      </c>
      <c r="E113" s="82">
        <v>0</v>
      </c>
      <c r="F113" s="82">
        <v>0</v>
      </c>
      <c r="G113" s="82">
        <v>0</v>
      </c>
      <c r="H113" s="82">
        <v>0</v>
      </c>
      <c r="I113" s="82">
        <v>0</v>
      </c>
      <c r="J113" s="82">
        <v>0</v>
      </c>
      <c r="K113" s="82">
        <v>0</v>
      </c>
      <c r="L113" s="82">
        <v>0</v>
      </c>
      <c r="M113" s="82">
        <v>0</v>
      </c>
      <c r="N113" s="82">
        <v>0</v>
      </c>
      <c r="O113" s="82">
        <v>0</v>
      </c>
      <c r="P113" s="82">
        <v>0</v>
      </c>
      <c r="Q113" s="82">
        <v>0</v>
      </c>
      <c r="R113" s="82">
        <v>0</v>
      </c>
      <c r="S113" s="82">
        <v>0</v>
      </c>
      <c r="T113" s="82">
        <v>0</v>
      </c>
      <c r="U113" s="82">
        <v>0</v>
      </c>
      <c r="V113" s="82">
        <v>0</v>
      </c>
    </row>
    <row r="114" spans="1:22" x14ac:dyDescent="0.2">
      <c r="A114">
        <f>Summary!A43</f>
        <v>27</v>
      </c>
      <c r="B114" t="s">
        <v>80</v>
      </c>
      <c r="C114" s="82">
        <v>0</v>
      </c>
      <c r="D114" s="82">
        <v>0</v>
      </c>
      <c r="E114" s="82">
        <v>0</v>
      </c>
      <c r="F114" s="82">
        <v>0</v>
      </c>
      <c r="G114" s="82">
        <v>0</v>
      </c>
      <c r="H114" s="82">
        <v>0</v>
      </c>
      <c r="I114" s="82">
        <v>0</v>
      </c>
      <c r="J114" s="82">
        <v>0</v>
      </c>
      <c r="K114" s="82">
        <v>0</v>
      </c>
      <c r="L114" s="82">
        <v>0</v>
      </c>
      <c r="M114" s="82">
        <v>0</v>
      </c>
      <c r="N114" s="82">
        <v>0</v>
      </c>
      <c r="O114" s="82">
        <v>0</v>
      </c>
      <c r="P114" s="82">
        <v>0</v>
      </c>
      <c r="Q114" s="82">
        <v>0</v>
      </c>
      <c r="R114" s="82">
        <v>0</v>
      </c>
      <c r="S114" s="82">
        <v>0</v>
      </c>
      <c r="T114" s="82">
        <v>0</v>
      </c>
      <c r="U114" s="82">
        <v>0</v>
      </c>
      <c r="V114" s="82">
        <v>0</v>
      </c>
    </row>
    <row r="115" spans="1:22" x14ac:dyDescent="0.2">
      <c r="A115">
        <f>Summary!A44</f>
        <v>28</v>
      </c>
      <c r="B115" t="s">
        <v>81</v>
      </c>
      <c r="C115" s="82">
        <v>0</v>
      </c>
      <c r="D115" s="82">
        <v>0</v>
      </c>
      <c r="E115" s="82">
        <v>0</v>
      </c>
      <c r="F115" s="82">
        <v>0</v>
      </c>
      <c r="G115" s="82">
        <v>0</v>
      </c>
      <c r="H115" s="82">
        <v>0</v>
      </c>
      <c r="I115" s="82">
        <v>0</v>
      </c>
      <c r="J115" s="82">
        <v>0</v>
      </c>
      <c r="K115" s="82">
        <v>0</v>
      </c>
      <c r="L115" s="82">
        <v>0</v>
      </c>
      <c r="M115" s="82">
        <v>0</v>
      </c>
      <c r="N115" s="82">
        <v>0</v>
      </c>
      <c r="O115" s="82">
        <v>0</v>
      </c>
      <c r="P115" s="82">
        <v>0</v>
      </c>
      <c r="Q115" s="82">
        <v>0</v>
      </c>
      <c r="R115" s="82">
        <v>0</v>
      </c>
      <c r="S115" s="82">
        <v>0</v>
      </c>
      <c r="T115" s="82">
        <v>0</v>
      </c>
      <c r="U115" s="82">
        <v>0</v>
      </c>
      <c r="V115" s="82">
        <v>0</v>
      </c>
    </row>
    <row r="116" spans="1:22" x14ac:dyDescent="0.2">
      <c r="A116">
        <f>Summary!A45</f>
        <v>29</v>
      </c>
      <c r="B116" t="s">
        <v>82</v>
      </c>
      <c r="C116" s="82">
        <v>0</v>
      </c>
      <c r="D116" s="82">
        <v>0</v>
      </c>
      <c r="E116" s="82">
        <v>0</v>
      </c>
      <c r="F116" s="82">
        <v>0</v>
      </c>
      <c r="G116" s="82">
        <v>0</v>
      </c>
      <c r="H116" s="82">
        <v>0</v>
      </c>
      <c r="I116" s="82">
        <v>0</v>
      </c>
      <c r="J116" s="82">
        <v>0</v>
      </c>
      <c r="K116" s="82">
        <v>0</v>
      </c>
      <c r="L116" s="82">
        <v>0</v>
      </c>
      <c r="M116" s="82">
        <v>0</v>
      </c>
      <c r="N116" s="82">
        <v>0</v>
      </c>
      <c r="O116" s="82">
        <v>0</v>
      </c>
      <c r="P116" s="82">
        <v>0</v>
      </c>
      <c r="Q116" s="82">
        <v>0</v>
      </c>
      <c r="R116" s="82">
        <v>0</v>
      </c>
      <c r="S116" s="82">
        <v>0</v>
      </c>
      <c r="T116" s="82">
        <v>0</v>
      </c>
      <c r="U116" s="82">
        <v>0</v>
      </c>
      <c r="V116" s="82">
        <v>0</v>
      </c>
    </row>
    <row r="117" spans="1:22" x14ac:dyDescent="0.2">
      <c r="A117">
        <f>Summary!A46</f>
        <v>30</v>
      </c>
      <c r="B117" t="s">
        <v>83</v>
      </c>
      <c r="C117" s="82">
        <v>0</v>
      </c>
      <c r="D117" s="82">
        <v>0</v>
      </c>
      <c r="E117" s="82">
        <v>0</v>
      </c>
      <c r="F117" s="82">
        <v>0</v>
      </c>
      <c r="G117" s="82">
        <v>0</v>
      </c>
      <c r="H117" s="82">
        <v>0</v>
      </c>
      <c r="I117" s="82">
        <v>0</v>
      </c>
      <c r="J117" s="82">
        <v>0</v>
      </c>
      <c r="K117" s="82">
        <v>0</v>
      </c>
      <c r="L117" s="82">
        <v>0</v>
      </c>
      <c r="M117" s="82">
        <v>0</v>
      </c>
      <c r="N117" s="82">
        <v>0</v>
      </c>
      <c r="O117" s="82">
        <v>0</v>
      </c>
      <c r="P117" s="82">
        <v>0</v>
      </c>
      <c r="Q117" s="82">
        <v>0</v>
      </c>
      <c r="R117" s="82">
        <v>0</v>
      </c>
      <c r="S117" s="82">
        <v>0</v>
      </c>
      <c r="T117" s="82">
        <v>0</v>
      </c>
      <c r="U117" s="82">
        <v>0</v>
      </c>
      <c r="V117" s="82">
        <v>0</v>
      </c>
    </row>
    <row r="118" spans="1:22" x14ac:dyDescent="0.2">
      <c r="A118">
        <f>Summary!A47</f>
        <v>31</v>
      </c>
      <c r="B118" t="s">
        <v>84</v>
      </c>
      <c r="C118" s="82">
        <v>0</v>
      </c>
      <c r="D118" s="82">
        <v>0</v>
      </c>
      <c r="E118" s="82">
        <v>0</v>
      </c>
      <c r="F118" s="82">
        <v>0</v>
      </c>
      <c r="G118" s="82">
        <v>0</v>
      </c>
      <c r="H118" s="82">
        <v>0</v>
      </c>
      <c r="I118" s="82">
        <v>0</v>
      </c>
      <c r="J118" s="82">
        <v>0</v>
      </c>
      <c r="K118" s="82">
        <v>0</v>
      </c>
      <c r="L118" s="82">
        <v>0</v>
      </c>
      <c r="M118" s="82">
        <v>0</v>
      </c>
      <c r="N118" s="82">
        <v>0</v>
      </c>
      <c r="O118" s="82">
        <v>0</v>
      </c>
      <c r="P118" s="82">
        <v>0</v>
      </c>
      <c r="Q118" s="82">
        <v>0</v>
      </c>
      <c r="R118" s="82">
        <v>0</v>
      </c>
      <c r="S118" s="82">
        <v>0</v>
      </c>
      <c r="T118" s="82">
        <v>0</v>
      </c>
      <c r="U118" s="82">
        <v>0</v>
      </c>
      <c r="V118" s="82">
        <v>0</v>
      </c>
    </row>
    <row r="119" spans="1:22" x14ac:dyDescent="0.2">
      <c r="A119">
        <f>Summary!A48</f>
        <v>32</v>
      </c>
      <c r="B119" t="s">
        <v>85</v>
      </c>
      <c r="C119" s="82">
        <v>0</v>
      </c>
      <c r="D119" s="82">
        <v>0</v>
      </c>
      <c r="E119" s="82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  <c r="P119" s="82">
        <v>0</v>
      </c>
      <c r="Q119" s="82">
        <v>0</v>
      </c>
      <c r="R119" s="82">
        <v>0</v>
      </c>
      <c r="S119" s="82">
        <v>0</v>
      </c>
      <c r="T119" s="82">
        <v>0</v>
      </c>
      <c r="U119" s="82">
        <v>0</v>
      </c>
      <c r="V119" s="82">
        <v>0</v>
      </c>
    </row>
    <row r="120" spans="1:22" x14ac:dyDescent="0.2">
      <c r="A120">
        <f>Summary!A49</f>
        <v>33</v>
      </c>
      <c r="B120" t="s">
        <v>181</v>
      </c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</row>
    <row r="121" spans="1:22" x14ac:dyDescent="0.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2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x14ac:dyDescent="0.2">
      <c r="A123" s="13" t="s">
        <v>107</v>
      </c>
    </row>
    <row r="125" spans="1:22" x14ac:dyDescent="0.2">
      <c r="C125" s="12">
        <v>2000</v>
      </c>
      <c r="D125" s="12">
        <v>2001</v>
      </c>
      <c r="E125" s="12">
        <v>2002</v>
      </c>
      <c r="F125" s="12">
        <v>2003</v>
      </c>
      <c r="G125" s="12">
        <v>2004</v>
      </c>
      <c r="H125" s="12">
        <v>2005</v>
      </c>
      <c r="I125" s="12">
        <v>2006</v>
      </c>
      <c r="J125" s="12">
        <v>2007</v>
      </c>
      <c r="K125" s="12">
        <v>2008</v>
      </c>
      <c r="L125" s="12">
        <v>2009</v>
      </c>
      <c r="M125" s="12">
        <v>2010</v>
      </c>
      <c r="N125" s="12">
        <v>2011</v>
      </c>
      <c r="O125" s="12">
        <v>2012</v>
      </c>
      <c r="P125" s="12">
        <v>2013</v>
      </c>
      <c r="Q125" s="12">
        <v>2014</v>
      </c>
      <c r="R125" s="12">
        <v>2015</v>
      </c>
      <c r="S125" s="12">
        <v>2016</v>
      </c>
      <c r="T125" s="12">
        <v>2017</v>
      </c>
      <c r="U125" s="12">
        <v>2018</v>
      </c>
      <c r="V125" s="12">
        <v>2019</v>
      </c>
    </row>
    <row r="127" spans="1:22" x14ac:dyDescent="0.2">
      <c r="A127">
        <f>Summary!A17</f>
        <v>1</v>
      </c>
      <c r="B127" t="s">
        <v>55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2.4399542510000001</v>
      </c>
      <c r="J127" s="14">
        <v>2.4399542510000001</v>
      </c>
      <c r="K127" s="14">
        <v>2.4399542510000001</v>
      </c>
      <c r="L127" s="14">
        <v>2.4399542510000001</v>
      </c>
      <c r="M127" s="14">
        <v>2.4399542510000001</v>
      </c>
      <c r="N127" s="14">
        <v>2.4399542510000001</v>
      </c>
      <c r="O127" s="14">
        <v>2.4399542510000001</v>
      </c>
      <c r="P127" s="14">
        <v>2.4399542510000001</v>
      </c>
      <c r="Q127" s="14">
        <v>2.4399542510000001</v>
      </c>
      <c r="R127" s="14">
        <v>2.4399542510000001</v>
      </c>
      <c r="S127" s="14">
        <v>2.4399542510000001</v>
      </c>
      <c r="T127" s="14">
        <v>2.4399542510000001</v>
      </c>
      <c r="U127" s="14">
        <v>2.4399542510000001</v>
      </c>
      <c r="V127" s="14">
        <v>2.4399542510000001</v>
      </c>
    </row>
    <row r="128" spans="1:22" x14ac:dyDescent="0.2">
      <c r="A128">
        <f>Summary!A18</f>
        <v>2</v>
      </c>
      <c r="B128" t="s">
        <v>56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0.3</v>
      </c>
      <c r="J128" s="14">
        <v>0.3</v>
      </c>
      <c r="K128" s="14">
        <v>0.3</v>
      </c>
      <c r="L128" s="14">
        <v>0.3</v>
      </c>
      <c r="M128" s="14">
        <v>0.3</v>
      </c>
      <c r="N128" s="14">
        <v>0.3</v>
      </c>
      <c r="O128" s="14">
        <v>0.3</v>
      </c>
      <c r="P128" s="14">
        <v>0.3</v>
      </c>
      <c r="Q128" s="14">
        <v>0.3</v>
      </c>
      <c r="R128" s="14">
        <v>0.3</v>
      </c>
      <c r="S128" s="14">
        <v>0.3</v>
      </c>
      <c r="T128" s="14">
        <v>0.3</v>
      </c>
      <c r="U128" s="14">
        <v>0.3</v>
      </c>
      <c r="V128" s="14">
        <v>0.3</v>
      </c>
    </row>
    <row r="129" spans="1:22" x14ac:dyDescent="0.2">
      <c r="A129">
        <f>Summary!A19</f>
        <v>3</v>
      </c>
      <c r="B129" s="9" t="s">
        <v>57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1.1666666670000001</v>
      </c>
      <c r="J129" s="14">
        <v>1.1666666670000001</v>
      </c>
      <c r="K129" s="14">
        <v>1.1666666670000001</v>
      </c>
      <c r="L129" s="14">
        <v>1.1666666670000001</v>
      </c>
      <c r="M129" s="14">
        <v>1.1666666670000001</v>
      </c>
      <c r="N129" s="14">
        <v>1.1666666670000001</v>
      </c>
      <c r="O129" s="14">
        <v>1.1666666670000001</v>
      </c>
      <c r="P129" s="14">
        <v>1.1666666670000001</v>
      </c>
      <c r="Q129" s="14">
        <v>1.1666666670000001</v>
      </c>
      <c r="R129" s="14">
        <v>1.1666666670000001</v>
      </c>
      <c r="S129" s="14">
        <v>1.1666666670000001</v>
      </c>
      <c r="T129" s="14">
        <v>1.1666666670000001</v>
      </c>
      <c r="U129" s="14">
        <v>1.1666666670000001</v>
      </c>
      <c r="V129" s="14">
        <v>1.1666666670000001</v>
      </c>
    </row>
    <row r="130" spans="1:22" x14ac:dyDescent="0.2">
      <c r="A130">
        <f>Summary!A20</f>
        <v>4</v>
      </c>
      <c r="B130" s="9" t="s">
        <v>58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1.1666666670000001</v>
      </c>
      <c r="J130" s="14">
        <v>1.1666666670000001</v>
      </c>
      <c r="K130" s="14">
        <v>1.1666666670000001</v>
      </c>
      <c r="L130" s="14">
        <v>1.1666666670000001</v>
      </c>
      <c r="M130" s="14">
        <v>1.1666666670000001</v>
      </c>
      <c r="N130" s="14">
        <v>1.1666666670000001</v>
      </c>
      <c r="O130" s="14">
        <v>1.1666666670000001</v>
      </c>
      <c r="P130" s="14">
        <v>1.1666666670000001</v>
      </c>
      <c r="Q130" s="14">
        <v>1.1666666670000001</v>
      </c>
      <c r="R130" s="14">
        <v>1.1666666670000001</v>
      </c>
      <c r="S130" s="14">
        <v>1.1666666670000001</v>
      </c>
      <c r="T130" s="14">
        <v>1.1666666670000001</v>
      </c>
      <c r="U130" s="14">
        <v>1.1666666670000001</v>
      </c>
      <c r="V130" s="14">
        <v>1.1666666670000001</v>
      </c>
    </row>
    <row r="131" spans="1:22" x14ac:dyDescent="0.2">
      <c r="A131">
        <f>Summary!A21</f>
        <v>5</v>
      </c>
      <c r="B131" s="9" t="s">
        <v>59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1.1666666670000001</v>
      </c>
      <c r="J131" s="14">
        <v>1.1666666670000001</v>
      </c>
      <c r="K131" s="14">
        <v>1.1666666670000001</v>
      </c>
      <c r="L131" s="14">
        <v>1.1666666670000001</v>
      </c>
      <c r="M131" s="14">
        <v>1.1666666670000001</v>
      </c>
      <c r="N131" s="14">
        <v>1.1666666670000001</v>
      </c>
      <c r="O131" s="14">
        <v>1.1666666670000001</v>
      </c>
      <c r="P131" s="14">
        <v>1.1666666670000001</v>
      </c>
      <c r="Q131" s="14">
        <v>1.1666666670000001</v>
      </c>
      <c r="R131" s="14">
        <v>1.1666666670000001</v>
      </c>
      <c r="S131" s="14">
        <v>1.1666666670000001</v>
      </c>
      <c r="T131" s="14">
        <v>1.1666666670000001</v>
      </c>
      <c r="U131" s="14">
        <v>1.1666666670000001</v>
      </c>
      <c r="V131" s="14">
        <v>1.1666666670000001</v>
      </c>
    </row>
    <row r="132" spans="1:22" x14ac:dyDescent="0.2">
      <c r="A132">
        <f>Summary!A22</f>
        <v>6</v>
      </c>
      <c r="B132" s="9" t="s">
        <v>60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1.1666666670000001</v>
      </c>
      <c r="J132" s="14">
        <v>1.1666666670000001</v>
      </c>
      <c r="K132" s="14">
        <v>1.1666666670000001</v>
      </c>
      <c r="L132" s="14">
        <v>1.1666666670000001</v>
      </c>
      <c r="M132" s="14">
        <v>1.1666666670000001</v>
      </c>
      <c r="N132" s="14">
        <v>1.1666666670000001</v>
      </c>
      <c r="O132" s="14">
        <v>1.1666666670000001</v>
      </c>
      <c r="P132" s="14">
        <v>1.1666666670000001</v>
      </c>
      <c r="Q132" s="14">
        <v>1.1666666670000001</v>
      </c>
      <c r="R132" s="14">
        <v>1.1666666670000001</v>
      </c>
      <c r="S132" s="14">
        <v>1.1666666670000001</v>
      </c>
      <c r="T132" s="14">
        <v>1.1666666670000001</v>
      </c>
      <c r="U132" s="14">
        <v>1.1666666670000001</v>
      </c>
      <c r="V132" s="14">
        <v>1.1666666670000001</v>
      </c>
    </row>
    <row r="133" spans="1:22" x14ac:dyDescent="0.2">
      <c r="A133">
        <f>Summary!A23</f>
        <v>7</v>
      </c>
      <c r="B133" t="s">
        <v>61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1.1666666670000001</v>
      </c>
      <c r="J133" s="14">
        <v>1.1666666670000001</v>
      </c>
      <c r="K133" s="14">
        <v>1.1666666670000001</v>
      </c>
      <c r="L133" s="14">
        <v>1.1666666670000001</v>
      </c>
      <c r="M133" s="14">
        <v>1.1666666670000001</v>
      </c>
      <c r="N133" s="14">
        <v>1.1666666670000001</v>
      </c>
      <c r="O133" s="14">
        <v>1.1666666670000001</v>
      </c>
      <c r="P133" s="14">
        <v>1.1666666670000001</v>
      </c>
      <c r="Q133" s="14">
        <v>1.1666666670000001</v>
      </c>
      <c r="R133" s="14">
        <v>1.1666666670000001</v>
      </c>
      <c r="S133" s="14">
        <v>1.1666666670000001</v>
      </c>
      <c r="T133" s="14">
        <v>1.1666666670000001</v>
      </c>
      <c r="U133" s="14">
        <v>1.1666666670000001</v>
      </c>
      <c r="V133" s="14">
        <v>1.1666666670000001</v>
      </c>
    </row>
    <row r="134" spans="1:22" x14ac:dyDescent="0.2">
      <c r="A134">
        <f>Summary!A24</f>
        <v>8</v>
      </c>
      <c r="B134" t="s">
        <v>62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1.1666666670000001</v>
      </c>
      <c r="J134" s="14">
        <v>1.1666666670000001</v>
      </c>
      <c r="K134" s="14">
        <v>1.1666666670000001</v>
      </c>
      <c r="L134" s="14">
        <v>1.1666666670000001</v>
      </c>
      <c r="M134" s="14">
        <v>1.1666666670000001</v>
      </c>
      <c r="N134" s="14">
        <v>1.1666666670000001</v>
      </c>
      <c r="O134" s="14">
        <v>1.1666666670000001</v>
      </c>
      <c r="P134" s="14">
        <v>1.1666666670000001</v>
      </c>
      <c r="Q134" s="14">
        <v>1.1666666670000001</v>
      </c>
      <c r="R134" s="14">
        <v>1.1666666670000001</v>
      </c>
      <c r="S134" s="14">
        <v>1.1666666670000001</v>
      </c>
      <c r="T134" s="14">
        <v>1.1666666670000001</v>
      </c>
      <c r="U134" s="14">
        <v>1.1666666670000001</v>
      </c>
      <c r="V134" s="14">
        <v>1.1666666670000001</v>
      </c>
    </row>
    <row r="135" spans="1:22" x14ac:dyDescent="0.2">
      <c r="A135">
        <f>Summary!A25</f>
        <v>9</v>
      </c>
      <c r="B135" t="s">
        <v>63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1.1666666670000001</v>
      </c>
      <c r="J135" s="14">
        <v>1.1666666670000001</v>
      </c>
      <c r="K135" s="14">
        <v>1.1666666670000001</v>
      </c>
      <c r="L135" s="14">
        <v>1.1666666670000001</v>
      </c>
      <c r="M135" s="14">
        <v>1.1666666670000001</v>
      </c>
      <c r="N135" s="14">
        <v>1.1666666670000001</v>
      </c>
      <c r="O135" s="14">
        <v>1.1666666670000001</v>
      </c>
      <c r="P135" s="14">
        <v>1.1666666670000001</v>
      </c>
      <c r="Q135" s="14">
        <v>1.1666666670000001</v>
      </c>
      <c r="R135" s="14">
        <v>1.1666666670000001</v>
      </c>
      <c r="S135" s="14">
        <v>1.1666666670000001</v>
      </c>
      <c r="T135" s="14">
        <v>1.1666666670000001</v>
      </c>
      <c r="U135" s="14">
        <v>1.1666666670000001</v>
      </c>
      <c r="V135" s="14">
        <v>1.1666666670000001</v>
      </c>
    </row>
    <row r="136" spans="1:22" x14ac:dyDescent="0.2">
      <c r="A136">
        <f>Summary!A26</f>
        <v>10</v>
      </c>
      <c r="B136" t="s">
        <v>64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1.1666666670000001</v>
      </c>
      <c r="J136" s="14">
        <v>1.1666666670000001</v>
      </c>
      <c r="K136" s="14">
        <v>1.1666666670000001</v>
      </c>
      <c r="L136" s="14">
        <v>1.1666666670000001</v>
      </c>
      <c r="M136" s="14">
        <v>1.1666666670000001</v>
      </c>
      <c r="N136" s="14">
        <v>1.1666666670000001</v>
      </c>
      <c r="O136" s="14">
        <v>1.1666666670000001</v>
      </c>
      <c r="P136" s="14">
        <v>1.1666666670000001</v>
      </c>
      <c r="Q136" s="14">
        <v>1.1666666670000001</v>
      </c>
      <c r="R136" s="14">
        <v>1.1666666670000001</v>
      </c>
      <c r="S136" s="14">
        <v>1.1666666670000001</v>
      </c>
      <c r="T136" s="14">
        <v>1.1666666670000001</v>
      </c>
      <c r="U136" s="14">
        <v>1.1666666670000001</v>
      </c>
      <c r="V136" s="14">
        <v>1.1666666670000001</v>
      </c>
    </row>
    <row r="137" spans="1:22" x14ac:dyDescent="0.2">
      <c r="A137">
        <f>Summary!A27</f>
        <v>11</v>
      </c>
      <c r="B137" t="s">
        <v>65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1.1666666670000001</v>
      </c>
      <c r="J137" s="14">
        <v>1.1666666670000001</v>
      </c>
      <c r="K137" s="14">
        <v>1.1666666670000001</v>
      </c>
      <c r="L137" s="14">
        <v>1.1666666670000001</v>
      </c>
      <c r="M137" s="14">
        <v>1.1666666670000001</v>
      </c>
      <c r="N137" s="14">
        <v>1.1666666670000001</v>
      </c>
      <c r="O137" s="14">
        <v>1.1666666670000001</v>
      </c>
      <c r="P137" s="14">
        <v>1.1666666670000001</v>
      </c>
      <c r="Q137" s="14">
        <v>1.1666666670000001</v>
      </c>
      <c r="R137" s="14">
        <v>1.1666666670000001</v>
      </c>
      <c r="S137" s="14">
        <v>1.1666666670000001</v>
      </c>
      <c r="T137" s="14">
        <v>1.1666666670000001</v>
      </c>
      <c r="U137" s="14">
        <v>1.1666666670000001</v>
      </c>
      <c r="V137" s="14">
        <v>1.1666666670000001</v>
      </c>
    </row>
    <row r="138" spans="1:22" x14ac:dyDescent="0.2">
      <c r="A138">
        <f>Summary!A28</f>
        <v>12</v>
      </c>
      <c r="B138" t="s">
        <v>66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1.1666666670000001</v>
      </c>
      <c r="J138" s="14">
        <v>1.1666666670000001</v>
      </c>
      <c r="K138" s="14">
        <v>1.1666666670000001</v>
      </c>
      <c r="L138" s="14">
        <v>1.1666666670000001</v>
      </c>
      <c r="M138" s="14">
        <v>1.1666666670000001</v>
      </c>
      <c r="N138" s="14">
        <v>1.1666666670000001</v>
      </c>
      <c r="O138" s="14">
        <v>1.1666666670000001</v>
      </c>
      <c r="P138" s="14">
        <v>1.1666666670000001</v>
      </c>
      <c r="Q138" s="14">
        <v>1.1666666670000001</v>
      </c>
      <c r="R138" s="14">
        <v>1.1666666670000001</v>
      </c>
      <c r="S138" s="14">
        <v>1.1666666670000001</v>
      </c>
      <c r="T138" s="14">
        <v>1.1666666670000001</v>
      </c>
      <c r="U138" s="14">
        <v>1.1666666670000001</v>
      </c>
      <c r="V138" s="14">
        <v>1.1666666670000001</v>
      </c>
    </row>
    <row r="139" spans="1:22" x14ac:dyDescent="0.2">
      <c r="A139">
        <f>Summary!A29</f>
        <v>13</v>
      </c>
      <c r="B139" t="s">
        <v>67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1.1666666670000001</v>
      </c>
      <c r="J139" s="14">
        <v>1.1666666670000001</v>
      </c>
      <c r="K139" s="14">
        <v>1.1666666670000001</v>
      </c>
      <c r="L139" s="14">
        <v>1.1666666670000001</v>
      </c>
      <c r="M139" s="14">
        <v>1.1666666670000001</v>
      </c>
      <c r="N139" s="14">
        <v>1.1666666670000001</v>
      </c>
      <c r="O139" s="14">
        <v>1.1666666670000001</v>
      </c>
      <c r="P139" s="14">
        <v>1.1666666670000001</v>
      </c>
      <c r="Q139" s="14">
        <v>1.1666666670000001</v>
      </c>
      <c r="R139" s="14">
        <v>1.1666666670000001</v>
      </c>
      <c r="S139" s="14">
        <v>1.1666666670000001</v>
      </c>
      <c r="T139" s="14">
        <v>1.1666666670000001</v>
      </c>
      <c r="U139" s="14">
        <v>1.1666666670000001</v>
      </c>
      <c r="V139" s="14">
        <v>1.1666666670000001</v>
      </c>
    </row>
    <row r="140" spans="1:22" x14ac:dyDescent="0.2">
      <c r="A140">
        <f>Summary!A30</f>
        <v>14</v>
      </c>
      <c r="B140" t="s">
        <v>70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1.1666666670000001</v>
      </c>
      <c r="J140" s="14">
        <v>1.1666666670000001</v>
      </c>
      <c r="K140" s="14">
        <v>1.1666666670000001</v>
      </c>
      <c r="L140" s="14">
        <v>1.1666666670000001</v>
      </c>
      <c r="M140" s="14">
        <v>1.1666666670000001</v>
      </c>
      <c r="N140" s="14">
        <v>1.1666666670000001</v>
      </c>
      <c r="O140" s="14">
        <v>1.1666666670000001</v>
      </c>
      <c r="P140" s="14">
        <v>1.1666666670000001</v>
      </c>
      <c r="Q140" s="14">
        <v>1.1666666670000001</v>
      </c>
      <c r="R140" s="14">
        <v>1.1666666670000001</v>
      </c>
      <c r="S140" s="14">
        <v>1.1666666670000001</v>
      </c>
      <c r="T140" s="14">
        <v>1.1666666670000001</v>
      </c>
      <c r="U140" s="14">
        <v>1.1666666670000001</v>
      </c>
      <c r="V140" s="14">
        <v>1.1666666670000001</v>
      </c>
    </row>
    <row r="141" spans="1:22" x14ac:dyDescent="0.2">
      <c r="A141">
        <f>Summary!A31</f>
        <v>15</v>
      </c>
      <c r="B141" t="s">
        <v>68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1.1666666670000001</v>
      </c>
      <c r="J141" s="14">
        <v>1.1666666670000001</v>
      </c>
      <c r="K141" s="14">
        <v>1.1666666670000001</v>
      </c>
      <c r="L141" s="14">
        <v>1.1666666670000001</v>
      </c>
      <c r="M141" s="14">
        <v>1.1666666670000001</v>
      </c>
      <c r="N141" s="14">
        <v>1.1666666670000001</v>
      </c>
      <c r="O141" s="14">
        <v>1.1666666670000001</v>
      </c>
      <c r="P141" s="14">
        <v>1.1666666670000001</v>
      </c>
      <c r="Q141" s="14">
        <v>1.1666666670000001</v>
      </c>
      <c r="R141" s="14">
        <v>1.1666666670000001</v>
      </c>
      <c r="S141" s="14">
        <v>1.1666666670000001</v>
      </c>
      <c r="T141" s="14">
        <v>1.1666666670000001</v>
      </c>
      <c r="U141" s="14">
        <v>1.1666666670000001</v>
      </c>
      <c r="V141" s="14">
        <v>1.1666666670000001</v>
      </c>
    </row>
    <row r="142" spans="1:22" x14ac:dyDescent="0.2">
      <c r="A142">
        <f>Summary!A32</f>
        <v>16</v>
      </c>
      <c r="B142" t="s">
        <v>69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1.1666666670000001</v>
      </c>
      <c r="J142" s="14">
        <v>1.1666666670000001</v>
      </c>
      <c r="K142" s="14">
        <v>1.1666666670000001</v>
      </c>
      <c r="L142" s="14">
        <v>1.1666666670000001</v>
      </c>
      <c r="M142" s="14">
        <v>1.1666666670000001</v>
      </c>
      <c r="N142" s="14">
        <v>1.1666666670000001</v>
      </c>
      <c r="O142" s="14">
        <v>1.1666666670000001</v>
      </c>
      <c r="P142" s="14">
        <v>1.1666666670000001</v>
      </c>
      <c r="Q142" s="14">
        <v>1.1666666670000001</v>
      </c>
      <c r="R142" s="14">
        <v>1.1666666670000001</v>
      </c>
      <c r="S142" s="14">
        <v>1.1666666670000001</v>
      </c>
      <c r="T142" s="14">
        <v>1.1666666670000001</v>
      </c>
      <c r="U142" s="14">
        <v>1.1666666670000001</v>
      </c>
      <c r="V142" s="14">
        <v>1.1666666670000001</v>
      </c>
    </row>
    <row r="143" spans="1:22" x14ac:dyDescent="0.2">
      <c r="A143">
        <f>Summary!A33</f>
        <v>17</v>
      </c>
      <c r="B143" t="s">
        <v>71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1.1666666670000001</v>
      </c>
      <c r="J143" s="14">
        <v>1.1666666670000001</v>
      </c>
      <c r="K143" s="14">
        <v>1.1666666670000001</v>
      </c>
      <c r="L143" s="14">
        <v>1.1666666670000001</v>
      </c>
      <c r="M143" s="14">
        <v>1.1666666670000001</v>
      </c>
      <c r="N143" s="14">
        <v>1.1666666670000001</v>
      </c>
      <c r="O143" s="14">
        <v>1.1666666670000001</v>
      </c>
      <c r="P143" s="14">
        <v>1.1666666670000001</v>
      </c>
      <c r="Q143" s="14">
        <v>1.1666666670000001</v>
      </c>
      <c r="R143" s="14">
        <v>1.1666666670000001</v>
      </c>
      <c r="S143" s="14">
        <v>1.1666666670000001</v>
      </c>
      <c r="T143" s="14">
        <v>1.1666666670000001</v>
      </c>
      <c r="U143" s="14">
        <v>1.1666666670000001</v>
      </c>
      <c r="V143" s="14">
        <v>1.1666666670000001</v>
      </c>
    </row>
    <row r="144" spans="1:22" x14ac:dyDescent="0.2">
      <c r="A144">
        <f>Summary!A34</f>
        <v>18</v>
      </c>
      <c r="B144" t="s">
        <v>72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0.3</v>
      </c>
      <c r="J144" s="14">
        <v>0.3</v>
      </c>
      <c r="K144" s="14">
        <v>0.3</v>
      </c>
      <c r="L144" s="14">
        <v>0.3</v>
      </c>
      <c r="M144" s="14">
        <v>0.3</v>
      </c>
      <c r="N144" s="14">
        <v>0.3</v>
      </c>
      <c r="O144" s="14">
        <v>0.3</v>
      </c>
      <c r="P144" s="14">
        <v>0.3</v>
      </c>
      <c r="Q144" s="14">
        <v>0.3</v>
      </c>
      <c r="R144" s="14">
        <v>0.3</v>
      </c>
      <c r="S144" s="14">
        <v>0.3</v>
      </c>
      <c r="T144" s="14">
        <v>0.3</v>
      </c>
      <c r="U144" s="14">
        <v>0.3</v>
      </c>
      <c r="V144" s="14">
        <v>0.3</v>
      </c>
    </row>
    <row r="145" spans="1:22" x14ac:dyDescent="0.2">
      <c r="A145">
        <f>Summary!A35</f>
        <v>19</v>
      </c>
      <c r="B145" t="s">
        <v>73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0.31</v>
      </c>
      <c r="J145" s="14">
        <v>0.31</v>
      </c>
      <c r="K145" s="14">
        <v>0.31</v>
      </c>
      <c r="L145" s="14">
        <v>0.31</v>
      </c>
      <c r="M145" s="14">
        <v>0.31</v>
      </c>
      <c r="N145" s="14">
        <v>0.31</v>
      </c>
      <c r="O145" s="14">
        <v>0.31</v>
      </c>
      <c r="P145" s="14">
        <v>0.31</v>
      </c>
      <c r="Q145" s="14">
        <v>0.31</v>
      </c>
      <c r="R145" s="14">
        <v>0.31</v>
      </c>
      <c r="S145" s="14">
        <v>0.31</v>
      </c>
      <c r="T145" s="14">
        <v>0.31</v>
      </c>
      <c r="U145" s="14">
        <v>0.31</v>
      </c>
      <c r="V145" s="14">
        <v>0.31</v>
      </c>
    </row>
    <row r="146" spans="1:22" x14ac:dyDescent="0.2">
      <c r="A146">
        <f>Summary!A36</f>
        <v>20</v>
      </c>
      <c r="B146" t="s">
        <v>74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0.31</v>
      </c>
      <c r="J146" s="14">
        <v>0.31</v>
      </c>
      <c r="K146" s="14">
        <v>0.31</v>
      </c>
      <c r="L146" s="14">
        <v>0.31</v>
      </c>
      <c r="M146" s="14">
        <v>0.31</v>
      </c>
      <c r="N146" s="14">
        <v>0.31</v>
      </c>
      <c r="O146" s="14">
        <v>0.31</v>
      </c>
      <c r="P146" s="14">
        <v>0.31</v>
      </c>
      <c r="Q146" s="14">
        <v>0.31</v>
      </c>
      <c r="R146" s="14">
        <v>0.31</v>
      </c>
      <c r="S146" s="14">
        <v>0.31</v>
      </c>
      <c r="T146" s="14">
        <v>0.31</v>
      </c>
      <c r="U146" s="14">
        <v>0.31</v>
      </c>
      <c r="V146" s="14">
        <v>0.31</v>
      </c>
    </row>
    <row r="147" spans="1:22" x14ac:dyDescent="0.2">
      <c r="A147">
        <f>Summary!A37</f>
        <v>21</v>
      </c>
      <c r="B147" t="s">
        <v>75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0.31</v>
      </c>
      <c r="J147" s="14">
        <v>0.31</v>
      </c>
      <c r="K147" s="14">
        <v>0.31</v>
      </c>
      <c r="L147" s="14">
        <v>0.31</v>
      </c>
      <c r="M147" s="14">
        <v>0.31</v>
      </c>
      <c r="N147" s="14">
        <v>0.31</v>
      </c>
      <c r="O147" s="14">
        <v>0.31</v>
      </c>
      <c r="P147" s="14">
        <v>0.31</v>
      </c>
      <c r="Q147" s="14">
        <v>0.31</v>
      </c>
      <c r="R147" s="14">
        <v>0.31</v>
      </c>
      <c r="S147" s="14">
        <v>0.31</v>
      </c>
      <c r="T147" s="14">
        <v>0.31</v>
      </c>
      <c r="U147" s="14">
        <v>0.31</v>
      </c>
      <c r="V147" s="14">
        <v>0.31</v>
      </c>
    </row>
    <row r="148" spans="1:22" x14ac:dyDescent="0.2">
      <c r="A148">
        <f>Summary!A38</f>
        <v>22</v>
      </c>
      <c r="B148" t="s">
        <v>86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0.31</v>
      </c>
      <c r="J148" s="14">
        <v>0.31</v>
      </c>
      <c r="K148" s="14">
        <v>0.31</v>
      </c>
      <c r="L148" s="14">
        <v>0.31</v>
      </c>
      <c r="M148" s="14">
        <v>0.31</v>
      </c>
      <c r="N148" s="14">
        <v>0.31</v>
      </c>
      <c r="O148" s="14">
        <v>0.31</v>
      </c>
      <c r="P148" s="14">
        <v>0.31</v>
      </c>
      <c r="Q148" s="14">
        <v>0.31</v>
      </c>
      <c r="R148" s="14">
        <v>0.31</v>
      </c>
      <c r="S148" s="14">
        <v>0.31</v>
      </c>
      <c r="T148" s="14">
        <v>0.31</v>
      </c>
      <c r="U148" s="14">
        <v>0.31</v>
      </c>
      <c r="V148" s="14">
        <v>0.31</v>
      </c>
    </row>
    <row r="149" spans="1:22" x14ac:dyDescent="0.2">
      <c r="A149">
        <f>Summary!A39</f>
        <v>23</v>
      </c>
      <c r="B149" t="s">
        <v>76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0.31</v>
      </c>
      <c r="J149" s="14">
        <v>0.31</v>
      </c>
      <c r="K149" s="14">
        <v>0.31</v>
      </c>
      <c r="L149" s="14">
        <v>0.31</v>
      </c>
      <c r="M149" s="14">
        <v>0.31</v>
      </c>
      <c r="N149" s="14">
        <v>0.31</v>
      </c>
      <c r="O149" s="14">
        <v>0.31</v>
      </c>
      <c r="P149" s="14">
        <v>0.31</v>
      </c>
      <c r="Q149" s="14">
        <v>0.31</v>
      </c>
      <c r="R149" s="14">
        <v>0.31</v>
      </c>
      <c r="S149" s="14">
        <v>0.31</v>
      </c>
      <c r="T149" s="14">
        <v>0.31</v>
      </c>
      <c r="U149" s="14">
        <v>0.31</v>
      </c>
      <c r="V149" s="14">
        <v>0.31</v>
      </c>
    </row>
    <row r="150" spans="1:22" x14ac:dyDescent="0.2">
      <c r="A150">
        <f>Summary!A40</f>
        <v>24</v>
      </c>
      <c r="B150" t="s">
        <v>77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0.31</v>
      </c>
      <c r="J150" s="14">
        <v>0.31</v>
      </c>
      <c r="K150" s="14">
        <v>0.31</v>
      </c>
      <c r="L150" s="14">
        <v>0.31</v>
      </c>
      <c r="M150" s="14">
        <v>0.31</v>
      </c>
      <c r="N150" s="14">
        <v>0.31</v>
      </c>
      <c r="O150" s="14">
        <v>0.31</v>
      </c>
      <c r="P150" s="14">
        <v>0.31</v>
      </c>
      <c r="Q150" s="14">
        <v>0.31</v>
      </c>
      <c r="R150" s="14">
        <v>0.31</v>
      </c>
      <c r="S150" s="14">
        <v>0.31</v>
      </c>
      <c r="T150" s="14">
        <v>0.31</v>
      </c>
      <c r="U150" s="14">
        <v>0.31</v>
      </c>
      <c r="V150" s="14">
        <v>0.31</v>
      </c>
    </row>
    <row r="151" spans="1:22" x14ac:dyDescent="0.2">
      <c r="A151">
        <f>Summary!A41</f>
        <v>25</v>
      </c>
      <c r="B151" t="s">
        <v>78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0.31</v>
      </c>
      <c r="J151" s="14">
        <v>0.31</v>
      </c>
      <c r="K151" s="14">
        <v>0.31</v>
      </c>
      <c r="L151" s="14">
        <v>0.31</v>
      </c>
      <c r="M151" s="14">
        <v>0.31</v>
      </c>
      <c r="N151" s="14">
        <v>0.31</v>
      </c>
      <c r="O151" s="14">
        <v>0.31</v>
      </c>
      <c r="P151" s="14">
        <v>0.31</v>
      </c>
      <c r="Q151" s="14">
        <v>0.31</v>
      </c>
      <c r="R151" s="14">
        <v>0.31</v>
      </c>
      <c r="S151" s="14">
        <v>0.31</v>
      </c>
      <c r="T151" s="14">
        <v>0.31</v>
      </c>
      <c r="U151" s="14">
        <v>0.31</v>
      </c>
      <c r="V151" s="14">
        <v>0.31</v>
      </c>
    </row>
    <row r="152" spans="1:22" x14ac:dyDescent="0.2">
      <c r="A152">
        <f>Summary!A42</f>
        <v>26</v>
      </c>
      <c r="B152" t="s">
        <v>79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0.31</v>
      </c>
      <c r="J152" s="14">
        <v>0.31</v>
      </c>
      <c r="K152" s="14">
        <v>0.31</v>
      </c>
      <c r="L152" s="14">
        <v>0.31</v>
      </c>
      <c r="M152" s="14">
        <v>0.31</v>
      </c>
      <c r="N152" s="14">
        <v>0.31</v>
      </c>
      <c r="O152" s="14">
        <v>0.31</v>
      </c>
      <c r="P152" s="14">
        <v>0.31</v>
      </c>
      <c r="Q152" s="14">
        <v>0.31</v>
      </c>
      <c r="R152" s="14">
        <v>0.31</v>
      </c>
      <c r="S152" s="14">
        <v>0.31</v>
      </c>
      <c r="T152" s="14">
        <v>0.31</v>
      </c>
      <c r="U152" s="14">
        <v>0.31</v>
      </c>
      <c r="V152" s="14">
        <v>0.31</v>
      </c>
    </row>
    <row r="153" spans="1:22" x14ac:dyDescent="0.2">
      <c r="A153">
        <f>Summary!A43</f>
        <v>27</v>
      </c>
      <c r="B153" t="s">
        <v>80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</row>
    <row r="154" spans="1:22" x14ac:dyDescent="0.2">
      <c r="A154">
        <f>Summary!A44</f>
        <v>28</v>
      </c>
      <c r="B154" t="s">
        <v>81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</row>
    <row r="155" spans="1:22" x14ac:dyDescent="0.2">
      <c r="A155">
        <f>Summary!A45</f>
        <v>29</v>
      </c>
      <c r="B155" t="s">
        <v>82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</row>
    <row r="156" spans="1:22" x14ac:dyDescent="0.2">
      <c r="A156">
        <f>Summary!A46</f>
        <v>30</v>
      </c>
      <c r="B156" t="s">
        <v>83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</row>
    <row r="157" spans="1:22" x14ac:dyDescent="0.2">
      <c r="A157">
        <f>Summary!A47</f>
        <v>31</v>
      </c>
      <c r="B157" t="s">
        <v>84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</row>
    <row r="158" spans="1:22" x14ac:dyDescent="0.2">
      <c r="A158">
        <f>Summary!A48</f>
        <v>32</v>
      </c>
      <c r="B158" t="s">
        <v>85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0</v>
      </c>
    </row>
    <row r="159" spans="1:22" x14ac:dyDescent="0.2">
      <c r="A159">
        <f>Summary!A49</f>
        <v>33</v>
      </c>
      <c r="B159" t="s">
        <v>181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f t="shared" ref="I159:V159" si="1">H159</f>
        <v>0</v>
      </c>
      <c r="J159" s="14">
        <f t="shared" si="1"/>
        <v>0</v>
      </c>
      <c r="K159" s="14">
        <f t="shared" si="1"/>
        <v>0</v>
      </c>
      <c r="L159" s="14">
        <f t="shared" si="1"/>
        <v>0</v>
      </c>
      <c r="M159" s="14">
        <f t="shared" si="1"/>
        <v>0</v>
      </c>
      <c r="N159" s="14">
        <f t="shared" si="1"/>
        <v>0</v>
      </c>
      <c r="O159" s="14">
        <f t="shared" si="1"/>
        <v>0</v>
      </c>
      <c r="P159" s="14">
        <f t="shared" si="1"/>
        <v>0</v>
      </c>
      <c r="Q159" s="14">
        <f t="shared" si="1"/>
        <v>0</v>
      </c>
      <c r="R159" s="14">
        <f t="shared" si="1"/>
        <v>0</v>
      </c>
      <c r="S159" s="14">
        <f t="shared" si="1"/>
        <v>0</v>
      </c>
      <c r="T159" s="14">
        <f t="shared" si="1"/>
        <v>0</v>
      </c>
      <c r="U159" s="14">
        <f t="shared" si="1"/>
        <v>0</v>
      </c>
      <c r="V159" s="14">
        <f t="shared" si="1"/>
        <v>0</v>
      </c>
    </row>
    <row r="162" spans="1:24" x14ac:dyDescent="0.2">
      <c r="A162" s="13" t="s">
        <v>108</v>
      </c>
    </row>
    <row r="163" spans="1:24" x14ac:dyDescent="0.2">
      <c r="A163" s="77"/>
      <c r="W163" s="77" t="s">
        <v>302</v>
      </c>
    </row>
    <row r="164" spans="1:24" x14ac:dyDescent="0.2">
      <c r="C164" s="12">
        <v>2000</v>
      </c>
      <c r="D164" s="12">
        <v>2001</v>
      </c>
      <c r="E164" s="12">
        <v>2002</v>
      </c>
      <c r="F164" s="12">
        <v>2003</v>
      </c>
      <c r="G164" s="12">
        <v>2004</v>
      </c>
      <c r="H164" s="12">
        <v>2005</v>
      </c>
      <c r="I164" s="12">
        <v>2006</v>
      </c>
      <c r="J164" s="12">
        <v>2007</v>
      </c>
      <c r="K164" s="12">
        <v>2008</v>
      </c>
      <c r="L164" s="12">
        <v>2009</v>
      </c>
      <c r="M164" s="12">
        <v>2010</v>
      </c>
      <c r="N164" s="12">
        <v>2011</v>
      </c>
      <c r="O164" s="12">
        <v>2012</v>
      </c>
      <c r="P164" s="12">
        <v>2013</v>
      </c>
      <c r="Q164" s="12">
        <v>2014</v>
      </c>
      <c r="R164" s="12">
        <v>2015</v>
      </c>
      <c r="S164" s="12">
        <v>2016</v>
      </c>
      <c r="T164" s="12">
        <v>2017</v>
      </c>
      <c r="U164" s="12">
        <v>2018</v>
      </c>
      <c r="V164" s="12">
        <v>2019</v>
      </c>
      <c r="W164" s="12" t="s">
        <v>87</v>
      </c>
      <c r="X164" s="12" t="s">
        <v>303</v>
      </c>
    </row>
    <row r="166" spans="1:24" x14ac:dyDescent="0.2">
      <c r="A166">
        <f>Summary!A17</f>
        <v>1</v>
      </c>
      <c r="B166" t="s">
        <v>55</v>
      </c>
      <c r="C166" s="14">
        <v>0.48</v>
      </c>
      <c r="D166" s="14">
        <v>0.48</v>
      </c>
      <c r="E166" s="14">
        <v>0.48</v>
      </c>
      <c r="F166" s="14">
        <f>E166*(1-X166)</f>
        <v>7.2000000000000008E-2</v>
      </c>
      <c r="G166" s="14">
        <f t="shared" ref="G166:G198" si="2">F166</f>
        <v>7.2000000000000008E-2</v>
      </c>
      <c r="H166" s="14">
        <f t="shared" ref="H166:V166" si="3">G166</f>
        <v>7.2000000000000008E-2</v>
      </c>
      <c r="I166" s="14">
        <f t="shared" si="3"/>
        <v>7.2000000000000008E-2</v>
      </c>
      <c r="J166" s="14">
        <f t="shared" si="3"/>
        <v>7.2000000000000008E-2</v>
      </c>
      <c r="K166" s="14">
        <f t="shared" si="3"/>
        <v>7.2000000000000008E-2</v>
      </c>
      <c r="L166" s="14">
        <f t="shared" si="3"/>
        <v>7.2000000000000008E-2</v>
      </c>
      <c r="M166" s="14">
        <f t="shared" si="3"/>
        <v>7.2000000000000008E-2</v>
      </c>
      <c r="N166" s="14">
        <f t="shared" si="3"/>
        <v>7.2000000000000008E-2</v>
      </c>
      <c r="O166" s="14">
        <f t="shared" si="3"/>
        <v>7.2000000000000008E-2</v>
      </c>
      <c r="P166" s="14">
        <f t="shared" si="3"/>
        <v>7.2000000000000008E-2</v>
      </c>
      <c r="Q166" s="14">
        <f t="shared" si="3"/>
        <v>7.2000000000000008E-2</v>
      </c>
      <c r="R166" s="14">
        <f t="shared" si="3"/>
        <v>7.2000000000000008E-2</v>
      </c>
      <c r="S166" s="14">
        <f t="shared" si="3"/>
        <v>7.2000000000000008E-2</v>
      </c>
      <c r="T166" s="14">
        <f t="shared" si="3"/>
        <v>7.2000000000000008E-2</v>
      </c>
      <c r="U166" s="14">
        <f t="shared" si="3"/>
        <v>7.2000000000000008E-2</v>
      </c>
      <c r="V166" s="14">
        <f t="shared" si="3"/>
        <v>7.2000000000000008E-2</v>
      </c>
      <c r="W166" s="455" t="s">
        <v>297</v>
      </c>
      <c r="X166" s="456">
        <v>0.85</v>
      </c>
    </row>
    <row r="167" spans="1:24" x14ac:dyDescent="0.2">
      <c r="A167">
        <f>Summary!A18</f>
        <v>2</v>
      </c>
      <c r="B167" t="s">
        <v>56</v>
      </c>
      <c r="C167" s="14">
        <v>0.36</v>
      </c>
      <c r="D167" s="14">
        <v>0.36</v>
      </c>
      <c r="E167" s="14">
        <v>0.36</v>
      </c>
      <c r="F167" s="14">
        <f t="shared" ref="F167:F198" si="4">E167*(1-X167)</f>
        <v>5.4000000000000006E-2</v>
      </c>
      <c r="G167" s="14">
        <f t="shared" si="2"/>
        <v>5.4000000000000006E-2</v>
      </c>
      <c r="H167" s="14">
        <f t="shared" ref="H167:V167" si="5">G167</f>
        <v>5.4000000000000006E-2</v>
      </c>
      <c r="I167" s="14">
        <f t="shared" si="5"/>
        <v>5.4000000000000006E-2</v>
      </c>
      <c r="J167" s="14">
        <f t="shared" si="5"/>
        <v>5.4000000000000006E-2</v>
      </c>
      <c r="K167" s="14">
        <f t="shared" si="5"/>
        <v>5.4000000000000006E-2</v>
      </c>
      <c r="L167" s="14">
        <f t="shared" si="5"/>
        <v>5.4000000000000006E-2</v>
      </c>
      <c r="M167" s="14">
        <f t="shared" si="5"/>
        <v>5.4000000000000006E-2</v>
      </c>
      <c r="N167" s="14">
        <f t="shared" si="5"/>
        <v>5.4000000000000006E-2</v>
      </c>
      <c r="O167" s="14">
        <f t="shared" si="5"/>
        <v>5.4000000000000006E-2</v>
      </c>
      <c r="P167" s="14">
        <f t="shared" si="5"/>
        <v>5.4000000000000006E-2</v>
      </c>
      <c r="Q167" s="14">
        <f t="shared" si="5"/>
        <v>5.4000000000000006E-2</v>
      </c>
      <c r="R167" s="14">
        <f t="shared" si="5"/>
        <v>5.4000000000000006E-2</v>
      </c>
      <c r="S167" s="14">
        <f t="shared" si="5"/>
        <v>5.4000000000000006E-2</v>
      </c>
      <c r="T167" s="14">
        <f t="shared" si="5"/>
        <v>5.4000000000000006E-2</v>
      </c>
      <c r="U167" s="14">
        <f t="shared" si="5"/>
        <v>5.4000000000000006E-2</v>
      </c>
      <c r="V167" s="14">
        <f t="shared" si="5"/>
        <v>5.4000000000000006E-2</v>
      </c>
      <c r="W167" s="455" t="s">
        <v>298</v>
      </c>
      <c r="X167" s="456">
        <v>0.85</v>
      </c>
    </row>
    <row r="168" spans="1:24" x14ac:dyDescent="0.2">
      <c r="A168">
        <f>Summary!A19</f>
        <v>3</v>
      </c>
      <c r="B168" s="9" t="s">
        <v>57</v>
      </c>
      <c r="C168" s="14">
        <v>0.68</v>
      </c>
      <c r="D168" s="14">
        <v>0.68</v>
      </c>
      <c r="E168" s="14">
        <v>0.68</v>
      </c>
      <c r="F168" s="14">
        <f t="shared" si="4"/>
        <v>0.10200000000000002</v>
      </c>
      <c r="G168" s="14">
        <f t="shared" si="2"/>
        <v>0.10200000000000002</v>
      </c>
      <c r="H168" s="14">
        <f t="shared" ref="H168:V168" si="6">G168</f>
        <v>0.10200000000000002</v>
      </c>
      <c r="I168" s="14">
        <f t="shared" si="6"/>
        <v>0.10200000000000002</v>
      </c>
      <c r="J168" s="14">
        <f t="shared" si="6"/>
        <v>0.10200000000000002</v>
      </c>
      <c r="K168" s="14">
        <f t="shared" si="6"/>
        <v>0.10200000000000002</v>
      </c>
      <c r="L168" s="14">
        <f t="shared" si="6"/>
        <v>0.10200000000000002</v>
      </c>
      <c r="M168" s="14">
        <f t="shared" si="6"/>
        <v>0.10200000000000002</v>
      </c>
      <c r="N168" s="14">
        <f t="shared" si="6"/>
        <v>0.10200000000000002</v>
      </c>
      <c r="O168" s="14">
        <f t="shared" si="6"/>
        <v>0.10200000000000002</v>
      </c>
      <c r="P168" s="14">
        <f t="shared" si="6"/>
        <v>0.10200000000000002</v>
      </c>
      <c r="Q168" s="14">
        <f t="shared" si="6"/>
        <v>0.10200000000000002</v>
      </c>
      <c r="R168" s="14">
        <f t="shared" si="6"/>
        <v>0.10200000000000002</v>
      </c>
      <c r="S168" s="14">
        <f t="shared" si="6"/>
        <v>0.10200000000000002</v>
      </c>
      <c r="T168" s="14">
        <f t="shared" si="6"/>
        <v>0.10200000000000002</v>
      </c>
      <c r="U168" s="14">
        <f t="shared" si="6"/>
        <v>0.10200000000000002</v>
      </c>
      <c r="V168" s="14">
        <f t="shared" si="6"/>
        <v>0.10200000000000002</v>
      </c>
      <c r="W168" s="455" t="s">
        <v>297</v>
      </c>
      <c r="X168" s="456">
        <v>0.85</v>
      </c>
    </row>
    <row r="169" spans="1:24" x14ac:dyDescent="0.2">
      <c r="A169">
        <f>Summary!A20</f>
        <v>4</v>
      </c>
      <c r="B169" s="9" t="s">
        <v>58</v>
      </c>
      <c r="C169" s="14">
        <v>0.68</v>
      </c>
      <c r="D169" s="14">
        <v>0.68</v>
      </c>
      <c r="E169" s="14">
        <v>0.68</v>
      </c>
      <c r="F169" s="14">
        <f t="shared" si="4"/>
        <v>0.10200000000000002</v>
      </c>
      <c r="G169" s="14">
        <f t="shared" si="2"/>
        <v>0.10200000000000002</v>
      </c>
      <c r="H169" s="14">
        <f t="shared" ref="H169:V169" si="7">G169</f>
        <v>0.10200000000000002</v>
      </c>
      <c r="I169" s="14">
        <f t="shared" si="7"/>
        <v>0.10200000000000002</v>
      </c>
      <c r="J169" s="14">
        <f t="shared" si="7"/>
        <v>0.10200000000000002</v>
      </c>
      <c r="K169" s="14">
        <f t="shared" si="7"/>
        <v>0.10200000000000002</v>
      </c>
      <c r="L169" s="14">
        <f t="shared" si="7"/>
        <v>0.10200000000000002</v>
      </c>
      <c r="M169" s="14">
        <f t="shared" si="7"/>
        <v>0.10200000000000002</v>
      </c>
      <c r="N169" s="14">
        <f t="shared" si="7"/>
        <v>0.10200000000000002</v>
      </c>
      <c r="O169" s="14">
        <f t="shared" si="7"/>
        <v>0.10200000000000002</v>
      </c>
      <c r="P169" s="14">
        <f t="shared" si="7"/>
        <v>0.10200000000000002</v>
      </c>
      <c r="Q169" s="14">
        <f t="shared" si="7"/>
        <v>0.10200000000000002</v>
      </c>
      <c r="R169" s="14">
        <f t="shared" si="7"/>
        <v>0.10200000000000002</v>
      </c>
      <c r="S169" s="14">
        <f t="shared" si="7"/>
        <v>0.10200000000000002</v>
      </c>
      <c r="T169" s="14">
        <f t="shared" si="7"/>
        <v>0.10200000000000002</v>
      </c>
      <c r="U169" s="14">
        <f t="shared" si="7"/>
        <v>0.10200000000000002</v>
      </c>
      <c r="V169" s="14">
        <f t="shared" si="7"/>
        <v>0.10200000000000002</v>
      </c>
      <c r="W169" s="455" t="s">
        <v>297</v>
      </c>
      <c r="X169" s="456">
        <v>0.85</v>
      </c>
    </row>
    <row r="170" spans="1:24" x14ac:dyDescent="0.2">
      <c r="A170">
        <f>Summary!A21</f>
        <v>5</v>
      </c>
      <c r="B170" s="9" t="s">
        <v>59</v>
      </c>
      <c r="C170" s="14">
        <v>0.68</v>
      </c>
      <c r="D170" s="14">
        <v>0.68</v>
      </c>
      <c r="E170" s="14">
        <v>0.68</v>
      </c>
      <c r="F170" s="14">
        <f t="shared" si="4"/>
        <v>0.10200000000000002</v>
      </c>
      <c r="G170" s="14">
        <f t="shared" si="2"/>
        <v>0.10200000000000002</v>
      </c>
      <c r="H170" s="14">
        <f t="shared" ref="H170:V170" si="8">G170</f>
        <v>0.10200000000000002</v>
      </c>
      <c r="I170" s="14">
        <f t="shared" si="8"/>
        <v>0.10200000000000002</v>
      </c>
      <c r="J170" s="14">
        <f t="shared" si="8"/>
        <v>0.10200000000000002</v>
      </c>
      <c r="K170" s="14">
        <f t="shared" si="8"/>
        <v>0.10200000000000002</v>
      </c>
      <c r="L170" s="14">
        <f t="shared" si="8"/>
        <v>0.10200000000000002</v>
      </c>
      <c r="M170" s="14">
        <f t="shared" si="8"/>
        <v>0.10200000000000002</v>
      </c>
      <c r="N170" s="14">
        <f t="shared" si="8"/>
        <v>0.10200000000000002</v>
      </c>
      <c r="O170" s="14">
        <f t="shared" si="8"/>
        <v>0.10200000000000002</v>
      </c>
      <c r="P170" s="14">
        <f t="shared" si="8"/>
        <v>0.10200000000000002</v>
      </c>
      <c r="Q170" s="14">
        <f t="shared" si="8"/>
        <v>0.10200000000000002</v>
      </c>
      <c r="R170" s="14">
        <f t="shared" si="8"/>
        <v>0.10200000000000002</v>
      </c>
      <c r="S170" s="14">
        <f t="shared" si="8"/>
        <v>0.10200000000000002</v>
      </c>
      <c r="T170" s="14">
        <f t="shared" si="8"/>
        <v>0.10200000000000002</v>
      </c>
      <c r="U170" s="14">
        <f t="shared" si="8"/>
        <v>0.10200000000000002</v>
      </c>
      <c r="V170" s="14">
        <f t="shared" si="8"/>
        <v>0.10200000000000002</v>
      </c>
      <c r="W170" s="455" t="s">
        <v>297</v>
      </c>
      <c r="X170" s="456">
        <v>0.85</v>
      </c>
    </row>
    <row r="171" spans="1:24" x14ac:dyDescent="0.2">
      <c r="A171">
        <f>Summary!A22</f>
        <v>6</v>
      </c>
      <c r="B171" s="9" t="s">
        <v>60</v>
      </c>
      <c r="C171" s="14">
        <v>0.68</v>
      </c>
      <c r="D171" s="14">
        <v>0.68</v>
      </c>
      <c r="E171" s="14">
        <v>0.68</v>
      </c>
      <c r="F171" s="14">
        <f t="shared" si="4"/>
        <v>0.10200000000000002</v>
      </c>
      <c r="G171" s="14">
        <f t="shared" si="2"/>
        <v>0.10200000000000002</v>
      </c>
      <c r="H171" s="14">
        <f t="shared" ref="H171:V171" si="9">G171</f>
        <v>0.10200000000000002</v>
      </c>
      <c r="I171" s="14">
        <f t="shared" si="9"/>
        <v>0.10200000000000002</v>
      </c>
      <c r="J171" s="14">
        <f t="shared" si="9"/>
        <v>0.10200000000000002</v>
      </c>
      <c r="K171" s="14">
        <f t="shared" si="9"/>
        <v>0.10200000000000002</v>
      </c>
      <c r="L171" s="14">
        <f t="shared" si="9"/>
        <v>0.10200000000000002</v>
      </c>
      <c r="M171" s="14">
        <f t="shared" si="9"/>
        <v>0.10200000000000002</v>
      </c>
      <c r="N171" s="14">
        <f t="shared" si="9"/>
        <v>0.10200000000000002</v>
      </c>
      <c r="O171" s="14">
        <f t="shared" si="9"/>
        <v>0.10200000000000002</v>
      </c>
      <c r="P171" s="14">
        <f t="shared" si="9"/>
        <v>0.10200000000000002</v>
      </c>
      <c r="Q171" s="14">
        <f t="shared" si="9"/>
        <v>0.10200000000000002</v>
      </c>
      <c r="R171" s="14">
        <f t="shared" si="9"/>
        <v>0.10200000000000002</v>
      </c>
      <c r="S171" s="14">
        <f t="shared" si="9"/>
        <v>0.10200000000000002</v>
      </c>
      <c r="T171" s="14">
        <f t="shared" si="9"/>
        <v>0.10200000000000002</v>
      </c>
      <c r="U171" s="14">
        <f t="shared" si="9"/>
        <v>0.10200000000000002</v>
      </c>
      <c r="V171" s="14">
        <f t="shared" si="9"/>
        <v>0.10200000000000002</v>
      </c>
      <c r="W171" s="455" t="s">
        <v>297</v>
      </c>
      <c r="X171" s="456">
        <v>0.85</v>
      </c>
    </row>
    <row r="172" spans="1:24" x14ac:dyDescent="0.2">
      <c r="A172">
        <f>Summary!A23</f>
        <v>7</v>
      </c>
      <c r="B172" t="s">
        <v>61</v>
      </c>
      <c r="C172" s="14">
        <v>0.46</v>
      </c>
      <c r="D172" s="14">
        <v>0.46</v>
      </c>
      <c r="E172" s="14">
        <v>0.46</v>
      </c>
      <c r="F172" s="14">
        <f t="shared" si="4"/>
        <v>6.900000000000002E-2</v>
      </c>
      <c r="G172" s="14">
        <f t="shared" si="2"/>
        <v>6.900000000000002E-2</v>
      </c>
      <c r="H172" s="14">
        <f t="shared" ref="H172:V172" si="10">G172</f>
        <v>6.900000000000002E-2</v>
      </c>
      <c r="I172" s="14">
        <f t="shared" si="10"/>
        <v>6.900000000000002E-2</v>
      </c>
      <c r="J172" s="14">
        <f t="shared" si="10"/>
        <v>6.900000000000002E-2</v>
      </c>
      <c r="K172" s="14">
        <f t="shared" si="10"/>
        <v>6.900000000000002E-2</v>
      </c>
      <c r="L172" s="14">
        <f t="shared" si="10"/>
        <v>6.900000000000002E-2</v>
      </c>
      <c r="M172" s="14">
        <f t="shared" si="10"/>
        <v>6.900000000000002E-2</v>
      </c>
      <c r="N172" s="14">
        <f t="shared" si="10"/>
        <v>6.900000000000002E-2</v>
      </c>
      <c r="O172" s="14">
        <f t="shared" si="10"/>
        <v>6.900000000000002E-2</v>
      </c>
      <c r="P172" s="14">
        <f t="shared" si="10"/>
        <v>6.900000000000002E-2</v>
      </c>
      <c r="Q172" s="14">
        <f t="shared" si="10"/>
        <v>6.900000000000002E-2</v>
      </c>
      <c r="R172" s="14">
        <f t="shared" si="10"/>
        <v>6.900000000000002E-2</v>
      </c>
      <c r="S172" s="14">
        <f t="shared" si="10"/>
        <v>6.900000000000002E-2</v>
      </c>
      <c r="T172" s="14">
        <f t="shared" si="10"/>
        <v>6.900000000000002E-2</v>
      </c>
      <c r="U172" s="14">
        <f t="shared" si="10"/>
        <v>6.900000000000002E-2</v>
      </c>
      <c r="V172" s="14">
        <f t="shared" si="10"/>
        <v>6.900000000000002E-2</v>
      </c>
      <c r="W172" s="455" t="s">
        <v>297</v>
      </c>
      <c r="X172" s="456">
        <v>0.85</v>
      </c>
    </row>
    <row r="173" spans="1:24" x14ac:dyDescent="0.2">
      <c r="A173">
        <f>Summary!A24</f>
        <v>8</v>
      </c>
      <c r="B173" t="s">
        <v>62</v>
      </c>
      <c r="C173" s="14">
        <v>0.9</v>
      </c>
      <c r="D173" s="14">
        <v>0.9</v>
      </c>
      <c r="E173" s="14">
        <v>0.9</v>
      </c>
      <c r="F173" s="14">
        <f t="shared" si="4"/>
        <v>0.9</v>
      </c>
      <c r="G173" s="14">
        <f t="shared" si="2"/>
        <v>0.9</v>
      </c>
      <c r="H173" s="14">
        <f t="shared" ref="H173:V173" si="11">G173</f>
        <v>0.9</v>
      </c>
      <c r="I173" s="14">
        <f t="shared" si="11"/>
        <v>0.9</v>
      </c>
      <c r="J173" s="14">
        <f t="shared" si="11"/>
        <v>0.9</v>
      </c>
      <c r="K173" s="14">
        <f t="shared" si="11"/>
        <v>0.9</v>
      </c>
      <c r="L173" s="14">
        <f t="shared" si="11"/>
        <v>0.9</v>
      </c>
      <c r="M173" s="14">
        <f t="shared" si="11"/>
        <v>0.9</v>
      </c>
      <c r="N173" s="14">
        <f t="shared" si="11"/>
        <v>0.9</v>
      </c>
      <c r="O173" s="14">
        <f t="shared" si="11"/>
        <v>0.9</v>
      </c>
      <c r="P173" s="14">
        <f t="shared" si="11"/>
        <v>0.9</v>
      </c>
      <c r="Q173" s="14">
        <f t="shared" si="11"/>
        <v>0.9</v>
      </c>
      <c r="R173" s="14">
        <f t="shared" si="11"/>
        <v>0.9</v>
      </c>
      <c r="S173" s="14">
        <f t="shared" si="11"/>
        <v>0.9</v>
      </c>
      <c r="T173" s="14">
        <f t="shared" si="11"/>
        <v>0.9</v>
      </c>
      <c r="U173" s="14">
        <f t="shared" si="11"/>
        <v>0.9</v>
      </c>
      <c r="V173" s="14">
        <f t="shared" si="11"/>
        <v>0.9</v>
      </c>
      <c r="W173" s="455"/>
      <c r="X173" s="456"/>
    </row>
    <row r="174" spans="1:24" x14ac:dyDescent="0.2">
      <c r="A174">
        <f>Summary!A25</f>
        <v>9</v>
      </c>
      <c r="B174" t="s">
        <v>63</v>
      </c>
      <c r="C174" s="14">
        <v>0.32</v>
      </c>
      <c r="D174" s="14">
        <v>0.32</v>
      </c>
      <c r="E174" s="14">
        <v>0.32</v>
      </c>
      <c r="F174" s="14">
        <f t="shared" si="4"/>
        <v>0.08</v>
      </c>
      <c r="G174" s="14">
        <f t="shared" si="2"/>
        <v>0.08</v>
      </c>
      <c r="H174" s="14">
        <f t="shared" ref="H174:V174" si="12">G174</f>
        <v>0.08</v>
      </c>
      <c r="I174" s="14">
        <f t="shared" si="12"/>
        <v>0.08</v>
      </c>
      <c r="J174" s="14">
        <f t="shared" si="12"/>
        <v>0.08</v>
      </c>
      <c r="K174" s="14">
        <f t="shared" si="12"/>
        <v>0.08</v>
      </c>
      <c r="L174" s="14">
        <f t="shared" si="12"/>
        <v>0.08</v>
      </c>
      <c r="M174" s="14">
        <f t="shared" si="12"/>
        <v>0.08</v>
      </c>
      <c r="N174" s="14">
        <f t="shared" si="12"/>
        <v>0.08</v>
      </c>
      <c r="O174" s="14">
        <f t="shared" si="12"/>
        <v>0.08</v>
      </c>
      <c r="P174" s="14">
        <f t="shared" si="12"/>
        <v>0.08</v>
      </c>
      <c r="Q174" s="14">
        <f t="shared" si="12"/>
        <v>0.08</v>
      </c>
      <c r="R174" s="14">
        <f t="shared" si="12"/>
        <v>0.08</v>
      </c>
      <c r="S174" s="14">
        <f t="shared" si="12"/>
        <v>0.08</v>
      </c>
      <c r="T174" s="14">
        <f t="shared" si="12"/>
        <v>0.08</v>
      </c>
      <c r="U174" s="14">
        <f t="shared" si="12"/>
        <v>0.08</v>
      </c>
      <c r="V174" s="14">
        <f t="shared" si="12"/>
        <v>0.08</v>
      </c>
      <c r="W174" s="455" t="s">
        <v>299</v>
      </c>
      <c r="X174" s="456">
        <v>0.75</v>
      </c>
    </row>
    <row r="175" spans="1:24" x14ac:dyDescent="0.2">
      <c r="A175">
        <f>Summary!A26</f>
        <v>10</v>
      </c>
      <c r="B175" t="s">
        <v>64</v>
      </c>
      <c r="C175" s="14">
        <v>0.5</v>
      </c>
      <c r="D175" s="14">
        <v>0.5</v>
      </c>
      <c r="E175" s="14">
        <v>0.5</v>
      </c>
      <c r="F175" s="14">
        <f t="shared" si="4"/>
        <v>7.5000000000000011E-2</v>
      </c>
      <c r="G175" s="14">
        <f t="shared" si="2"/>
        <v>7.5000000000000011E-2</v>
      </c>
      <c r="H175" s="14">
        <f t="shared" ref="H175:V175" si="13">G175</f>
        <v>7.5000000000000011E-2</v>
      </c>
      <c r="I175" s="14">
        <f t="shared" si="13"/>
        <v>7.5000000000000011E-2</v>
      </c>
      <c r="J175" s="14">
        <f t="shared" si="13"/>
        <v>7.5000000000000011E-2</v>
      </c>
      <c r="K175" s="14">
        <f t="shared" si="13"/>
        <v>7.5000000000000011E-2</v>
      </c>
      <c r="L175" s="14">
        <f t="shared" si="13"/>
        <v>7.5000000000000011E-2</v>
      </c>
      <c r="M175" s="14">
        <f t="shared" si="13"/>
        <v>7.5000000000000011E-2</v>
      </c>
      <c r="N175" s="14">
        <f t="shared" si="13"/>
        <v>7.5000000000000011E-2</v>
      </c>
      <c r="O175" s="14">
        <f t="shared" si="13"/>
        <v>7.5000000000000011E-2</v>
      </c>
      <c r="P175" s="14">
        <f t="shared" si="13"/>
        <v>7.5000000000000011E-2</v>
      </c>
      <c r="Q175" s="14">
        <f t="shared" si="13"/>
        <v>7.5000000000000011E-2</v>
      </c>
      <c r="R175" s="14">
        <f t="shared" si="13"/>
        <v>7.5000000000000011E-2</v>
      </c>
      <c r="S175" s="14">
        <f t="shared" si="13"/>
        <v>7.5000000000000011E-2</v>
      </c>
      <c r="T175" s="14">
        <f t="shared" si="13"/>
        <v>7.5000000000000011E-2</v>
      </c>
      <c r="U175" s="14">
        <f t="shared" si="13"/>
        <v>7.5000000000000011E-2</v>
      </c>
      <c r="V175" s="14">
        <f t="shared" si="13"/>
        <v>7.5000000000000011E-2</v>
      </c>
      <c r="W175" s="455" t="s">
        <v>298</v>
      </c>
      <c r="X175" s="456">
        <v>0.85</v>
      </c>
    </row>
    <row r="176" spans="1:24" x14ac:dyDescent="0.2">
      <c r="A176">
        <f>Summary!A27</f>
        <v>11</v>
      </c>
      <c r="B176" t="s">
        <v>65</v>
      </c>
      <c r="C176" s="14">
        <v>0.49</v>
      </c>
      <c r="D176" s="14">
        <v>0.49</v>
      </c>
      <c r="E176" s="14">
        <v>0.49</v>
      </c>
      <c r="F176" s="14">
        <f t="shared" si="4"/>
        <v>7.350000000000001E-2</v>
      </c>
      <c r="G176" s="14">
        <f t="shared" si="2"/>
        <v>7.350000000000001E-2</v>
      </c>
      <c r="H176" s="14">
        <f t="shared" ref="H176:V176" si="14">G176</f>
        <v>7.350000000000001E-2</v>
      </c>
      <c r="I176" s="14">
        <f t="shared" si="14"/>
        <v>7.350000000000001E-2</v>
      </c>
      <c r="J176" s="14">
        <f t="shared" si="14"/>
        <v>7.350000000000001E-2</v>
      </c>
      <c r="K176" s="14">
        <f t="shared" si="14"/>
        <v>7.350000000000001E-2</v>
      </c>
      <c r="L176" s="14">
        <f t="shared" si="14"/>
        <v>7.350000000000001E-2</v>
      </c>
      <c r="M176" s="14">
        <f t="shared" si="14"/>
        <v>7.350000000000001E-2</v>
      </c>
      <c r="N176" s="14">
        <f t="shared" si="14"/>
        <v>7.350000000000001E-2</v>
      </c>
      <c r="O176" s="14">
        <f t="shared" si="14"/>
        <v>7.350000000000001E-2</v>
      </c>
      <c r="P176" s="14">
        <f t="shared" si="14"/>
        <v>7.350000000000001E-2</v>
      </c>
      <c r="Q176" s="14">
        <f t="shared" si="14"/>
        <v>7.350000000000001E-2</v>
      </c>
      <c r="R176" s="14">
        <f t="shared" si="14"/>
        <v>7.350000000000001E-2</v>
      </c>
      <c r="S176" s="14">
        <f t="shared" si="14"/>
        <v>7.350000000000001E-2</v>
      </c>
      <c r="T176" s="14">
        <f t="shared" si="14"/>
        <v>7.350000000000001E-2</v>
      </c>
      <c r="U176" s="14">
        <f t="shared" si="14"/>
        <v>7.350000000000001E-2</v>
      </c>
      <c r="V176" s="14">
        <f t="shared" si="14"/>
        <v>7.350000000000001E-2</v>
      </c>
      <c r="W176" s="455" t="s">
        <v>298</v>
      </c>
      <c r="X176" s="456">
        <v>0.85</v>
      </c>
    </row>
    <row r="177" spans="1:24" x14ac:dyDescent="0.2">
      <c r="A177">
        <f>Summary!A28</f>
        <v>12</v>
      </c>
      <c r="B177" t="s">
        <v>66</v>
      </c>
      <c r="C177" s="14">
        <v>0.32</v>
      </c>
      <c r="D177" s="14">
        <v>0.32</v>
      </c>
      <c r="E177" s="14">
        <v>0.32</v>
      </c>
      <c r="F177" s="14">
        <f t="shared" si="4"/>
        <v>0.32</v>
      </c>
      <c r="G177" s="14">
        <f t="shared" si="2"/>
        <v>0.32</v>
      </c>
      <c r="H177" s="14">
        <f t="shared" ref="H177:V177" si="15">G177</f>
        <v>0.32</v>
      </c>
      <c r="I177" s="14">
        <f t="shared" si="15"/>
        <v>0.32</v>
      </c>
      <c r="J177" s="14">
        <f t="shared" si="15"/>
        <v>0.32</v>
      </c>
      <c r="K177" s="14">
        <f t="shared" si="15"/>
        <v>0.32</v>
      </c>
      <c r="L177" s="14">
        <f t="shared" si="15"/>
        <v>0.32</v>
      </c>
      <c r="M177" s="14">
        <f t="shared" si="15"/>
        <v>0.32</v>
      </c>
      <c r="N177" s="14">
        <f t="shared" si="15"/>
        <v>0.32</v>
      </c>
      <c r="O177" s="14">
        <f t="shared" si="15"/>
        <v>0.32</v>
      </c>
      <c r="P177" s="14">
        <f t="shared" si="15"/>
        <v>0.32</v>
      </c>
      <c r="Q177" s="14">
        <f t="shared" si="15"/>
        <v>0.32</v>
      </c>
      <c r="R177" s="14">
        <f t="shared" si="15"/>
        <v>0.32</v>
      </c>
      <c r="S177" s="14">
        <f t="shared" si="15"/>
        <v>0.32</v>
      </c>
      <c r="T177" s="14">
        <f t="shared" si="15"/>
        <v>0.32</v>
      </c>
      <c r="U177" s="14">
        <f t="shared" si="15"/>
        <v>0.32</v>
      </c>
      <c r="V177" s="14">
        <f t="shared" si="15"/>
        <v>0.32</v>
      </c>
      <c r="W177" s="455"/>
      <c r="X177" s="456"/>
    </row>
    <row r="178" spans="1:24" x14ac:dyDescent="0.2">
      <c r="A178">
        <f>Summary!A29</f>
        <v>13</v>
      </c>
      <c r="B178" t="s">
        <v>67</v>
      </c>
      <c r="C178" s="14">
        <v>0.32</v>
      </c>
      <c r="D178" s="14">
        <v>0.32</v>
      </c>
      <c r="E178" s="14">
        <v>0.32</v>
      </c>
      <c r="F178" s="14">
        <f t="shared" si="4"/>
        <v>0.32</v>
      </c>
      <c r="G178" s="14">
        <f t="shared" si="2"/>
        <v>0.32</v>
      </c>
      <c r="H178" s="14">
        <f t="shared" ref="H178:V178" si="16">G178</f>
        <v>0.32</v>
      </c>
      <c r="I178" s="14">
        <f t="shared" si="16"/>
        <v>0.32</v>
      </c>
      <c r="J178" s="14">
        <f t="shared" si="16"/>
        <v>0.32</v>
      </c>
      <c r="K178" s="14">
        <f t="shared" si="16"/>
        <v>0.32</v>
      </c>
      <c r="L178" s="14">
        <f t="shared" si="16"/>
        <v>0.32</v>
      </c>
      <c r="M178" s="14">
        <f t="shared" si="16"/>
        <v>0.32</v>
      </c>
      <c r="N178" s="14">
        <f t="shared" si="16"/>
        <v>0.32</v>
      </c>
      <c r="O178" s="14">
        <f t="shared" si="16"/>
        <v>0.32</v>
      </c>
      <c r="P178" s="14">
        <f t="shared" si="16"/>
        <v>0.32</v>
      </c>
      <c r="Q178" s="14">
        <f t="shared" si="16"/>
        <v>0.32</v>
      </c>
      <c r="R178" s="14">
        <f t="shared" si="16"/>
        <v>0.32</v>
      </c>
      <c r="S178" s="14">
        <f t="shared" si="16"/>
        <v>0.32</v>
      </c>
      <c r="T178" s="14">
        <f t="shared" si="16"/>
        <v>0.32</v>
      </c>
      <c r="U178" s="14">
        <f t="shared" si="16"/>
        <v>0.32</v>
      </c>
      <c r="V178" s="14">
        <f t="shared" si="16"/>
        <v>0.32</v>
      </c>
      <c r="W178" s="455"/>
      <c r="X178" s="456"/>
    </row>
    <row r="179" spans="1:24" x14ac:dyDescent="0.2">
      <c r="A179">
        <f>Summary!A30</f>
        <v>14</v>
      </c>
      <c r="B179" t="s">
        <v>70</v>
      </c>
      <c r="C179" s="14">
        <v>0.32</v>
      </c>
      <c r="D179" s="14">
        <v>0.32</v>
      </c>
      <c r="E179" s="14">
        <v>0.32</v>
      </c>
      <c r="F179" s="14">
        <f t="shared" si="4"/>
        <v>0.28800000000000003</v>
      </c>
      <c r="G179" s="14">
        <f t="shared" si="2"/>
        <v>0.28800000000000003</v>
      </c>
      <c r="H179" s="14">
        <f t="shared" ref="H179:V179" si="17">G179</f>
        <v>0.28800000000000003</v>
      </c>
      <c r="I179" s="14">
        <f t="shared" si="17"/>
        <v>0.28800000000000003</v>
      </c>
      <c r="J179" s="14">
        <f t="shared" si="17"/>
        <v>0.28800000000000003</v>
      </c>
      <c r="K179" s="14">
        <f t="shared" si="17"/>
        <v>0.28800000000000003</v>
      </c>
      <c r="L179" s="14">
        <f t="shared" si="17"/>
        <v>0.28800000000000003</v>
      </c>
      <c r="M179" s="14">
        <f t="shared" si="17"/>
        <v>0.28800000000000003</v>
      </c>
      <c r="N179" s="14">
        <f t="shared" si="17"/>
        <v>0.28800000000000003</v>
      </c>
      <c r="O179" s="14">
        <f t="shared" si="17"/>
        <v>0.28800000000000003</v>
      </c>
      <c r="P179" s="14">
        <f t="shared" si="17"/>
        <v>0.28800000000000003</v>
      </c>
      <c r="Q179" s="14">
        <f t="shared" si="17"/>
        <v>0.28800000000000003</v>
      </c>
      <c r="R179" s="14">
        <f t="shared" si="17"/>
        <v>0.28800000000000003</v>
      </c>
      <c r="S179" s="14">
        <f t="shared" si="17"/>
        <v>0.28800000000000003</v>
      </c>
      <c r="T179" s="14">
        <f t="shared" si="17"/>
        <v>0.28800000000000003</v>
      </c>
      <c r="U179" s="14">
        <f t="shared" si="17"/>
        <v>0.28800000000000003</v>
      </c>
      <c r="V179" s="14">
        <f t="shared" si="17"/>
        <v>0.28800000000000003</v>
      </c>
      <c r="W179" s="455" t="s">
        <v>300</v>
      </c>
      <c r="X179" s="456">
        <v>0.1</v>
      </c>
    </row>
    <row r="180" spans="1:24" x14ac:dyDescent="0.2">
      <c r="A180">
        <f>Summary!A31</f>
        <v>15</v>
      </c>
      <c r="B180" t="s">
        <v>68</v>
      </c>
      <c r="C180" s="14">
        <v>0.32</v>
      </c>
      <c r="D180" s="14">
        <v>0.32</v>
      </c>
      <c r="E180" s="14">
        <v>0.32</v>
      </c>
      <c r="F180" s="14">
        <f t="shared" si="4"/>
        <v>0.16640000000000002</v>
      </c>
      <c r="G180" s="14">
        <f t="shared" si="2"/>
        <v>0.16640000000000002</v>
      </c>
      <c r="H180" s="14">
        <f t="shared" ref="H180:V180" si="18">G180</f>
        <v>0.16640000000000002</v>
      </c>
      <c r="I180" s="14">
        <f t="shared" si="18"/>
        <v>0.16640000000000002</v>
      </c>
      <c r="J180" s="14">
        <f t="shared" si="18"/>
        <v>0.16640000000000002</v>
      </c>
      <c r="K180" s="14">
        <f t="shared" si="18"/>
        <v>0.16640000000000002</v>
      </c>
      <c r="L180" s="14">
        <f t="shared" si="18"/>
        <v>0.16640000000000002</v>
      </c>
      <c r="M180" s="14">
        <f t="shared" si="18"/>
        <v>0.16640000000000002</v>
      </c>
      <c r="N180" s="14">
        <f t="shared" si="18"/>
        <v>0.16640000000000002</v>
      </c>
      <c r="O180" s="14">
        <f t="shared" si="18"/>
        <v>0.16640000000000002</v>
      </c>
      <c r="P180" s="14">
        <f t="shared" si="18"/>
        <v>0.16640000000000002</v>
      </c>
      <c r="Q180" s="14">
        <f t="shared" si="18"/>
        <v>0.16640000000000002</v>
      </c>
      <c r="R180" s="14">
        <f t="shared" si="18"/>
        <v>0.16640000000000002</v>
      </c>
      <c r="S180" s="14">
        <f t="shared" si="18"/>
        <v>0.16640000000000002</v>
      </c>
      <c r="T180" s="14">
        <f t="shared" si="18"/>
        <v>0.16640000000000002</v>
      </c>
      <c r="U180" s="14">
        <f t="shared" si="18"/>
        <v>0.16640000000000002</v>
      </c>
      <c r="V180" s="14">
        <f t="shared" si="18"/>
        <v>0.16640000000000002</v>
      </c>
      <c r="W180" s="455" t="s">
        <v>301</v>
      </c>
      <c r="X180" s="456">
        <v>0.48</v>
      </c>
    </row>
    <row r="181" spans="1:24" x14ac:dyDescent="0.2">
      <c r="A181">
        <f>Summary!A32</f>
        <v>16</v>
      </c>
      <c r="B181" t="s">
        <v>69</v>
      </c>
      <c r="C181" s="14">
        <v>0.4</v>
      </c>
      <c r="D181" s="14">
        <v>0.4</v>
      </c>
      <c r="E181" s="14">
        <v>0.4</v>
      </c>
      <c r="F181" s="14">
        <f t="shared" si="4"/>
        <v>0.36000000000000004</v>
      </c>
      <c r="G181" s="14">
        <f t="shared" si="2"/>
        <v>0.36000000000000004</v>
      </c>
      <c r="H181" s="14">
        <f t="shared" ref="H181:T181" si="19">G181</f>
        <v>0.36000000000000004</v>
      </c>
      <c r="I181" s="14">
        <f t="shared" si="19"/>
        <v>0.36000000000000004</v>
      </c>
      <c r="J181" s="14">
        <f t="shared" si="19"/>
        <v>0.36000000000000004</v>
      </c>
      <c r="K181" s="14">
        <f t="shared" si="19"/>
        <v>0.36000000000000004</v>
      </c>
      <c r="L181" s="14">
        <f t="shared" si="19"/>
        <v>0.36000000000000004</v>
      </c>
      <c r="M181" s="14">
        <f t="shared" si="19"/>
        <v>0.36000000000000004</v>
      </c>
      <c r="N181" s="14">
        <f t="shared" si="19"/>
        <v>0.36000000000000004</v>
      </c>
      <c r="O181" s="14">
        <f t="shared" si="19"/>
        <v>0.36000000000000004</v>
      </c>
      <c r="P181" s="14">
        <f t="shared" si="19"/>
        <v>0.36000000000000004</v>
      </c>
      <c r="Q181" s="14">
        <f t="shared" si="19"/>
        <v>0.36000000000000004</v>
      </c>
      <c r="R181" s="14">
        <f t="shared" si="19"/>
        <v>0.36000000000000004</v>
      </c>
      <c r="S181" s="14">
        <f t="shared" si="19"/>
        <v>0.36000000000000004</v>
      </c>
      <c r="T181" s="14">
        <f t="shared" si="19"/>
        <v>0.36000000000000004</v>
      </c>
      <c r="U181" s="14">
        <f t="shared" ref="H181:V196" si="20">T181</f>
        <v>0.36000000000000004</v>
      </c>
      <c r="V181" s="14">
        <f t="shared" si="20"/>
        <v>0.36000000000000004</v>
      </c>
      <c r="W181" s="455" t="s">
        <v>300</v>
      </c>
      <c r="X181" s="456">
        <v>0.1</v>
      </c>
    </row>
    <row r="182" spans="1:24" x14ac:dyDescent="0.2">
      <c r="A182">
        <f>Summary!A33</f>
        <v>17</v>
      </c>
      <c r="B182" t="s">
        <v>71</v>
      </c>
      <c r="C182" s="14">
        <v>0.38</v>
      </c>
      <c r="D182" s="14">
        <v>0.38</v>
      </c>
      <c r="E182" s="14">
        <v>0.38</v>
      </c>
      <c r="F182" s="14">
        <f t="shared" si="4"/>
        <v>0.34200000000000003</v>
      </c>
      <c r="G182" s="14">
        <f t="shared" si="2"/>
        <v>0.34200000000000003</v>
      </c>
      <c r="H182" s="14">
        <f t="shared" si="20"/>
        <v>0.34200000000000003</v>
      </c>
      <c r="I182" s="14">
        <f t="shared" si="20"/>
        <v>0.34200000000000003</v>
      </c>
      <c r="J182" s="14">
        <f t="shared" si="20"/>
        <v>0.34200000000000003</v>
      </c>
      <c r="K182" s="14">
        <f t="shared" si="20"/>
        <v>0.34200000000000003</v>
      </c>
      <c r="L182" s="14">
        <f t="shared" si="20"/>
        <v>0.34200000000000003</v>
      </c>
      <c r="M182" s="14">
        <f t="shared" si="20"/>
        <v>0.34200000000000003</v>
      </c>
      <c r="N182" s="14">
        <f t="shared" si="20"/>
        <v>0.34200000000000003</v>
      </c>
      <c r="O182" s="14">
        <f t="shared" si="20"/>
        <v>0.34200000000000003</v>
      </c>
      <c r="P182" s="14">
        <f t="shared" si="20"/>
        <v>0.34200000000000003</v>
      </c>
      <c r="Q182" s="14">
        <f t="shared" si="20"/>
        <v>0.34200000000000003</v>
      </c>
      <c r="R182" s="14">
        <f t="shared" si="20"/>
        <v>0.34200000000000003</v>
      </c>
      <c r="S182" s="14">
        <f t="shared" si="20"/>
        <v>0.34200000000000003</v>
      </c>
      <c r="T182" s="14">
        <f t="shared" si="20"/>
        <v>0.34200000000000003</v>
      </c>
      <c r="U182" s="14">
        <f t="shared" si="20"/>
        <v>0.34200000000000003</v>
      </c>
      <c r="V182" s="14">
        <f t="shared" si="20"/>
        <v>0.34200000000000003</v>
      </c>
      <c r="W182" s="455" t="s">
        <v>300</v>
      </c>
      <c r="X182" s="456">
        <v>0.1</v>
      </c>
    </row>
    <row r="183" spans="1:24" x14ac:dyDescent="0.2">
      <c r="A183">
        <f>Summary!A34</f>
        <v>18</v>
      </c>
      <c r="B183" t="s">
        <v>72</v>
      </c>
      <c r="C183" s="14">
        <v>0.43</v>
      </c>
      <c r="D183" s="14">
        <v>0.43</v>
      </c>
      <c r="E183" s="14">
        <v>0.43</v>
      </c>
      <c r="F183" s="14">
        <f t="shared" si="4"/>
        <v>6.4500000000000002E-2</v>
      </c>
      <c r="G183" s="14">
        <f t="shared" si="2"/>
        <v>6.4500000000000002E-2</v>
      </c>
      <c r="H183" s="14">
        <f t="shared" si="20"/>
        <v>6.4500000000000002E-2</v>
      </c>
      <c r="I183" s="14">
        <f t="shared" si="20"/>
        <v>6.4500000000000002E-2</v>
      </c>
      <c r="J183" s="14">
        <f t="shared" si="20"/>
        <v>6.4500000000000002E-2</v>
      </c>
      <c r="K183" s="14">
        <f t="shared" si="20"/>
        <v>6.4500000000000002E-2</v>
      </c>
      <c r="L183" s="14">
        <f t="shared" si="20"/>
        <v>6.4500000000000002E-2</v>
      </c>
      <c r="M183" s="14">
        <f t="shared" si="20"/>
        <v>6.4500000000000002E-2</v>
      </c>
      <c r="N183" s="14">
        <f t="shared" si="20"/>
        <v>6.4500000000000002E-2</v>
      </c>
      <c r="O183" s="14">
        <f t="shared" si="20"/>
        <v>6.4500000000000002E-2</v>
      </c>
      <c r="P183" s="14">
        <f t="shared" si="20"/>
        <v>6.4500000000000002E-2</v>
      </c>
      <c r="Q183" s="14">
        <f t="shared" si="20"/>
        <v>6.4500000000000002E-2</v>
      </c>
      <c r="R183" s="14">
        <f t="shared" si="20"/>
        <v>6.4500000000000002E-2</v>
      </c>
      <c r="S183" s="14">
        <f t="shared" si="20"/>
        <v>6.4500000000000002E-2</v>
      </c>
      <c r="T183" s="14">
        <f t="shared" si="20"/>
        <v>6.4500000000000002E-2</v>
      </c>
      <c r="U183" s="14">
        <f t="shared" si="20"/>
        <v>6.4500000000000002E-2</v>
      </c>
      <c r="V183" s="14">
        <f t="shared" si="20"/>
        <v>6.4500000000000002E-2</v>
      </c>
      <c r="W183" s="455" t="s">
        <v>298</v>
      </c>
      <c r="X183" s="456">
        <v>0.85</v>
      </c>
    </row>
    <row r="184" spans="1:24" x14ac:dyDescent="0.2">
      <c r="A184">
        <f>Summary!A35</f>
        <v>19</v>
      </c>
      <c r="B184" t="s">
        <v>73</v>
      </c>
      <c r="C184" s="14">
        <v>0.44</v>
      </c>
      <c r="D184" s="14">
        <v>0.44</v>
      </c>
      <c r="E184" s="14">
        <v>0.44</v>
      </c>
      <c r="F184" s="14">
        <f t="shared" si="4"/>
        <v>0.44</v>
      </c>
      <c r="G184" s="14">
        <f t="shared" si="2"/>
        <v>0.44</v>
      </c>
      <c r="H184" s="14">
        <f t="shared" si="20"/>
        <v>0.44</v>
      </c>
      <c r="I184" s="14">
        <f t="shared" si="20"/>
        <v>0.44</v>
      </c>
      <c r="J184" s="14">
        <f t="shared" si="20"/>
        <v>0.44</v>
      </c>
      <c r="K184" s="14">
        <f t="shared" si="20"/>
        <v>0.44</v>
      </c>
      <c r="L184" s="14">
        <f t="shared" si="20"/>
        <v>0.44</v>
      </c>
      <c r="M184" s="14">
        <f t="shared" si="20"/>
        <v>0.44</v>
      </c>
      <c r="N184" s="14">
        <f t="shared" si="20"/>
        <v>0.44</v>
      </c>
      <c r="O184" s="14">
        <f t="shared" si="20"/>
        <v>0.44</v>
      </c>
      <c r="P184" s="14">
        <f t="shared" si="20"/>
        <v>0.44</v>
      </c>
      <c r="Q184" s="14">
        <f t="shared" si="20"/>
        <v>0.44</v>
      </c>
      <c r="R184" s="14">
        <f t="shared" si="20"/>
        <v>0.44</v>
      </c>
      <c r="S184" s="14">
        <f t="shared" si="20"/>
        <v>0.44</v>
      </c>
      <c r="T184" s="14">
        <f t="shared" si="20"/>
        <v>0.44</v>
      </c>
      <c r="U184" s="14">
        <f t="shared" si="20"/>
        <v>0.44</v>
      </c>
      <c r="V184" s="14">
        <f t="shared" si="20"/>
        <v>0.44</v>
      </c>
      <c r="W184" s="457"/>
      <c r="X184" s="457"/>
    </row>
    <row r="185" spans="1:24" x14ac:dyDescent="0.2">
      <c r="A185">
        <f>Summary!A36</f>
        <v>20</v>
      </c>
      <c r="B185" t="s">
        <v>74</v>
      </c>
      <c r="C185" s="14">
        <v>0.44</v>
      </c>
      <c r="D185" s="14">
        <v>0.44</v>
      </c>
      <c r="E185" s="14">
        <v>0.44</v>
      </c>
      <c r="F185" s="14">
        <f t="shared" si="4"/>
        <v>0.44</v>
      </c>
      <c r="G185" s="14">
        <f t="shared" si="2"/>
        <v>0.44</v>
      </c>
      <c r="H185" s="14">
        <f t="shared" si="20"/>
        <v>0.44</v>
      </c>
      <c r="I185" s="14">
        <f t="shared" si="20"/>
        <v>0.44</v>
      </c>
      <c r="J185" s="14">
        <f t="shared" si="20"/>
        <v>0.44</v>
      </c>
      <c r="K185" s="14">
        <f t="shared" si="20"/>
        <v>0.44</v>
      </c>
      <c r="L185" s="14">
        <f t="shared" si="20"/>
        <v>0.44</v>
      </c>
      <c r="M185" s="14">
        <f t="shared" si="20"/>
        <v>0.44</v>
      </c>
      <c r="N185" s="14">
        <f t="shared" si="20"/>
        <v>0.44</v>
      </c>
      <c r="O185" s="14">
        <f t="shared" si="20"/>
        <v>0.44</v>
      </c>
      <c r="P185" s="14">
        <f t="shared" si="20"/>
        <v>0.44</v>
      </c>
      <c r="Q185" s="14">
        <f t="shared" si="20"/>
        <v>0.44</v>
      </c>
      <c r="R185" s="14">
        <f t="shared" si="20"/>
        <v>0.44</v>
      </c>
      <c r="S185" s="14">
        <f t="shared" si="20"/>
        <v>0.44</v>
      </c>
      <c r="T185" s="14">
        <f t="shared" si="20"/>
        <v>0.44</v>
      </c>
      <c r="U185" s="14">
        <f t="shared" si="20"/>
        <v>0.44</v>
      </c>
      <c r="V185" s="14">
        <f t="shared" si="20"/>
        <v>0.44</v>
      </c>
      <c r="W185" s="457"/>
      <c r="X185" s="457"/>
    </row>
    <row r="186" spans="1:24" x14ac:dyDescent="0.2">
      <c r="A186">
        <f>Summary!A37</f>
        <v>21</v>
      </c>
      <c r="B186" t="s">
        <v>75</v>
      </c>
      <c r="C186" s="14">
        <v>0.7</v>
      </c>
      <c r="D186" s="14">
        <v>0.7</v>
      </c>
      <c r="E186" s="14">
        <v>0.7</v>
      </c>
      <c r="F186" s="14">
        <f t="shared" si="4"/>
        <v>0.7</v>
      </c>
      <c r="G186" s="14">
        <f t="shared" si="2"/>
        <v>0.7</v>
      </c>
      <c r="H186" s="14">
        <f t="shared" si="20"/>
        <v>0.7</v>
      </c>
      <c r="I186" s="14">
        <f t="shared" si="20"/>
        <v>0.7</v>
      </c>
      <c r="J186" s="14">
        <f t="shared" si="20"/>
        <v>0.7</v>
      </c>
      <c r="K186" s="14">
        <f t="shared" si="20"/>
        <v>0.7</v>
      </c>
      <c r="L186" s="14">
        <f t="shared" si="20"/>
        <v>0.7</v>
      </c>
      <c r="M186" s="14">
        <f t="shared" si="20"/>
        <v>0.7</v>
      </c>
      <c r="N186" s="14">
        <f t="shared" si="20"/>
        <v>0.7</v>
      </c>
      <c r="O186" s="14">
        <f t="shared" si="20"/>
        <v>0.7</v>
      </c>
      <c r="P186" s="14">
        <f t="shared" si="20"/>
        <v>0.7</v>
      </c>
      <c r="Q186" s="14">
        <f t="shared" si="20"/>
        <v>0.7</v>
      </c>
      <c r="R186" s="14">
        <f t="shared" si="20"/>
        <v>0.7</v>
      </c>
      <c r="S186" s="14">
        <f t="shared" si="20"/>
        <v>0.7</v>
      </c>
      <c r="T186" s="14">
        <f t="shared" si="20"/>
        <v>0.7</v>
      </c>
      <c r="U186" s="14">
        <f t="shared" si="20"/>
        <v>0.7</v>
      </c>
      <c r="V186" s="14">
        <f t="shared" si="20"/>
        <v>0.7</v>
      </c>
      <c r="W186" s="457"/>
      <c r="X186" s="457"/>
    </row>
    <row r="187" spans="1:24" x14ac:dyDescent="0.2">
      <c r="A187">
        <f>Summary!A38</f>
        <v>22</v>
      </c>
      <c r="B187" t="s">
        <v>86</v>
      </c>
      <c r="C187" s="14">
        <v>0.7</v>
      </c>
      <c r="D187" s="14">
        <v>0.7</v>
      </c>
      <c r="E187" s="14">
        <v>0.7</v>
      </c>
      <c r="F187" s="14">
        <f t="shared" si="4"/>
        <v>0.7</v>
      </c>
      <c r="G187" s="14">
        <f t="shared" si="2"/>
        <v>0.7</v>
      </c>
      <c r="H187" s="14">
        <f t="shared" si="20"/>
        <v>0.7</v>
      </c>
      <c r="I187" s="14">
        <f t="shared" si="20"/>
        <v>0.7</v>
      </c>
      <c r="J187" s="14">
        <f t="shared" si="20"/>
        <v>0.7</v>
      </c>
      <c r="K187" s="14">
        <f t="shared" si="20"/>
        <v>0.7</v>
      </c>
      <c r="L187" s="14">
        <f t="shared" si="20"/>
        <v>0.7</v>
      </c>
      <c r="M187" s="14">
        <f t="shared" si="20"/>
        <v>0.7</v>
      </c>
      <c r="N187" s="14">
        <f t="shared" si="20"/>
        <v>0.7</v>
      </c>
      <c r="O187" s="14">
        <f t="shared" si="20"/>
        <v>0.7</v>
      </c>
      <c r="P187" s="14">
        <f t="shared" si="20"/>
        <v>0.7</v>
      </c>
      <c r="Q187" s="14">
        <f t="shared" si="20"/>
        <v>0.7</v>
      </c>
      <c r="R187" s="14">
        <f t="shared" si="20"/>
        <v>0.7</v>
      </c>
      <c r="S187" s="14">
        <f t="shared" si="20"/>
        <v>0.7</v>
      </c>
      <c r="T187" s="14">
        <f t="shared" si="20"/>
        <v>0.7</v>
      </c>
      <c r="U187" s="14">
        <f t="shared" si="20"/>
        <v>0.7</v>
      </c>
      <c r="V187" s="14">
        <f t="shared" si="20"/>
        <v>0.7</v>
      </c>
      <c r="W187" s="457"/>
      <c r="X187" s="457"/>
    </row>
    <row r="188" spans="1:24" x14ac:dyDescent="0.2">
      <c r="A188">
        <f>Summary!A39</f>
        <v>23</v>
      </c>
      <c r="B188" t="s">
        <v>76</v>
      </c>
      <c r="C188" s="14">
        <v>0.7</v>
      </c>
      <c r="D188" s="14">
        <v>0.7</v>
      </c>
      <c r="E188" s="14">
        <v>0.7</v>
      </c>
      <c r="F188" s="14">
        <f t="shared" si="4"/>
        <v>0.7</v>
      </c>
      <c r="G188" s="14">
        <f t="shared" si="2"/>
        <v>0.7</v>
      </c>
      <c r="H188" s="14">
        <f t="shared" si="20"/>
        <v>0.7</v>
      </c>
      <c r="I188" s="14">
        <f t="shared" si="20"/>
        <v>0.7</v>
      </c>
      <c r="J188" s="14">
        <f t="shared" si="20"/>
        <v>0.7</v>
      </c>
      <c r="K188" s="14">
        <f t="shared" si="20"/>
        <v>0.7</v>
      </c>
      <c r="L188" s="14">
        <f t="shared" si="20"/>
        <v>0.7</v>
      </c>
      <c r="M188" s="14">
        <f t="shared" si="20"/>
        <v>0.7</v>
      </c>
      <c r="N188" s="14">
        <f t="shared" si="20"/>
        <v>0.7</v>
      </c>
      <c r="O188" s="14">
        <f t="shared" si="20"/>
        <v>0.7</v>
      </c>
      <c r="P188" s="14">
        <f t="shared" si="20"/>
        <v>0.7</v>
      </c>
      <c r="Q188" s="14">
        <f t="shared" si="20"/>
        <v>0.7</v>
      </c>
      <c r="R188" s="14">
        <f t="shared" si="20"/>
        <v>0.7</v>
      </c>
      <c r="S188" s="14">
        <f t="shared" si="20"/>
        <v>0.7</v>
      </c>
      <c r="T188" s="14">
        <f t="shared" si="20"/>
        <v>0.7</v>
      </c>
      <c r="U188" s="14">
        <f t="shared" si="20"/>
        <v>0.7</v>
      </c>
      <c r="V188" s="14">
        <f t="shared" si="20"/>
        <v>0.7</v>
      </c>
      <c r="W188" s="457"/>
      <c r="X188" s="457"/>
    </row>
    <row r="189" spans="1:24" x14ac:dyDescent="0.2">
      <c r="A189">
        <f>Summary!A40</f>
        <v>24</v>
      </c>
      <c r="B189" t="s">
        <v>77</v>
      </c>
      <c r="C189" s="14">
        <v>0.7</v>
      </c>
      <c r="D189" s="14">
        <v>0.7</v>
      </c>
      <c r="E189" s="14">
        <v>0.7</v>
      </c>
      <c r="F189" s="14">
        <f t="shared" si="4"/>
        <v>0.7</v>
      </c>
      <c r="G189" s="14">
        <f t="shared" si="2"/>
        <v>0.7</v>
      </c>
      <c r="H189" s="14">
        <f t="shared" si="20"/>
        <v>0.7</v>
      </c>
      <c r="I189" s="14">
        <f t="shared" si="20"/>
        <v>0.7</v>
      </c>
      <c r="J189" s="14">
        <f t="shared" si="20"/>
        <v>0.7</v>
      </c>
      <c r="K189" s="14">
        <f t="shared" si="20"/>
        <v>0.7</v>
      </c>
      <c r="L189" s="14">
        <f t="shared" si="20"/>
        <v>0.7</v>
      </c>
      <c r="M189" s="14">
        <f t="shared" si="20"/>
        <v>0.7</v>
      </c>
      <c r="N189" s="14">
        <f t="shared" si="20"/>
        <v>0.7</v>
      </c>
      <c r="O189" s="14">
        <f t="shared" si="20"/>
        <v>0.7</v>
      </c>
      <c r="P189" s="14">
        <f t="shared" si="20"/>
        <v>0.7</v>
      </c>
      <c r="Q189" s="14">
        <f t="shared" si="20"/>
        <v>0.7</v>
      </c>
      <c r="R189" s="14">
        <f t="shared" si="20"/>
        <v>0.7</v>
      </c>
      <c r="S189" s="14">
        <f t="shared" si="20"/>
        <v>0.7</v>
      </c>
      <c r="T189" s="14">
        <f t="shared" si="20"/>
        <v>0.7</v>
      </c>
      <c r="U189" s="14">
        <f t="shared" si="20"/>
        <v>0.7</v>
      </c>
      <c r="V189" s="14">
        <f t="shared" si="20"/>
        <v>0.7</v>
      </c>
      <c r="W189" s="457"/>
      <c r="X189" s="457"/>
    </row>
    <row r="190" spans="1:24" x14ac:dyDescent="0.2">
      <c r="A190">
        <f>Summary!A41</f>
        <v>25</v>
      </c>
      <c r="B190" t="s">
        <v>78</v>
      </c>
      <c r="C190" s="14">
        <v>0.7</v>
      </c>
      <c r="D190" s="14">
        <v>0.7</v>
      </c>
      <c r="E190" s="14">
        <v>0.7</v>
      </c>
      <c r="F190" s="14">
        <f t="shared" si="4"/>
        <v>0.7</v>
      </c>
      <c r="G190" s="14">
        <f t="shared" si="2"/>
        <v>0.7</v>
      </c>
      <c r="H190" s="14">
        <f t="shared" si="20"/>
        <v>0.7</v>
      </c>
      <c r="I190" s="14">
        <f t="shared" si="20"/>
        <v>0.7</v>
      </c>
      <c r="J190" s="14">
        <f t="shared" si="20"/>
        <v>0.7</v>
      </c>
      <c r="K190" s="14">
        <f t="shared" si="20"/>
        <v>0.7</v>
      </c>
      <c r="L190" s="14">
        <f t="shared" si="20"/>
        <v>0.7</v>
      </c>
      <c r="M190" s="14">
        <f t="shared" si="20"/>
        <v>0.7</v>
      </c>
      <c r="N190" s="14">
        <f t="shared" si="20"/>
        <v>0.7</v>
      </c>
      <c r="O190" s="14">
        <f t="shared" si="20"/>
        <v>0.7</v>
      </c>
      <c r="P190" s="14">
        <f t="shared" si="20"/>
        <v>0.7</v>
      </c>
      <c r="Q190" s="14">
        <f t="shared" si="20"/>
        <v>0.7</v>
      </c>
      <c r="R190" s="14">
        <f t="shared" si="20"/>
        <v>0.7</v>
      </c>
      <c r="S190" s="14">
        <f t="shared" si="20"/>
        <v>0.7</v>
      </c>
      <c r="T190" s="14">
        <f t="shared" si="20"/>
        <v>0.7</v>
      </c>
      <c r="U190" s="14">
        <f t="shared" si="20"/>
        <v>0.7</v>
      </c>
      <c r="V190" s="14">
        <f t="shared" si="20"/>
        <v>0.7</v>
      </c>
      <c r="W190" s="457"/>
      <c r="X190" s="457"/>
    </row>
    <row r="191" spans="1:24" x14ac:dyDescent="0.2">
      <c r="A191">
        <f>Summary!A42</f>
        <v>26</v>
      </c>
      <c r="B191" t="s">
        <v>79</v>
      </c>
      <c r="C191" s="14">
        <v>0.7</v>
      </c>
      <c r="D191" s="14">
        <v>0.7</v>
      </c>
      <c r="E191" s="14">
        <v>0.7</v>
      </c>
      <c r="F191" s="14">
        <f t="shared" si="4"/>
        <v>0.7</v>
      </c>
      <c r="G191" s="14">
        <f t="shared" si="2"/>
        <v>0.7</v>
      </c>
      <c r="H191" s="14">
        <f t="shared" si="20"/>
        <v>0.7</v>
      </c>
      <c r="I191" s="14">
        <f t="shared" si="20"/>
        <v>0.7</v>
      </c>
      <c r="J191" s="14">
        <f t="shared" si="20"/>
        <v>0.7</v>
      </c>
      <c r="K191" s="14">
        <f t="shared" si="20"/>
        <v>0.7</v>
      </c>
      <c r="L191" s="14">
        <f t="shared" si="20"/>
        <v>0.7</v>
      </c>
      <c r="M191" s="14">
        <f t="shared" si="20"/>
        <v>0.7</v>
      </c>
      <c r="N191" s="14">
        <f t="shared" si="20"/>
        <v>0.7</v>
      </c>
      <c r="O191" s="14">
        <f t="shared" si="20"/>
        <v>0.7</v>
      </c>
      <c r="P191" s="14">
        <f t="shared" si="20"/>
        <v>0.7</v>
      </c>
      <c r="Q191" s="14">
        <f t="shared" si="20"/>
        <v>0.7</v>
      </c>
      <c r="R191" s="14">
        <f t="shared" si="20"/>
        <v>0.7</v>
      </c>
      <c r="S191" s="14">
        <f t="shared" si="20"/>
        <v>0.7</v>
      </c>
      <c r="T191" s="14">
        <f t="shared" si="20"/>
        <v>0.7</v>
      </c>
      <c r="U191" s="14">
        <f t="shared" si="20"/>
        <v>0.7</v>
      </c>
      <c r="V191" s="14">
        <f t="shared" si="20"/>
        <v>0.7</v>
      </c>
      <c r="W191" s="457"/>
      <c r="X191" s="457"/>
    </row>
    <row r="192" spans="1:24" x14ac:dyDescent="0.2">
      <c r="A192">
        <f>Summary!A43</f>
        <v>27</v>
      </c>
      <c r="B192" t="s">
        <v>80</v>
      </c>
      <c r="C192" s="14">
        <v>0.15</v>
      </c>
      <c r="D192" s="14">
        <v>0.15</v>
      </c>
      <c r="E192" s="14">
        <v>0.15</v>
      </c>
      <c r="F192" s="14">
        <f t="shared" si="4"/>
        <v>0.15</v>
      </c>
      <c r="G192" s="14">
        <f t="shared" si="2"/>
        <v>0.15</v>
      </c>
      <c r="H192" s="14">
        <f t="shared" si="20"/>
        <v>0.15</v>
      </c>
      <c r="I192" s="14">
        <f t="shared" si="20"/>
        <v>0.15</v>
      </c>
      <c r="J192" s="14">
        <f t="shared" si="20"/>
        <v>0.15</v>
      </c>
      <c r="K192" s="14">
        <f t="shared" si="20"/>
        <v>0.15</v>
      </c>
      <c r="L192" s="14">
        <f t="shared" si="20"/>
        <v>0.15</v>
      </c>
      <c r="M192" s="14">
        <f t="shared" si="20"/>
        <v>0.15</v>
      </c>
      <c r="N192" s="14">
        <f t="shared" si="20"/>
        <v>0.15</v>
      </c>
      <c r="O192" s="14">
        <f t="shared" si="20"/>
        <v>0.15</v>
      </c>
      <c r="P192" s="14">
        <f t="shared" si="20"/>
        <v>0.15</v>
      </c>
      <c r="Q192" s="14">
        <f t="shared" si="20"/>
        <v>0.15</v>
      </c>
      <c r="R192" s="14">
        <f t="shared" si="20"/>
        <v>0.15</v>
      </c>
      <c r="S192" s="14">
        <f t="shared" si="20"/>
        <v>0.15</v>
      </c>
      <c r="T192" s="14">
        <f t="shared" si="20"/>
        <v>0.15</v>
      </c>
      <c r="U192" s="14">
        <f t="shared" si="20"/>
        <v>0.15</v>
      </c>
      <c r="V192" s="14">
        <f t="shared" si="20"/>
        <v>0.15</v>
      </c>
      <c r="W192" s="457"/>
      <c r="X192" s="457"/>
    </row>
    <row r="193" spans="1:24" x14ac:dyDescent="0.2">
      <c r="A193">
        <f>Summary!A44</f>
        <v>28</v>
      </c>
      <c r="B193" t="s">
        <v>81</v>
      </c>
      <c r="C193" s="14">
        <v>0.15</v>
      </c>
      <c r="D193" s="14">
        <v>0.15</v>
      </c>
      <c r="E193" s="14">
        <v>0.15</v>
      </c>
      <c r="F193" s="14">
        <f t="shared" si="4"/>
        <v>0.15</v>
      </c>
      <c r="G193" s="14">
        <f t="shared" si="2"/>
        <v>0.15</v>
      </c>
      <c r="H193" s="14">
        <f t="shared" si="20"/>
        <v>0.15</v>
      </c>
      <c r="I193" s="14">
        <f t="shared" si="20"/>
        <v>0.15</v>
      </c>
      <c r="J193" s="14">
        <f t="shared" si="20"/>
        <v>0.15</v>
      </c>
      <c r="K193" s="14">
        <f t="shared" si="20"/>
        <v>0.15</v>
      </c>
      <c r="L193" s="14">
        <f t="shared" si="20"/>
        <v>0.15</v>
      </c>
      <c r="M193" s="14">
        <f t="shared" si="20"/>
        <v>0.15</v>
      </c>
      <c r="N193" s="14">
        <f t="shared" si="20"/>
        <v>0.15</v>
      </c>
      <c r="O193" s="14">
        <f t="shared" si="20"/>
        <v>0.15</v>
      </c>
      <c r="P193" s="14">
        <f t="shared" si="20"/>
        <v>0.15</v>
      </c>
      <c r="Q193" s="14">
        <f t="shared" si="20"/>
        <v>0.15</v>
      </c>
      <c r="R193" s="14">
        <f t="shared" si="20"/>
        <v>0.15</v>
      </c>
      <c r="S193" s="14">
        <f t="shared" si="20"/>
        <v>0.15</v>
      </c>
      <c r="T193" s="14">
        <f t="shared" si="20"/>
        <v>0.15</v>
      </c>
      <c r="U193" s="14">
        <f t="shared" si="20"/>
        <v>0.15</v>
      </c>
      <c r="V193" s="14">
        <f t="shared" si="20"/>
        <v>0.15</v>
      </c>
      <c r="W193" s="457"/>
      <c r="X193" s="457"/>
    </row>
    <row r="194" spans="1:24" x14ac:dyDescent="0.2">
      <c r="A194">
        <f>Summary!A45</f>
        <v>29</v>
      </c>
      <c r="B194" t="s">
        <v>82</v>
      </c>
      <c r="C194" s="14">
        <v>0.15</v>
      </c>
      <c r="D194" s="14">
        <v>0.15</v>
      </c>
      <c r="E194" s="14">
        <v>0.15</v>
      </c>
      <c r="F194" s="14">
        <f t="shared" si="4"/>
        <v>0.15</v>
      </c>
      <c r="G194" s="14">
        <f t="shared" si="2"/>
        <v>0.15</v>
      </c>
      <c r="H194" s="14">
        <f t="shared" si="20"/>
        <v>0.15</v>
      </c>
      <c r="I194" s="14">
        <f t="shared" si="20"/>
        <v>0.15</v>
      </c>
      <c r="J194" s="14">
        <f t="shared" si="20"/>
        <v>0.15</v>
      </c>
      <c r="K194" s="14">
        <f t="shared" si="20"/>
        <v>0.15</v>
      </c>
      <c r="L194" s="14">
        <f t="shared" si="20"/>
        <v>0.15</v>
      </c>
      <c r="M194" s="14">
        <f t="shared" si="20"/>
        <v>0.15</v>
      </c>
      <c r="N194" s="14">
        <f t="shared" si="20"/>
        <v>0.15</v>
      </c>
      <c r="O194" s="14">
        <f t="shared" si="20"/>
        <v>0.15</v>
      </c>
      <c r="P194" s="14">
        <f t="shared" si="20"/>
        <v>0.15</v>
      </c>
      <c r="Q194" s="14">
        <f t="shared" si="20"/>
        <v>0.15</v>
      </c>
      <c r="R194" s="14">
        <f t="shared" si="20"/>
        <v>0.15</v>
      </c>
      <c r="S194" s="14">
        <f t="shared" si="20"/>
        <v>0.15</v>
      </c>
      <c r="T194" s="14">
        <f t="shared" si="20"/>
        <v>0.15</v>
      </c>
      <c r="U194" s="14">
        <f t="shared" si="20"/>
        <v>0.15</v>
      </c>
      <c r="V194" s="14">
        <f t="shared" si="20"/>
        <v>0.15</v>
      </c>
      <c r="W194" s="457"/>
      <c r="X194" s="457"/>
    </row>
    <row r="195" spans="1:24" x14ac:dyDescent="0.2">
      <c r="A195">
        <f>Summary!A46</f>
        <v>30</v>
      </c>
      <c r="B195" t="s">
        <v>83</v>
      </c>
      <c r="C195" s="14">
        <v>0.15</v>
      </c>
      <c r="D195" s="14">
        <v>0.15</v>
      </c>
      <c r="E195" s="14">
        <v>0.15</v>
      </c>
      <c r="F195" s="14">
        <f t="shared" si="4"/>
        <v>0.15</v>
      </c>
      <c r="G195" s="14">
        <f t="shared" si="2"/>
        <v>0.15</v>
      </c>
      <c r="H195" s="14">
        <f t="shared" si="20"/>
        <v>0.15</v>
      </c>
      <c r="I195" s="14">
        <f t="shared" si="20"/>
        <v>0.15</v>
      </c>
      <c r="J195" s="14">
        <f t="shared" si="20"/>
        <v>0.15</v>
      </c>
      <c r="K195" s="14">
        <f t="shared" si="20"/>
        <v>0.15</v>
      </c>
      <c r="L195" s="14">
        <f t="shared" si="20"/>
        <v>0.15</v>
      </c>
      <c r="M195" s="14">
        <f t="shared" si="20"/>
        <v>0.15</v>
      </c>
      <c r="N195" s="14">
        <f t="shared" si="20"/>
        <v>0.15</v>
      </c>
      <c r="O195" s="14">
        <f t="shared" si="20"/>
        <v>0.15</v>
      </c>
      <c r="P195" s="14">
        <f t="shared" si="20"/>
        <v>0.15</v>
      </c>
      <c r="Q195" s="14">
        <f t="shared" si="20"/>
        <v>0.15</v>
      </c>
      <c r="R195" s="14">
        <f t="shared" si="20"/>
        <v>0.15</v>
      </c>
      <c r="S195" s="14">
        <f t="shared" si="20"/>
        <v>0.15</v>
      </c>
      <c r="T195" s="14">
        <f t="shared" si="20"/>
        <v>0.15</v>
      </c>
      <c r="U195" s="14">
        <f t="shared" si="20"/>
        <v>0.15</v>
      </c>
      <c r="V195" s="14">
        <f t="shared" si="20"/>
        <v>0.15</v>
      </c>
      <c r="W195" s="457"/>
      <c r="X195" s="457"/>
    </row>
    <row r="196" spans="1:24" x14ac:dyDescent="0.2">
      <c r="A196">
        <f>Summary!A47</f>
        <v>31</v>
      </c>
      <c r="B196" t="s">
        <v>84</v>
      </c>
      <c r="C196" s="14">
        <v>0.15</v>
      </c>
      <c r="D196" s="14">
        <v>0.15</v>
      </c>
      <c r="E196" s="14">
        <v>0.15</v>
      </c>
      <c r="F196" s="14">
        <f t="shared" si="4"/>
        <v>0.15</v>
      </c>
      <c r="G196" s="14">
        <f t="shared" si="2"/>
        <v>0.15</v>
      </c>
      <c r="H196" s="14">
        <f t="shared" si="20"/>
        <v>0.15</v>
      </c>
      <c r="I196" s="14">
        <f t="shared" si="20"/>
        <v>0.15</v>
      </c>
      <c r="J196" s="14">
        <f t="shared" si="20"/>
        <v>0.15</v>
      </c>
      <c r="K196" s="14">
        <f t="shared" si="20"/>
        <v>0.15</v>
      </c>
      <c r="L196" s="14">
        <f t="shared" si="20"/>
        <v>0.15</v>
      </c>
      <c r="M196" s="14">
        <f t="shared" si="20"/>
        <v>0.15</v>
      </c>
      <c r="N196" s="14">
        <f t="shared" si="20"/>
        <v>0.15</v>
      </c>
      <c r="O196" s="14">
        <f t="shared" si="20"/>
        <v>0.15</v>
      </c>
      <c r="P196" s="14">
        <f t="shared" si="20"/>
        <v>0.15</v>
      </c>
      <c r="Q196" s="14">
        <f t="shared" si="20"/>
        <v>0.15</v>
      </c>
      <c r="R196" s="14">
        <f t="shared" si="20"/>
        <v>0.15</v>
      </c>
      <c r="S196" s="14">
        <f t="shared" si="20"/>
        <v>0.15</v>
      </c>
      <c r="T196" s="14">
        <f t="shared" si="20"/>
        <v>0.15</v>
      </c>
      <c r="U196" s="14">
        <f t="shared" si="20"/>
        <v>0.15</v>
      </c>
      <c r="V196" s="14">
        <f t="shared" si="20"/>
        <v>0.15</v>
      </c>
      <c r="W196" s="457"/>
      <c r="X196" s="457"/>
    </row>
    <row r="197" spans="1:24" x14ac:dyDescent="0.2">
      <c r="A197">
        <f>Summary!A48</f>
        <v>32</v>
      </c>
      <c r="B197" t="s">
        <v>85</v>
      </c>
      <c r="C197" s="14">
        <v>0.15</v>
      </c>
      <c r="D197" s="14">
        <v>0.15</v>
      </c>
      <c r="E197" s="14">
        <v>0.15</v>
      </c>
      <c r="F197" s="14">
        <f t="shared" si="4"/>
        <v>0.15</v>
      </c>
      <c r="G197" s="14">
        <f t="shared" si="2"/>
        <v>0.15</v>
      </c>
      <c r="H197" s="14">
        <f t="shared" ref="H197:V198" si="21">G197</f>
        <v>0.15</v>
      </c>
      <c r="I197" s="14">
        <f t="shared" si="21"/>
        <v>0.15</v>
      </c>
      <c r="J197" s="14">
        <f t="shared" si="21"/>
        <v>0.15</v>
      </c>
      <c r="K197" s="14">
        <f t="shared" si="21"/>
        <v>0.15</v>
      </c>
      <c r="L197" s="14">
        <f t="shared" si="21"/>
        <v>0.15</v>
      </c>
      <c r="M197" s="14">
        <f t="shared" si="21"/>
        <v>0.15</v>
      </c>
      <c r="N197" s="14">
        <f t="shared" si="21"/>
        <v>0.15</v>
      </c>
      <c r="O197" s="14">
        <f t="shared" si="21"/>
        <v>0.15</v>
      </c>
      <c r="P197" s="14">
        <f t="shared" si="21"/>
        <v>0.15</v>
      </c>
      <c r="Q197" s="14">
        <f t="shared" si="21"/>
        <v>0.15</v>
      </c>
      <c r="R197" s="14">
        <f t="shared" si="21"/>
        <v>0.15</v>
      </c>
      <c r="S197" s="14">
        <f t="shared" si="21"/>
        <v>0.15</v>
      </c>
      <c r="T197" s="14">
        <f t="shared" si="21"/>
        <v>0.15</v>
      </c>
      <c r="U197" s="14">
        <f t="shared" si="21"/>
        <v>0.15</v>
      </c>
      <c r="V197" s="14">
        <f t="shared" si="21"/>
        <v>0.15</v>
      </c>
      <c r="W197" s="457"/>
      <c r="X197" s="457"/>
    </row>
    <row r="198" spans="1:24" x14ac:dyDescent="0.2">
      <c r="A198">
        <f>Summary!A49</f>
        <v>33</v>
      </c>
      <c r="B198" t="s">
        <v>181</v>
      </c>
      <c r="C198" s="14">
        <v>0</v>
      </c>
      <c r="D198" s="14">
        <f>C198</f>
        <v>0</v>
      </c>
      <c r="E198" s="14">
        <f>D198</f>
        <v>0</v>
      </c>
      <c r="F198" s="14">
        <f t="shared" si="4"/>
        <v>0</v>
      </c>
      <c r="G198" s="14">
        <f t="shared" si="2"/>
        <v>0</v>
      </c>
      <c r="H198" s="14">
        <f t="shared" si="21"/>
        <v>0</v>
      </c>
      <c r="I198" s="14">
        <f t="shared" si="21"/>
        <v>0</v>
      </c>
      <c r="J198" s="14">
        <f t="shared" si="21"/>
        <v>0</v>
      </c>
      <c r="K198" s="14">
        <f t="shared" si="21"/>
        <v>0</v>
      </c>
      <c r="L198" s="14">
        <f t="shared" si="21"/>
        <v>0</v>
      </c>
      <c r="M198" s="14">
        <f t="shared" si="21"/>
        <v>0</v>
      </c>
      <c r="N198" s="14">
        <f t="shared" si="21"/>
        <v>0</v>
      </c>
      <c r="O198" s="14">
        <f t="shared" si="21"/>
        <v>0</v>
      </c>
      <c r="P198" s="14">
        <f t="shared" si="21"/>
        <v>0</v>
      </c>
      <c r="Q198" s="14">
        <f t="shared" si="21"/>
        <v>0</v>
      </c>
      <c r="R198" s="14">
        <f t="shared" si="21"/>
        <v>0</v>
      </c>
      <c r="S198" s="14">
        <f t="shared" si="21"/>
        <v>0</v>
      </c>
      <c r="T198" s="14">
        <f t="shared" si="21"/>
        <v>0</v>
      </c>
      <c r="U198" s="14">
        <f t="shared" si="21"/>
        <v>0</v>
      </c>
      <c r="V198" s="14">
        <f t="shared" si="21"/>
        <v>0</v>
      </c>
      <c r="W198" s="457"/>
      <c r="X198" s="457"/>
    </row>
    <row r="201" spans="1:24" x14ac:dyDescent="0.2">
      <c r="A201" s="308" t="s">
        <v>133</v>
      </c>
    </row>
    <row r="202" spans="1:24" x14ac:dyDescent="0.2">
      <c r="C202" s="12">
        <v>2000</v>
      </c>
      <c r="D202" s="12">
        <v>2001</v>
      </c>
      <c r="E202" s="12">
        <v>2002</v>
      </c>
      <c r="F202" s="12">
        <v>2003</v>
      </c>
      <c r="G202" s="12">
        <v>2004</v>
      </c>
      <c r="H202" s="12">
        <v>2005</v>
      </c>
      <c r="I202" s="12">
        <v>2006</v>
      </c>
      <c r="J202" s="12">
        <v>2007</v>
      </c>
      <c r="K202" s="12">
        <v>2008</v>
      </c>
      <c r="L202" s="12">
        <v>2009</v>
      </c>
      <c r="M202" s="12">
        <v>2010</v>
      </c>
      <c r="N202" s="12">
        <v>2011</v>
      </c>
      <c r="O202" s="12">
        <v>2012</v>
      </c>
      <c r="P202" s="12">
        <v>2013</v>
      </c>
      <c r="Q202" s="12">
        <v>2014</v>
      </c>
      <c r="R202" s="12">
        <v>2015</v>
      </c>
      <c r="S202" s="12">
        <v>2016</v>
      </c>
      <c r="T202" s="12">
        <v>2017</v>
      </c>
      <c r="U202" s="12">
        <v>2018</v>
      </c>
      <c r="V202" s="12">
        <v>2019</v>
      </c>
    </row>
    <row r="204" spans="1:24" x14ac:dyDescent="0.2">
      <c r="A204">
        <f>Summary!A17</f>
        <v>1</v>
      </c>
      <c r="B204" t="s">
        <v>55</v>
      </c>
      <c r="C204" s="6">
        <v>8326</v>
      </c>
      <c r="D204" s="6">
        <v>8326</v>
      </c>
      <c r="E204" s="6">
        <v>8326</v>
      </c>
      <c r="F204" s="6">
        <v>8326</v>
      </c>
      <c r="G204" s="6">
        <v>8326</v>
      </c>
      <c r="H204" s="6">
        <v>8326</v>
      </c>
      <c r="I204" s="6">
        <v>8326</v>
      </c>
      <c r="J204" s="6">
        <v>8326</v>
      </c>
      <c r="K204" s="6">
        <v>8326</v>
      </c>
      <c r="L204" s="6">
        <v>8326</v>
      </c>
      <c r="M204" s="6">
        <v>8326</v>
      </c>
      <c r="N204" s="6">
        <v>8326</v>
      </c>
      <c r="O204" s="6">
        <v>8326</v>
      </c>
      <c r="P204" s="6">
        <v>8326</v>
      </c>
      <c r="Q204" s="6">
        <v>8326</v>
      </c>
      <c r="R204" s="6">
        <v>8326</v>
      </c>
      <c r="S204" s="6">
        <v>8326</v>
      </c>
      <c r="T204" s="6">
        <v>8326</v>
      </c>
      <c r="U204" s="6">
        <v>8326</v>
      </c>
      <c r="V204" s="6">
        <v>8326</v>
      </c>
    </row>
    <row r="205" spans="1:24" x14ac:dyDescent="0.2">
      <c r="A205">
        <f>Summary!A18</f>
        <v>2</v>
      </c>
      <c r="B205" t="s">
        <v>56</v>
      </c>
      <c r="C205" s="6">
        <v>12783</v>
      </c>
      <c r="D205" s="6">
        <v>12783</v>
      </c>
      <c r="E205" s="6">
        <v>12783</v>
      </c>
      <c r="F205" s="6">
        <v>12783</v>
      </c>
      <c r="G205" s="6">
        <v>12783</v>
      </c>
      <c r="H205" s="6">
        <v>12783</v>
      </c>
      <c r="I205" s="6">
        <v>12783</v>
      </c>
      <c r="J205" s="6">
        <v>12783</v>
      </c>
      <c r="K205" s="6">
        <v>12783</v>
      </c>
      <c r="L205" s="6">
        <v>12783</v>
      </c>
      <c r="M205" s="6">
        <v>12783</v>
      </c>
      <c r="N205" s="6">
        <v>12783</v>
      </c>
      <c r="O205" s="6">
        <v>12783</v>
      </c>
      <c r="P205" s="6">
        <v>12783</v>
      </c>
      <c r="Q205" s="6">
        <v>12783</v>
      </c>
      <c r="R205" s="6">
        <v>12783</v>
      </c>
      <c r="S205" s="6">
        <v>12783</v>
      </c>
      <c r="T205" s="6">
        <v>12783</v>
      </c>
      <c r="U205" s="6">
        <v>12783</v>
      </c>
      <c r="V205" s="6">
        <v>12783</v>
      </c>
    </row>
    <row r="206" spans="1:24" x14ac:dyDescent="0.2">
      <c r="A206">
        <f>Summary!A19</f>
        <v>3</v>
      </c>
      <c r="B206" s="9" t="s">
        <v>57</v>
      </c>
      <c r="C206" s="6">
        <v>7785</v>
      </c>
      <c r="D206" s="6">
        <v>7785</v>
      </c>
      <c r="E206" s="6">
        <v>7785</v>
      </c>
      <c r="F206" s="6">
        <v>7785</v>
      </c>
      <c r="G206" s="6">
        <v>7785</v>
      </c>
      <c r="H206" s="6">
        <v>7785</v>
      </c>
      <c r="I206" s="6">
        <v>7785</v>
      </c>
      <c r="J206" s="6">
        <v>7785</v>
      </c>
      <c r="K206" s="6">
        <v>7785</v>
      </c>
      <c r="L206" s="6">
        <v>7785</v>
      </c>
      <c r="M206" s="6">
        <v>7785</v>
      </c>
      <c r="N206" s="6">
        <v>7785</v>
      </c>
      <c r="O206" s="6">
        <v>7785</v>
      </c>
      <c r="P206" s="6">
        <v>7785</v>
      </c>
      <c r="Q206" s="6">
        <v>7785</v>
      </c>
      <c r="R206" s="6">
        <v>7785</v>
      </c>
      <c r="S206" s="6">
        <v>7785</v>
      </c>
      <c r="T206" s="6">
        <v>7785</v>
      </c>
      <c r="U206" s="6">
        <v>7785</v>
      </c>
      <c r="V206" s="6">
        <v>7785</v>
      </c>
    </row>
    <row r="207" spans="1:24" x14ac:dyDescent="0.2">
      <c r="A207">
        <f>Summary!A20</f>
        <v>4</v>
      </c>
      <c r="B207" s="9" t="s">
        <v>58</v>
      </c>
      <c r="C207" s="6">
        <v>7384</v>
      </c>
      <c r="D207" s="6">
        <v>7384</v>
      </c>
      <c r="E207" s="6">
        <v>7384</v>
      </c>
      <c r="F207" s="6">
        <v>7384</v>
      </c>
      <c r="G207" s="6">
        <v>7384</v>
      </c>
      <c r="H207" s="6">
        <v>7384</v>
      </c>
      <c r="I207" s="6">
        <v>7384</v>
      </c>
      <c r="J207" s="6">
        <v>7384</v>
      </c>
      <c r="K207" s="6">
        <v>7384</v>
      </c>
      <c r="L207" s="6">
        <v>7384</v>
      </c>
      <c r="M207" s="6">
        <v>7384</v>
      </c>
      <c r="N207" s="6">
        <v>7384</v>
      </c>
      <c r="O207" s="6">
        <v>7384</v>
      </c>
      <c r="P207" s="6">
        <v>7384</v>
      </c>
      <c r="Q207" s="6">
        <v>7384</v>
      </c>
      <c r="R207" s="6">
        <v>7384</v>
      </c>
      <c r="S207" s="6">
        <v>7384</v>
      </c>
      <c r="T207" s="6">
        <v>7384</v>
      </c>
      <c r="U207" s="6">
        <v>7384</v>
      </c>
      <c r="V207" s="6">
        <v>7384</v>
      </c>
    </row>
    <row r="208" spans="1:24" x14ac:dyDescent="0.2">
      <c r="A208">
        <f>Summary!A21</f>
        <v>5</v>
      </c>
      <c r="B208" s="9" t="s">
        <v>59</v>
      </c>
      <c r="C208" s="6">
        <v>7194</v>
      </c>
      <c r="D208" s="6">
        <v>7194</v>
      </c>
      <c r="E208" s="6">
        <v>7194</v>
      </c>
      <c r="F208" s="6">
        <v>7194</v>
      </c>
      <c r="G208" s="6">
        <v>7194</v>
      </c>
      <c r="H208" s="6">
        <v>7194</v>
      </c>
      <c r="I208" s="6">
        <v>7194</v>
      </c>
      <c r="J208" s="6">
        <v>7194</v>
      </c>
      <c r="K208" s="6">
        <v>7194</v>
      </c>
      <c r="L208" s="6">
        <v>7194</v>
      </c>
      <c r="M208" s="6">
        <v>7194</v>
      </c>
      <c r="N208" s="6">
        <v>7194</v>
      </c>
      <c r="O208" s="6">
        <v>7194</v>
      </c>
      <c r="P208" s="6">
        <v>7194</v>
      </c>
      <c r="Q208" s="6">
        <v>7194</v>
      </c>
      <c r="R208" s="6">
        <v>7194</v>
      </c>
      <c r="S208" s="6">
        <v>7194</v>
      </c>
      <c r="T208" s="6">
        <v>7194</v>
      </c>
      <c r="U208" s="6">
        <v>7194</v>
      </c>
      <c r="V208" s="6">
        <v>7194</v>
      </c>
    </row>
    <row r="209" spans="1:22" x14ac:dyDescent="0.2">
      <c r="A209">
        <f>Summary!A22</f>
        <v>6</v>
      </c>
      <c r="B209" s="9" t="s">
        <v>60</v>
      </c>
      <c r="C209" s="6">
        <v>7853</v>
      </c>
      <c r="D209" s="6">
        <v>7853</v>
      </c>
      <c r="E209" s="6">
        <v>7853</v>
      </c>
      <c r="F209" s="6">
        <v>7853</v>
      </c>
      <c r="G209" s="6">
        <v>7853</v>
      </c>
      <c r="H209" s="6">
        <v>7853</v>
      </c>
      <c r="I209" s="6">
        <v>7853</v>
      </c>
      <c r="J209" s="6">
        <v>7853</v>
      </c>
      <c r="K209" s="6">
        <v>7853</v>
      </c>
      <c r="L209" s="6">
        <v>7853</v>
      </c>
      <c r="M209" s="6">
        <v>7853</v>
      </c>
      <c r="N209" s="6">
        <v>7853</v>
      </c>
      <c r="O209" s="6">
        <v>7853</v>
      </c>
      <c r="P209" s="6">
        <v>7853</v>
      </c>
      <c r="Q209" s="6">
        <v>7853</v>
      </c>
      <c r="R209" s="6">
        <v>7853</v>
      </c>
      <c r="S209" s="6">
        <v>7853</v>
      </c>
      <c r="T209" s="6">
        <v>7853</v>
      </c>
      <c r="U209" s="6">
        <v>7853</v>
      </c>
      <c r="V209" s="6">
        <v>7853</v>
      </c>
    </row>
    <row r="210" spans="1:22" x14ac:dyDescent="0.2">
      <c r="A210">
        <f>Summary!A23</f>
        <v>7</v>
      </c>
      <c r="B210" t="s">
        <v>61</v>
      </c>
      <c r="C210" s="6">
        <v>4757</v>
      </c>
      <c r="D210" s="6">
        <v>4757</v>
      </c>
      <c r="E210" s="6">
        <v>4757</v>
      </c>
      <c r="F210" s="6">
        <v>4757</v>
      </c>
      <c r="G210" s="6">
        <v>4757</v>
      </c>
      <c r="H210" s="6">
        <v>4757</v>
      </c>
      <c r="I210" s="6">
        <v>4757</v>
      </c>
      <c r="J210" s="6">
        <v>4757</v>
      </c>
      <c r="K210" s="6">
        <v>4757</v>
      </c>
      <c r="L210" s="6">
        <v>4757</v>
      </c>
      <c r="M210" s="6">
        <v>4757</v>
      </c>
      <c r="N210" s="6">
        <v>4757</v>
      </c>
      <c r="O210" s="6">
        <v>4757</v>
      </c>
      <c r="P210" s="6">
        <v>4757</v>
      </c>
      <c r="Q210" s="6">
        <v>4757</v>
      </c>
      <c r="R210" s="6">
        <v>4757</v>
      </c>
      <c r="S210" s="6">
        <v>4757</v>
      </c>
      <c r="T210" s="6">
        <v>4757</v>
      </c>
      <c r="U210" s="6">
        <v>4757</v>
      </c>
      <c r="V210" s="6">
        <v>4757</v>
      </c>
    </row>
    <row r="211" spans="1:22" x14ac:dyDescent="0.2">
      <c r="A211">
        <f>Summary!A24</f>
        <v>8</v>
      </c>
      <c r="B211" t="s">
        <v>62</v>
      </c>
      <c r="C211" s="6">
        <v>284</v>
      </c>
      <c r="D211" s="6">
        <v>284</v>
      </c>
      <c r="E211" s="6">
        <v>284</v>
      </c>
      <c r="F211" s="6">
        <v>284</v>
      </c>
      <c r="G211" s="6">
        <v>284</v>
      </c>
      <c r="H211" s="6">
        <v>284</v>
      </c>
      <c r="I211" s="6">
        <v>284</v>
      </c>
      <c r="J211" s="6">
        <v>284</v>
      </c>
      <c r="K211" s="6">
        <v>284</v>
      </c>
      <c r="L211" s="6">
        <v>284</v>
      </c>
      <c r="M211" s="6">
        <v>284</v>
      </c>
      <c r="N211" s="6">
        <v>284</v>
      </c>
      <c r="O211" s="6">
        <v>284</v>
      </c>
      <c r="P211" s="6">
        <v>284</v>
      </c>
      <c r="Q211" s="6">
        <v>284</v>
      </c>
      <c r="R211" s="6">
        <v>284</v>
      </c>
      <c r="S211" s="6">
        <v>284</v>
      </c>
      <c r="T211" s="6">
        <v>284</v>
      </c>
      <c r="U211" s="6">
        <v>284</v>
      </c>
      <c r="V211" s="6">
        <v>284</v>
      </c>
    </row>
    <row r="212" spans="1:22" x14ac:dyDescent="0.2">
      <c r="A212">
        <f>Summary!A25</f>
        <v>9</v>
      </c>
      <c r="B212" t="s">
        <v>63</v>
      </c>
      <c r="C212" s="6">
        <v>4868</v>
      </c>
      <c r="D212" s="6">
        <v>4868</v>
      </c>
      <c r="E212" s="6">
        <v>4868</v>
      </c>
      <c r="F212" s="6">
        <v>4868</v>
      </c>
      <c r="G212" s="6">
        <v>4868</v>
      </c>
      <c r="H212" s="6">
        <v>4868</v>
      </c>
      <c r="I212" s="6">
        <v>4868</v>
      </c>
      <c r="J212" s="6">
        <v>4868</v>
      </c>
      <c r="K212" s="6">
        <v>4868</v>
      </c>
      <c r="L212" s="6">
        <v>4868</v>
      </c>
      <c r="M212" s="6">
        <v>4868</v>
      </c>
      <c r="N212" s="6">
        <v>4868</v>
      </c>
      <c r="O212" s="6">
        <v>4868</v>
      </c>
      <c r="P212" s="6">
        <v>4868</v>
      </c>
      <c r="Q212" s="6">
        <v>4868</v>
      </c>
      <c r="R212" s="6">
        <v>4868</v>
      </c>
      <c r="S212" s="6">
        <v>4868</v>
      </c>
      <c r="T212" s="6">
        <v>4868</v>
      </c>
      <c r="U212" s="6">
        <v>4868</v>
      </c>
      <c r="V212" s="6">
        <v>4868</v>
      </c>
    </row>
    <row r="213" spans="1:22" x14ac:dyDescent="0.2">
      <c r="A213">
        <f>Summary!A26</f>
        <v>10</v>
      </c>
      <c r="B213" t="s">
        <v>64</v>
      </c>
      <c r="C213" s="6">
        <v>10552</v>
      </c>
      <c r="D213" s="6">
        <v>10552</v>
      </c>
      <c r="E213" s="6">
        <v>10552</v>
      </c>
      <c r="F213" s="6">
        <v>10552</v>
      </c>
      <c r="G213" s="6">
        <v>10552</v>
      </c>
      <c r="H213" s="6">
        <v>10552</v>
      </c>
      <c r="I213" s="6">
        <v>10552</v>
      </c>
      <c r="J213" s="6">
        <v>10552</v>
      </c>
      <c r="K213" s="6">
        <v>10552</v>
      </c>
      <c r="L213" s="6">
        <v>10552</v>
      </c>
      <c r="M213" s="6">
        <v>10552</v>
      </c>
      <c r="N213" s="6">
        <v>10552</v>
      </c>
      <c r="O213" s="6">
        <v>10552</v>
      </c>
      <c r="P213" s="6">
        <v>10552</v>
      </c>
      <c r="Q213" s="6">
        <v>10552</v>
      </c>
      <c r="R213" s="6">
        <v>10552</v>
      </c>
      <c r="S213" s="6">
        <v>10552</v>
      </c>
      <c r="T213" s="6">
        <v>10552</v>
      </c>
      <c r="U213" s="6">
        <v>10552</v>
      </c>
      <c r="V213" s="6">
        <v>10552</v>
      </c>
    </row>
    <row r="214" spans="1:22" x14ac:dyDescent="0.2">
      <c r="A214">
        <f>Summary!A27</f>
        <v>11</v>
      </c>
      <c r="B214" t="s">
        <v>65</v>
      </c>
      <c r="C214" s="6">
        <v>11529</v>
      </c>
      <c r="D214" s="6">
        <v>11529</v>
      </c>
      <c r="E214" s="6">
        <v>11529</v>
      </c>
      <c r="F214" s="6">
        <v>11529</v>
      </c>
      <c r="G214" s="6">
        <v>11529</v>
      </c>
      <c r="H214" s="6">
        <v>11529</v>
      </c>
      <c r="I214" s="6">
        <v>11529</v>
      </c>
      <c r="J214" s="6">
        <v>11529</v>
      </c>
      <c r="K214" s="6">
        <v>11529</v>
      </c>
      <c r="L214" s="6">
        <v>11529</v>
      </c>
      <c r="M214" s="6">
        <v>11529</v>
      </c>
      <c r="N214" s="6">
        <v>11529</v>
      </c>
      <c r="O214" s="6">
        <v>11529</v>
      </c>
      <c r="P214" s="6">
        <v>11529</v>
      </c>
      <c r="Q214" s="6">
        <v>11529</v>
      </c>
      <c r="R214" s="6">
        <v>11529</v>
      </c>
      <c r="S214" s="6">
        <v>11529</v>
      </c>
      <c r="T214" s="6">
        <v>11529</v>
      </c>
      <c r="U214" s="6">
        <v>11529</v>
      </c>
      <c r="V214" s="6">
        <v>11529</v>
      </c>
    </row>
    <row r="215" spans="1:22" x14ac:dyDescent="0.2">
      <c r="A215">
        <f>Summary!A28</f>
        <v>12</v>
      </c>
      <c r="B215" t="s">
        <v>66</v>
      </c>
      <c r="C215" s="6">
        <v>1830</v>
      </c>
      <c r="D215" s="6">
        <v>1830</v>
      </c>
      <c r="E215" s="6">
        <v>1830</v>
      </c>
      <c r="F215" s="6">
        <v>1830</v>
      </c>
      <c r="G215" s="6">
        <v>1830</v>
      </c>
      <c r="H215" s="6">
        <v>1830</v>
      </c>
      <c r="I215" s="6">
        <v>1830</v>
      </c>
      <c r="J215" s="6">
        <v>1830</v>
      </c>
      <c r="K215" s="6">
        <v>1830</v>
      </c>
      <c r="L215" s="6">
        <v>1830</v>
      </c>
      <c r="M215" s="6">
        <v>1830</v>
      </c>
      <c r="N215" s="6">
        <v>1830</v>
      </c>
      <c r="O215" s="6">
        <v>1830</v>
      </c>
      <c r="P215" s="6">
        <v>1830</v>
      </c>
      <c r="Q215" s="6">
        <v>1830</v>
      </c>
      <c r="R215" s="6">
        <v>1830</v>
      </c>
      <c r="S215" s="6">
        <v>1830</v>
      </c>
      <c r="T215" s="6">
        <v>1830</v>
      </c>
      <c r="U215" s="6">
        <v>1830</v>
      </c>
      <c r="V215" s="6">
        <v>1830</v>
      </c>
    </row>
    <row r="216" spans="1:22" x14ac:dyDescent="0.2">
      <c r="A216">
        <f>Summary!A29</f>
        <v>13</v>
      </c>
      <c r="B216" t="s">
        <v>67</v>
      </c>
      <c r="C216" s="6">
        <v>1853</v>
      </c>
      <c r="D216" s="6">
        <v>1853</v>
      </c>
      <c r="E216" s="6">
        <v>1853</v>
      </c>
      <c r="F216" s="6">
        <v>1853</v>
      </c>
      <c r="G216" s="6">
        <v>1853</v>
      </c>
      <c r="H216" s="6">
        <v>1853</v>
      </c>
      <c r="I216" s="6">
        <v>1853</v>
      </c>
      <c r="J216" s="6">
        <v>1853</v>
      </c>
      <c r="K216" s="6">
        <v>1853</v>
      </c>
      <c r="L216" s="6">
        <v>1853</v>
      </c>
      <c r="M216" s="6">
        <v>1853</v>
      </c>
      <c r="N216" s="6">
        <v>1853</v>
      </c>
      <c r="O216" s="6">
        <v>1853</v>
      </c>
      <c r="P216" s="6">
        <v>1853</v>
      </c>
      <c r="Q216" s="6">
        <v>1853</v>
      </c>
      <c r="R216" s="6">
        <v>1853</v>
      </c>
      <c r="S216" s="6">
        <v>1853</v>
      </c>
      <c r="T216" s="6">
        <v>1853</v>
      </c>
      <c r="U216" s="6">
        <v>1853</v>
      </c>
      <c r="V216" s="6">
        <v>1853</v>
      </c>
    </row>
    <row r="217" spans="1:22" x14ac:dyDescent="0.2">
      <c r="A217">
        <f>Summary!A30</f>
        <v>14</v>
      </c>
      <c r="B217" t="s">
        <v>70</v>
      </c>
      <c r="C217" s="6">
        <v>2521</v>
      </c>
      <c r="D217" s="6">
        <v>2521</v>
      </c>
      <c r="E217" s="6">
        <v>2521</v>
      </c>
      <c r="F217" s="6">
        <v>2521</v>
      </c>
      <c r="G217" s="6">
        <v>2521</v>
      </c>
      <c r="H217" s="6">
        <v>2521</v>
      </c>
      <c r="I217" s="6">
        <v>2521</v>
      </c>
      <c r="J217" s="6">
        <v>2521</v>
      </c>
      <c r="K217" s="6">
        <v>2521</v>
      </c>
      <c r="L217" s="6">
        <v>2521</v>
      </c>
      <c r="M217" s="6">
        <v>2521</v>
      </c>
      <c r="N217" s="6">
        <v>2521</v>
      </c>
      <c r="O217" s="6">
        <v>2521</v>
      </c>
      <c r="P217" s="6">
        <v>2521</v>
      </c>
      <c r="Q217" s="6">
        <v>2521</v>
      </c>
      <c r="R217" s="6">
        <v>2521</v>
      </c>
      <c r="S217" s="6">
        <v>2521</v>
      </c>
      <c r="T217" s="6">
        <v>2521</v>
      </c>
      <c r="U217" s="6">
        <v>2521</v>
      </c>
      <c r="V217" s="6">
        <v>2521</v>
      </c>
    </row>
    <row r="218" spans="1:22" x14ac:dyDescent="0.2">
      <c r="A218">
        <f>Summary!A31</f>
        <v>15</v>
      </c>
      <c r="B218" t="s">
        <v>68</v>
      </c>
      <c r="C218" s="6">
        <v>3245</v>
      </c>
      <c r="D218" s="6">
        <v>3245</v>
      </c>
      <c r="E218" s="6">
        <v>3245</v>
      </c>
      <c r="F218" s="6">
        <v>3245</v>
      </c>
      <c r="G218" s="6">
        <v>3245</v>
      </c>
      <c r="H218" s="6">
        <v>3245</v>
      </c>
      <c r="I218" s="6">
        <v>3245</v>
      </c>
      <c r="J218" s="6">
        <v>3245</v>
      </c>
      <c r="K218" s="6">
        <v>3245</v>
      </c>
      <c r="L218" s="6">
        <v>3245</v>
      </c>
      <c r="M218" s="6">
        <v>3245</v>
      </c>
      <c r="N218" s="6">
        <v>3245</v>
      </c>
      <c r="O218" s="6">
        <v>3245</v>
      </c>
      <c r="P218" s="6">
        <v>3245</v>
      </c>
      <c r="Q218" s="6">
        <v>3245</v>
      </c>
      <c r="R218" s="6">
        <v>3245</v>
      </c>
      <c r="S218" s="6">
        <v>3245</v>
      </c>
      <c r="T218" s="6">
        <v>3245</v>
      </c>
      <c r="U218" s="6">
        <v>3245</v>
      </c>
      <c r="V218" s="6">
        <v>3245</v>
      </c>
    </row>
    <row r="219" spans="1:22" x14ac:dyDescent="0.2">
      <c r="A219">
        <f>Summary!A32</f>
        <v>16</v>
      </c>
      <c r="B219" t="s">
        <v>69</v>
      </c>
      <c r="C219" s="6">
        <v>5059</v>
      </c>
      <c r="D219" s="6">
        <v>5059</v>
      </c>
      <c r="E219" s="6">
        <v>5059</v>
      </c>
      <c r="F219" s="6">
        <v>5059</v>
      </c>
      <c r="G219" s="6">
        <v>5059</v>
      </c>
      <c r="H219" s="6">
        <v>5059</v>
      </c>
      <c r="I219" s="6">
        <v>5059</v>
      </c>
      <c r="J219" s="6">
        <v>5059</v>
      </c>
      <c r="K219" s="6">
        <v>5059</v>
      </c>
      <c r="L219" s="6">
        <v>5059</v>
      </c>
      <c r="M219" s="6">
        <v>5059</v>
      </c>
      <c r="N219" s="6">
        <v>5059</v>
      </c>
      <c r="O219" s="6">
        <v>5059</v>
      </c>
      <c r="P219" s="6">
        <v>5059</v>
      </c>
      <c r="Q219" s="6">
        <v>5059</v>
      </c>
      <c r="R219" s="6">
        <v>5059</v>
      </c>
      <c r="S219" s="6">
        <v>5059</v>
      </c>
      <c r="T219" s="6">
        <v>5059</v>
      </c>
      <c r="U219" s="6">
        <v>5059</v>
      </c>
      <c r="V219" s="6">
        <v>5059</v>
      </c>
    </row>
    <row r="220" spans="1:22" x14ac:dyDescent="0.2">
      <c r="A220">
        <f>Summary!A33</f>
        <v>17</v>
      </c>
      <c r="B220" t="s">
        <v>71</v>
      </c>
      <c r="C220" s="6">
        <v>3603</v>
      </c>
      <c r="D220" s="6">
        <v>3603</v>
      </c>
      <c r="E220" s="6">
        <v>3603</v>
      </c>
      <c r="F220" s="6">
        <v>3603</v>
      </c>
      <c r="G220" s="6">
        <v>3603</v>
      </c>
      <c r="H220" s="6">
        <v>3603</v>
      </c>
      <c r="I220" s="6">
        <v>3603</v>
      </c>
      <c r="J220" s="6">
        <v>3603</v>
      </c>
      <c r="K220" s="6">
        <v>3603</v>
      </c>
      <c r="L220" s="6">
        <v>3603</v>
      </c>
      <c r="M220" s="6">
        <v>3603</v>
      </c>
      <c r="N220" s="6">
        <v>3603</v>
      </c>
      <c r="O220" s="6">
        <v>3603</v>
      </c>
      <c r="P220" s="6">
        <v>3603</v>
      </c>
      <c r="Q220" s="6">
        <v>3603</v>
      </c>
      <c r="R220" s="6">
        <v>3603</v>
      </c>
      <c r="S220" s="6">
        <v>3603</v>
      </c>
      <c r="T220" s="6">
        <v>3603</v>
      </c>
      <c r="U220" s="6">
        <v>3603</v>
      </c>
      <c r="V220" s="6">
        <v>3603</v>
      </c>
    </row>
    <row r="221" spans="1:22" x14ac:dyDescent="0.2">
      <c r="A221">
        <f>Summary!A34</f>
        <v>18</v>
      </c>
      <c r="B221" t="s">
        <v>72</v>
      </c>
      <c r="C221" s="6">
        <v>7448</v>
      </c>
      <c r="D221" s="6">
        <v>7448</v>
      </c>
      <c r="E221" s="6">
        <v>7448</v>
      </c>
      <c r="F221" s="6">
        <v>7448</v>
      </c>
      <c r="G221" s="6">
        <v>7448</v>
      </c>
      <c r="H221" s="6">
        <v>7448</v>
      </c>
      <c r="I221" s="6">
        <v>7448</v>
      </c>
      <c r="J221" s="6">
        <v>7448</v>
      </c>
      <c r="K221" s="6">
        <v>7448</v>
      </c>
      <c r="L221" s="6">
        <v>7448</v>
      </c>
      <c r="M221" s="6">
        <v>7448</v>
      </c>
      <c r="N221" s="6">
        <v>7448</v>
      </c>
      <c r="O221" s="6">
        <v>7448</v>
      </c>
      <c r="P221" s="6">
        <v>7448</v>
      </c>
      <c r="Q221" s="6">
        <v>7448</v>
      </c>
      <c r="R221" s="6">
        <v>7448</v>
      </c>
      <c r="S221" s="6">
        <v>7448</v>
      </c>
      <c r="T221" s="6">
        <v>7448</v>
      </c>
      <c r="U221" s="6">
        <v>7448</v>
      </c>
      <c r="V221" s="6">
        <v>7448</v>
      </c>
    </row>
    <row r="222" spans="1:22" x14ac:dyDescent="0.2">
      <c r="A222">
        <f>Summary!A35</f>
        <v>19</v>
      </c>
      <c r="B222" t="s">
        <v>73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</row>
    <row r="223" spans="1:22" x14ac:dyDescent="0.2">
      <c r="A223">
        <f>Summary!A36</f>
        <v>20</v>
      </c>
      <c r="B223" t="s">
        <v>74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</row>
    <row r="224" spans="1:22" x14ac:dyDescent="0.2">
      <c r="A224">
        <f>Summary!A37</f>
        <v>21</v>
      </c>
      <c r="B224" t="s">
        <v>75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</row>
    <row r="225" spans="1:22" x14ac:dyDescent="0.2">
      <c r="A225">
        <f>Summary!A38</f>
        <v>22</v>
      </c>
      <c r="B225" t="s">
        <v>86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</row>
    <row r="226" spans="1:22" x14ac:dyDescent="0.2">
      <c r="A226">
        <f>Summary!A39</f>
        <v>23</v>
      </c>
      <c r="B226" t="s">
        <v>76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</row>
    <row r="227" spans="1:22" x14ac:dyDescent="0.2">
      <c r="A227">
        <f>Summary!A40</f>
        <v>24</v>
      </c>
      <c r="B227" t="s">
        <v>77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</row>
    <row r="228" spans="1:22" x14ac:dyDescent="0.2">
      <c r="A228">
        <f>Summary!A41</f>
        <v>25</v>
      </c>
      <c r="B228" t="s">
        <v>78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</row>
    <row r="229" spans="1:22" x14ac:dyDescent="0.2">
      <c r="A229">
        <f>Summary!A42</f>
        <v>26</v>
      </c>
      <c r="B229" t="s">
        <v>79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</row>
    <row r="230" spans="1:22" x14ac:dyDescent="0.2">
      <c r="A230">
        <f>Summary!A43</f>
        <v>27</v>
      </c>
      <c r="B230" t="s">
        <v>80</v>
      </c>
      <c r="C230" s="6">
        <v>292</v>
      </c>
      <c r="D230" s="6">
        <v>292</v>
      </c>
      <c r="E230" s="6">
        <v>292</v>
      </c>
      <c r="F230" s="6">
        <v>292</v>
      </c>
      <c r="G230" s="6">
        <v>292</v>
      </c>
      <c r="H230" s="6">
        <v>292</v>
      </c>
      <c r="I230" s="6">
        <v>292</v>
      </c>
      <c r="J230" s="6">
        <v>292</v>
      </c>
      <c r="K230" s="6">
        <v>292</v>
      </c>
      <c r="L230" s="6">
        <v>292</v>
      </c>
      <c r="M230" s="6">
        <v>292</v>
      </c>
      <c r="N230" s="6">
        <v>292</v>
      </c>
      <c r="O230" s="6">
        <v>292</v>
      </c>
      <c r="P230" s="6">
        <v>292</v>
      </c>
      <c r="Q230" s="6">
        <v>292</v>
      </c>
      <c r="R230" s="6">
        <v>292</v>
      </c>
      <c r="S230" s="6">
        <v>292</v>
      </c>
      <c r="T230" s="6">
        <v>292</v>
      </c>
      <c r="U230" s="6">
        <v>292</v>
      </c>
      <c r="V230" s="6">
        <v>292</v>
      </c>
    </row>
    <row r="231" spans="1:22" x14ac:dyDescent="0.2">
      <c r="A231">
        <f>Summary!A44</f>
        <v>28</v>
      </c>
      <c r="B231" t="s">
        <v>81</v>
      </c>
      <c r="C231" s="6">
        <v>292</v>
      </c>
      <c r="D231" s="6">
        <v>292</v>
      </c>
      <c r="E231" s="6">
        <v>292</v>
      </c>
      <c r="F231" s="6">
        <v>292</v>
      </c>
      <c r="G231" s="6">
        <v>292</v>
      </c>
      <c r="H231" s="6">
        <v>292</v>
      </c>
      <c r="I231" s="6">
        <v>292</v>
      </c>
      <c r="J231" s="6">
        <v>292</v>
      </c>
      <c r="K231" s="6">
        <v>292</v>
      </c>
      <c r="L231" s="6">
        <v>292</v>
      </c>
      <c r="M231" s="6">
        <v>292</v>
      </c>
      <c r="N231" s="6">
        <v>292</v>
      </c>
      <c r="O231" s="6">
        <v>292</v>
      </c>
      <c r="P231" s="6">
        <v>292</v>
      </c>
      <c r="Q231" s="6">
        <v>292</v>
      </c>
      <c r="R231" s="6">
        <v>292</v>
      </c>
      <c r="S231" s="6">
        <v>292</v>
      </c>
      <c r="T231" s="6">
        <v>292</v>
      </c>
      <c r="U231" s="6">
        <v>292</v>
      </c>
      <c r="V231" s="6">
        <v>292</v>
      </c>
    </row>
    <row r="232" spans="1:22" x14ac:dyDescent="0.2">
      <c r="A232">
        <f>Summary!A45</f>
        <v>29</v>
      </c>
      <c r="B232" t="s">
        <v>82</v>
      </c>
      <c r="C232" s="6">
        <v>292</v>
      </c>
      <c r="D232" s="6">
        <v>292</v>
      </c>
      <c r="E232" s="6">
        <v>292</v>
      </c>
      <c r="F232" s="6">
        <v>292</v>
      </c>
      <c r="G232" s="6">
        <v>292</v>
      </c>
      <c r="H232" s="6">
        <v>292</v>
      </c>
      <c r="I232" s="6">
        <v>292</v>
      </c>
      <c r="J232" s="6">
        <v>292</v>
      </c>
      <c r="K232" s="6">
        <v>292</v>
      </c>
      <c r="L232" s="6">
        <v>292</v>
      </c>
      <c r="M232" s="6">
        <v>292</v>
      </c>
      <c r="N232" s="6">
        <v>292</v>
      </c>
      <c r="O232" s="6">
        <v>292</v>
      </c>
      <c r="P232" s="6">
        <v>292</v>
      </c>
      <c r="Q232" s="6">
        <v>292</v>
      </c>
      <c r="R232" s="6">
        <v>292</v>
      </c>
      <c r="S232" s="6">
        <v>292</v>
      </c>
      <c r="T232" s="6">
        <v>292</v>
      </c>
      <c r="U232" s="6">
        <v>292</v>
      </c>
      <c r="V232" s="6">
        <v>292</v>
      </c>
    </row>
    <row r="233" spans="1:22" x14ac:dyDescent="0.2">
      <c r="A233">
        <f>Summary!A46</f>
        <v>30</v>
      </c>
      <c r="B233" t="s">
        <v>83</v>
      </c>
      <c r="C233" s="6">
        <v>292</v>
      </c>
      <c r="D233" s="6">
        <v>292</v>
      </c>
      <c r="E233" s="6">
        <v>292</v>
      </c>
      <c r="F233" s="6">
        <v>292</v>
      </c>
      <c r="G233" s="6">
        <v>292</v>
      </c>
      <c r="H233" s="6">
        <v>292</v>
      </c>
      <c r="I233" s="6">
        <v>292</v>
      </c>
      <c r="J233" s="6">
        <v>292</v>
      </c>
      <c r="K233" s="6">
        <v>292</v>
      </c>
      <c r="L233" s="6">
        <v>292</v>
      </c>
      <c r="M233" s="6">
        <v>292</v>
      </c>
      <c r="N233" s="6">
        <v>292</v>
      </c>
      <c r="O233" s="6">
        <v>292</v>
      </c>
      <c r="P233" s="6">
        <v>292</v>
      </c>
      <c r="Q233" s="6">
        <v>292</v>
      </c>
      <c r="R233" s="6">
        <v>292</v>
      </c>
      <c r="S233" s="6">
        <v>292</v>
      </c>
      <c r="T233" s="6">
        <v>292</v>
      </c>
      <c r="U233" s="6">
        <v>292</v>
      </c>
      <c r="V233" s="6">
        <v>292</v>
      </c>
    </row>
    <row r="234" spans="1:22" x14ac:dyDescent="0.2">
      <c r="A234">
        <f>Summary!A47</f>
        <v>31</v>
      </c>
      <c r="B234" t="s">
        <v>84</v>
      </c>
      <c r="C234" s="6">
        <v>292</v>
      </c>
      <c r="D234" s="6">
        <v>292</v>
      </c>
      <c r="E234" s="6">
        <v>292</v>
      </c>
      <c r="F234" s="6">
        <v>292</v>
      </c>
      <c r="G234" s="6">
        <v>292</v>
      </c>
      <c r="H234" s="6">
        <v>292</v>
      </c>
      <c r="I234" s="6">
        <v>292</v>
      </c>
      <c r="J234" s="6">
        <v>292</v>
      </c>
      <c r="K234" s="6">
        <v>292</v>
      </c>
      <c r="L234" s="6">
        <v>292</v>
      </c>
      <c r="M234" s="6">
        <v>292</v>
      </c>
      <c r="N234" s="6">
        <v>292</v>
      </c>
      <c r="O234" s="6">
        <v>292</v>
      </c>
      <c r="P234" s="6">
        <v>292</v>
      </c>
      <c r="Q234" s="6">
        <v>292</v>
      </c>
      <c r="R234" s="6">
        <v>292</v>
      </c>
      <c r="S234" s="6">
        <v>292</v>
      </c>
      <c r="T234" s="6">
        <v>292</v>
      </c>
      <c r="U234" s="6">
        <v>292</v>
      </c>
      <c r="V234" s="6">
        <v>292</v>
      </c>
    </row>
    <row r="235" spans="1:22" x14ac:dyDescent="0.2">
      <c r="A235">
        <f>Summary!A48</f>
        <v>32</v>
      </c>
      <c r="B235" t="s">
        <v>85</v>
      </c>
      <c r="C235" s="6">
        <v>292</v>
      </c>
      <c r="D235" s="6">
        <v>292</v>
      </c>
      <c r="E235" s="6">
        <v>292</v>
      </c>
      <c r="F235" s="6">
        <v>292</v>
      </c>
      <c r="G235" s="6">
        <v>292</v>
      </c>
      <c r="H235" s="6">
        <v>292</v>
      </c>
      <c r="I235" s="6">
        <v>292</v>
      </c>
      <c r="J235" s="6">
        <v>292</v>
      </c>
      <c r="K235" s="6">
        <v>292</v>
      </c>
      <c r="L235" s="6">
        <v>292</v>
      </c>
      <c r="M235" s="6">
        <v>292</v>
      </c>
      <c r="N235" s="6">
        <v>292</v>
      </c>
      <c r="O235" s="6">
        <v>292</v>
      </c>
      <c r="P235" s="6">
        <v>292</v>
      </c>
      <c r="Q235" s="6">
        <v>292</v>
      </c>
      <c r="R235" s="6">
        <v>292</v>
      </c>
      <c r="S235" s="6">
        <v>292</v>
      </c>
      <c r="T235" s="6">
        <v>292</v>
      </c>
      <c r="U235" s="6">
        <v>292</v>
      </c>
      <c r="V235" s="6">
        <v>292</v>
      </c>
    </row>
    <row r="236" spans="1:22" x14ac:dyDescent="0.2">
      <c r="A236">
        <f>Summary!A49</f>
        <v>33</v>
      </c>
      <c r="B236" t="s">
        <v>181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</row>
    <row r="238" spans="1:22" x14ac:dyDescent="0.2">
      <c r="C238" s="6">
        <f t="shared" ref="C238:L238" si="22">SUM(C204:C236)</f>
        <v>110626</v>
      </c>
      <c r="D238" s="6">
        <f t="shared" si="22"/>
        <v>110626</v>
      </c>
      <c r="E238" s="6">
        <f t="shared" si="22"/>
        <v>110626</v>
      </c>
      <c r="F238" s="6">
        <f t="shared" si="22"/>
        <v>110626</v>
      </c>
      <c r="G238" s="6">
        <f t="shared" si="22"/>
        <v>110626</v>
      </c>
      <c r="H238" s="6">
        <f t="shared" si="22"/>
        <v>110626</v>
      </c>
      <c r="I238" s="6">
        <f t="shared" si="22"/>
        <v>110626</v>
      </c>
      <c r="J238" s="6">
        <f t="shared" si="22"/>
        <v>110626</v>
      </c>
      <c r="K238" s="6">
        <f t="shared" si="22"/>
        <v>110626</v>
      </c>
      <c r="L238" s="6">
        <f t="shared" si="22"/>
        <v>110626</v>
      </c>
      <c r="M238" s="6">
        <f t="shared" ref="M238:V238" si="23">SUM(M204:M236)</f>
        <v>110626</v>
      </c>
      <c r="N238" s="6">
        <f t="shared" si="23"/>
        <v>110626</v>
      </c>
      <c r="O238" s="6">
        <f t="shared" si="23"/>
        <v>110626</v>
      </c>
      <c r="P238" s="6">
        <f t="shared" si="23"/>
        <v>110626</v>
      </c>
      <c r="Q238" s="6">
        <f t="shared" si="23"/>
        <v>110626</v>
      </c>
      <c r="R238" s="6">
        <f t="shared" si="23"/>
        <v>110626</v>
      </c>
      <c r="S238" s="6">
        <f t="shared" si="23"/>
        <v>110626</v>
      </c>
      <c r="T238" s="6">
        <f t="shared" si="23"/>
        <v>110626</v>
      </c>
      <c r="U238" s="6">
        <f t="shared" si="23"/>
        <v>110626</v>
      </c>
      <c r="V238" s="6">
        <f t="shared" si="23"/>
        <v>110626</v>
      </c>
    </row>
    <row r="241" spans="1:23" x14ac:dyDescent="0.2">
      <c r="A241" s="45" t="s">
        <v>306</v>
      </c>
    </row>
    <row r="242" spans="1:23" x14ac:dyDescent="0.2">
      <c r="C242" s="12">
        <v>2000</v>
      </c>
      <c r="D242" s="12">
        <v>2001</v>
      </c>
      <c r="E242" s="12">
        <v>2002</v>
      </c>
      <c r="F242" s="12">
        <v>2003</v>
      </c>
      <c r="G242" s="12">
        <v>2004</v>
      </c>
      <c r="H242" s="12">
        <v>2005</v>
      </c>
      <c r="I242" s="12">
        <v>2006</v>
      </c>
      <c r="J242" s="12">
        <v>2007</v>
      </c>
      <c r="K242" s="12">
        <v>2008</v>
      </c>
      <c r="L242" s="12">
        <v>2009</v>
      </c>
      <c r="M242" s="12">
        <v>2010</v>
      </c>
      <c r="N242" s="12">
        <v>2011</v>
      </c>
      <c r="O242" s="12">
        <v>2012</v>
      </c>
      <c r="P242" s="12">
        <v>2013</v>
      </c>
      <c r="Q242" s="12">
        <v>2014</v>
      </c>
      <c r="R242" s="12">
        <v>2015</v>
      </c>
      <c r="S242" s="12">
        <v>2016</v>
      </c>
      <c r="T242" s="12">
        <v>2017</v>
      </c>
      <c r="U242" s="12">
        <v>2018</v>
      </c>
      <c r="V242" s="12">
        <v>2019</v>
      </c>
      <c r="W242" s="12" t="s">
        <v>28</v>
      </c>
    </row>
    <row r="243" spans="1:23" x14ac:dyDescent="0.2">
      <c r="A243" s="234">
        <v>2</v>
      </c>
      <c r="C243" s="67">
        <f>Assumptions!B12</f>
        <v>181.15599510176347</v>
      </c>
      <c r="D243" s="67">
        <f>Assumptions!B13</f>
        <v>198.92520866387423</v>
      </c>
      <c r="E243" s="67">
        <f>Assumptions!B14</f>
        <v>218.80258102590736</v>
      </c>
      <c r="F243" s="67">
        <f>Assumptions!B15</f>
        <v>240.4080539178627</v>
      </c>
      <c r="G243" s="67">
        <f>Assumptions!B16</f>
        <v>264.14659569665338</v>
      </c>
      <c r="H243" s="67">
        <f>Assumptions!B17</f>
        <v>290.22096928831274</v>
      </c>
      <c r="I243" s="67">
        <f>Assumptions!B18</f>
        <v>319.92473742153555</v>
      </c>
      <c r="J243" s="67">
        <f>Assumptions!B19</f>
        <v>354.61101457823628</v>
      </c>
      <c r="K243" s="67">
        <f>Assumptions!B20</f>
        <v>391.29851871019378</v>
      </c>
      <c r="L243" s="67">
        <f>Assumptions!B21</f>
        <v>429.77958121829101</v>
      </c>
      <c r="M243" s="67">
        <f>Assumptions!B22</f>
        <v>477.98097313444265</v>
      </c>
      <c r="N243" s="67">
        <f>Assumptions!B23</f>
        <v>526.53218862643894</v>
      </c>
      <c r="O243" s="67">
        <f>Assumptions!B24</f>
        <v>583.38187908572775</v>
      </c>
      <c r="P243" s="67">
        <f>Assumptions!B25</f>
        <v>654.12455073352146</v>
      </c>
      <c r="Q243" s="67">
        <f>Assumptions!B26</f>
        <v>728.14269915212174</v>
      </c>
      <c r="R243" s="67">
        <f>Assumptions!B27</f>
        <v>806.55967593313017</v>
      </c>
      <c r="S243" s="67">
        <f>Assumptions!B28</f>
        <v>885.60153229928596</v>
      </c>
      <c r="T243" s="67">
        <f>Assumptions!B29</f>
        <v>870.0603303281033</v>
      </c>
      <c r="U243" s="67">
        <f>Assumptions!B30</f>
        <v>744.38367199801439</v>
      </c>
      <c r="V243" s="67">
        <f>Assumptions!B31</f>
        <v>771.78853165204816</v>
      </c>
    </row>
    <row r="245" spans="1:23" x14ac:dyDescent="0.2">
      <c r="A245">
        <f>Summary!A17</f>
        <v>1</v>
      </c>
      <c r="B245" t="s">
        <v>55</v>
      </c>
      <c r="C245" s="6">
        <f t="shared" ref="C245:V245" si="24">C204*C$243</f>
        <v>1508304.8152172826</v>
      </c>
      <c r="D245" s="6">
        <f t="shared" si="24"/>
        <v>1656251.2873354168</v>
      </c>
      <c r="E245" s="6">
        <f t="shared" si="24"/>
        <v>1821750.2896217047</v>
      </c>
      <c r="F245" s="6">
        <f t="shared" si="24"/>
        <v>2001637.4569201248</v>
      </c>
      <c r="G245" s="6">
        <f t="shared" si="24"/>
        <v>2199284.5557703362</v>
      </c>
      <c r="H245" s="6">
        <f t="shared" si="24"/>
        <v>2416379.7902944917</v>
      </c>
      <c r="I245" s="6">
        <f t="shared" si="24"/>
        <v>2663693.363771705</v>
      </c>
      <c r="J245" s="6">
        <f t="shared" si="24"/>
        <v>2952491.3073783955</v>
      </c>
      <c r="K245" s="6">
        <f t="shared" si="24"/>
        <v>3257951.4667810732</v>
      </c>
      <c r="L245" s="6">
        <f t="shared" si="24"/>
        <v>3578344.7932234909</v>
      </c>
      <c r="M245" s="6">
        <f t="shared" si="24"/>
        <v>3979669.5823173695</v>
      </c>
      <c r="N245" s="6">
        <f t="shared" si="24"/>
        <v>4383907.0025037304</v>
      </c>
      <c r="O245" s="6">
        <f t="shared" si="24"/>
        <v>4857237.5252677696</v>
      </c>
      <c r="P245" s="6">
        <f t="shared" si="24"/>
        <v>5446241.0094072996</v>
      </c>
      <c r="Q245" s="6">
        <f t="shared" si="24"/>
        <v>6062516.1131405653</v>
      </c>
      <c r="R245" s="6">
        <f t="shared" si="24"/>
        <v>6715415.8618192421</v>
      </c>
      <c r="S245" s="6">
        <f t="shared" si="24"/>
        <v>7373518.3579238551</v>
      </c>
      <c r="T245" s="6">
        <f t="shared" si="24"/>
        <v>7244122.3103117878</v>
      </c>
      <c r="U245" s="6">
        <f t="shared" si="24"/>
        <v>6197738.4530554675</v>
      </c>
      <c r="V245" s="6">
        <f t="shared" si="24"/>
        <v>6425911.3145349529</v>
      </c>
      <c r="W245" s="6">
        <f>NPV(Assumptions!$L$16,C245:V245)</f>
        <v>26986860.562477835</v>
      </c>
    </row>
    <row r="246" spans="1:23" x14ac:dyDescent="0.2">
      <c r="A246">
        <f>Summary!A18</f>
        <v>2</v>
      </c>
      <c r="B246" t="s">
        <v>56</v>
      </c>
      <c r="C246" s="6">
        <f t="shared" ref="C246:V246" si="25">C205*C$243</f>
        <v>2315717.0853858422</v>
      </c>
      <c r="D246" s="6">
        <f t="shared" si="25"/>
        <v>2542860.9423503042</v>
      </c>
      <c r="E246" s="6">
        <f t="shared" si="25"/>
        <v>2796953.3932541739</v>
      </c>
      <c r="F246" s="6">
        <f t="shared" si="25"/>
        <v>3073136.153232039</v>
      </c>
      <c r="G246" s="6">
        <f t="shared" si="25"/>
        <v>3376585.9327903199</v>
      </c>
      <c r="H246" s="6">
        <f t="shared" si="25"/>
        <v>3709894.6504125018</v>
      </c>
      <c r="I246" s="6">
        <f t="shared" si="25"/>
        <v>4089597.918459489</v>
      </c>
      <c r="J246" s="6">
        <f t="shared" si="25"/>
        <v>4532992.5993535947</v>
      </c>
      <c r="K246" s="6">
        <f t="shared" si="25"/>
        <v>5001968.9646724071</v>
      </c>
      <c r="L246" s="6">
        <f t="shared" si="25"/>
        <v>5493872.3867134145</v>
      </c>
      <c r="M246" s="6">
        <f t="shared" si="25"/>
        <v>6110030.7795775803</v>
      </c>
      <c r="N246" s="6">
        <f t="shared" si="25"/>
        <v>6730660.967211769</v>
      </c>
      <c r="O246" s="6">
        <f t="shared" si="25"/>
        <v>7457370.5603528582</v>
      </c>
      <c r="P246" s="6">
        <f t="shared" si="25"/>
        <v>8361674.1320266044</v>
      </c>
      <c r="Q246" s="6">
        <f t="shared" si="25"/>
        <v>9307848.1232615728</v>
      </c>
      <c r="R246" s="6">
        <f t="shared" si="25"/>
        <v>10310252.337453203</v>
      </c>
      <c r="S246" s="6">
        <f t="shared" si="25"/>
        <v>11320644.387381772</v>
      </c>
      <c r="T246" s="6">
        <f t="shared" si="25"/>
        <v>11121981.202584144</v>
      </c>
      <c r="U246" s="6">
        <f t="shared" si="25"/>
        <v>9515456.4791506175</v>
      </c>
      <c r="V246" s="6">
        <f t="shared" si="25"/>
        <v>9865772.800108131</v>
      </c>
      <c r="W246" s="6">
        <f>NPV(Assumptions!$L$16,C246:V246)</f>
        <v>41433225.867181607</v>
      </c>
    </row>
    <row r="247" spans="1:23" x14ac:dyDescent="0.2">
      <c r="A247">
        <f>Summary!A19</f>
        <v>3</v>
      </c>
      <c r="B247" s="9" t="s">
        <v>57</v>
      </c>
      <c r="C247" s="6">
        <f t="shared" ref="C247:V247" si="26">C206*C$243</f>
        <v>1410299.4218672286</v>
      </c>
      <c r="D247" s="6">
        <f t="shared" si="26"/>
        <v>1548632.749448261</v>
      </c>
      <c r="E247" s="6">
        <f t="shared" si="26"/>
        <v>1703378.0932866887</v>
      </c>
      <c r="F247" s="6">
        <f t="shared" si="26"/>
        <v>1871576.699750561</v>
      </c>
      <c r="G247" s="6">
        <f t="shared" si="26"/>
        <v>2056381.2474984466</v>
      </c>
      <c r="H247" s="6">
        <f t="shared" si="26"/>
        <v>2259370.2459095148</v>
      </c>
      <c r="I247" s="6">
        <f t="shared" si="26"/>
        <v>2490614.0808266541</v>
      </c>
      <c r="J247" s="6">
        <f t="shared" si="26"/>
        <v>2760646.7484915694</v>
      </c>
      <c r="K247" s="6">
        <f t="shared" si="26"/>
        <v>3046258.9681588584</v>
      </c>
      <c r="L247" s="6">
        <f t="shared" si="26"/>
        <v>3345834.0397843956</v>
      </c>
      <c r="M247" s="6">
        <f t="shared" si="26"/>
        <v>3721081.8758516358</v>
      </c>
      <c r="N247" s="6">
        <f t="shared" si="26"/>
        <v>4099053.0884568272</v>
      </c>
      <c r="O247" s="6">
        <f t="shared" si="26"/>
        <v>4541627.9286823906</v>
      </c>
      <c r="P247" s="6">
        <f t="shared" si="26"/>
        <v>5092359.6274604648</v>
      </c>
      <c r="Q247" s="6">
        <f t="shared" si="26"/>
        <v>5668590.9128992679</v>
      </c>
      <c r="R247" s="6">
        <f t="shared" si="26"/>
        <v>6279067.0771394186</v>
      </c>
      <c r="S247" s="6">
        <f t="shared" si="26"/>
        <v>6894407.9289499409</v>
      </c>
      <c r="T247" s="6">
        <f t="shared" si="26"/>
        <v>6773419.6716042841</v>
      </c>
      <c r="U247" s="6">
        <f t="shared" si="26"/>
        <v>5795026.8865045421</v>
      </c>
      <c r="V247" s="6">
        <f t="shared" si="26"/>
        <v>6008373.7189111952</v>
      </c>
      <c r="W247" s="6">
        <f>NPV(Assumptions!$L$16,C247:V247)</f>
        <v>25233330.468278881</v>
      </c>
    </row>
    <row r="248" spans="1:23" x14ac:dyDescent="0.2">
      <c r="A248">
        <f>Summary!A20</f>
        <v>4</v>
      </c>
      <c r="B248" s="9" t="s">
        <v>58</v>
      </c>
      <c r="C248" s="6">
        <f t="shared" ref="C248:V248" si="27">C207*C$243</f>
        <v>1337655.8678314213</v>
      </c>
      <c r="D248" s="6">
        <f t="shared" si="27"/>
        <v>1468863.7407740473</v>
      </c>
      <c r="E248" s="6">
        <f t="shared" si="27"/>
        <v>1615638.2582953</v>
      </c>
      <c r="F248" s="6">
        <f t="shared" si="27"/>
        <v>1775173.0701294981</v>
      </c>
      <c r="G248" s="6">
        <f t="shared" si="27"/>
        <v>1950458.4626240886</v>
      </c>
      <c r="H248" s="6">
        <f t="shared" si="27"/>
        <v>2142991.6372249015</v>
      </c>
      <c r="I248" s="6">
        <f t="shared" si="27"/>
        <v>2362324.2611206183</v>
      </c>
      <c r="J248" s="6">
        <f t="shared" si="27"/>
        <v>2618447.7316456968</v>
      </c>
      <c r="K248" s="6">
        <f t="shared" si="27"/>
        <v>2889348.2621560707</v>
      </c>
      <c r="L248" s="6">
        <f t="shared" si="27"/>
        <v>3173492.4277158608</v>
      </c>
      <c r="M248" s="6">
        <f t="shared" si="27"/>
        <v>3529411.5056247246</v>
      </c>
      <c r="N248" s="6">
        <f t="shared" si="27"/>
        <v>3887913.680817625</v>
      </c>
      <c r="O248" s="6">
        <f t="shared" si="27"/>
        <v>4307691.7951690136</v>
      </c>
      <c r="P248" s="6">
        <f t="shared" si="27"/>
        <v>4830055.6826163223</v>
      </c>
      <c r="Q248" s="6">
        <f t="shared" si="27"/>
        <v>5376605.6905392669</v>
      </c>
      <c r="R248" s="6">
        <f t="shared" si="27"/>
        <v>5955636.6470902329</v>
      </c>
      <c r="S248" s="6">
        <f t="shared" si="27"/>
        <v>6539281.7144979276</v>
      </c>
      <c r="T248" s="6">
        <f t="shared" si="27"/>
        <v>6424525.4791427152</v>
      </c>
      <c r="U248" s="6">
        <f t="shared" si="27"/>
        <v>5496529.0340333385</v>
      </c>
      <c r="V248" s="6">
        <f t="shared" si="27"/>
        <v>5698886.517718724</v>
      </c>
      <c r="W248" s="6">
        <f>NPV(Assumptions!$L$16,C248:V248)</f>
        <v>23933578.956682242</v>
      </c>
    </row>
    <row r="249" spans="1:23" x14ac:dyDescent="0.2">
      <c r="A249">
        <f>Summary!A21</f>
        <v>5</v>
      </c>
      <c r="B249" s="9" t="s">
        <v>59</v>
      </c>
      <c r="C249" s="6">
        <f t="shared" ref="C249:V249" si="28">C208*C$243</f>
        <v>1303236.2287620865</v>
      </c>
      <c r="D249" s="6">
        <f t="shared" si="28"/>
        <v>1431067.9511279112</v>
      </c>
      <c r="E249" s="6">
        <f t="shared" si="28"/>
        <v>1574065.7679003775</v>
      </c>
      <c r="F249" s="6">
        <f t="shared" si="28"/>
        <v>1729495.5398851042</v>
      </c>
      <c r="G249" s="6">
        <f t="shared" si="28"/>
        <v>1900270.6094417244</v>
      </c>
      <c r="H249" s="6">
        <f t="shared" si="28"/>
        <v>2087849.6530601219</v>
      </c>
      <c r="I249" s="6">
        <f t="shared" si="28"/>
        <v>2301538.561010527</v>
      </c>
      <c r="J249" s="6">
        <f t="shared" si="28"/>
        <v>2551071.6388758318</v>
      </c>
      <c r="K249" s="6">
        <f t="shared" si="28"/>
        <v>2815001.5436011339</v>
      </c>
      <c r="L249" s="6">
        <f t="shared" si="28"/>
        <v>3091834.3072843854</v>
      </c>
      <c r="M249" s="6">
        <f t="shared" si="28"/>
        <v>3438595.1207291805</v>
      </c>
      <c r="N249" s="6">
        <f t="shared" si="28"/>
        <v>3787872.5649786019</v>
      </c>
      <c r="O249" s="6">
        <f t="shared" si="28"/>
        <v>4196849.2381427251</v>
      </c>
      <c r="P249" s="6">
        <f t="shared" si="28"/>
        <v>4705772.0179769536</v>
      </c>
      <c r="Q249" s="6">
        <f t="shared" si="28"/>
        <v>5238258.5777003635</v>
      </c>
      <c r="R249" s="6">
        <f t="shared" si="28"/>
        <v>5802390.308662938</v>
      </c>
      <c r="S249" s="6">
        <f t="shared" si="28"/>
        <v>6371017.423361063</v>
      </c>
      <c r="T249" s="6">
        <f t="shared" si="28"/>
        <v>6259214.0163803753</v>
      </c>
      <c r="U249" s="6">
        <f t="shared" si="28"/>
        <v>5355096.1363537153</v>
      </c>
      <c r="V249" s="6">
        <f t="shared" si="28"/>
        <v>5552246.6967048347</v>
      </c>
      <c r="W249" s="6">
        <f>NPV(Assumptions!$L$16,C249:V249)</f>
        <v>23317736.594579089</v>
      </c>
    </row>
    <row r="250" spans="1:23" x14ac:dyDescent="0.2">
      <c r="A250">
        <f>Summary!A22</f>
        <v>6</v>
      </c>
      <c r="B250" s="9" t="s">
        <v>60</v>
      </c>
      <c r="C250" s="6">
        <f t="shared" ref="C250:V250" si="29">C209*C$243</f>
        <v>1422618.0295341485</v>
      </c>
      <c r="D250" s="6">
        <f t="shared" si="29"/>
        <v>1562159.6636374043</v>
      </c>
      <c r="E250" s="6">
        <f t="shared" si="29"/>
        <v>1718256.6687964506</v>
      </c>
      <c r="F250" s="6">
        <f t="shared" si="29"/>
        <v>1887924.4474169759</v>
      </c>
      <c r="G250" s="6">
        <f t="shared" si="29"/>
        <v>2074343.2160058189</v>
      </c>
      <c r="H250" s="6">
        <f t="shared" si="29"/>
        <v>2279105.2718211198</v>
      </c>
      <c r="I250" s="6">
        <f t="shared" si="29"/>
        <v>2512368.9629713185</v>
      </c>
      <c r="J250" s="6">
        <f t="shared" si="29"/>
        <v>2784760.2974828896</v>
      </c>
      <c r="K250" s="6">
        <f t="shared" si="29"/>
        <v>3072867.2674311516</v>
      </c>
      <c r="L250" s="6">
        <f t="shared" si="29"/>
        <v>3375059.0513072391</v>
      </c>
      <c r="M250" s="6">
        <f t="shared" si="29"/>
        <v>3753584.5820247782</v>
      </c>
      <c r="N250" s="6">
        <f t="shared" si="29"/>
        <v>4134857.277283425</v>
      </c>
      <c r="O250" s="6">
        <f t="shared" si="29"/>
        <v>4581297.8964602202</v>
      </c>
      <c r="P250" s="6">
        <f t="shared" si="29"/>
        <v>5136840.0969103444</v>
      </c>
      <c r="Q250" s="6">
        <f t="shared" si="29"/>
        <v>5718104.6164416121</v>
      </c>
      <c r="R250" s="6">
        <f t="shared" si="29"/>
        <v>6333913.1351028709</v>
      </c>
      <c r="S250" s="6">
        <f t="shared" si="29"/>
        <v>6954628.8331462927</v>
      </c>
      <c r="T250" s="6">
        <f t="shared" si="29"/>
        <v>6832583.7740665954</v>
      </c>
      <c r="U250" s="6">
        <f t="shared" si="29"/>
        <v>5845644.9762004074</v>
      </c>
      <c r="V250" s="6">
        <f t="shared" si="29"/>
        <v>6060855.3390635345</v>
      </c>
      <c r="W250" s="6">
        <f>NPV(Assumptions!$L$16,C250:V250)</f>
        <v>25453737.2084</v>
      </c>
    </row>
    <row r="251" spans="1:23" x14ac:dyDescent="0.2">
      <c r="A251">
        <f>Summary!A23</f>
        <v>7</v>
      </c>
      <c r="B251" t="s">
        <v>61</v>
      </c>
      <c r="C251" s="6">
        <f t="shared" ref="C251:V251" si="30">C210*C$243</f>
        <v>861759.06869908876</v>
      </c>
      <c r="D251" s="6">
        <f t="shared" si="30"/>
        <v>946287.21761404967</v>
      </c>
      <c r="E251" s="6">
        <f t="shared" si="30"/>
        <v>1040843.8779402412</v>
      </c>
      <c r="F251" s="6">
        <f t="shared" si="30"/>
        <v>1143621.1124872728</v>
      </c>
      <c r="G251" s="6">
        <f t="shared" si="30"/>
        <v>1256545.3557289802</v>
      </c>
      <c r="H251" s="6">
        <f t="shared" si="30"/>
        <v>1380581.1509045037</v>
      </c>
      <c r="I251" s="6">
        <f t="shared" si="30"/>
        <v>1521881.9759142445</v>
      </c>
      <c r="J251" s="6">
        <f t="shared" si="30"/>
        <v>1686884.5963486701</v>
      </c>
      <c r="K251" s="6">
        <f t="shared" si="30"/>
        <v>1861407.0535043918</v>
      </c>
      <c r="L251" s="6">
        <f t="shared" si="30"/>
        <v>2044461.4678554104</v>
      </c>
      <c r="M251" s="6">
        <f t="shared" si="30"/>
        <v>2273755.4892005436</v>
      </c>
      <c r="N251" s="6">
        <f t="shared" si="30"/>
        <v>2504713.6212959699</v>
      </c>
      <c r="O251" s="6">
        <f t="shared" si="30"/>
        <v>2775147.5988108069</v>
      </c>
      <c r="P251" s="6">
        <f t="shared" si="30"/>
        <v>3111670.4878393617</v>
      </c>
      <c r="Q251" s="6">
        <f t="shared" si="30"/>
        <v>3463774.8198666433</v>
      </c>
      <c r="R251" s="6">
        <f t="shared" si="30"/>
        <v>3836804.3784139003</v>
      </c>
      <c r="S251" s="6">
        <f t="shared" si="30"/>
        <v>4212806.4891477032</v>
      </c>
      <c r="T251" s="6">
        <f t="shared" si="30"/>
        <v>4138876.9913707874</v>
      </c>
      <c r="U251" s="6">
        <f t="shared" si="30"/>
        <v>3541033.1276945546</v>
      </c>
      <c r="V251" s="6">
        <f t="shared" si="30"/>
        <v>3671398.045068793</v>
      </c>
      <c r="W251" s="6">
        <f>NPV(Assumptions!$L$16,C251:V251)</f>
        <v>15418747.98170875</v>
      </c>
    </row>
    <row r="252" spans="1:23" x14ac:dyDescent="0.2">
      <c r="A252">
        <f>Summary!A24</f>
        <v>8</v>
      </c>
      <c r="B252" t="s">
        <v>62</v>
      </c>
      <c r="C252" s="6">
        <f t="shared" ref="C252:V252" si="31">C211*C$243</f>
        <v>51448.302608900827</v>
      </c>
      <c r="D252" s="6">
        <f t="shared" si="31"/>
        <v>56494.759260540282</v>
      </c>
      <c r="E252" s="6">
        <f t="shared" si="31"/>
        <v>62139.933011357687</v>
      </c>
      <c r="F252" s="6">
        <f t="shared" si="31"/>
        <v>68275.887312673003</v>
      </c>
      <c r="G252" s="6">
        <f t="shared" si="31"/>
        <v>75017.633177849566</v>
      </c>
      <c r="H252" s="6">
        <f t="shared" si="31"/>
        <v>82422.755277880817</v>
      </c>
      <c r="I252" s="6">
        <f t="shared" si="31"/>
        <v>90858.625427716092</v>
      </c>
      <c r="J252" s="6">
        <f t="shared" si="31"/>
        <v>100709.5281402191</v>
      </c>
      <c r="K252" s="6">
        <f t="shared" si="31"/>
        <v>111128.77931369503</v>
      </c>
      <c r="L252" s="6">
        <f t="shared" si="31"/>
        <v>122057.40106599465</v>
      </c>
      <c r="M252" s="6">
        <f t="shared" si="31"/>
        <v>135746.59637018171</v>
      </c>
      <c r="N252" s="6">
        <f t="shared" si="31"/>
        <v>149535.14156990865</v>
      </c>
      <c r="O252" s="6">
        <f t="shared" si="31"/>
        <v>165680.45366034668</v>
      </c>
      <c r="P252" s="6">
        <f t="shared" si="31"/>
        <v>185771.37240832011</v>
      </c>
      <c r="Q252" s="6">
        <f t="shared" si="31"/>
        <v>206792.52655920258</v>
      </c>
      <c r="R252" s="6">
        <f t="shared" si="31"/>
        <v>229062.94796500896</v>
      </c>
      <c r="S252" s="6">
        <f t="shared" si="31"/>
        <v>251510.83517299721</v>
      </c>
      <c r="T252" s="6">
        <f t="shared" si="31"/>
        <v>247097.13381318134</v>
      </c>
      <c r="U252" s="6">
        <f t="shared" si="31"/>
        <v>211404.96284743608</v>
      </c>
      <c r="V252" s="6">
        <f t="shared" si="31"/>
        <v>219187.94298918167</v>
      </c>
      <c r="W252" s="6">
        <f>NPV(Assumptions!$L$16,C252:V252)</f>
        <v>920522.2675647015</v>
      </c>
    </row>
    <row r="253" spans="1:23" x14ac:dyDescent="0.2">
      <c r="A253">
        <f>Summary!A25</f>
        <v>9</v>
      </c>
      <c r="B253" t="s">
        <v>63</v>
      </c>
      <c r="C253" s="6">
        <f t="shared" ref="C253:V253" si="32">C212*C$243</f>
        <v>881867.3841553845</v>
      </c>
      <c r="D253" s="6">
        <f t="shared" si="32"/>
        <v>968367.9157757397</v>
      </c>
      <c r="E253" s="6">
        <f t="shared" si="32"/>
        <v>1065130.9644341171</v>
      </c>
      <c r="F253" s="6">
        <f t="shared" si="32"/>
        <v>1170306.4064721556</v>
      </c>
      <c r="G253" s="6">
        <f t="shared" si="32"/>
        <v>1285865.6278513086</v>
      </c>
      <c r="H253" s="6">
        <f t="shared" si="32"/>
        <v>1412795.6784955065</v>
      </c>
      <c r="I253" s="6">
        <f t="shared" si="32"/>
        <v>1557393.621768035</v>
      </c>
      <c r="J253" s="6">
        <f t="shared" si="32"/>
        <v>1726246.4189668542</v>
      </c>
      <c r="K253" s="6">
        <f t="shared" si="32"/>
        <v>1904841.1890812232</v>
      </c>
      <c r="L253" s="6">
        <f t="shared" si="32"/>
        <v>2092167.0013706407</v>
      </c>
      <c r="M253" s="6">
        <f t="shared" si="32"/>
        <v>2326811.3772184667</v>
      </c>
      <c r="N253" s="6">
        <f t="shared" si="32"/>
        <v>2563158.6942335046</v>
      </c>
      <c r="O253" s="6">
        <f t="shared" si="32"/>
        <v>2839902.9873893228</v>
      </c>
      <c r="P253" s="6">
        <f t="shared" si="32"/>
        <v>3184278.3129707826</v>
      </c>
      <c r="Q253" s="6">
        <f t="shared" si="32"/>
        <v>3544598.6594725284</v>
      </c>
      <c r="R253" s="6">
        <f t="shared" si="32"/>
        <v>3926332.5024424777</v>
      </c>
      <c r="S253" s="6">
        <f t="shared" si="32"/>
        <v>4311108.2592329243</v>
      </c>
      <c r="T253" s="6">
        <f t="shared" si="32"/>
        <v>4235453.6880372074</v>
      </c>
      <c r="U253" s="6">
        <f t="shared" si="32"/>
        <v>3623659.715286334</v>
      </c>
      <c r="V253" s="6">
        <f t="shared" si="32"/>
        <v>3757066.5720821703</v>
      </c>
      <c r="W253" s="6">
        <f>NPV(Assumptions!$L$16,C253:V253)</f>
        <v>15778529.572200587</v>
      </c>
    </row>
    <row r="254" spans="1:23" x14ac:dyDescent="0.2">
      <c r="A254">
        <f>Summary!A26</f>
        <v>10</v>
      </c>
      <c r="B254" t="s">
        <v>64</v>
      </c>
      <c r="C254" s="6">
        <f t="shared" ref="C254:V254" si="33">C213*C$243</f>
        <v>1911558.060313808</v>
      </c>
      <c r="D254" s="6">
        <f t="shared" si="33"/>
        <v>2099058.8018212006</v>
      </c>
      <c r="E254" s="6">
        <f t="shared" si="33"/>
        <v>2308804.8349853745</v>
      </c>
      <c r="F254" s="6">
        <f t="shared" si="33"/>
        <v>2536785.7849412872</v>
      </c>
      <c r="G254" s="6">
        <f t="shared" si="33"/>
        <v>2787274.8777910867</v>
      </c>
      <c r="H254" s="6">
        <f t="shared" si="33"/>
        <v>3062411.6679302761</v>
      </c>
      <c r="I254" s="6">
        <f t="shared" si="33"/>
        <v>3375845.829272043</v>
      </c>
      <c r="J254" s="6">
        <f t="shared" si="33"/>
        <v>3741855.4258295493</v>
      </c>
      <c r="K254" s="6">
        <f t="shared" si="33"/>
        <v>4128981.9694299647</v>
      </c>
      <c r="L254" s="6">
        <f t="shared" si="33"/>
        <v>4535034.1410154067</v>
      </c>
      <c r="M254" s="6">
        <f t="shared" si="33"/>
        <v>5043655.2285146387</v>
      </c>
      <c r="N254" s="6">
        <f t="shared" si="33"/>
        <v>5555967.6543861832</v>
      </c>
      <c r="O254" s="6">
        <f t="shared" si="33"/>
        <v>6155845.5881125992</v>
      </c>
      <c r="P254" s="6">
        <f t="shared" si="33"/>
        <v>6902322.2593401186</v>
      </c>
      <c r="Q254" s="6">
        <f t="shared" si="33"/>
        <v>7683361.761453189</v>
      </c>
      <c r="R254" s="6">
        <f t="shared" si="33"/>
        <v>8510817.7004463896</v>
      </c>
      <c r="S254" s="6">
        <f t="shared" si="33"/>
        <v>9344867.3688220661</v>
      </c>
      <c r="T254" s="6">
        <f t="shared" si="33"/>
        <v>9180876.6056221463</v>
      </c>
      <c r="U254" s="6">
        <f t="shared" si="33"/>
        <v>7854736.5069230478</v>
      </c>
      <c r="V254" s="6">
        <f t="shared" si="33"/>
        <v>8143912.5859924126</v>
      </c>
      <c r="W254" s="6">
        <f>NPV(Assumptions!$L$16,C254:V254)</f>
        <v>34201940.025854684</v>
      </c>
    </row>
    <row r="255" spans="1:23" x14ac:dyDescent="0.2">
      <c r="A255">
        <f>Summary!A27</f>
        <v>11</v>
      </c>
      <c r="B255" t="s">
        <v>65</v>
      </c>
      <c r="C255" s="6">
        <f t="shared" ref="C255:V255" si="34">C214*C$243</f>
        <v>2088547.467528231</v>
      </c>
      <c r="D255" s="6">
        <f t="shared" si="34"/>
        <v>2293408.7306858059</v>
      </c>
      <c r="E255" s="6">
        <f t="shared" si="34"/>
        <v>2522574.9566476857</v>
      </c>
      <c r="F255" s="6">
        <f t="shared" si="34"/>
        <v>2771664.4536190392</v>
      </c>
      <c r="G255" s="6">
        <f t="shared" si="34"/>
        <v>3045346.1017867168</v>
      </c>
      <c r="H255" s="6">
        <f t="shared" si="34"/>
        <v>3345957.5549249575</v>
      </c>
      <c r="I255" s="6">
        <f t="shared" si="34"/>
        <v>3688412.2977328836</v>
      </c>
      <c r="J255" s="6">
        <f t="shared" si="34"/>
        <v>4088310.3870724859</v>
      </c>
      <c r="K255" s="6">
        <f t="shared" si="34"/>
        <v>4511280.6222098237</v>
      </c>
      <c r="L255" s="6">
        <f t="shared" si="34"/>
        <v>4954928.7918656766</v>
      </c>
      <c r="M255" s="6">
        <f t="shared" si="34"/>
        <v>5510642.6392669892</v>
      </c>
      <c r="N255" s="6">
        <f t="shared" si="34"/>
        <v>6070389.6026742142</v>
      </c>
      <c r="O255" s="6">
        <f t="shared" si="34"/>
        <v>6725809.6839793548</v>
      </c>
      <c r="P255" s="6">
        <f t="shared" si="34"/>
        <v>7541401.9454067685</v>
      </c>
      <c r="Q255" s="6">
        <f t="shared" si="34"/>
        <v>8394757.1785248108</v>
      </c>
      <c r="R255" s="6">
        <f t="shared" si="34"/>
        <v>9298826.5038330574</v>
      </c>
      <c r="S255" s="6">
        <f t="shared" si="34"/>
        <v>10210100.065878468</v>
      </c>
      <c r="T255" s="6">
        <f t="shared" si="34"/>
        <v>10030925.548352703</v>
      </c>
      <c r="U255" s="6">
        <f t="shared" si="34"/>
        <v>8581999.3544651084</v>
      </c>
      <c r="V255" s="6">
        <f t="shared" si="34"/>
        <v>8897949.9814164639</v>
      </c>
      <c r="W255" s="6">
        <f>NPV(Assumptions!$L$16,C255:V255)</f>
        <v>37368666.277300857</v>
      </c>
    </row>
    <row r="256" spans="1:23" x14ac:dyDescent="0.2">
      <c r="A256">
        <f>Summary!A28</f>
        <v>12</v>
      </c>
      <c r="B256" t="s">
        <v>66</v>
      </c>
      <c r="C256" s="6">
        <f t="shared" ref="C256:V256" si="35">C215*C$243</f>
        <v>331515.47103622713</v>
      </c>
      <c r="D256" s="6">
        <f t="shared" si="35"/>
        <v>364033.13185488986</v>
      </c>
      <c r="E256" s="6">
        <f t="shared" si="35"/>
        <v>400408.72327741049</v>
      </c>
      <c r="F256" s="6">
        <f t="shared" si="35"/>
        <v>439946.73866968876</v>
      </c>
      <c r="G256" s="6">
        <f t="shared" si="35"/>
        <v>483388.27012487571</v>
      </c>
      <c r="H256" s="6">
        <f t="shared" si="35"/>
        <v>531104.37379761226</v>
      </c>
      <c r="I256" s="6">
        <f t="shared" si="35"/>
        <v>585462.26948141004</v>
      </c>
      <c r="J256" s="6">
        <f t="shared" si="35"/>
        <v>648938.15667817241</v>
      </c>
      <c r="K256" s="6">
        <f t="shared" si="35"/>
        <v>716076.28923965467</v>
      </c>
      <c r="L256" s="6">
        <f t="shared" si="35"/>
        <v>786496.63362947258</v>
      </c>
      <c r="M256" s="6">
        <f t="shared" si="35"/>
        <v>874705.18083603005</v>
      </c>
      <c r="N256" s="6">
        <f t="shared" si="35"/>
        <v>963553.90518638329</v>
      </c>
      <c r="O256" s="6">
        <f t="shared" si="35"/>
        <v>1067588.8387268819</v>
      </c>
      <c r="P256" s="6">
        <f t="shared" si="35"/>
        <v>1197047.9278423442</v>
      </c>
      <c r="Q256" s="6">
        <f t="shared" si="35"/>
        <v>1332501.1394483829</v>
      </c>
      <c r="R256" s="6">
        <f t="shared" si="35"/>
        <v>1476004.2069576283</v>
      </c>
      <c r="S256" s="6">
        <f t="shared" si="35"/>
        <v>1620650.8041076933</v>
      </c>
      <c r="T256" s="6">
        <f t="shared" si="35"/>
        <v>1592210.4045004291</v>
      </c>
      <c r="U256" s="6">
        <f t="shared" si="35"/>
        <v>1362222.1197563664</v>
      </c>
      <c r="V256" s="6">
        <f t="shared" si="35"/>
        <v>1412373.0129232481</v>
      </c>
      <c r="W256" s="6">
        <f>NPV(Assumptions!$L$16,C256:V256)</f>
        <v>5931534.3297302946</v>
      </c>
    </row>
    <row r="257" spans="1:23" x14ac:dyDescent="0.2">
      <c r="A257">
        <f>Summary!A29</f>
        <v>13</v>
      </c>
      <c r="B257" t="s">
        <v>67</v>
      </c>
      <c r="C257" s="6">
        <f t="shared" ref="C257:V257" si="36">C216*C$243</f>
        <v>335682.0589235677</v>
      </c>
      <c r="D257" s="6">
        <f t="shared" si="36"/>
        <v>368608.41165415896</v>
      </c>
      <c r="E257" s="6">
        <f t="shared" si="36"/>
        <v>405441.18264100631</v>
      </c>
      <c r="F257" s="6">
        <f t="shared" si="36"/>
        <v>445476.12390979961</v>
      </c>
      <c r="G257" s="6">
        <f t="shared" si="36"/>
        <v>489463.64182589873</v>
      </c>
      <c r="H257" s="6">
        <f t="shared" si="36"/>
        <v>537779.45609124354</v>
      </c>
      <c r="I257" s="6">
        <f t="shared" si="36"/>
        <v>592820.5384421054</v>
      </c>
      <c r="J257" s="6">
        <f t="shared" si="36"/>
        <v>657094.21001347178</v>
      </c>
      <c r="K257" s="6">
        <f t="shared" si="36"/>
        <v>725076.1551699891</v>
      </c>
      <c r="L257" s="6">
        <f t="shared" si="36"/>
        <v>796381.56399749324</v>
      </c>
      <c r="M257" s="6">
        <f t="shared" si="36"/>
        <v>885698.74321812228</v>
      </c>
      <c r="N257" s="6">
        <f t="shared" si="36"/>
        <v>975664.14552479133</v>
      </c>
      <c r="O257" s="6">
        <f t="shared" si="36"/>
        <v>1081006.6219458536</v>
      </c>
      <c r="P257" s="6">
        <f t="shared" si="36"/>
        <v>1212092.7925092152</v>
      </c>
      <c r="Q257" s="6">
        <f t="shared" si="36"/>
        <v>1349248.4215288816</v>
      </c>
      <c r="R257" s="6">
        <f t="shared" si="36"/>
        <v>1494555.0795040901</v>
      </c>
      <c r="S257" s="6">
        <f t="shared" si="36"/>
        <v>1641019.6393505768</v>
      </c>
      <c r="T257" s="6">
        <f t="shared" si="36"/>
        <v>1612221.7920979755</v>
      </c>
      <c r="U257" s="6">
        <f t="shared" si="36"/>
        <v>1379342.9442123207</v>
      </c>
      <c r="V257" s="6">
        <f t="shared" si="36"/>
        <v>1430124.1491512451</v>
      </c>
      <c r="W257" s="6">
        <f>NPV(Assumptions!$L$16,C257:V257)</f>
        <v>6006083.6683006743</v>
      </c>
    </row>
    <row r="258" spans="1:23" x14ac:dyDescent="0.2">
      <c r="A258">
        <f>Summary!A30</f>
        <v>14</v>
      </c>
      <c r="B258" t="s">
        <v>70</v>
      </c>
      <c r="C258" s="6">
        <f t="shared" ref="C258:V258" si="37">C217*C$243</f>
        <v>456694.26365154568</v>
      </c>
      <c r="D258" s="6">
        <f t="shared" si="37"/>
        <v>501490.45104162692</v>
      </c>
      <c r="E258" s="6">
        <f t="shared" si="37"/>
        <v>551601.30676631245</v>
      </c>
      <c r="F258" s="6">
        <f t="shared" si="37"/>
        <v>606068.70392693183</v>
      </c>
      <c r="G258" s="6">
        <f t="shared" si="37"/>
        <v>665913.56775126315</v>
      </c>
      <c r="H258" s="6">
        <f t="shared" si="37"/>
        <v>731647.06357583648</v>
      </c>
      <c r="I258" s="6">
        <f t="shared" si="37"/>
        <v>806530.26303969114</v>
      </c>
      <c r="J258" s="6">
        <f t="shared" si="37"/>
        <v>893974.36775173363</v>
      </c>
      <c r="K258" s="6">
        <f t="shared" si="37"/>
        <v>986463.56566839851</v>
      </c>
      <c r="L258" s="6">
        <f t="shared" si="37"/>
        <v>1083474.3242513116</v>
      </c>
      <c r="M258" s="6">
        <f t="shared" si="37"/>
        <v>1204990.0332719299</v>
      </c>
      <c r="N258" s="6">
        <f t="shared" si="37"/>
        <v>1327387.6475272526</v>
      </c>
      <c r="O258" s="6">
        <f t="shared" si="37"/>
        <v>1470705.7171751196</v>
      </c>
      <c r="P258" s="6">
        <f t="shared" si="37"/>
        <v>1649047.9923992075</v>
      </c>
      <c r="Q258" s="6">
        <f t="shared" si="37"/>
        <v>1835647.744562499</v>
      </c>
      <c r="R258" s="6">
        <f t="shared" si="37"/>
        <v>2033336.9430274211</v>
      </c>
      <c r="S258" s="6">
        <f t="shared" si="37"/>
        <v>2232601.4629265</v>
      </c>
      <c r="T258" s="6">
        <f t="shared" si="37"/>
        <v>2193422.0927571482</v>
      </c>
      <c r="U258" s="6">
        <f t="shared" si="37"/>
        <v>1876591.2371069943</v>
      </c>
      <c r="V258" s="6">
        <f t="shared" si="37"/>
        <v>1945678.8882948135</v>
      </c>
      <c r="W258" s="6">
        <f>NPV(Assumptions!$L$16,C258:V258)</f>
        <v>8171255.7624317324</v>
      </c>
    </row>
    <row r="259" spans="1:23" x14ac:dyDescent="0.2">
      <c r="A259">
        <f>Summary!A31</f>
        <v>15</v>
      </c>
      <c r="B259" t="s">
        <v>68</v>
      </c>
      <c r="C259" s="6">
        <f t="shared" ref="C259:V259" si="38">C218*C$243</f>
        <v>587851.20410522248</v>
      </c>
      <c r="D259" s="6">
        <f t="shared" si="38"/>
        <v>645512.30211427191</v>
      </c>
      <c r="E259" s="6">
        <f t="shared" si="38"/>
        <v>710014.37542906939</v>
      </c>
      <c r="F259" s="6">
        <f t="shared" si="38"/>
        <v>780124.13496346446</v>
      </c>
      <c r="G259" s="6">
        <f t="shared" si="38"/>
        <v>857155.70303564018</v>
      </c>
      <c r="H259" s="6">
        <f t="shared" si="38"/>
        <v>941767.04534057481</v>
      </c>
      <c r="I259" s="6">
        <f t="shared" si="38"/>
        <v>1038155.7729328829</v>
      </c>
      <c r="J259" s="6">
        <f t="shared" si="38"/>
        <v>1150712.7423063768</v>
      </c>
      <c r="K259" s="6">
        <f t="shared" si="38"/>
        <v>1269763.6932145788</v>
      </c>
      <c r="L259" s="6">
        <f t="shared" si="38"/>
        <v>1394634.7410533542</v>
      </c>
      <c r="M259" s="6">
        <f t="shared" si="38"/>
        <v>1551048.2578212663</v>
      </c>
      <c r="N259" s="6">
        <f t="shared" si="38"/>
        <v>1708596.9520927945</v>
      </c>
      <c r="O259" s="6">
        <f t="shared" si="38"/>
        <v>1893074.1976331866</v>
      </c>
      <c r="P259" s="6">
        <f t="shared" si="38"/>
        <v>2122634.167130277</v>
      </c>
      <c r="Q259" s="6">
        <f t="shared" si="38"/>
        <v>2362823.058748635</v>
      </c>
      <c r="R259" s="6">
        <f t="shared" si="38"/>
        <v>2617286.1484030075</v>
      </c>
      <c r="S259" s="6">
        <f t="shared" si="38"/>
        <v>2873776.9723111829</v>
      </c>
      <c r="T259" s="6">
        <f t="shared" si="38"/>
        <v>2823345.7719146954</v>
      </c>
      <c r="U259" s="6">
        <f t="shared" si="38"/>
        <v>2415525.0156335565</v>
      </c>
      <c r="V259" s="6">
        <f t="shared" si="38"/>
        <v>2504453.7852108963</v>
      </c>
      <c r="W259" s="6">
        <f>NPV(Assumptions!$L$16,C259:V259)</f>
        <v>10517939.289603718</v>
      </c>
    </row>
    <row r="260" spans="1:23" x14ac:dyDescent="0.2">
      <c r="A260">
        <f>Summary!A32</f>
        <v>16</v>
      </c>
      <c r="B260" t="s">
        <v>69</v>
      </c>
      <c r="C260" s="6">
        <f t="shared" ref="C260:V260" si="39">C219*C$243</f>
        <v>916468.17921982135</v>
      </c>
      <c r="D260" s="6">
        <f t="shared" si="39"/>
        <v>1006362.6306305397</v>
      </c>
      <c r="E260" s="6">
        <f t="shared" si="39"/>
        <v>1106922.2574100653</v>
      </c>
      <c r="F260" s="6">
        <f t="shared" si="39"/>
        <v>1216224.3447704674</v>
      </c>
      <c r="G260" s="6">
        <f t="shared" si="39"/>
        <v>1336317.6276293695</v>
      </c>
      <c r="H260" s="6">
        <f t="shared" si="39"/>
        <v>1468227.8836295742</v>
      </c>
      <c r="I260" s="6">
        <f t="shared" si="39"/>
        <v>1618499.2466155484</v>
      </c>
      <c r="J260" s="6">
        <f t="shared" si="39"/>
        <v>1793977.1227512974</v>
      </c>
      <c r="K260" s="6">
        <f t="shared" si="39"/>
        <v>1979579.2061548703</v>
      </c>
      <c r="L260" s="6">
        <f t="shared" si="39"/>
        <v>2174254.9013833343</v>
      </c>
      <c r="M260" s="6">
        <f t="shared" si="39"/>
        <v>2418105.7430871455</v>
      </c>
      <c r="N260" s="6">
        <f t="shared" si="39"/>
        <v>2663726.3422611547</v>
      </c>
      <c r="O260" s="6">
        <f t="shared" si="39"/>
        <v>2951328.9262946965</v>
      </c>
      <c r="P260" s="6">
        <f t="shared" si="39"/>
        <v>3309216.102160885</v>
      </c>
      <c r="Q260" s="6">
        <f t="shared" si="39"/>
        <v>3683673.9150105841</v>
      </c>
      <c r="R260" s="6">
        <f t="shared" si="39"/>
        <v>4080385.4005457056</v>
      </c>
      <c r="S260" s="6">
        <f t="shared" si="39"/>
        <v>4480258.151902088</v>
      </c>
      <c r="T260" s="6">
        <f t="shared" si="39"/>
        <v>4401635.2111298749</v>
      </c>
      <c r="U260" s="6">
        <f t="shared" si="39"/>
        <v>3765836.9966379548</v>
      </c>
      <c r="V260" s="6">
        <f t="shared" si="39"/>
        <v>3904478.1816277117</v>
      </c>
      <c r="W260" s="6">
        <f>NPV(Assumptions!$L$16,C260:V260)</f>
        <v>16397613.20989375</v>
      </c>
    </row>
    <row r="261" spans="1:23" x14ac:dyDescent="0.2">
      <c r="A261">
        <f>Summary!A33</f>
        <v>17</v>
      </c>
      <c r="B261" t="s">
        <v>71</v>
      </c>
      <c r="C261" s="6">
        <f t="shared" ref="C261:V261" si="40">C220*C$243</f>
        <v>652705.05035165371</v>
      </c>
      <c r="D261" s="6">
        <f t="shared" si="40"/>
        <v>716727.52681593888</v>
      </c>
      <c r="E261" s="6">
        <f t="shared" si="40"/>
        <v>788345.69943634421</v>
      </c>
      <c r="F261" s="6">
        <f t="shared" si="40"/>
        <v>866190.2182660593</v>
      </c>
      <c r="G261" s="6">
        <f t="shared" si="40"/>
        <v>951720.18429504207</v>
      </c>
      <c r="H261" s="6">
        <f t="shared" si="40"/>
        <v>1045666.1523457908</v>
      </c>
      <c r="I261" s="6">
        <f t="shared" si="40"/>
        <v>1152688.8289297926</v>
      </c>
      <c r="J261" s="6">
        <f t="shared" si="40"/>
        <v>1277663.4855253852</v>
      </c>
      <c r="K261" s="6">
        <f t="shared" si="40"/>
        <v>1409848.5629128283</v>
      </c>
      <c r="L261" s="6">
        <f t="shared" si="40"/>
        <v>1548495.8311295025</v>
      </c>
      <c r="M261" s="6">
        <f t="shared" si="40"/>
        <v>1722165.4462033969</v>
      </c>
      <c r="N261" s="6">
        <f t="shared" si="40"/>
        <v>1897095.4756210595</v>
      </c>
      <c r="O261" s="6">
        <f t="shared" si="40"/>
        <v>2101924.9103458771</v>
      </c>
      <c r="P261" s="6">
        <f t="shared" si="40"/>
        <v>2356810.7562928777</v>
      </c>
      <c r="Q261" s="6">
        <f t="shared" si="40"/>
        <v>2623498.1450450947</v>
      </c>
      <c r="R261" s="6">
        <f t="shared" si="40"/>
        <v>2906034.512387068</v>
      </c>
      <c r="S261" s="6">
        <f t="shared" si="40"/>
        <v>3190822.3208743273</v>
      </c>
      <c r="T261" s="6">
        <f t="shared" si="40"/>
        <v>3134827.370172156</v>
      </c>
      <c r="U261" s="6">
        <f t="shared" si="40"/>
        <v>2682014.3702088459</v>
      </c>
      <c r="V261" s="6">
        <f t="shared" si="40"/>
        <v>2780754.0795423295</v>
      </c>
      <c r="W261" s="6">
        <f>NPV(Assumptions!$L$16,C261:V261)</f>
        <v>11678315.950829646</v>
      </c>
    </row>
    <row r="262" spans="1:23" x14ac:dyDescent="0.2">
      <c r="A262">
        <f>Summary!A34</f>
        <v>18</v>
      </c>
      <c r="B262" t="s">
        <v>72</v>
      </c>
      <c r="C262" s="6">
        <f t="shared" ref="C262:V262" si="41">C221*C$243</f>
        <v>1349249.8515179344</v>
      </c>
      <c r="D262" s="6">
        <f t="shared" si="41"/>
        <v>1481594.9541285352</v>
      </c>
      <c r="E262" s="6">
        <f t="shared" si="41"/>
        <v>1629641.6234809579</v>
      </c>
      <c r="F262" s="6">
        <f t="shared" si="41"/>
        <v>1790559.1855802415</v>
      </c>
      <c r="G262" s="6">
        <f t="shared" si="41"/>
        <v>1967363.8447486744</v>
      </c>
      <c r="H262" s="6">
        <f t="shared" si="41"/>
        <v>2161565.7792593534</v>
      </c>
      <c r="I262" s="6">
        <f t="shared" si="41"/>
        <v>2382799.4443155969</v>
      </c>
      <c r="J262" s="6">
        <f t="shared" si="41"/>
        <v>2641142.836578704</v>
      </c>
      <c r="K262" s="6">
        <f t="shared" si="41"/>
        <v>2914391.3673535232</v>
      </c>
      <c r="L262" s="6">
        <f t="shared" si="41"/>
        <v>3200998.3209138317</v>
      </c>
      <c r="M262" s="6">
        <f t="shared" si="41"/>
        <v>3560002.2879053289</v>
      </c>
      <c r="N262" s="6">
        <f t="shared" si="41"/>
        <v>3921611.7408897174</v>
      </c>
      <c r="O262" s="6">
        <f t="shared" si="41"/>
        <v>4345028.2354305005</v>
      </c>
      <c r="P262" s="6">
        <f t="shared" si="41"/>
        <v>4871919.653863268</v>
      </c>
      <c r="Q262" s="6">
        <f t="shared" si="41"/>
        <v>5423206.8232850023</v>
      </c>
      <c r="R262" s="6">
        <f t="shared" si="41"/>
        <v>6007256.4663499538</v>
      </c>
      <c r="S262" s="6">
        <f t="shared" si="41"/>
        <v>6595960.2125650821</v>
      </c>
      <c r="T262" s="6">
        <f t="shared" si="41"/>
        <v>6480209.3402837133</v>
      </c>
      <c r="U262" s="6">
        <f t="shared" si="41"/>
        <v>5544169.5890412116</v>
      </c>
      <c r="V262" s="6">
        <f t="shared" si="41"/>
        <v>5748280.9837444546</v>
      </c>
      <c r="W262" s="6">
        <f>NPV(Assumptions!$L$16,C262:V262)</f>
        <v>24141020.594443303</v>
      </c>
    </row>
    <row r="263" spans="1:23" x14ac:dyDescent="0.2">
      <c r="A263">
        <f>Summary!A35</f>
        <v>19</v>
      </c>
      <c r="B263" t="s">
        <v>73</v>
      </c>
      <c r="C263" s="6">
        <f t="shared" ref="C263:V263" si="42">C222*C$243</f>
        <v>0</v>
      </c>
      <c r="D263" s="6">
        <f t="shared" si="42"/>
        <v>0</v>
      </c>
      <c r="E263" s="6">
        <f t="shared" si="42"/>
        <v>0</v>
      </c>
      <c r="F263" s="6">
        <f t="shared" si="42"/>
        <v>0</v>
      </c>
      <c r="G263" s="6">
        <f t="shared" si="42"/>
        <v>0</v>
      </c>
      <c r="H263" s="6">
        <f t="shared" si="42"/>
        <v>0</v>
      </c>
      <c r="I263" s="6">
        <f t="shared" si="42"/>
        <v>0</v>
      </c>
      <c r="J263" s="6">
        <f t="shared" si="42"/>
        <v>0</v>
      </c>
      <c r="K263" s="6">
        <f t="shared" si="42"/>
        <v>0</v>
      </c>
      <c r="L263" s="6">
        <f t="shared" si="42"/>
        <v>0</v>
      </c>
      <c r="M263" s="6">
        <f t="shared" si="42"/>
        <v>0</v>
      </c>
      <c r="N263" s="6">
        <f t="shared" si="42"/>
        <v>0</v>
      </c>
      <c r="O263" s="6">
        <f t="shared" si="42"/>
        <v>0</v>
      </c>
      <c r="P263" s="6">
        <f t="shared" si="42"/>
        <v>0</v>
      </c>
      <c r="Q263" s="6">
        <f t="shared" si="42"/>
        <v>0</v>
      </c>
      <c r="R263" s="6">
        <f t="shared" si="42"/>
        <v>0</v>
      </c>
      <c r="S263" s="6">
        <f t="shared" si="42"/>
        <v>0</v>
      </c>
      <c r="T263" s="6">
        <f t="shared" si="42"/>
        <v>0</v>
      </c>
      <c r="U263" s="6">
        <f t="shared" si="42"/>
        <v>0</v>
      </c>
      <c r="V263" s="6">
        <f t="shared" si="42"/>
        <v>0</v>
      </c>
      <c r="W263" s="6">
        <f>NPV(Assumptions!$L$16,C263:V263)</f>
        <v>0</v>
      </c>
    </row>
    <row r="264" spans="1:23" x14ac:dyDescent="0.2">
      <c r="A264">
        <f>Summary!A36</f>
        <v>20</v>
      </c>
      <c r="B264" t="s">
        <v>74</v>
      </c>
      <c r="C264" s="6">
        <f t="shared" ref="C264:V264" si="43">C223*C$243</f>
        <v>0</v>
      </c>
      <c r="D264" s="6">
        <f t="shared" si="43"/>
        <v>0</v>
      </c>
      <c r="E264" s="6">
        <f t="shared" si="43"/>
        <v>0</v>
      </c>
      <c r="F264" s="6">
        <f t="shared" si="43"/>
        <v>0</v>
      </c>
      <c r="G264" s="6">
        <f t="shared" si="43"/>
        <v>0</v>
      </c>
      <c r="H264" s="6">
        <f t="shared" si="43"/>
        <v>0</v>
      </c>
      <c r="I264" s="6">
        <f t="shared" si="43"/>
        <v>0</v>
      </c>
      <c r="J264" s="6">
        <f t="shared" si="43"/>
        <v>0</v>
      </c>
      <c r="K264" s="6">
        <f t="shared" si="43"/>
        <v>0</v>
      </c>
      <c r="L264" s="6">
        <f t="shared" si="43"/>
        <v>0</v>
      </c>
      <c r="M264" s="6">
        <f t="shared" si="43"/>
        <v>0</v>
      </c>
      <c r="N264" s="6">
        <f t="shared" si="43"/>
        <v>0</v>
      </c>
      <c r="O264" s="6">
        <f t="shared" si="43"/>
        <v>0</v>
      </c>
      <c r="P264" s="6">
        <f t="shared" si="43"/>
        <v>0</v>
      </c>
      <c r="Q264" s="6">
        <f t="shared" si="43"/>
        <v>0</v>
      </c>
      <c r="R264" s="6">
        <f t="shared" si="43"/>
        <v>0</v>
      </c>
      <c r="S264" s="6">
        <f t="shared" si="43"/>
        <v>0</v>
      </c>
      <c r="T264" s="6">
        <f t="shared" si="43"/>
        <v>0</v>
      </c>
      <c r="U264" s="6">
        <f t="shared" si="43"/>
        <v>0</v>
      </c>
      <c r="V264" s="6">
        <f t="shared" si="43"/>
        <v>0</v>
      </c>
      <c r="W264" s="6">
        <f>NPV(Assumptions!$L$16,C264:V264)</f>
        <v>0</v>
      </c>
    </row>
    <row r="265" spans="1:23" x14ac:dyDescent="0.2">
      <c r="A265">
        <f>Summary!A37</f>
        <v>21</v>
      </c>
      <c r="B265" t="s">
        <v>75</v>
      </c>
      <c r="C265" s="6">
        <f t="shared" ref="C265:V265" si="44">C224*C$243</f>
        <v>0</v>
      </c>
      <c r="D265" s="6">
        <f t="shared" si="44"/>
        <v>0</v>
      </c>
      <c r="E265" s="6">
        <f t="shared" si="44"/>
        <v>0</v>
      </c>
      <c r="F265" s="6">
        <f t="shared" si="44"/>
        <v>0</v>
      </c>
      <c r="G265" s="6">
        <f t="shared" si="44"/>
        <v>0</v>
      </c>
      <c r="H265" s="6">
        <f t="shared" si="44"/>
        <v>0</v>
      </c>
      <c r="I265" s="6">
        <f t="shared" si="44"/>
        <v>0</v>
      </c>
      <c r="J265" s="6">
        <f t="shared" si="44"/>
        <v>0</v>
      </c>
      <c r="K265" s="6">
        <f t="shared" si="44"/>
        <v>0</v>
      </c>
      <c r="L265" s="6">
        <f t="shared" si="44"/>
        <v>0</v>
      </c>
      <c r="M265" s="6">
        <f t="shared" si="44"/>
        <v>0</v>
      </c>
      <c r="N265" s="6">
        <f t="shared" si="44"/>
        <v>0</v>
      </c>
      <c r="O265" s="6">
        <f t="shared" si="44"/>
        <v>0</v>
      </c>
      <c r="P265" s="6">
        <f t="shared" si="44"/>
        <v>0</v>
      </c>
      <c r="Q265" s="6">
        <f t="shared" si="44"/>
        <v>0</v>
      </c>
      <c r="R265" s="6">
        <f t="shared" si="44"/>
        <v>0</v>
      </c>
      <c r="S265" s="6">
        <f t="shared" si="44"/>
        <v>0</v>
      </c>
      <c r="T265" s="6">
        <f t="shared" si="44"/>
        <v>0</v>
      </c>
      <c r="U265" s="6">
        <f t="shared" si="44"/>
        <v>0</v>
      </c>
      <c r="V265" s="6">
        <f t="shared" si="44"/>
        <v>0</v>
      </c>
      <c r="W265" s="6">
        <f>NPV(Assumptions!$L$16,C265:V265)</f>
        <v>0</v>
      </c>
    </row>
    <row r="266" spans="1:23" x14ac:dyDescent="0.2">
      <c r="A266">
        <f>Summary!A38</f>
        <v>22</v>
      </c>
      <c r="B266" t="s">
        <v>86</v>
      </c>
      <c r="C266" s="6">
        <f t="shared" ref="C266:V266" si="45">C225*C$243</f>
        <v>0</v>
      </c>
      <c r="D266" s="6">
        <f t="shared" si="45"/>
        <v>0</v>
      </c>
      <c r="E266" s="6">
        <f t="shared" si="45"/>
        <v>0</v>
      </c>
      <c r="F266" s="6">
        <f t="shared" si="45"/>
        <v>0</v>
      </c>
      <c r="G266" s="6">
        <f t="shared" si="45"/>
        <v>0</v>
      </c>
      <c r="H266" s="6">
        <f t="shared" si="45"/>
        <v>0</v>
      </c>
      <c r="I266" s="6">
        <f t="shared" si="45"/>
        <v>0</v>
      </c>
      <c r="J266" s="6">
        <f t="shared" si="45"/>
        <v>0</v>
      </c>
      <c r="K266" s="6">
        <f t="shared" si="45"/>
        <v>0</v>
      </c>
      <c r="L266" s="6">
        <f t="shared" si="45"/>
        <v>0</v>
      </c>
      <c r="M266" s="6">
        <f t="shared" si="45"/>
        <v>0</v>
      </c>
      <c r="N266" s="6">
        <f t="shared" si="45"/>
        <v>0</v>
      </c>
      <c r="O266" s="6">
        <f t="shared" si="45"/>
        <v>0</v>
      </c>
      <c r="P266" s="6">
        <f t="shared" si="45"/>
        <v>0</v>
      </c>
      <c r="Q266" s="6">
        <f t="shared" si="45"/>
        <v>0</v>
      </c>
      <c r="R266" s="6">
        <f t="shared" si="45"/>
        <v>0</v>
      </c>
      <c r="S266" s="6">
        <f t="shared" si="45"/>
        <v>0</v>
      </c>
      <c r="T266" s="6">
        <f t="shared" si="45"/>
        <v>0</v>
      </c>
      <c r="U266" s="6">
        <f t="shared" si="45"/>
        <v>0</v>
      </c>
      <c r="V266" s="6">
        <f t="shared" si="45"/>
        <v>0</v>
      </c>
      <c r="W266" s="6">
        <f>NPV(Assumptions!$L$16,C266:V266)</f>
        <v>0</v>
      </c>
    </row>
    <row r="267" spans="1:23" x14ac:dyDescent="0.2">
      <c r="A267">
        <f>Summary!A39</f>
        <v>23</v>
      </c>
      <c r="B267" t="s">
        <v>76</v>
      </c>
      <c r="C267" s="6">
        <f t="shared" ref="C267:V267" si="46">C226*C$243</f>
        <v>0</v>
      </c>
      <c r="D267" s="6">
        <f t="shared" si="46"/>
        <v>0</v>
      </c>
      <c r="E267" s="6">
        <f t="shared" si="46"/>
        <v>0</v>
      </c>
      <c r="F267" s="6">
        <f t="shared" si="46"/>
        <v>0</v>
      </c>
      <c r="G267" s="6">
        <f t="shared" si="46"/>
        <v>0</v>
      </c>
      <c r="H267" s="6">
        <f t="shared" si="46"/>
        <v>0</v>
      </c>
      <c r="I267" s="6">
        <f t="shared" si="46"/>
        <v>0</v>
      </c>
      <c r="J267" s="6">
        <f t="shared" si="46"/>
        <v>0</v>
      </c>
      <c r="K267" s="6">
        <f t="shared" si="46"/>
        <v>0</v>
      </c>
      <c r="L267" s="6">
        <f t="shared" si="46"/>
        <v>0</v>
      </c>
      <c r="M267" s="6">
        <f t="shared" si="46"/>
        <v>0</v>
      </c>
      <c r="N267" s="6">
        <f t="shared" si="46"/>
        <v>0</v>
      </c>
      <c r="O267" s="6">
        <f t="shared" si="46"/>
        <v>0</v>
      </c>
      <c r="P267" s="6">
        <f t="shared" si="46"/>
        <v>0</v>
      </c>
      <c r="Q267" s="6">
        <f t="shared" si="46"/>
        <v>0</v>
      </c>
      <c r="R267" s="6">
        <f t="shared" si="46"/>
        <v>0</v>
      </c>
      <c r="S267" s="6">
        <f t="shared" si="46"/>
        <v>0</v>
      </c>
      <c r="T267" s="6">
        <f t="shared" si="46"/>
        <v>0</v>
      </c>
      <c r="U267" s="6">
        <f t="shared" si="46"/>
        <v>0</v>
      </c>
      <c r="V267" s="6">
        <f t="shared" si="46"/>
        <v>0</v>
      </c>
      <c r="W267" s="6">
        <f>NPV(Assumptions!$L$16,C267:V267)</f>
        <v>0</v>
      </c>
    </row>
    <row r="268" spans="1:23" x14ac:dyDescent="0.2">
      <c r="A268">
        <f>Summary!A40</f>
        <v>24</v>
      </c>
      <c r="B268" t="s">
        <v>77</v>
      </c>
      <c r="C268" s="6">
        <f t="shared" ref="C268:V268" si="47">C227*C$243</f>
        <v>0</v>
      </c>
      <c r="D268" s="6">
        <f t="shared" si="47"/>
        <v>0</v>
      </c>
      <c r="E268" s="6">
        <f t="shared" si="47"/>
        <v>0</v>
      </c>
      <c r="F268" s="6">
        <f t="shared" si="47"/>
        <v>0</v>
      </c>
      <c r="G268" s="6">
        <f t="shared" si="47"/>
        <v>0</v>
      </c>
      <c r="H268" s="6">
        <f t="shared" si="47"/>
        <v>0</v>
      </c>
      <c r="I268" s="6">
        <f t="shared" si="47"/>
        <v>0</v>
      </c>
      <c r="J268" s="6">
        <f t="shared" si="47"/>
        <v>0</v>
      </c>
      <c r="K268" s="6">
        <f t="shared" si="47"/>
        <v>0</v>
      </c>
      <c r="L268" s="6">
        <f t="shared" si="47"/>
        <v>0</v>
      </c>
      <c r="M268" s="6">
        <f t="shared" si="47"/>
        <v>0</v>
      </c>
      <c r="N268" s="6">
        <f t="shared" si="47"/>
        <v>0</v>
      </c>
      <c r="O268" s="6">
        <f t="shared" si="47"/>
        <v>0</v>
      </c>
      <c r="P268" s="6">
        <f t="shared" si="47"/>
        <v>0</v>
      </c>
      <c r="Q268" s="6">
        <f t="shared" si="47"/>
        <v>0</v>
      </c>
      <c r="R268" s="6">
        <f t="shared" si="47"/>
        <v>0</v>
      </c>
      <c r="S268" s="6">
        <f t="shared" si="47"/>
        <v>0</v>
      </c>
      <c r="T268" s="6">
        <f t="shared" si="47"/>
        <v>0</v>
      </c>
      <c r="U268" s="6">
        <f t="shared" si="47"/>
        <v>0</v>
      </c>
      <c r="V268" s="6">
        <f t="shared" si="47"/>
        <v>0</v>
      </c>
      <c r="W268" s="6">
        <f>NPV(Assumptions!$L$16,C268:V268)</f>
        <v>0</v>
      </c>
    </row>
    <row r="269" spans="1:23" x14ac:dyDescent="0.2">
      <c r="A269">
        <f>Summary!A41</f>
        <v>25</v>
      </c>
      <c r="B269" t="s">
        <v>78</v>
      </c>
      <c r="C269" s="6">
        <f t="shared" ref="C269:V269" si="48">C228*C$243</f>
        <v>0</v>
      </c>
      <c r="D269" s="6">
        <f t="shared" si="48"/>
        <v>0</v>
      </c>
      <c r="E269" s="6">
        <f t="shared" si="48"/>
        <v>0</v>
      </c>
      <c r="F269" s="6">
        <f t="shared" si="48"/>
        <v>0</v>
      </c>
      <c r="G269" s="6">
        <f t="shared" si="48"/>
        <v>0</v>
      </c>
      <c r="H269" s="6">
        <f t="shared" si="48"/>
        <v>0</v>
      </c>
      <c r="I269" s="6">
        <f t="shared" si="48"/>
        <v>0</v>
      </c>
      <c r="J269" s="6">
        <f t="shared" si="48"/>
        <v>0</v>
      </c>
      <c r="K269" s="6">
        <f t="shared" si="48"/>
        <v>0</v>
      </c>
      <c r="L269" s="6">
        <f t="shared" si="48"/>
        <v>0</v>
      </c>
      <c r="M269" s="6">
        <f t="shared" si="48"/>
        <v>0</v>
      </c>
      <c r="N269" s="6">
        <f t="shared" si="48"/>
        <v>0</v>
      </c>
      <c r="O269" s="6">
        <f t="shared" si="48"/>
        <v>0</v>
      </c>
      <c r="P269" s="6">
        <f t="shared" si="48"/>
        <v>0</v>
      </c>
      <c r="Q269" s="6">
        <f t="shared" si="48"/>
        <v>0</v>
      </c>
      <c r="R269" s="6">
        <f t="shared" si="48"/>
        <v>0</v>
      </c>
      <c r="S269" s="6">
        <f t="shared" si="48"/>
        <v>0</v>
      </c>
      <c r="T269" s="6">
        <f t="shared" si="48"/>
        <v>0</v>
      </c>
      <c r="U269" s="6">
        <f t="shared" si="48"/>
        <v>0</v>
      </c>
      <c r="V269" s="6">
        <f t="shared" si="48"/>
        <v>0</v>
      </c>
      <c r="W269" s="6">
        <f>NPV(Assumptions!$L$16,C269:V269)</f>
        <v>0</v>
      </c>
    </row>
    <row r="270" spans="1:23" x14ac:dyDescent="0.2">
      <c r="A270">
        <f>Summary!A42</f>
        <v>26</v>
      </c>
      <c r="B270" t="s">
        <v>79</v>
      </c>
      <c r="C270" s="6">
        <f t="shared" ref="C270:V270" si="49">C229*C$243</f>
        <v>0</v>
      </c>
      <c r="D270" s="6">
        <f t="shared" si="49"/>
        <v>0</v>
      </c>
      <c r="E270" s="6">
        <f t="shared" si="49"/>
        <v>0</v>
      </c>
      <c r="F270" s="6">
        <f t="shared" si="49"/>
        <v>0</v>
      </c>
      <c r="G270" s="6">
        <f t="shared" si="49"/>
        <v>0</v>
      </c>
      <c r="H270" s="6">
        <f t="shared" si="49"/>
        <v>0</v>
      </c>
      <c r="I270" s="6">
        <f t="shared" si="49"/>
        <v>0</v>
      </c>
      <c r="J270" s="6">
        <f t="shared" si="49"/>
        <v>0</v>
      </c>
      <c r="K270" s="6">
        <f t="shared" si="49"/>
        <v>0</v>
      </c>
      <c r="L270" s="6">
        <f t="shared" si="49"/>
        <v>0</v>
      </c>
      <c r="M270" s="6">
        <f t="shared" si="49"/>
        <v>0</v>
      </c>
      <c r="N270" s="6">
        <f t="shared" si="49"/>
        <v>0</v>
      </c>
      <c r="O270" s="6">
        <f t="shared" si="49"/>
        <v>0</v>
      </c>
      <c r="P270" s="6">
        <f t="shared" si="49"/>
        <v>0</v>
      </c>
      <c r="Q270" s="6">
        <f t="shared" si="49"/>
        <v>0</v>
      </c>
      <c r="R270" s="6">
        <f t="shared" si="49"/>
        <v>0</v>
      </c>
      <c r="S270" s="6">
        <f t="shared" si="49"/>
        <v>0</v>
      </c>
      <c r="T270" s="6">
        <f t="shared" si="49"/>
        <v>0</v>
      </c>
      <c r="U270" s="6">
        <f t="shared" si="49"/>
        <v>0</v>
      </c>
      <c r="V270" s="6">
        <f t="shared" si="49"/>
        <v>0</v>
      </c>
      <c r="W270" s="6">
        <f>NPV(Assumptions!$L$16,C270:V270)</f>
        <v>0</v>
      </c>
    </row>
    <row r="271" spans="1:23" x14ac:dyDescent="0.2">
      <c r="A271">
        <f>Summary!A43</f>
        <v>27</v>
      </c>
      <c r="B271" t="s">
        <v>80</v>
      </c>
      <c r="C271" s="6">
        <f t="shared" ref="C271:L271" si="50">C230*C$243</f>
        <v>52897.550569714935</v>
      </c>
      <c r="D271" s="6">
        <f t="shared" si="50"/>
        <v>58086.160929851278</v>
      </c>
      <c r="E271" s="6">
        <f t="shared" si="50"/>
        <v>63890.353659564949</v>
      </c>
      <c r="F271" s="6">
        <f t="shared" si="50"/>
        <v>70199.151744015908</v>
      </c>
      <c r="G271" s="6">
        <f t="shared" si="50"/>
        <v>77130.805943422791</v>
      </c>
      <c r="H271" s="6">
        <f t="shared" si="50"/>
        <v>84744.523032187324</v>
      </c>
      <c r="I271" s="6">
        <f t="shared" si="50"/>
        <v>93418.023327088376</v>
      </c>
      <c r="J271" s="6">
        <f t="shared" si="50"/>
        <v>103546.416256845</v>
      </c>
      <c r="K271" s="6">
        <f t="shared" si="50"/>
        <v>114259.16746337658</v>
      </c>
      <c r="L271" s="6">
        <f t="shared" si="50"/>
        <v>125495.63771574097</v>
      </c>
      <c r="M271" s="6">
        <f t="shared" ref="D271:V277" si="51">M230*M$243</f>
        <v>139570.44415525725</v>
      </c>
      <c r="N271" s="6">
        <f t="shared" si="51"/>
        <v>153747.39907892016</v>
      </c>
      <c r="O271" s="6">
        <f t="shared" si="51"/>
        <v>170347.50869303249</v>
      </c>
      <c r="P271" s="6">
        <f t="shared" si="51"/>
        <v>191004.36881418826</v>
      </c>
      <c r="Q271" s="6">
        <f t="shared" si="51"/>
        <v>212617.66815241956</v>
      </c>
      <c r="R271" s="6">
        <f t="shared" si="51"/>
        <v>235515.42537247401</v>
      </c>
      <c r="S271" s="6">
        <f t="shared" si="51"/>
        <v>258595.6474313915</v>
      </c>
      <c r="T271" s="6">
        <f t="shared" si="51"/>
        <v>254057.61645580616</v>
      </c>
      <c r="U271" s="6">
        <f t="shared" si="51"/>
        <v>217360.03222342019</v>
      </c>
      <c r="V271" s="6">
        <f t="shared" si="51"/>
        <v>225362.25124239805</v>
      </c>
      <c r="W271" s="6">
        <f>NPV(Assumptions!$L$16,C271:V271)</f>
        <v>946452.4722848339</v>
      </c>
    </row>
    <row r="272" spans="1:23" x14ac:dyDescent="0.2">
      <c r="A272">
        <f>Summary!A44</f>
        <v>28</v>
      </c>
      <c r="B272" t="s">
        <v>81</v>
      </c>
      <c r="C272" s="6">
        <f t="shared" ref="C272:C277" si="52">C231*C$243</f>
        <v>52897.550569714935</v>
      </c>
      <c r="D272" s="6">
        <f t="shared" si="51"/>
        <v>58086.160929851278</v>
      </c>
      <c r="E272" s="6">
        <f t="shared" si="51"/>
        <v>63890.353659564949</v>
      </c>
      <c r="F272" s="6">
        <f t="shared" si="51"/>
        <v>70199.151744015908</v>
      </c>
      <c r="G272" s="6">
        <f t="shared" si="51"/>
        <v>77130.805943422791</v>
      </c>
      <c r="H272" s="6">
        <f t="shared" si="51"/>
        <v>84744.523032187324</v>
      </c>
      <c r="I272" s="6">
        <f t="shared" si="51"/>
        <v>93418.023327088376</v>
      </c>
      <c r="J272" s="6">
        <f t="shared" si="51"/>
        <v>103546.416256845</v>
      </c>
      <c r="K272" s="6">
        <f t="shared" si="51"/>
        <v>114259.16746337658</v>
      </c>
      <c r="L272" s="6">
        <f t="shared" si="51"/>
        <v>125495.63771574097</v>
      </c>
      <c r="M272" s="6">
        <f t="shared" si="51"/>
        <v>139570.44415525725</v>
      </c>
      <c r="N272" s="6">
        <f t="shared" si="51"/>
        <v>153747.39907892016</v>
      </c>
      <c r="O272" s="6">
        <f t="shared" si="51"/>
        <v>170347.50869303249</v>
      </c>
      <c r="P272" s="6">
        <f t="shared" si="51"/>
        <v>191004.36881418826</v>
      </c>
      <c r="Q272" s="6">
        <f t="shared" si="51"/>
        <v>212617.66815241956</v>
      </c>
      <c r="R272" s="6">
        <f t="shared" si="51"/>
        <v>235515.42537247401</v>
      </c>
      <c r="S272" s="6">
        <f t="shared" si="51"/>
        <v>258595.6474313915</v>
      </c>
      <c r="T272" s="6">
        <f t="shared" si="51"/>
        <v>254057.61645580616</v>
      </c>
      <c r="U272" s="6">
        <f t="shared" si="51"/>
        <v>217360.03222342019</v>
      </c>
      <c r="V272" s="6">
        <f t="shared" si="51"/>
        <v>225362.25124239805</v>
      </c>
      <c r="W272" s="6">
        <f>NPV(Assumptions!$L$16,C272:V272)</f>
        <v>946452.4722848339</v>
      </c>
    </row>
    <row r="273" spans="1:23" x14ac:dyDescent="0.2">
      <c r="A273">
        <f>Summary!A45</f>
        <v>29</v>
      </c>
      <c r="B273" t="s">
        <v>82</v>
      </c>
      <c r="C273" s="6">
        <f t="shared" si="52"/>
        <v>52897.550569714935</v>
      </c>
      <c r="D273" s="6">
        <f t="shared" si="51"/>
        <v>58086.160929851278</v>
      </c>
      <c r="E273" s="6">
        <f t="shared" si="51"/>
        <v>63890.353659564949</v>
      </c>
      <c r="F273" s="6">
        <f t="shared" si="51"/>
        <v>70199.151744015908</v>
      </c>
      <c r="G273" s="6">
        <f t="shared" si="51"/>
        <v>77130.805943422791</v>
      </c>
      <c r="H273" s="6">
        <f t="shared" si="51"/>
        <v>84744.523032187324</v>
      </c>
      <c r="I273" s="6">
        <f t="shared" si="51"/>
        <v>93418.023327088376</v>
      </c>
      <c r="J273" s="6">
        <f t="shared" si="51"/>
        <v>103546.416256845</v>
      </c>
      <c r="K273" s="6">
        <f t="shared" si="51"/>
        <v>114259.16746337658</v>
      </c>
      <c r="L273" s="6">
        <f t="shared" si="51"/>
        <v>125495.63771574097</v>
      </c>
      <c r="M273" s="6">
        <f t="shared" si="51"/>
        <v>139570.44415525725</v>
      </c>
      <c r="N273" s="6">
        <f t="shared" si="51"/>
        <v>153747.39907892016</v>
      </c>
      <c r="O273" s="6">
        <f t="shared" si="51"/>
        <v>170347.50869303249</v>
      </c>
      <c r="P273" s="6">
        <f t="shared" si="51"/>
        <v>191004.36881418826</v>
      </c>
      <c r="Q273" s="6">
        <f t="shared" si="51"/>
        <v>212617.66815241956</v>
      </c>
      <c r="R273" s="6">
        <f t="shared" si="51"/>
        <v>235515.42537247401</v>
      </c>
      <c r="S273" s="6">
        <f t="shared" si="51"/>
        <v>258595.6474313915</v>
      </c>
      <c r="T273" s="6">
        <f t="shared" si="51"/>
        <v>254057.61645580616</v>
      </c>
      <c r="U273" s="6">
        <f t="shared" si="51"/>
        <v>217360.03222342019</v>
      </c>
      <c r="V273" s="6">
        <f t="shared" si="51"/>
        <v>225362.25124239805</v>
      </c>
      <c r="W273" s="6">
        <f>NPV(Assumptions!$L$16,C273:V273)</f>
        <v>946452.4722848339</v>
      </c>
    </row>
    <row r="274" spans="1:23" x14ac:dyDescent="0.2">
      <c r="A274">
        <f>Summary!A46</f>
        <v>30</v>
      </c>
      <c r="B274" t="s">
        <v>83</v>
      </c>
      <c r="C274" s="6">
        <f t="shared" si="52"/>
        <v>52897.550569714935</v>
      </c>
      <c r="D274" s="6">
        <f t="shared" si="51"/>
        <v>58086.160929851278</v>
      </c>
      <c r="E274" s="6">
        <f t="shared" si="51"/>
        <v>63890.353659564949</v>
      </c>
      <c r="F274" s="6">
        <f t="shared" si="51"/>
        <v>70199.151744015908</v>
      </c>
      <c r="G274" s="6">
        <f t="shared" si="51"/>
        <v>77130.805943422791</v>
      </c>
      <c r="H274" s="6">
        <f t="shared" si="51"/>
        <v>84744.523032187324</v>
      </c>
      <c r="I274" s="6">
        <f t="shared" si="51"/>
        <v>93418.023327088376</v>
      </c>
      <c r="J274" s="6">
        <f t="shared" si="51"/>
        <v>103546.416256845</v>
      </c>
      <c r="K274" s="6">
        <f t="shared" si="51"/>
        <v>114259.16746337658</v>
      </c>
      <c r="L274" s="6">
        <f t="shared" si="51"/>
        <v>125495.63771574097</v>
      </c>
      <c r="M274" s="6">
        <f t="shared" si="51"/>
        <v>139570.44415525725</v>
      </c>
      <c r="N274" s="6">
        <f t="shared" si="51"/>
        <v>153747.39907892016</v>
      </c>
      <c r="O274" s="6">
        <f t="shared" si="51"/>
        <v>170347.50869303249</v>
      </c>
      <c r="P274" s="6">
        <f t="shared" si="51"/>
        <v>191004.36881418826</v>
      </c>
      <c r="Q274" s="6">
        <f t="shared" si="51"/>
        <v>212617.66815241956</v>
      </c>
      <c r="R274" s="6">
        <f t="shared" si="51"/>
        <v>235515.42537247401</v>
      </c>
      <c r="S274" s="6">
        <f t="shared" si="51"/>
        <v>258595.6474313915</v>
      </c>
      <c r="T274" s="6">
        <f t="shared" si="51"/>
        <v>254057.61645580616</v>
      </c>
      <c r="U274" s="6">
        <f t="shared" si="51"/>
        <v>217360.03222342019</v>
      </c>
      <c r="V274" s="6">
        <f t="shared" si="51"/>
        <v>225362.25124239805</v>
      </c>
      <c r="W274" s="6">
        <f>NPV(Assumptions!$L$16,C274:V274)</f>
        <v>946452.4722848339</v>
      </c>
    </row>
    <row r="275" spans="1:23" x14ac:dyDescent="0.2">
      <c r="A275">
        <f>Summary!A47</f>
        <v>31</v>
      </c>
      <c r="B275" t="s">
        <v>84</v>
      </c>
      <c r="C275" s="6">
        <f t="shared" si="52"/>
        <v>52897.550569714935</v>
      </c>
      <c r="D275" s="6">
        <f t="shared" si="51"/>
        <v>58086.160929851278</v>
      </c>
      <c r="E275" s="6">
        <f t="shared" si="51"/>
        <v>63890.353659564949</v>
      </c>
      <c r="F275" s="6">
        <f t="shared" si="51"/>
        <v>70199.151744015908</v>
      </c>
      <c r="G275" s="6">
        <f t="shared" si="51"/>
        <v>77130.805943422791</v>
      </c>
      <c r="H275" s="6">
        <f t="shared" si="51"/>
        <v>84744.523032187324</v>
      </c>
      <c r="I275" s="6">
        <f t="shared" si="51"/>
        <v>93418.023327088376</v>
      </c>
      <c r="J275" s="6">
        <f t="shared" si="51"/>
        <v>103546.416256845</v>
      </c>
      <c r="K275" s="6">
        <f t="shared" si="51"/>
        <v>114259.16746337658</v>
      </c>
      <c r="L275" s="6">
        <f t="shared" si="51"/>
        <v>125495.63771574097</v>
      </c>
      <c r="M275" s="6">
        <f t="shared" si="51"/>
        <v>139570.44415525725</v>
      </c>
      <c r="N275" s="6">
        <f t="shared" si="51"/>
        <v>153747.39907892016</v>
      </c>
      <c r="O275" s="6">
        <f t="shared" si="51"/>
        <v>170347.50869303249</v>
      </c>
      <c r="P275" s="6">
        <f t="shared" si="51"/>
        <v>191004.36881418826</v>
      </c>
      <c r="Q275" s="6">
        <f t="shared" si="51"/>
        <v>212617.66815241956</v>
      </c>
      <c r="R275" s="6">
        <f t="shared" si="51"/>
        <v>235515.42537247401</v>
      </c>
      <c r="S275" s="6">
        <f t="shared" si="51"/>
        <v>258595.6474313915</v>
      </c>
      <c r="T275" s="6">
        <f t="shared" si="51"/>
        <v>254057.61645580616</v>
      </c>
      <c r="U275" s="6">
        <f t="shared" si="51"/>
        <v>217360.03222342019</v>
      </c>
      <c r="V275" s="6">
        <f t="shared" si="51"/>
        <v>225362.25124239805</v>
      </c>
      <c r="W275" s="6">
        <f>NPV(Assumptions!$L$16,C275:V275)</f>
        <v>946452.4722848339</v>
      </c>
    </row>
    <row r="276" spans="1:23" x14ac:dyDescent="0.2">
      <c r="A276">
        <f>Summary!A48</f>
        <v>32</v>
      </c>
      <c r="B276" t="s">
        <v>85</v>
      </c>
      <c r="C276" s="6">
        <f t="shared" si="52"/>
        <v>52897.550569714935</v>
      </c>
      <c r="D276" s="6">
        <f t="shared" si="51"/>
        <v>58086.160929851278</v>
      </c>
      <c r="E276" s="6">
        <f t="shared" si="51"/>
        <v>63890.353659564949</v>
      </c>
      <c r="F276" s="6">
        <f t="shared" si="51"/>
        <v>70199.151744015908</v>
      </c>
      <c r="G276" s="6">
        <f t="shared" si="51"/>
        <v>77130.805943422791</v>
      </c>
      <c r="H276" s="6">
        <f t="shared" si="51"/>
        <v>84744.523032187324</v>
      </c>
      <c r="I276" s="6">
        <f t="shared" si="51"/>
        <v>93418.023327088376</v>
      </c>
      <c r="J276" s="6">
        <f t="shared" si="51"/>
        <v>103546.416256845</v>
      </c>
      <c r="K276" s="6">
        <f t="shared" si="51"/>
        <v>114259.16746337658</v>
      </c>
      <c r="L276" s="6">
        <f t="shared" si="51"/>
        <v>125495.63771574097</v>
      </c>
      <c r="M276" s="6">
        <f t="shared" si="51"/>
        <v>139570.44415525725</v>
      </c>
      <c r="N276" s="6">
        <f t="shared" si="51"/>
        <v>153747.39907892016</v>
      </c>
      <c r="O276" s="6">
        <f t="shared" si="51"/>
        <v>170347.50869303249</v>
      </c>
      <c r="P276" s="6">
        <f t="shared" si="51"/>
        <v>191004.36881418826</v>
      </c>
      <c r="Q276" s="6">
        <f t="shared" si="51"/>
        <v>212617.66815241956</v>
      </c>
      <c r="R276" s="6">
        <f t="shared" si="51"/>
        <v>235515.42537247401</v>
      </c>
      <c r="S276" s="6">
        <f t="shared" si="51"/>
        <v>258595.6474313915</v>
      </c>
      <c r="T276" s="6">
        <f t="shared" si="51"/>
        <v>254057.61645580616</v>
      </c>
      <c r="U276" s="6">
        <f t="shared" si="51"/>
        <v>217360.03222342019</v>
      </c>
      <c r="V276" s="6">
        <f t="shared" si="51"/>
        <v>225362.25124239805</v>
      </c>
      <c r="W276" s="6">
        <f>NPV(Assumptions!$L$16,C276:V276)</f>
        <v>946452.4722848339</v>
      </c>
    </row>
    <row r="277" spans="1:23" x14ac:dyDescent="0.2">
      <c r="A277">
        <f>Summary!A49</f>
        <v>33</v>
      </c>
      <c r="B277" t="s">
        <v>181</v>
      </c>
      <c r="C277" s="6">
        <f t="shared" si="52"/>
        <v>0</v>
      </c>
      <c r="D277" s="6">
        <f t="shared" si="51"/>
        <v>0</v>
      </c>
      <c r="E277" s="6">
        <f t="shared" si="51"/>
        <v>0</v>
      </c>
      <c r="F277" s="6">
        <f t="shared" si="51"/>
        <v>0</v>
      </c>
      <c r="G277" s="6">
        <f t="shared" si="51"/>
        <v>0</v>
      </c>
      <c r="H277" s="6">
        <f t="shared" si="51"/>
        <v>0</v>
      </c>
      <c r="I277" s="6">
        <f t="shared" si="51"/>
        <v>0</v>
      </c>
      <c r="J277" s="6">
        <f t="shared" si="51"/>
        <v>0</v>
      </c>
      <c r="K277" s="6">
        <f t="shared" si="51"/>
        <v>0</v>
      </c>
      <c r="L277" s="6">
        <f t="shared" si="51"/>
        <v>0</v>
      </c>
      <c r="M277" s="6">
        <f t="shared" si="51"/>
        <v>0</v>
      </c>
      <c r="N277" s="6">
        <f t="shared" si="51"/>
        <v>0</v>
      </c>
      <c r="O277" s="6">
        <f t="shared" si="51"/>
        <v>0</v>
      </c>
      <c r="P277" s="6">
        <f t="shared" si="51"/>
        <v>0</v>
      </c>
      <c r="Q277" s="6">
        <f t="shared" si="51"/>
        <v>0</v>
      </c>
      <c r="R277" s="6">
        <f t="shared" si="51"/>
        <v>0</v>
      </c>
      <c r="S277" s="6">
        <f t="shared" si="51"/>
        <v>0</v>
      </c>
      <c r="T277" s="6">
        <f t="shared" si="51"/>
        <v>0</v>
      </c>
      <c r="U277" s="6">
        <f t="shared" si="51"/>
        <v>0</v>
      </c>
      <c r="V277" s="6">
        <f t="shared" si="51"/>
        <v>0</v>
      </c>
      <c r="W277" s="6">
        <f>NPV(Assumptions!$L$16,C277:V277)</f>
        <v>0</v>
      </c>
    </row>
    <row r="279" spans="1:23" x14ac:dyDescent="0.2">
      <c r="C279" s="6">
        <f t="shared" ref="C279:V279" si="53">SUM(C245:C277)</f>
        <v>20040563.114127673</v>
      </c>
      <c r="D279" s="6">
        <f t="shared" si="53"/>
        <v>22006300.133649748</v>
      </c>
      <c r="E279" s="6">
        <f t="shared" si="53"/>
        <v>24205254.328572039</v>
      </c>
      <c r="F279" s="6">
        <f t="shared" si="53"/>
        <v>26595381.372717481</v>
      </c>
      <c r="G279" s="6">
        <f t="shared" si="53"/>
        <v>29221481.295537978</v>
      </c>
      <c r="H279" s="6">
        <f t="shared" si="53"/>
        <v>32105984.948488891</v>
      </c>
      <c r="I279" s="6">
        <f t="shared" si="53"/>
        <v>35391994.001994796</v>
      </c>
      <c r="J279" s="6">
        <f t="shared" si="53"/>
        <v>39229198.098731965</v>
      </c>
      <c r="K279" s="6">
        <f t="shared" si="53"/>
        <v>43287789.930833898</v>
      </c>
      <c r="L279" s="6">
        <f t="shared" si="53"/>
        <v>47544795.951854654</v>
      </c>
      <c r="M279" s="6">
        <f t="shared" si="53"/>
        <v>52877123.133970879</v>
      </c>
      <c r="N279" s="6">
        <f t="shared" si="53"/>
        <v>58248149.898988456</v>
      </c>
      <c r="O279" s="6">
        <f t="shared" si="53"/>
        <v>64537203.755737714</v>
      </c>
      <c r="P279" s="6">
        <f t="shared" si="53"/>
        <v>72363182.549446523</v>
      </c>
      <c r="Q279" s="6">
        <f t="shared" si="53"/>
        <v>80551514.236402646</v>
      </c>
      <c r="R279" s="6">
        <f t="shared" si="53"/>
        <v>89226470.709778503</v>
      </c>
      <c r="S279" s="6">
        <f t="shared" si="53"/>
        <v>97970555.112140819</v>
      </c>
      <c r="T279" s="6">
        <f t="shared" si="53"/>
        <v>96251294.102876753</v>
      </c>
      <c r="U279" s="6">
        <f t="shared" si="53"/>
        <v>82348188.09845233</v>
      </c>
      <c r="V279" s="6">
        <f t="shared" si="53"/>
        <v>85379878.10253948</v>
      </c>
      <c r="W279" s="6">
        <f>NPV(Assumptions!$L$16,C279:V279)</f>
        <v>358569353.42117131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248"/>
  <sheetViews>
    <sheetView workbookViewId="0"/>
  </sheetViews>
  <sheetFormatPr defaultRowHeight="12.75" x14ac:dyDescent="0.2"/>
  <cols>
    <col min="1" max="1" width="10.85546875" bestFit="1" customWidth="1"/>
    <col min="2" max="2" width="11.42578125" customWidth="1"/>
    <col min="7" max="7" width="9.140625" style="4"/>
    <col min="22" max="27" width="8.5703125" bestFit="1" customWidth="1"/>
    <col min="28" max="29" width="4.7109375" bestFit="1" customWidth="1"/>
    <col min="30" max="30" width="5" bestFit="1" customWidth="1"/>
    <col min="31" max="31" width="5.7109375" bestFit="1" customWidth="1"/>
    <col min="32" max="32" width="8.85546875" bestFit="1" customWidth="1"/>
    <col min="33" max="35" width="5" bestFit="1" customWidth="1"/>
    <col min="36" max="37" width="4.42578125" bestFit="1" customWidth="1"/>
    <col min="38" max="38" width="7.85546875" bestFit="1" customWidth="1"/>
    <col min="39" max="40" width="6.140625" bestFit="1" customWidth="1"/>
    <col min="41" max="41" width="5.42578125" bestFit="1" customWidth="1"/>
    <col min="42" max="42" width="14.28515625" bestFit="1" customWidth="1"/>
  </cols>
  <sheetData>
    <row r="1" spans="1:42" x14ac:dyDescent="0.2">
      <c r="A1" s="13" t="s">
        <v>163</v>
      </c>
      <c r="B1" s="8">
        <f>VLOOKUP($C$1,UnitData,9)</f>
        <v>10046</v>
      </c>
      <c r="C1" s="5">
        <f>IS!B1</f>
        <v>1</v>
      </c>
    </row>
    <row r="2" spans="1:42" x14ac:dyDescent="0.2">
      <c r="A2" s="13"/>
      <c r="B2" s="8"/>
      <c r="C2" s="5"/>
    </row>
    <row r="3" spans="1:42" x14ac:dyDescent="0.2">
      <c r="A3" s="13"/>
      <c r="B3" s="8"/>
      <c r="C3" s="5"/>
    </row>
    <row r="4" spans="1:42" x14ac:dyDescent="0.2">
      <c r="A4" s="13"/>
      <c r="B4" s="8"/>
      <c r="C4" s="5"/>
    </row>
    <row r="5" spans="1:42" ht="13.5" thickBot="1" x14ac:dyDescent="0.25">
      <c r="A5" s="13"/>
      <c r="B5" s="8"/>
      <c r="C5" s="5"/>
    </row>
    <row r="6" spans="1:42" ht="13.5" thickBot="1" x14ac:dyDescent="0.25">
      <c r="C6" s="3"/>
      <c r="D6" s="3"/>
      <c r="G6" s="3" t="s">
        <v>24</v>
      </c>
      <c r="H6" s="87" t="s">
        <v>139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9"/>
      <c r="AB6" s="32" t="s">
        <v>158</v>
      </c>
      <c r="AC6" s="32" t="s">
        <v>159</v>
      </c>
      <c r="AD6" s="3" t="s">
        <v>22</v>
      </c>
      <c r="AE6" s="3" t="s">
        <v>23</v>
      </c>
      <c r="AF6" s="3" t="s">
        <v>23</v>
      </c>
      <c r="AG6" s="3" t="s">
        <v>101</v>
      </c>
      <c r="AH6" s="3" t="s">
        <v>103</v>
      </c>
      <c r="AI6" s="3" t="s">
        <v>102</v>
      </c>
      <c r="AJ6" s="3" t="s">
        <v>22</v>
      </c>
      <c r="AK6" s="3" t="s">
        <v>23</v>
      </c>
      <c r="AL6" s="482" t="s">
        <v>143</v>
      </c>
      <c r="AM6" s="482"/>
      <c r="AN6" s="482"/>
      <c r="AO6" s="482"/>
      <c r="AP6" s="482"/>
    </row>
    <row r="7" spans="1:42" ht="13.5" thickBot="1" x14ac:dyDescent="0.25">
      <c r="B7" s="207" t="str">
        <f>VLOOKUP($C$1,UnitData,13)</f>
        <v>Coal</v>
      </c>
      <c r="C7" s="3" t="s">
        <v>20</v>
      </c>
      <c r="D7" s="3" t="s">
        <v>21</v>
      </c>
      <c r="E7" s="3" t="s">
        <v>22</v>
      </c>
      <c r="F7" s="3" t="s">
        <v>23</v>
      </c>
      <c r="G7" s="3" t="s">
        <v>25</v>
      </c>
      <c r="H7" s="90" t="s">
        <v>0</v>
      </c>
      <c r="I7" s="90" t="s">
        <v>1</v>
      </c>
      <c r="J7" s="90" t="s">
        <v>2</v>
      </c>
      <c r="K7" s="90" t="s">
        <v>3</v>
      </c>
      <c r="L7" s="90" t="s">
        <v>4</v>
      </c>
      <c r="M7" s="90" t="s">
        <v>5</v>
      </c>
      <c r="N7" s="90" t="s">
        <v>6</v>
      </c>
      <c r="O7" s="90" t="s">
        <v>7</v>
      </c>
      <c r="P7" s="90" t="s">
        <v>8</v>
      </c>
      <c r="Q7" s="90" t="s">
        <v>9</v>
      </c>
      <c r="R7" s="90" t="s">
        <v>10</v>
      </c>
      <c r="S7" s="90" t="s">
        <v>11</v>
      </c>
      <c r="T7" s="90" t="s">
        <v>12</v>
      </c>
      <c r="U7" s="90" t="s">
        <v>13</v>
      </c>
      <c r="V7" s="90" t="s">
        <v>14</v>
      </c>
      <c r="W7" s="90" t="s">
        <v>15</v>
      </c>
      <c r="X7" s="90" t="s">
        <v>16</v>
      </c>
      <c r="Y7" s="90" t="s">
        <v>17</v>
      </c>
      <c r="Z7" s="90" t="s">
        <v>18</v>
      </c>
      <c r="AA7" s="90" t="s">
        <v>19</v>
      </c>
      <c r="AB7" s="32" t="s">
        <v>21</v>
      </c>
      <c r="AC7" s="32" t="s">
        <v>21</v>
      </c>
      <c r="AD7" s="3" t="s">
        <v>47</v>
      </c>
      <c r="AE7" s="3" t="s">
        <v>47</v>
      </c>
      <c r="AF7" s="3" t="s">
        <v>111</v>
      </c>
      <c r="AG7" s="3" t="s">
        <v>47</v>
      </c>
      <c r="AH7" s="3" t="s">
        <v>47</v>
      </c>
      <c r="AI7" s="3" t="s">
        <v>47</v>
      </c>
      <c r="AJ7" s="3" t="s">
        <v>44</v>
      </c>
      <c r="AK7" s="3" t="s">
        <v>44</v>
      </c>
      <c r="AL7" s="35" t="s">
        <v>140</v>
      </c>
      <c r="AM7" s="35" t="s">
        <v>141</v>
      </c>
      <c r="AN7" s="35" t="s">
        <v>188</v>
      </c>
      <c r="AO7" s="35" t="s">
        <v>189</v>
      </c>
      <c r="AP7" s="35" t="s">
        <v>190</v>
      </c>
    </row>
    <row r="8" spans="1:42" x14ac:dyDescent="0.2">
      <c r="H8" s="168">
        <v>5</v>
      </c>
      <c r="I8" s="169">
        <v>5</v>
      </c>
      <c r="J8" s="169">
        <v>10</v>
      </c>
      <c r="K8" s="169">
        <v>20</v>
      </c>
      <c r="L8" s="169">
        <v>20</v>
      </c>
      <c r="M8" s="169">
        <v>40</v>
      </c>
      <c r="N8" s="169">
        <v>40</v>
      </c>
      <c r="O8" s="169">
        <v>40</v>
      </c>
      <c r="P8" s="169">
        <v>40</v>
      </c>
      <c r="Q8" s="169">
        <v>40</v>
      </c>
      <c r="R8" s="169">
        <v>40</v>
      </c>
      <c r="S8" s="169">
        <v>40</v>
      </c>
      <c r="T8" s="169">
        <v>40</v>
      </c>
      <c r="U8" s="169">
        <v>40</v>
      </c>
      <c r="V8" s="169">
        <v>40</v>
      </c>
      <c r="W8" s="169">
        <v>40</v>
      </c>
      <c r="X8" s="169">
        <v>40</v>
      </c>
      <c r="Y8" s="169">
        <v>40</v>
      </c>
      <c r="Z8" s="169">
        <v>40</v>
      </c>
      <c r="AA8" s="169">
        <v>110</v>
      </c>
    </row>
    <row r="9" spans="1:42" x14ac:dyDescent="0.2">
      <c r="A9" s="1">
        <v>36540</v>
      </c>
      <c r="B9" s="16">
        <f>IF($B$7="Coal",AG9,IF($B$7="Gas",AH9,IF($B$7="Oil",AI9,0)))</f>
        <v>1.0566</v>
      </c>
      <c r="C9" s="17">
        <f t="shared" ref="C9:C72" si="0">(B9*$B$1*1000)/1000000</f>
        <v>10.614603599999999</v>
      </c>
      <c r="D9" s="16">
        <f>AB9+AC9</f>
        <v>0.873</v>
      </c>
      <c r="E9" s="16">
        <f t="shared" ref="E9:E72" si="1">(($AJ9*$B$1*AD9*1000)/2000)/1000000</f>
        <v>0</v>
      </c>
      <c r="F9" s="16">
        <f t="shared" ref="F9:F72" si="2">AF9*(($AK9*$B$1*AE9*1000)/2000)/1000000</f>
        <v>0</v>
      </c>
      <c r="G9" s="19">
        <f>IF(IS!$C$2="Peak","-",SUM(C9:F9))</f>
        <v>11.487603599999998</v>
      </c>
      <c r="H9" s="242">
        <v>0</v>
      </c>
      <c r="I9" s="242">
        <v>0</v>
      </c>
      <c r="J9" s="242">
        <v>0</v>
      </c>
      <c r="K9" s="242">
        <v>0</v>
      </c>
      <c r="L9" s="242">
        <v>0</v>
      </c>
      <c r="M9" s="242">
        <v>0</v>
      </c>
      <c r="N9" s="242">
        <v>0</v>
      </c>
      <c r="O9" s="242">
        <v>0</v>
      </c>
      <c r="P9" s="242">
        <v>0</v>
      </c>
      <c r="Q9" s="242">
        <v>0</v>
      </c>
      <c r="R9" s="242">
        <v>0</v>
      </c>
      <c r="S9" s="242">
        <v>0</v>
      </c>
      <c r="T9" s="242">
        <v>0</v>
      </c>
      <c r="U9" s="242">
        <v>0</v>
      </c>
      <c r="V9" s="242">
        <v>0</v>
      </c>
      <c r="W9" s="242">
        <v>0</v>
      </c>
      <c r="X9" s="242">
        <v>0</v>
      </c>
      <c r="Y9" s="242">
        <v>0</v>
      </c>
      <c r="Z9" s="242">
        <v>0</v>
      </c>
      <c r="AA9" s="242">
        <v>0</v>
      </c>
      <c r="AB9" s="16">
        <f>Peak!AB11</f>
        <v>0.873</v>
      </c>
      <c r="AC9" s="16">
        <f>Peak!AC11</f>
        <v>0</v>
      </c>
      <c r="AD9" s="18">
        <f>Peak!AD11</f>
        <v>181.15599510176347</v>
      </c>
      <c r="AE9" s="18">
        <f>Peak!AE11</f>
        <v>0</v>
      </c>
      <c r="AF9" s="16">
        <f>Peak!AF11</f>
        <v>0</v>
      </c>
      <c r="AG9" s="73">
        <f>Peak!AG11</f>
        <v>1.0566</v>
      </c>
      <c r="AH9" s="16">
        <f>Peak!AH11</f>
        <v>3.25338889786042</v>
      </c>
      <c r="AI9" s="16">
        <f>Peak!AI11</f>
        <v>3.3724832787685379</v>
      </c>
      <c r="AJ9" s="16">
        <f>Peak!AJ11</f>
        <v>0</v>
      </c>
      <c r="AK9" s="16">
        <f>Peak!AK11</f>
        <v>0.48</v>
      </c>
      <c r="AL9" s="79">
        <f>VLOOKUP($C$1,UnitData,10)</f>
        <v>0.85084917568927876</v>
      </c>
      <c r="AM9" s="79">
        <f>VLOOKUP($C$1,UnitData,11)</f>
        <v>0.72684633246139141</v>
      </c>
      <c r="AN9" s="79">
        <f>VLOOKUP($C$1,UnitData,12)</f>
        <v>0.80370000000000008</v>
      </c>
      <c r="AO9" s="21">
        <f>AN9</f>
        <v>0.80370000000000008</v>
      </c>
      <c r="AP9" s="21">
        <f>AVERAGE(AL9:AO9)</f>
        <v>0.79627387703766761</v>
      </c>
    </row>
    <row r="10" spans="1:42" x14ac:dyDescent="0.2">
      <c r="A10" s="1">
        <f>A9+30.417</f>
        <v>36570.417000000001</v>
      </c>
      <c r="B10" s="16">
        <f t="shared" ref="B10:B73" si="3">IF($B$7="Coal",AG10,IF($B$7="Gas",AH10,IF($B$7="Oil",AI10,0)))</f>
        <v>1.0566</v>
      </c>
      <c r="C10" s="17">
        <f t="shared" si="0"/>
        <v>10.614603599999999</v>
      </c>
      <c r="D10" s="16">
        <f t="shared" ref="D10:D73" si="4">AB10+AC10</f>
        <v>0.87445499999999998</v>
      </c>
      <c r="E10" s="16">
        <f t="shared" si="1"/>
        <v>0</v>
      </c>
      <c r="F10" s="16">
        <f t="shared" si="2"/>
        <v>0</v>
      </c>
      <c r="G10" s="19">
        <f>IF(IS!$C$2="Peak","-",SUM(C10:F10))</f>
        <v>11.489058599999998</v>
      </c>
      <c r="H10" s="242">
        <v>0</v>
      </c>
      <c r="I10" s="242">
        <v>0</v>
      </c>
      <c r="J10" s="242">
        <v>0</v>
      </c>
      <c r="K10" s="242">
        <v>0</v>
      </c>
      <c r="L10" s="242">
        <v>0</v>
      </c>
      <c r="M10" s="242">
        <v>0</v>
      </c>
      <c r="N10" s="242">
        <v>0</v>
      </c>
      <c r="O10" s="242">
        <v>0</v>
      </c>
      <c r="P10" s="242">
        <v>0</v>
      </c>
      <c r="Q10" s="242">
        <v>0</v>
      </c>
      <c r="R10" s="242">
        <v>0</v>
      </c>
      <c r="S10" s="242">
        <v>0</v>
      </c>
      <c r="T10" s="242">
        <v>0</v>
      </c>
      <c r="U10" s="242">
        <v>0</v>
      </c>
      <c r="V10" s="242">
        <v>0</v>
      </c>
      <c r="W10" s="242">
        <v>0</v>
      </c>
      <c r="X10" s="242">
        <v>0</v>
      </c>
      <c r="Y10" s="242">
        <v>0</v>
      </c>
      <c r="Z10" s="242">
        <v>0</v>
      </c>
      <c r="AA10" s="242">
        <v>0</v>
      </c>
      <c r="AB10" s="16">
        <f>Peak!AB12</f>
        <v>0.87445499999999998</v>
      </c>
      <c r="AC10" s="16">
        <f>Peak!AC12</f>
        <v>0</v>
      </c>
      <c r="AD10" s="18">
        <f>Peak!AD12</f>
        <v>181.15599510176347</v>
      </c>
      <c r="AE10" s="18">
        <f>Peak!AE12</f>
        <v>0</v>
      </c>
      <c r="AF10" s="16">
        <f>Peak!AF12</f>
        <v>0</v>
      </c>
      <c r="AG10" s="73">
        <f>Peak!AG12</f>
        <v>1.0566</v>
      </c>
      <c r="AH10" s="16">
        <f>Peak!AH12</f>
        <v>2.9159363260078761</v>
      </c>
      <c r="AI10" s="16">
        <f>Peak!AI12</f>
        <v>3.3412565817429032</v>
      </c>
      <c r="AJ10" s="16">
        <f>Peak!AJ12</f>
        <v>0</v>
      </c>
      <c r="AK10" s="16">
        <f>Peak!AK12</f>
        <v>0.48</v>
      </c>
      <c r="AO10" s="233"/>
    </row>
    <row r="11" spans="1:42" x14ac:dyDescent="0.2">
      <c r="A11" s="1">
        <f t="shared" ref="A11:A74" si="5">A10+30.417</f>
        <v>36600.834000000003</v>
      </c>
      <c r="B11" s="16">
        <f t="shared" si="3"/>
        <v>1.0566</v>
      </c>
      <c r="C11" s="17">
        <f t="shared" si="0"/>
        <v>10.614603599999999</v>
      </c>
      <c r="D11" s="16">
        <f t="shared" si="4"/>
        <v>0.87591242499999999</v>
      </c>
      <c r="E11" s="16">
        <f t="shared" si="1"/>
        <v>0</v>
      </c>
      <c r="F11" s="16">
        <f t="shared" si="2"/>
        <v>0</v>
      </c>
      <c r="G11" s="19">
        <f>IF(IS!$C$2="Peak","-",SUM(C11:F11))</f>
        <v>11.490516024999998</v>
      </c>
      <c r="H11" s="242">
        <v>0</v>
      </c>
      <c r="I11" s="242">
        <v>0</v>
      </c>
      <c r="J11" s="242">
        <v>0</v>
      </c>
      <c r="K11" s="242">
        <v>0</v>
      </c>
      <c r="L11" s="242">
        <v>0</v>
      </c>
      <c r="M11" s="242">
        <v>0</v>
      </c>
      <c r="N11" s="242">
        <v>0</v>
      </c>
      <c r="O11" s="242">
        <v>0</v>
      </c>
      <c r="P11" s="242">
        <v>0</v>
      </c>
      <c r="Q11" s="242">
        <v>0</v>
      </c>
      <c r="R11" s="242">
        <v>0</v>
      </c>
      <c r="S11" s="242">
        <v>0</v>
      </c>
      <c r="T11" s="242">
        <v>0</v>
      </c>
      <c r="U11" s="242">
        <v>0</v>
      </c>
      <c r="V11" s="242">
        <v>0</v>
      </c>
      <c r="W11" s="242">
        <v>0</v>
      </c>
      <c r="X11" s="242">
        <v>0</v>
      </c>
      <c r="Y11" s="242">
        <v>0</v>
      </c>
      <c r="Z11" s="242">
        <v>0</v>
      </c>
      <c r="AA11" s="242">
        <v>0</v>
      </c>
      <c r="AB11" s="16">
        <f>Peak!AB13</f>
        <v>0.87591242499999999</v>
      </c>
      <c r="AC11" s="16">
        <f>Peak!AC13</f>
        <v>0</v>
      </c>
      <c r="AD11" s="18">
        <f>Peak!AD13</f>
        <v>181.15599510176347</v>
      </c>
      <c r="AE11" s="18">
        <f>Peak!AE13</f>
        <v>0</v>
      </c>
      <c r="AF11" s="16">
        <f>Peak!AF13</f>
        <v>0</v>
      </c>
      <c r="AG11" s="73">
        <f>Peak!AG13</f>
        <v>1.0566</v>
      </c>
      <c r="AH11" s="16">
        <f>Peak!AH13</f>
        <v>2.8669047557387035</v>
      </c>
      <c r="AI11" s="16">
        <f>Peak!AI13</f>
        <v>3.2163497936403647</v>
      </c>
      <c r="AJ11" s="16">
        <f>Peak!AJ13</f>
        <v>0</v>
      </c>
      <c r="AK11" s="16">
        <f>Peak!AK13</f>
        <v>0.48</v>
      </c>
    </row>
    <row r="12" spans="1:42" x14ac:dyDescent="0.2">
      <c r="A12" s="1">
        <f t="shared" si="5"/>
        <v>36631.251000000004</v>
      </c>
      <c r="B12" s="16">
        <f t="shared" si="3"/>
        <v>1.0566</v>
      </c>
      <c r="C12" s="17">
        <f t="shared" si="0"/>
        <v>10.614603599999999</v>
      </c>
      <c r="D12" s="16">
        <f t="shared" si="4"/>
        <v>0.8773722790416667</v>
      </c>
      <c r="E12" s="16">
        <f t="shared" si="1"/>
        <v>0</v>
      </c>
      <c r="F12" s="16">
        <f t="shared" si="2"/>
        <v>0</v>
      </c>
      <c r="G12" s="19">
        <f>IF(IS!$C$2="Peak","-",SUM(C12:F12))</f>
        <v>11.491975879041666</v>
      </c>
      <c r="H12" s="242">
        <v>0</v>
      </c>
      <c r="I12" s="242">
        <v>0</v>
      </c>
      <c r="J12" s="242">
        <v>0</v>
      </c>
      <c r="K12" s="242">
        <v>0</v>
      </c>
      <c r="L12" s="242">
        <v>0</v>
      </c>
      <c r="M12" s="242">
        <v>0</v>
      </c>
      <c r="N12" s="242">
        <v>0</v>
      </c>
      <c r="O12" s="242">
        <v>0</v>
      </c>
      <c r="P12" s="242">
        <v>0</v>
      </c>
      <c r="Q12" s="242">
        <v>0</v>
      </c>
      <c r="R12" s="242">
        <v>0</v>
      </c>
      <c r="S12" s="242">
        <v>0</v>
      </c>
      <c r="T12" s="242">
        <v>0</v>
      </c>
      <c r="U12" s="242">
        <v>0</v>
      </c>
      <c r="V12" s="242">
        <v>0</v>
      </c>
      <c r="W12" s="242">
        <v>0</v>
      </c>
      <c r="X12" s="242">
        <v>0</v>
      </c>
      <c r="Y12" s="242">
        <v>0</v>
      </c>
      <c r="Z12" s="242">
        <v>0</v>
      </c>
      <c r="AA12" s="242">
        <v>0</v>
      </c>
      <c r="AB12" s="16">
        <f>Peak!AB14</f>
        <v>0.8773722790416667</v>
      </c>
      <c r="AC12" s="16">
        <f>Peak!AC14</f>
        <v>0</v>
      </c>
      <c r="AD12" s="18">
        <f>Peak!AD14</f>
        <v>181.15599510176347</v>
      </c>
      <c r="AE12" s="18">
        <f>Peak!AE14</f>
        <v>0</v>
      </c>
      <c r="AF12" s="16">
        <f>Peak!AF14</f>
        <v>0</v>
      </c>
      <c r="AG12" s="73">
        <f>Peak!AG14</f>
        <v>1.0566</v>
      </c>
      <c r="AH12" s="16">
        <f>Peak!AH14</f>
        <v>2.7255784649628518</v>
      </c>
      <c r="AI12" s="16">
        <f>Peak!AI14</f>
        <v>3.0914430055378261</v>
      </c>
      <c r="AJ12" s="16">
        <f>Peak!AJ14</f>
        <v>0</v>
      </c>
      <c r="AK12" s="16">
        <f>Peak!AK14</f>
        <v>0.48</v>
      </c>
    </row>
    <row r="13" spans="1:42" x14ac:dyDescent="0.2">
      <c r="A13" s="1">
        <f t="shared" si="5"/>
        <v>36661.668000000005</v>
      </c>
      <c r="B13" s="16">
        <f t="shared" si="3"/>
        <v>1.0566</v>
      </c>
      <c r="C13" s="17">
        <f t="shared" si="0"/>
        <v>10.614603599999999</v>
      </c>
      <c r="D13" s="16">
        <f t="shared" si="4"/>
        <v>0.87883456617340283</v>
      </c>
      <c r="E13" s="16">
        <f t="shared" si="1"/>
        <v>0</v>
      </c>
      <c r="F13" s="16">
        <f t="shared" si="2"/>
        <v>0</v>
      </c>
      <c r="G13" s="19">
        <f>IF(IS!$C$2="Peak","-",SUM(C13:F13))</f>
        <v>11.493438166173402</v>
      </c>
      <c r="H13" s="242">
        <v>0</v>
      </c>
      <c r="I13" s="242">
        <v>0</v>
      </c>
      <c r="J13" s="242">
        <v>0</v>
      </c>
      <c r="K13" s="242">
        <v>0</v>
      </c>
      <c r="L13" s="242">
        <v>0</v>
      </c>
      <c r="M13" s="242">
        <v>0</v>
      </c>
      <c r="N13" s="242">
        <v>0</v>
      </c>
      <c r="O13" s="242">
        <v>0</v>
      </c>
      <c r="P13" s="242">
        <v>0</v>
      </c>
      <c r="Q13" s="242">
        <v>0</v>
      </c>
      <c r="R13" s="242">
        <v>0</v>
      </c>
      <c r="S13" s="242">
        <v>0</v>
      </c>
      <c r="T13" s="242">
        <v>0</v>
      </c>
      <c r="U13" s="242">
        <v>0</v>
      </c>
      <c r="V13" s="242">
        <v>0</v>
      </c>
      <c r="W13" s="242">
        <v>0</v>
      </c>
      <c r="X13" s="242">
        <v>0</v>
      </c>
      <c r="Y13" s="242">
        <v>0</v>
      </c>
      <c r="Z13" s="242">
        <v>0</v>
      </c>
      <c r="AA13" s="242">
        <v>0</v>
      </c>
      <c r="AB13" s="16">
        <f>Peak!AB15</f>
        <v>0.87883456617340283</v>
      </c>
      <c r="AC13" s="16">
        <f>Peak!AC15</f>
        <v>0</v>
      </c>
      <c r="AD13" s="18">
        <f>Peak!AD15</f>
        <v>181.15599510176347</v>
      </c>
      <c r="AE13" s="18">
        <f>Peak!AE15</f>
        <v>0</v>
      </c>
      <c r="AF13" s="16">
        <f>Peak!AF15</f>
        <v>0</v>
      </c>
      <c r="AG13" s="73">
        <f>Peak!AG15</f>
        <v>1.0566</v>
      </c>
      <c r="AH13" s="16">
        <f>Peak!AH15</f>
        <v>2.8697889657545375</v>
      </c>
      <c r="AI13" s="16">
        <f>Peak!AI15</f>
        <v>2.9665362174352876</v>
      </c>
      <c r="AJ13" s="16">
        <f>Peak!AJ15</f>
        <v>0</v>
      </c>
      <c r="AK13" s="16">
        <f>Peak!AK15</f>
        <v>0.48</v>
      </c>
    </row>
    <row r="14" spans="1:42" x14ac:dyDescent="0.2">
      <c r="A14" s="1">
        <f t="shared" si="5"/>
        <v>36692.085000000006</v>
      </c>
      <c r="B14" s="16">
        <f t="shared" si="3"/>
        <v>1.0566</v>
      </c>
      <c r="C14" s="17">
        <f t="shared" si="0"/>
        <v>10.614603599999999</v>
      </c>
      <c r="D14" s="16">
        <f t="shared" si="4"/>
        <v>0.88029929045035848</v>
      </c>
      <c r="E14" s="16">
        <f t="shared" si="1"/>
        <v>0</v>
      </c>
      <c r="F14" s="16">
        <f t="shared" si="2"/>
        <v>0</v>
      </c>
      <c r="G14" s="19">
        <f>IF(IS!$C$2="Peak","-",SUM(C14:F14))</f>
        <v>11.494902890450357</v>
      </c>
      <c r="H14" s="242">
        <v>0</v>
      </c>
      <c r="I14" s="242">
        <v>0</v>
      </c>
      <c r="J14" s="242">
        <v>0</v>
      </c>
      <c r="K14" s="242">
        <v>0</v>
      </c>
      <c r="L14" s="242">
        <v>0</v>
      </c>
      <c r="M14" s="242">
        <v>0</v>
      </c>
      <c r="N14" s="242">
        <v>0</v>
      </c>
      <c r="O14" s="242">
        <v>0</v>
      </c>
      <c r="P14" s="242">
        <v>0</v>
      </c>
      <c r="Q14" s="242">
        <v>0</v>
      </c>
      <c r="R14" s="242">
        <v>0</v>
      </c>
      <c r="S14" s="242">
        <v>0</v>
      </c>
      <c r="T14" s="242">
        <v>0</v>
      </c>
      <c r="U14" s="242">
        <v>0</v>
      </c>
      <c r="V14" s="242">
        <v>0</v>
      </c>
      <c r="W14" s="242">
        <v>0</v>
      </c>
      <c r="X14" s="242">
        <v>0</v>
      </c>
      <c r="Y14" s="242">
        <v>0</v>
      </c>
      <c r="Z14" s="242">
        <v>0</v>
      </c>
      <c r="AA14" s="242">
        <v>0</v>
      </c>
      <c r="AB14" s="16">
        <f>Peak!AB16</f>
        <v>0.88029929045035848</v>
      </c>
      <c r="AC14" s="16">
        <f>Peak!AC16</f>
        <v>0</v>
      </c>
      <c r="AD14" s="18">
        <f>Peak!AD16</f>
        <v>181.15599510176347</v>
      </c>
      <c r="AE14" s="18">
        <f>Peak!AE16</f>
        <v>0</v>
      </c>
      <c r="AF14" s="16">
        <f>Peak!AF16</f>
        <v>0</v>
      </c>
      <c r="AG14" s="73">
        <f>Peak!AG16</f>
        <v>1.0566</v>
      </c>
      <c r="AH14" s="16">
        <f>Peak!AH16</f>
        <v>2.7342310950103532</v>
      </c>
      <c r="AI14" s="16">
        <f>Peak!AI16</f>
        <v>2.9665362174352876</v>
      </c>
      <c r="AJ14" s="16">
        <f>Peak!AJ16</f>
        <v>0</v>
      </c>
      <c r="AK14" s="16">
        <f>Peak!AK16</f>
        <v>0.48</v>
      </c>
    </row>
    <row r="15" spans="1:42" x14ac:dyDescent="0.2">
      <c r="A15" s="1">
        <f t="shared" si="5"/>
        <v>36722.502000000008</v>
      </c>
      <c r="B15" s="16">
        <f t="shared" si="3"/>
        <v>1.0566</v>
      </c>
      <c r="C15" s="17">
        <f t="shared" si="0"/>
        <v>10.614603599999999</v>
      </c>
      <c r="D15" s="16">
        <f t="shared" si="4"/>
        <v>0.88176645593444247</v>
      </c>
      <c r="E15" s="16">
        <f t="shared" si="1"/>
        <v>0</v>
      </c>
      <c r="F15" s="16">
        <f t="shared" si="2"/>
        <v>0</v>
      </c>
      <c r="G15" s="19">
        <f>IF(IS!$C$2="Peak","-",SUM(C15:F15))</f>
        <v>11.496370055934442</v>
      </c>
      <c r="H15" s="242">
        <v>0</v>
      </c>
      <c r="I15" s="242">
        <v>0</v>
      </c>
      <c r="J15" s="242">
        <v>0</v>
      </c>
      <c r="K15" s="242">
        <v>0</v>
      </c>
      <c r="L15" s="242">
        <v>0</v>
      </c>
      <c r="M15" s="242">
        <v>0</v>
      </c>
      <c r="N15" s="242">
        <v>0</v>
      </c>
      <c r="O15" s="242">
        <v>0</v>
      </c>
      <c r="P15" s="242">
        <v>0</v>
      </c>
      <c r="Q15" s="242">
        <v>0</v>
      </c>
      <c r="R15" s="242">
        <v>0</v>
      </c>
      <c r="S15" s="242">
        <v>0</v>
      </c>
      <c r="T15" s="242">
        <v>0</v>
      </c>
      <c r="U15" s="242">
        <v>0</v>
      </c>
      <c r="V15" s="242">
        <v>0</v>
      </c>
      <c r="W15" s="242">
        <v>0</v>
      </c>
      <c r="X15" s="242">
        <v>0</v>
      </c>
      <c r="Y15" s="242">
        <v>0</v>
      </c>
      <c r="Z15" s="242">
        <v>0</v>
      </c>
      <c r="AA15" s="242">
        <v>0</v>
      </c>
      <c r="AB15" s="16">
        <f>Peak!AB17</f>
        <v>0.88176645593444247</v>
      </c>
      <c r="AC15" s="16">
        <f>Peak!AC17</f>
        <v>0</v>
      </c>
      <c r="AD15" s="18">
        <f>Peak!AD17</f>
        <v>181.15599510176347</v>
      </c>
      <c r="AE15" s="18">
        <f>Peak!AE17</f>
        <v>0</v>
      </c>
      <c r="AF15" s="16">
        <f>Peak!AF17</f>
        <v>0</v>
      </c>
      <c r="AG15" s="73">
        <f>Peak!AG17</f>
        <v>1.0566</v>
      </c>
      <c r="AH15" s="16">
        <f>Peak!AH17</f>
        <v>2.7255784649628518</v>
      </c>
      <c r="AI15" s="16">
        <f>Peak!AI17</f>
        <v>2.9665362174352876</v>
      </c>
      <c r="AJ15" s="16">
        <f>Peak!AJ17</f>
        <v>0</v>
      </c>
      <c r="AK15" s="16">
        <f>Peak!AK17</f>
        <v>0.48</v>
      </c>
      <c r="AP15" s="233"/>
    </row>
    <row r="16" spans="1:42" x14ac:dyDescent="0.2">
      <c r="A16" s="1">
        <f t="shared" si="5"/>
        <v>36752.919000000009</v>
      </c>
      <c r="B16" s="16">
        <f t="shared" si="3"/>
        <v>1.0566</v>
      </c>
      <c r="C16" s="17">
        <f t="shared" si="0"/>
        <v>10.614603599999999</v>
      </c>
      <c r="D16" s="16">
        <f t="shared" si="4"/>
        <v>0.88323606669433319</v>
      </c>
      <c r="E16" s="16">
        <f t="shared" si="1"/>
        <v>0</v>
      </c>
      <c r="F16" s="16">
        <f t="shared" si="2"/>
        <v>0</v>
      </c>
      <c r="G16" s="19">
        <f>IF(IS!$C$2="Peak","-",SUM(C16:F16))</f>
        <v>11.497839666694333</v>
      </c>
      <c r="H16" s="242">
        <v>0</v>
      </c>
      <c r="I16" s="242">
        <v>0</v>
      </c>
      <c r="J16" s="242">
        <v>0</v>
      </c>
      <c r="K16" s="242">
        <v>0</v>
      </c>
      <c r="L16" s="242">
        <v>0</v>
      </c>
      <c r="M16" s="242">
        <v>0</v>
      </c>
      <c r="N16" s="242">
        <v>0</v>
      </c>
      <c r="O16" s="242">
        <v>0</v>
      </c>
      <c r="P16" s="242">
        <v>0</v>
      </c>
      <c r="Q16" s="242">
        <v>0</v>
      </c>
      <c r="R16" s="242">
        <v>0</v>
      </c>
      <c r="S16" s="242">
        <v>0</v>
      </c>
      <c r="T16" s="242">
        <v>0</v>
      </c>
      <c r="U16" s="242">
        <v>0</v>
      </c>
      <c r="V16" s="242">
        <v>0</v>
      </c>
      <c r="W16" s="242">
        <v>0</v>
      </c>
      <c r="X16" s="242">
        <v>0</v>
      </c>
      <c r="Y16" s="242">
        <v>0</v>
      </c>
      <c r="Z16" s="242">
        <v>0</v>
      </c>
      <c r="AA16" s="242">
        <v>0</v>
      </c>
      <c r="AB16" s="16">
        <f>Peak!AB18</f>
        <v>0.88323606669433319</v>
      </c>
      <c r="AC16" s="16">
        <f>Peak!AC18</f>
        <v>0</v>
      </c>
      <c r="AD16" s="18">
        <f>Peak!AD18</f>
        <v>181.15599510176347</v>
      </c>
      <c r="AE16" s="18">
        <f>Peak!AE18</f>
        <v>0</v>
      </c>
      <c r="AF16" s="16">
        <f>Peak!AF18</f>
        <v>0</v>
      </c>
      <c r="AG16" s="73">
        <f>Peak!AG18</f>
        <v>1.0566</v>
      </c>
      <c r="AH16" s="16">
        <f>Peak!AH18</f>
        <v>2.5842521741870006</v>
      </c>
      <c r="AI16" s="16">
        <f>Peak!AI18</f>
        <v>2.9665362174352876</v>
      </c>
      <c r="AJ16" s="16">
        <f>Peak!AJ18</f>
        <v>0</v>
      </c>
      <c r="AK16" s="16">
        <f>Peak!AK18</f>
        <v>0.48</v>
      </c>
    </row>
    <row r="17" spans="1:37" x14ac:dyDescent="0.2">
      <c r="A17" s="1">
        <f t="shared" si="5"/>
        <v>36783.33600000001</v>
      </c>
      <c r="B17" s="16">
        <f t="shared" si="3"/>
        <v>1.0566</v>
      </c>
      <c r="C17" s="17">
        <f t="shared" si="0"/>
        <v>10.614603599999999</v>
      </c>
      <c r="D17" s="16">
        <f t="shared" si="4"/>
        <v>0.88470812680549049</v>
      </c>
      <c r="E17" s="16">
        <f t="shared" si="1"/>
        <v>0</v>
      </c>
      <c r="F17" s="16">
        <f t="shared" si="2"/>
        <v>0</v>
      </c>
      <c r="G17" s="19">
        <f>IF(IS!$C$2="Peak","-",SUM(C17:F17))</f>
        <v>11.499311726805489</v>
      </c>
      <c r="H17" s="242">
        <v>0</v>
      </c>
      <c r="I17" s="242">
        <v>0</v>
      </c>
      <c r="J17" s="242">
        <v>0</v>
      </c>
      <c r="K17" s="242">
        <v>0</v>
      </c>
      <c r="L17" s="242">
        <v>0</v>
      </c>
      <c r="M17" s="242">
        <v>0</v>
      </c>
      <c r="N17" s="242">
        <v>0</v>
      </c>
      <c r="O17" s="242">
        <v>0</v>
      </c>
      <c r="P17" s="242">
        <v>0</v>
      </c>
      <c r="Q17" s="242">
        <v>0</v>
      </c>
      <c r="R17" s="242">
        <v>0</v>
      </c>
      <c r="S17" s="242">
        <v>0</v>
      </c>
      <c r="T17" s="242">
        <v>0</v>
      </c>
      <c r="U17" s="242">
        <v>0</v>
      </c>
      <c r="V17" s="242">
        <v>0</v>
      </c>
      <c r="W17" s="242">
        <v>0</v>
      </c>
      <c r="X17" s="242">
        <v>0</v>
      </c>
      <c r="Y17" s="242">
        <v>0</v>
      </c>
      <c r="Z17" s="242">
        <v>0</v>
      </c>
      <c r="AA17" s="242">
        <v>0</v>
      </c>
      <c r="AB17" s="16">
        <f>Peak!AB19</f>
        <v>0.88470812680549049</v>
      </c>
      <c r="AC17" s="16">
        <f>Peak!AC19</f>
        <v>0</v>
      </c>
      <c r="AD17" s="18">
        <f>Peak!AD19</f>
        <v>181.15599510176347</v>
      </c>
      <c r="AE17" s="18">
        <f>Peak!AE19</f>
        <v>0</v>
      </c>
      <c r="AF17" s="16">
        <f>Peak!AF19</f>
        <v>0</v>
      </c>
      <c r="AG17" s="73">
        <f>Peak!AG19</f>
        <v>1.0566</v>
      </c>
      <c r="AH17" s="16">
        <f>Peak!AH19</f>
        <v>2.5755995441394992</v>
      </c>
      <c r="AI17" s="16">
        <f>Peak!AI19</f>
        <v>2.9665362174352876</v>
      </c>
      <c r="AJ17" s="16">
        <f>Peak!AJ19</f>
        <v>0</v>
      </c>
      <c r="AK17" s="16">
        <f>Peak!AK19</f>
        <v>0.48</v>
      </c>
    </row>
    <row r="18" spans="1:37" x14ac:dyDescent="0.2">
      <c r="A18" s="1">
        <f t="shared" si="5"/>
        <v>36813.753000000012</v>
      </c>
      <c r="B18" s="16">
        <f t="shared" si="3"/>
        <v>1.0566</v>
      </c>
      <c r="C18" s="17">
        <f t="shared" si="0"/>
        <v>10.614603599999999</v>
      </c>
      <c r="D18" s="16">
        <f t="shared" si="4"/>
        <v>0.88618264035016636</v>
      </c>
      <c r="E18" s="16">
        <f t="shared" si="1"/>
        <v>0</v>
      </c>
      <c r="F18" s="16">
        <f t="shared" si="2"/>
        <v>0</v>
      </c>
      <c r="G18" s="19">
        <f>IF(IS!$C$2="Peak","-",SUM(C18:F18))</f>
        <v>11.500786240350164</v>
      </c>
      <c r="H18" s="242">
        <v>0</v>
      </c>
      <c r="I18" s="242">
        <v>0</v>
      </c>
      <c r="J18" s="242">
        <v>0</v>
      </c>
      <c r="K18" s="242">
        <v>0</v>
      </c>
      <c r="L18" s="242">
        <v>0</v>
      </c>
      <c r="M18" s="242">
        <v>0</v>
      </c>
      <c r="N18" s="242">
        <v>0</v>
      </c>
      <c r="O18" s="242">
        <v>0</v>
      </c>
      <c r="P18" s="242">
        <v>0</v>
      </c>
      <c r="Q18" s="242">
        <v>0</v>
      </c>
      <c r="R18" s="242">
        <v>0</v>
      </c>
      <c r="S18" s="242">
        <v>0</v>
      </c>
      <c r="T18" s="242">
        <v>0</v>
      </c>
      <c r="U18" s="242">
        <v>0</v>
      </c>
      <c r="V18" s="242">
        <v>0</v>
      </c>
      <c r="W18" s="242">
        <v>0</v>
      </c>
      <c r="X18" s="242">
        <v>0</v>
      </c>
      <c r="Y18" s="242">
        <v>0</v>
      </c>
      <c r="Z18" s="242">
        <v>0</v>
      </c>
      <c r="AA18" s="242">
        <v>0</v>
      </c>
      <c r="AB18" s="16">
        <f>Peak!AB20</f>
        <v>0.88618264035016636</v>
      </c>
      <c r="AC18" s="16">
        <f>Peak!AC20</f>
        <v>0</v>
      </c>
      <c r="AD18" s="18">
        <f>Peak!AD20</f>
        <v>181.15599510176347</v>
      </c>
      <c r="AE18" s="18">
        <f>Peak!AE20</f>
        <v>0</v>
      </c>
      <c r="AF18" s="16">
        <f>Peak!AF20</f>
        <v>0</v>
      </c>
      <c r="AG18" s="73">
        <f>Peak!AG20</f>
        <v>1.0566</v>
      </c>
      <c r="AH18" s="16">
        <f>Peak!AH20</f>
        <v>2.8524837056595351</v>
      </c>
      <c r="AI18" s="16">
        <f>Peak!AI20</f>
        <v>2.9665362174352876</v>
      </c>
      <c r="AJ18" s="16">
        <f>Peak!AJ20</f>
        <v>0</v>
      </c>
      <c r="AK18" s="16">
        <f>Peak!AK20</f>
        <v>0.48</v>
      </c>
    </row>
    <row r="19" spans="1:37" x14ac:dyDescent="0.2">
      <c r="A19" s="1">
        <f t="shared" si="5"/>
        <v>36844.170000000013</v>
      </c>
      <c r="B19" s="16">
        <f t="shared" si="3"/>
        <v>1.0566</v>
      </c>
      <c r="C19" s="17">
        <f t="shared" si="0"/>
        <v>10.614603599999999</v>
      </c>
      <c r="D19" s="16">
        <f t="shared" si="4"/>
        <v>0.88765961141741667</v>
      </c>
      <c r="E19" s="16">
        <f t="shared" si="1"/>
        <v>0</v>
      </c>
      <c r="F19" s="16">
        <f t="shared" si="2"/>
        <v>0</v>
      </c>
      <c r="G19" s="19">
        <f>IF(IS!$C$2="Peak","-",SUM(C19:F19))</f>
        <v>11.502263211417416</v>
      </c>
      <c r="H19" s="242">
        <v>0</v>
      </c>
      <c r="I19" s="242">
        <v>0</v>
      </c>
      <c r="J19" s="242">
        <v>0</v>
      </c>
      <c r="K19" s="242">
        <v>0</v>
      </c>
      <c r="L19" s="242">
        <v>0</v>
      </c>
      <c r="M19" s="242">
        <v>0</v>
      </c>
      <c r="N19" s="242">
        <v>0</v>
      </c>
      <c r="O19" s="242">
        <v>0</v>
      </c>
      <c r="P19" s="242">
        <v>0</v>
      </c>
      <c r="Q19" s="242">
        <v>0</v>
      </c>
      <c r="R19" s="242">
        <v>0</v>
      </c>
      <c r="S19" s="242">
        <v>0</v>
      </c>
      <c r="T19" s="242">
        <v>0</v>
      </c>
      <c r="U19" s="242">
        <v>0</v>
      </c>
      <c r="V19" s="242">
        <v>0</v>
      </c>
      <c r="W19" s="242">
        <v>0</v>
      </c>
      <c r="X19" s="242">
        <v>0</v>
      </c>
      <c r="Y19" s="242">
        <v>0</v>
      </c>
      <c r="Z19" s="242">
        <v>0</v>
      </c>
      <c r="AA19" s="242">
        <v>0</v>
      </c>
      <c r="AB19" s="16">
        <f>Peak!AB21</f>
        <v>0.88765961141741667</v>
      </c>
      <c r="AC19" s="16">
        <f>Peak!AC21</f>
        <v>0</v>
      </c>
      <c r="AD19" s="18">
        <f>Peak!AD21</f>
        <v>181.15599510176347</v>
      </c>
      <c r="AE19" s="18">
        <f>Peak!AE21</f>
        <v>0</v>
      </c>
      <c r="AF19" s="16">
        <f>Peak!AF21</f>
        <v>0</v>
      </c>
      <c r="AG19" s="73">
        <f>Peak!AG21</f>
        <v>1.0566</v>
      </c>
      <c r="AH19" s="16">
        <f>Peak!AH21</f>
        <v>3.1235994471479032</v>
      </c>
      <c r="AI19" s="16">
        <f>Peak!AI21</f>
        <v>3.2163497936403647</v>
      </c>
      <c r="AJ19" s="16">
        <f>Peak!AJ21</f>
        <v>0</v>
      </c>
      <c r="AK19" s="16">
        <f>Peak!AK21</f>
        <v>0.48</v>
      </c>
    </row>
    <row r="20" spans="1:37" x14ac:dyDescent="0.2">
      <c r="A20" s="1">
        <f t="shared" si="5"/>
        <v>36874.587000000014</v>
      </c>
      <c r="B20" s="16">
        <f t="shared" si="3"/>
        <v>1.0566</v>
      </c>
      <c r="C20" s="17">
        <f t="shared" si="0"/>
        <v>10.614603599999999</v>
      </c>
      <c r="D20" s="16">
        <f t="shared" si="4"/>
        <v>0.8891390441031124</v>
      </c>
      <c r="E20" s="16">
        <f t="shared" si="1"/>
        <v>0</v>
      </c>
      <c r="F20" s="16">
        <f t="shared" si="2"/>
        <v>0</v>
      </c>
      <c r="G20" s="19">
        <f>IF(IS!$C$2="Peak","-",SUM(C20:F20))</f>
        <v>11.503742644103111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0</v>
      </c>
      <c r="AB20" s="16">
        <f>Peak!AB22</f>
        <v>0.8891390441031124</v>
      </c>
      <c r="AC20" s="16">
        <f>Peak!AC22</f>
        <v>0</v>
      </c>
      <c r="AD20" s="18">
        <f>Peak!AD22</f>
        <v>181.15599510176347</v>
      </c>
      <c r="AE20" s="18">
        <f>Peak!AE22</f>
        <v>0</v>
      </c>
      <c r="AF20" s="16">
        <f>Peak!AF22</f>
        <v>0</v>
      </c>
      <c r="AG20" s="73">
        <f>Peak!AG22</f>
        <v>1.0566</v>
      </c>
      <c r="AH20" s="16">
        <f>Peak!AH22</f>
        <v>3.3802941385571033</v>
      </c>
      <c r="AI20" s="16">
        <f>Peak!AI22</f>
        <v>3.3724832787685379</v>
      </c>
      <c r="AJ20" s="16">
        <f>Peak!AJ22</f>
        <v>0</v>
      </c>
      <c r="AK20" s="16">
        <f>Peak!AK22</f>
        <v>0.48</v>
      </c>
    </row>
    <row r="21" spans="1:37" x14ac:dyDescent="0.2">
      <c r="A21" s="1">
        <f t="shared" si="5"/>
        <v>36905.004000000015</v>
      </c>
      <c r="B21" s="16">
        <f t="shared" si="3"/>
        <v>1.0351999999999999</v>
      </c>
      <c r="C21" s="17">
        <f t="shared" si="0"/>
        <v>10.3996192</v>
      </c>
      <c r="D21" s="16">
        <f t="shared" si="4"/>
        <v>0.89062094250995094</v>
      </c>
      <c r="E21" s="16">
        <f t="shared" si="1"/>
        <v>0</v>
      </c>
      <c r="F21" s="16">
        <f t="shared" si="2"/>
        <v>0</v>
      </c>
      <c r="G21" s="19">
        <f>IF(IS!$C$2="Peak","-",SUM(C21:F21))</f>
        <v>11.290240142509951</v>
      </c>
      <c r="H21" s="203">
        <v>65.501020134313507</v>
      </c>
      <c r="I21" s="203">
        <v>64.363456962416578</v>
      </c>
      <c r="J21" s="203">
        <v>62.31143235544819</v>
      </c>
      <c r="K21" s="203">
        <v>59.052838541552134</v>
      </c>
      <c r="L21" s="203">
        <v>58.529148600926057</v>
      </c>
      <c r="M21" s="203">
        <v>58.103280282332435</v>
      </c>
      <c r="N21" s="203">
        <v>53.988811994486383</v>
      </c>
      <c r="O21" s="203">
        <v>43.800590339459546</v>
      </c>
      <c r="P21" s="203">
        <v>38.98349486767345</v>
      </c>
      <c r="Q21" s="203">
        <v>34.864574744794744</v>
      </c>
      <c r="R21" s="203">
        <v>32.461485065381254</v>
      </c>
      <c r="S21" s="203">
        <v>25.772736886107847</v>
      </c>
      <c r="T21" s="203">
        <v>24.569477510239587</v>
      </c>
      <c r="U21" s="203">
        <v>23.524415005524908</v>
      </c>
      <c r="V21" s="203">
        <v>22.359215127740995</v>
      </c>
      <c r="W21" s="203">
        <v>21.853382962339253</v>
      </c>
      <c r="X21" s="203">
        <v>21.423012257988713</v>
      </c>
      <c r="Y21" s="203">
        <v>21.22463895950138</v>
      </c>
      <c r="Z21" s="203">
        <v>21.016540244790146</v>
      </c>
      <c r="AA21" s="203">
        <v>20.591301131894838</v>
      </c>
      <c r="AB21" s="16">
        <f>Peak!AB23</f>
        <v>0.89062094250995094</v>
      </c>
      <c r="AC21" s="16">
        <f>Peak!AC23</f>
        <v>0</v>
      </c>
      <c r="AD21" s="18">
        <f>Peak!AD23</f>
        <v>198.92520866387423</v>
      </c>
      <c r="AE21" s="18">
        <f>Peak!AE23</f>
        <v>0</v>
      </c>
      <c r="AF21" s="16">
        <f>Peak!AF23</f>
        <v>0</v>
      </c>
      <c r="AG21" s="73">
        <f>Peak!AG23</f>
        <v>1.0351999999999999</v>
      </c>
      <c r="AH21" s="16">
        <f>Peak!AH23</f>
        <v>4.5652300825677408</v>
      </c>
      <c r="AI21" s="16">
        <f>Peak!AI23</f>
        <v>4.2923414634146342</v>
      </c>
      <c r="AJ21" s="16">
        <f>Peak!AJ23</f>
        <v>0</v>
      </c>
      <c r="AK21" s="16">
        <f>Peak!AK23</f>
        <v>0.48</v>
      </c>
    </row>
    <row r="22" spans="1:37" x14ac:dyDescent="0.2">
      <c r="A22" s="1">
        <f t="shared" si="5"/>
        <v>36935.421000000017</v>
      </c>
      <c r="B22" s="16">
        <f t="shared" si="3"/>
        <v>1.0351999999999999</v>
      </c>
      <c r="C22" s="17">
        <f t="shared" si="0"/>
        <v>10.3996192</v>
      </c>
      <c r="D22" s="16">
        <f t="shared" si="4"/>
        <v>0.89210531074746757</v>
      </c>
      <c r="E22" s="16">
        <f t="shared" si="1"/>
        <v>0</v>
      </c>
      <c r="F22" s="16">
        <f t="shared" si="2"/>
        <v>0</v>
      </c>
      <c r="G22" s="19">
        <f>IF(IS!$C$2="Peak","-",SUM(C22:F22))</f>
        <v>11.291724510747468</v>
      </c>
      <c r="H22" s="203">
        <v>72.295988221952058</v>
      </c>
      <c r="I22" s="203">
        <v>70.242502707494509</v>
      </c>
      <c r="J22" s="203">
        <v>66.965838193908269</v>
      </c>
      <c r="K22" s="203">
        <v>65.046722806725285</v>
      </c>
      <c r="L22" s="203">
        <v>64.88753629867206</v>
      </c>
      <c r="M22" s="203">
        <v>61.888452658919618</v>
      </c>
      <c r="N22" s="203">
        <v>52.601435090402354</v>
      </c>
      <c r="O22" s="203">
        <v>44.423387242126346</v>
      </c>
      <c r="P22" s="203">
        <v>36.984351754041498</v>
      </c>
      <c r="Q22" s="203">
        <v>35.441623714759068</v>
      </c>
      <c r="R22" s="203">
        <v>27.625153444356972</v>
      </c>
      <c r="S22" s="203">
        <v>25.726367811121531</v>
      </c>
      <c r="T22" s="203">
        <v>24.948078276206562</v>
      </c>
      <c r="U22" s="203">
        <v>23.69828870262149</v>
      </c>
      <c r="V22" s="203">
        <v>23.163200824176094</v>
      </c>
      <c r="W22" s="203">
        <v>22.739462318707826</v>
      </c>
      <c r="X22" s="203">
        <v>22.381535123989412</v>
      </c>
      <c r="Y22" s="203">
        <v>22.112401897106217</v>
      </c>
      <c r="Z22" s="203">
        <v>21.956058854064121</v>
      </c>
      <c r="AA22" s="203">
        <v>21.630872042519858</v>
      </c>
      <c r="AB22" s="16">
        <f>Peak!AB24</f>
        <v>0.89210531074746757</v>
      </c>
      <c r="AC22" s="16">
        <f>Peak!AC24</f>
        <v>0</v>
      </c>
      <c r="AD22" s="18">
        <f>Peak!AD24</f>
        <v>198.92520866387423</v>
      </c>
      <c r="AE22" s="18">
        <f>Peak!AE24</f>
        <v>0</v>
      </c>
      <c r="AF22" s="16">
        <f>Peak!AF24</f>
        <v>0</v>
      </c>
      <c r="AG22" s="73">
        <f>Peak!AG24</f>
        <v>1.0351999999999999</v>
      </c>
      <c r="AH22" s="16">
        <f>Peak!AH24</f>
        <v>4.091708877195023</v>
      </c>
      <c r="AI22" s="16">
        <f>Peak!AI24</f>
        <v>4.2525975609756097</v>
      </c>
      <c r="AJ22" s="16">
        <f>Peak!AJ24</f>
        <v>0</v>
      </c>
      <c r="AK22" s="16">
        <f>Peak!AK24</f>
        <v>0.48</v>
      </c>
    </row>
    <row r="23" spans="1:37" x14ac:dyDescent="0.2">
      <c r="A23" s="1">
        <f t="shared" si="5"/>
        <v>36965.838000000018</v>
      </c>
      <c r="B23" s="16">
        <f t="shared" si="3"/>
        <v>1.0351999999999999</v>
      </c>
      <c r="C23" s="17">
        <f t="shared" si="0"/>
        <v>10.3996192</v>
      </c>
      <c r="D23" s="16">
        <f t="shared" si="4"/>
        <v>0.89359215293204675</v>
      </c>
      <c r="E23" s="16">
        <f t="shared" si="1"/>
        <v>0</v>
      </c>
      <c r="F23" s="16">
        <f t="shared" si="2"/>
        <v>0</v>
      </c>
      <c r="G23" s="19">
        <f>IF(IS!$C$2="Peak","-",SUM(C23:F23))</f>
        <v>11.293211352932047</v>
      </c>
      <c r="H23" s="203">
        <v>70.425563092427197</v>
      </c>
      <c r="I23" s="203">
        <v>68.486561366576538</v>
      </c>
      <c r="J23" s="203">
        <v>66.339650527427438</v>
      </c>
      <c r="K23" s="203">
        <v>64.031830692906027</v>
      </c>
      <c r="L23" s="203">
        <v>63.682223523190459</v>
      </c>
      <c r="M23" s="203">
        <v>62.551125273916092</v>
      </c>
      <c r="N23" s="203">
        <v>57.836212198451847</v>
      </c>
      <c r="O23" s="203">
        <v>46.648782252484338</v>
      </c>
      <c r="P23" s="203">
        <v>42.678867712958791</v>
      </c>
      <c r="Q23" s="203">
        <v>36.297185879034913</v>
      </c>
      <c r="R23" s="203">
        <v>36.102620449961968</v>
      </c>
      <c r="S23" s="203">
        <v>27.196746495005261</v>
      </c>
      <c r="T23" s="203">
        <v>24.169218736944146</v>
      </c>
      <c r="U23" s="203">
        <v>23.710998782054475</v>
      </c>
      <c r="V23" s="203">
        <v>22.675814380251552</v>
      </c>
      <c r="W23" s="203">
        <v>21.741752595314821</v>
      </c>
      <c r="X23" s="203">
        <v>21.36727689346494</v>
      </c>
      <c r="Y23" s="203">
        <v>20.950374293915701</v>
      </c>
      <c r="Z23" s="203">
        <v>20.653748138456013</v>
      </c>
      <c r="AA23" s="203">
        <v>20.21226605160593</v>
      </c>
      <c r="AB23" s="16">
        <f>Peak!AB25</f>
        <v>0.89359215293204675</v>
      </c>
      <c r="AC23" s="16">
        <f>Peak!AC25</f>
        <v>0</v>
      </c>
      <c r="AD23" s="18">
        <f>Peak!AD25</f>
        <v>198.92520866387423</v>
      </c>
      <c r="AE23" s="18">
        <f>Peak!AE25</f>
        <v>0</v>
      </c>
      <c r="AF23" s="16">
        <f>Peak!AF25</f>
        <v>0</v>
      </c>
      <c r="AG23" s="73">
        <f>Peak!AG25</f>
        <v>1.0351999999999999</v>
      </c>
      <c r="AH23" s="16">
        <f>Peak!AH25</f>
        <v>4.0229066507733462</v>
      </c>
      <c r="AI23" s="16">
        <f>Peak!AI25</f>
        <v>4.0936219512195118</v>
      </c>
      <c r="AJ23" s="16">
        <f>Peak!AJ25</f>
        <v>0</v>
      </c>
      <c r="AK23" s="16">
        <f>Peak!AK25</f>
        <v>0.48</v>
      </c>
    </row>
    <row r="24" spans="1:37" x14ac:dyDescent="0.2">
      <c r="A24" s="1">
        <f t="shared" si="5"/>
        <v>36996.255000000019</v>
      </c>
      <c r="B24" s="16">
        <f t="shared" si="3"/>
        <v>1.0351999999999999</v>
      </c>
      <c r="C24" s="17">
        <f t="shared" si="0"/>
        <v>10.3996192</v>
      </c>
      <c r="D24" s="16">
        <f t="shared" si="4"/>
        <v>0.89508147318693354</v>
      </c>
      <c r="E24" s="16">
        <f t="shared" si="1"/>
        <v>0</v>
      </c>
      <c r="F24" s="16">
        <f t="shared" si="2"/>
        <v>0</v>
      </c>
      <c r="G24" s="19">
        <f>IF(IS!$C$2="Peak","-",SUM(C24:F24))</f>
        <v>11.294700673186934</v>
      </c>
      <c r="H24" s="203">
        <v>69.341409252379094</v>
      </c>
      <c r="I24" s="203">
        <v>66.676579507074749</v>
      </c>
      <c r="J24" s="203">
        <v>65.643581736709365</v>
      </c>
      <c r="K24" s="203">
        <v>65.558319964368096</v>
      </c>
      <c r="L24" s="203">
        <v>64.611359324929992</v>
      </c>
      <c r="M24" s="203">
        <v>59.452327357320527</v>
      </c>
      <c r="N24" s="203">
        <v>47.283434245950716</v>
      </c>
      <c r="O24" s="203">
        <v>41.596389022628536</v>
      </c>
      <c r="P24" s="203">
        <v>37.297770647662986</v>
      </c>
      <c r="Q24" s="203">
        <v>31.848638200029484</v>
      </c>
      <c r="R24" s="203">
        <v>23.101740849368067</v>
      </c>
      <c r="S24" s="203">
        <v>22.521268083047559</v>
      </c>
      <c r="T24" s="203">
        <v>21.280319172819468</v>
      </c>
      <c r="U24" s="203">
        <v>20.331595265566694</v>
      </c>
      <c r="V24" s="203">
        <v>19.818380106086074</v>
      </c>
      <c r="W24" s="203">
        <v>19.460184909105102</v>
      </c>
      <c r="X24" s="203">
        <v>19.230994576497736</v>
      </c>
      <c r="Y24" s="203">
        <v>19.056240608552677</v>
      </c>
      <c r="Z24" s="203">
        <v>18.79711403696183</v>
      </c>
      <c r="AA24" s="203">
        <v>18.528378831198022</v>
      </c>
      <c r="AB24" s="16">
        <f>Peak!AB26</f>
        <v>0.89508147318693354</v>
      </c>
      <c r="AC24" s="16">
        <f>Peak!AC26</f>
        <v>0</v>
      </c>
      <c r="AD24" s="18">
        <f>Peak!AD26</f>
        <v>198.92520866387423</v>
      </c>
      <c r="AE24" s="18">
        <f>Peak!AE26</f>
        <v>0</v>
      </c>
      <c r="AF24" s="16">
        <f>Peak!AF26</f>
        <v>0</v>
      </c>
      <c r="AG24" s="73">
        <f>Peak!AG26</f>
        <v>1.0351999999999999</v>
      </c>
      <c r="AH24" s="16">
        <f>Peak!AH26</f>
        <v>3.8245943510873359</v>
      </c>
      <c r="AI24" s="16">
        <f>Peak!AI26</f>
        <v>3.9346463414634143</v>
      </c>
      <c r="AJ24" s="16">
        <f>Peak!AJ26</f>
        <v>0</v>
      </c>
      <c r="AK24" s="16">
        <f>Peak!AK26</f>
        <v>0.48</v>
      </c>
    </row>
    <row r="25" spans="1:37" x14ac:dyDescent="0.2">
      <c r="A25" s="1">
        <f t="shared" si="5"/>
        <v>37026.67200000002</v>
      </c>
      <c r="B25" s="16">
        <f t="shared" si="3"/>
        <v>1.0351999999999999</v>
      </c>
      <c r="C25" s="17">
        <f t="shared" si="0"/>
        <v>10.3996192</v>
      </c>
      <c r="D25" s="16">
        <f t="shared" si="4"/>
        <v>0.89657327564224509</v>
      </c>
      <c r="E25" s="16">
        <f t="shared" si="1"/>
        <v>0</v>
      </c>
      <c r="F25" s="16">
        <f t="shared" si="2"/>
        <v>0</v>
      </c>
      <c r="G25" s="19">
        <f>IF(IS!$C$2="Peak","-",SUM(C25:F25))</f>
        <v>11.296192475642245</v>
      </c>
      <c r="H25" s="203">
        <v>63.113980176149518</v>
      </c>
      <c r="I25" s="203">
        <v>55.550094531867522</v>
      </c>
      <c r="J25" s="203">
        <v>53.705110089514037</v>
      </c>
      <c r="K25" s="203">
        <v>51.38064803010365</v>
      </c>
      <c r="L25" s="203">
        <v>48.088606423289441</v>
      </c>
      <c r="M25" s="203">
        <v>46.893131568112253</v>
      </c>
      <c r="N25" s="203">
        <v>45.28896252568633</v>
      </c>
      <c r="O25" s="203">
        <v>35.956275073741111</v>
      </c>
      <c r="P25" s="203">
        <v>31.923351765201517</v>
      </c>
      <c r="Q25" s="203">
        <v>27.427728584671936</v>
      </c>
      <c r="R25" s="203">
        <v>27.244930278160442</v>
      </c>
      <c r="S25" s="203">
        <v>25.584730979585782</v>
      </c>
      <c r="T25" s="203">
        <v>24.923912894748437</v>
      </c>
      <c r="U25" s="203">
        <v>23.426721702750623</v>
      </c>
      <c r="V25" s="203">
        <v>22.781072945806645</v>
      </c>
      <c r="W25" s="203">
        <v>22.313655698607516</v>
      </c>
      <c r="X25" s="203">
        <v>22.046888979792563</v>
      </c>
      <c r="Y25" s="203">
        <v>21.783402420480456</v>
      </c>
      <c r="Z25" s="203">
        <v>21.624018718661056</v>
      </c>
      <c r="AA25" s="203">
        <v>21.281940712610112</v>
      </c>
      <c r="AB25" s="16">
        <f>Peak!AB27</f>
        <v>0.89657327564224509</v>
      </c>
      <c r="AC25" s="16">
        <f>Peak!AC27</f>
        <v>0</v>
      </c>
      <c r="AD25" s="18">
        <f>Peak!AD27</f>
        <v>198.92520866387423</v>
      </c>
      <c r="AE25" s="18">
        <f>Peak!AE27</f>
        <v>0</v>
      </c>
      <c r="AF25" s="16">
        <f>Peak!AF27</f>
        <v>0</v>
      </c>
      <c r="AG25" s="73">
        <f>Peak!AG27</f>
        <v>1.0351999999999999</v>
      </c>
      <c r="AH25" s="16">
        <f>Peak!AH27</f>
        <v>4.0269538405628564</v>
      </c>
      <c r="AI25" s="16">
        <f>Peak!AI27</f>
        <v>3.7756707317073168</v>
      </c>
      <c r="AJ25" s="16">
        <f>Peak!AJ27</f>
        <v>0</v>
      </c>
      <c r="AK25" s="16">
        <f>Peak!AK27</f>
        <v>0.48</v>
      </c>
    </row>
    <row r="26" spans="1:37" x14ac:dyDescent="0.2">
      <c r="A26" s="1">
        <f t="shared" si="5"/>
        <v>37057.089000000022</v>
      </c>
      <c r="B26" s="16">
        <f t="shared" si="3"/>
        <v>1.0351999999999999</v>
      </c>
      <c r="C26" s="17">
        <f t="shared" si="0"/>
        <v>10.3996192</v>
      </c>
      <c r="D26" s="16">
        <f t="shared" si="4"/>
        <v>0.89806756443498226</v>
      </c>
      <c r="E26" s="16">
        <f t="shared" si="1"/>
        <v>0</v>
      </c>
      <c r="F26" s="16">
        <f t="shared" si="2"/>
        <v>0</v>
      </c>
      <c r="G26" s="19">
        <f>IF(IS!$C$2="Peak","-",SUM(C26:F26))</f>
        <v>11.297686764434982</v>
      </c>
      <c r="H26" s="203">
        <v>168.69153762716547</v>
      </c>
      <c r="I26" s="203">
        <v>88.102812452760077</v>
      </c>
      <c r="J26" s="203">
        <v>78.34135830682095</v>
      </c>
      <c r="K26" s="203">
        <v>73.479978869463906</v>
      </c>
      <c r="L26" s="203">
        <v>68.167946757768192</v>
      </c>
      <c r="M26" s="203">
        <v>66.722172455234485</v>
      </c>
      <c r="N26" s="203">
        <v>55.038321392460766</v>
      </c>
      <c r="O26" s="203">
        <v>42.517707397507351</v>
      </c>
      <c r="P26" s="203">
        <v>37.264434463058357</v>
      </c>
      <c r="Q26" s="203">
        <v>27.442008292445486</v>
      </c>
      <c r="R26" s="203">
        <v>25.909471192294845</v>
      </c>
      <c r="S26" s="203">
        <v>24.012006192818582</v>
      </c>
      <c r="T26" s="203">
        <v>23.305382169285995</v>
      </c>
      <c r="U26" s="203">
        <v>22.561989437189091</v>
      </c>
      <c r="V26" s="203">
        <v>22.141255811626817</v>
      </c>
      <c r="W26" s="203">
        <v>21.875844685169092</v>
      </c>
      <c r="X26" s="203">
        <v>21.583010759058826</v>
      </c>
      <c r="Y26" s="203">
        <v>21.452267739528363</v>
      </c>
      <c r="Z26" s="203">
        <v>21.343121917136553</v>
      </c>
      <c r="AA26" s="203">
        <v>20.954189432857959</v>
      </c>
      <c r="AB26" s="16">
        <f>Peak!AB28</f>
        <v>0.89806756443498226</v>
      </c>
      <c r="AC26" s="16">
        <f>Peak!AC28</f>
        <v>0</v>
      </c>
      <c r="AD26" s="18">
        <f>Peak!AD28</f>
        <v>198.92520866387423</v>
      </c>
      <c r="AE26" s="18">
        <f>Peak!AE28</f>
        <v>0</v>
      </c>
      <c r="AF26" s="16">
        <f>Peak!AF28</f>
        <v>0</v>
      </c>
      <c r="AG26" s="73">
        <f>Peak!AG28</f>
        <v>1.0351999999999999</v>
      </c>
      <c r="AH26" s="16">
        <f>Peak!AH28</f>
        <v>3.8367359204558671</v>
      </c>
      <c r="AI26" s="16">
        <f>Peak!AI28</f>
        <v>3.7756707317073168</v>
      </c>
      <c r="AJ26" s="16">
        <f>Peak!AJ28</f>
        <v>0</v>
      </c>
      <c r="AK26" s="16">
        <f>Peak!AK28</f>
        <v>0.48</v>
      </c>
    </row>
    <row r="27" spans="1:37" x14ac:dyDescent="0.2">
      <c r="A27" s="1">
        <f t="shared" si="5"/>
        <v>37087.506000000023</v>
      </c>
      <c r="B27" s="16">
        <f t="shared" si="3"/>
        <v>1.0351999999999999</v>
      </c>
      <c r="C27" s="17">
        <f t="shared" si="0"/>
        <v>10.3996192</v>
      </c>
      <c r="D27" s="16">
        <f t="shared" si="4"/>
        <v>0.89956434370904059</v>
      </c>
      <c r="E27" s="16">
        <f t="shared" si="1"/>
        <v>0</v>
      </c>
      <c r="F27" s="16">
        <f t="shared" si="2"/>
        <v>0</v>
      </c>
      <c r="G27" s="19">
        <f>IF(IS!$C$2="Peak","-",SUM(C27:F27))</f>
        <v>11.299183543709042</v>
      </c>
      <c r="H27" s="203">
        <v>1335.6561520342393</v>
      </c>
      <c r="I27" s="203">
        <v>672.52635398981772</v>
      </c>
      <c r="J27" s="203">
        <v>399.31907723268876</v>
      </c>
      <c r="K27" s="203">
        <v>234.19997196902099</v>
      </c>
      <c r="L27" s="203">
        <v>74.294776679788711</v>
      </c>
      <c r="M27" s="203">
        <v>53.706988698813845</v>
      </c>
      <c r="N27" s="203">
        <v>49.532051821208221</v>
      </c>
      <c r="O27" s="203">
        <v>46.782884859243872</v>
      </c>
      <c r="P27" s="203">
        <v>45.61595145051939</v>
      </c>
      <c r="Q27" s="203">
        <v>37.583084166070854</v>
      </c>
      <c r="R27" s="203">
        <v>30.523600428078417</v>
      </c>
      <c r="S27" s="203">
        <v>27.242617564476443</v>
      </c>
      <c r="T27" s="203">
        <v>24.276755910388566</v>
      </c>
      <c r="U27" s="203">
        <v>23.111113092723869</v>
      </c>
      <c r="V27" s="203">
        <v>21.508336093960171</v>
      </c>
      <c r="W27" s="203">
        <v>20.86034277692378</v>
      </c>
      <c r="X27" s="203">
        <v>20.299474645503786</v>
      </c>
      <c r="Y27" s="203">
        <v>19.988995103129909</v>
      </c>
      <c r="Z27" s="203">
        <v>19.701044467192041</v>
      </c>
      <c r="AA27" s="203">
        <v>19.214950206110533</v>
      </c>
      <c r="AB27" s="16">
        <f>Peak!AB29</f>
        <v>0.89956434370904059</v>
      </c>
      <c r="AC27" s="16">
        <f>Peak!AC29</f>
        <v>0</v>
      </c>
      <c r="AD27" s="18">
        <f>Peak!AD29</f>
        <v>198.92520866387423</v>
      </c>
      <c r="AE27" s="18">
        <f>Peak!AE29</f>
        <v>0</v>
      </c>
      <c r="AF27" s="16">
        <f>Peak!AF29</f>
        <v>0</v>
      </c>
      <c r="AG27" s="73">
        <f>Peak!AG29</f>
        <v>1.0351999999999999</v>
      </c>
      <c r="AH27" s="16">
        <f>Peak!AH29</f>
        <v>3.8245943510873359</v>
      </c>
      <c r="AI27" s="16">
        <f>Peak!AI29</f>
        <v>3.7756707317073168</v>
      </c>
      <c r="AJ27" s="16">
        <f>Peak!AJ29</f>
        <v>0</v>
      </c>
      <c r="AK27" s="16">
        <f>Peak!AK29</f>
        <v>0.48</v>
      </c>
    </row>
    <row r="28" spans="1:37" x14ac:dyDescent="0.2">
      <c r="A28" s="1">
        <f t="shared" si="5"/>
        <v>37117.923000000024</v>
      </c>
      <c r="B28" s="16">
        <f t="shared" si="3"/>
        <v>1.0351999999999999</v>
      </c>
      <c r="C28" s="17">
        <f t="shared" si="0"/>
        <v>10.3996192</v>
      </c>
      <c r="D28" s="16">
        <f t="shared" si="4"/>
        <v>0.90106361761522236</v>
      </c>
      <c r="E28" s="16">
        <f t="shared" si="1"/>
        <v>0</v>
      </c>
      <c r="F28" s="16">
        <f t="shared" si="2"/>
        <v>0</v>
      </c>
      <c r="G28" s="19">
        <f>IF(IS!$C$2="Peak","-",SUM(C28:F28))</f>
        <v>11.300682817615222</v>
      </c>
      <c r="H28" s="203">
        <v>4372.2517708777741</v>
      </c>
      <c r="I28" s="203">
        <v>1648.175815853371</v>
      </c>
      <c r="J28" s="203">
        <v>879.77263027914069</v>
      </c>
      <c r="K28" s="203">
        <v>402.73852725793444</v>
      </c>
      <c r="L28" s="203">
        <v>223.54934456624324</v>
      </c>
      <c r="M28" s="203">
        <v>56.951450771268171</v>
      </c>
      <c r="N28" s="203">
        <v>45.125663762761519</v>
      </c>
      <c r="O28" s="203">
        <v>40.409858381824527</v>
      </c>
      <c r="P28" s="203">
        <v>38.480972012031614</v>
      </c>
      <c r="Q28" s="203">
        <v>29.936979013595952</v>
      </c>
      <c r="R28" s="203">
        <v>25.176980031670698</v>
      </c>
      <c r="S28" s="203">
        <v>23.644609197066746</v>
      </c>
      <c r="T28" s="203">
        <v>23.322002893919507</v>
      </c>
      <c r="U28" s="203">
        <v>21.97464640568943</v>
      </c>
      <c r="V28" s="203">
        <v>21.29852279200496</v>
      </c>
      <c r="W28" s="203">
        <v>20.793558011132198</v>
      </c>
      <c r="X28" s="203">
        <v>20.406328926481891</v>
      </c>
      <c r="Y28" s="203">
        <v>20.166472818756255</v>
      </c>
      <c r="Z28" s="203">
        <v>19.951638850896778</v>
      </c>
      <c r="AA28" s="203">
        <v>19.555253104908672</v>
      </c>
      <c r="AB28" s="16">
        <f>Peak!AB30</f>
        <v>0.90106361761522236</v>
      </c>
      <c r="AC28" s="16">
        <f>Peak!AC30</f>
        <v>0</v>
      </c>
      <c r="AD28" s="18">
        <f>Peak!AD30</f>
        <v>198.92520866387423</v>
      </c>
      <c r="AE28" s="18">
        <f>Peak!AE30</f>
        <v>0</v>
      </c>
      <c r="AF28" s="16">
        <f>Peak!AF30</f>
        <v>0</v>
      </c>
      <c r="AG28" s="73">
        <f>Peak!AG30</f>
        <v>1.0351999999999999</v>
      </c>
      <c r="AH28" s="16">
        <f>Peak!AH30</f>
        <v>3.6262820514013261</v>
      </c>
      <c r="AI28" s="16">
        <f>Peak!AI30</f>
        <v>3.7756707317073168</v>
      </c>
      <c r="AJ28" s="16">
        <f>Peak!AJ30</f>
        <v>0</v>
      </c>
      <c r="AK28" s="16">
        <f>Peak!AK30</f>
        <v>0.48</v>
      </c>
    </row>
    <row r="29" spans="1:37" x14ac:dyDescent="0.2">
      <c r="A29" s="1">
        <f t="shared" si="5"/>
        <v>37148.340000000026</v>
      </c>
      <c r="B29" s="16">
        <f t="shared" si="3"/>
        <v>1.0351999999999999</v>
      </c>
      <c r="C29" s="17">
        <f t="shared" si="0"/>
        <v>10.3996192</v>
      </c>
      <c r="D29" s="16">
        <f t="shared" si="4"/>
        <v>0.90256539031124772</v>
      </c>
      <c r="E29" s="16">
        <f t="shared" si="1"/>
        <v>0</v>
      </c>
      <c r="F29" s="16">
        <f t="shared" si="2"/>
        <v>0</v>
      </c>
      <c r="G29" s="19">
        <f>IF(IS!$C$2="Peak","-",SUM(C29:F29))</f>
        <v>11.302184590311247</v>
      </c>
      <c r="H29" s="203">
        <v>465.60281250659966</v>
      </c>
      <c r="I29" s="203">
        <v>264.92218756673026</v>
      </c>
      <c r="J29" s="203">
        <v>182.29261917776941</v>
      </c>
      <c r="K29" s="203">
        <v>73.277367932323301</v>
      </c>
      <c r="L29" s="203">
        <v>49.927519241861042</v>
      </c>
      <c r="M29" s="203">
        <v>43.469949397864795</v>
      </c>
      <c r="N29" s="203">
        <v>39.38618246280889</v>
      </c>
      <c r="O29" s="203">
        <v>38.682561608485571</v>
      </c>
      <c r="P29" s="203">
        <v>34.4203759889254</v>
      </c>
      <c r="Q29" s="203">
        <v>28.438971640100458</v>
      </c>
      <c r="R29" s="203">
        <v>25.732801544377697</v>
      </c>
      <c r="S29" s="203">
        <v>23.75827650719981</v>
      </c>
      <c r="T29" s="203">
        <v>23.11090646117167</v>
      </c>
      <c r="U29" s="203">
        <v>22.96463578254475</v>
      </c>
      <c r="V29" s="203">
        <v>22.162018735617814</v>
      </c>
      <c r="W29" s="203">
        <v>21.435707532171179</v>
      </c>
      <c r="X29" s="203">
        <v>21.038554356199811</v>
      </c>
      <c r="Y29" s="203">
        <v>20.813617536224982</v>
      </c>
      <c r="Z29" s="203">
        <v>20.518935901676812</v>
      </c>
      <c r="AA29" s="203">
        <v>20.027632150868584</v>
      </c>
      <c r="AB29" s="16">
        <f>Peak!AB31</f>
        <v>0.90256539031124772</v>
      </c>
      <c r="AC29" s="16">
        <f>Peak!AC31</f>
        <v>0</v>
      </c>
      <c r="AD29" s="18">
        <f>Peak!AD31</f>
        <v>198.92520866387423</v>
      </c>
      <c r="AE29" s="18">
        <f>Peak!AE31</f>
        <v>0</v>
      </c>
      <c r="AF29" s="16">
        <f>Peak!AF31</f>
        <v>0</v>
      </c>
      <c r="AG29" s="73">
        <f>Peak!AG31</f>
        <v>1.0351999999999999</v>
      </c>
      <c r="AH29" s="16">
        <f>Peak!AH31</f>
        <v>3.6141404820327949</v>
      </c>
      <c r="AI29" s="16">
        <f>Peak!AI31</f>
        <v>3.7756707317073168</v>
      </c>
      <c r="AJ29" s="16">
        <f>Peak!AJ31</f>
        <v>0</v>
      </c>
      <c r="AK29" s="16">
        <f>Peak!AK31</f>
        <v>0.48</v>
      </c>
    </row>
    <row r="30" spans="1:37" x14ac:dyDescent="0.2">
      <c r="A30" s="1">
        <f t="shared" si="5"/>
        <v>37178.757000000027</v>
      </c>
      <c r="B30" s="16">
        <f t="shared" si="3"/>
        <v>1.0351999999999999</v>
      </c>
      <c r="C30" s="17">
        <f t="shared" si="0"/>
        <v>10.3996192</v>
      </c>
      <c r="D30" s="16">
        <f t="shared" si="4"/>
        <v>0.90406966596176652</v>
      </c>
      <c r="E30" s="16">
        <f t="shared" si="1"/>
        <v>0</v>
      </c>
      <c r="F30" s="16">
        <f t="shared" si="2"/>
        <v>0</v>
      </c>
      <c r="G30" s="19">
        <f>IF(IS!$C$2="Peak","-",SUM(C30:F30))</f>
        <v>11.303688865961767</v>
      </c>
      <c r="H30" s="203">
        <v>61.304244711702268</v>
      </c>
      <c r="I30" s="203">
        <v>60.218941752759619</v>
      </c>
      <c r="J30" s="203">
        <v>59.015897399342535</v>
      </c>
      <c r="K30" s="203">
        <v>55.807856932456545</v>
      </c>
      <c r="L30" s="203">
        <v>54.33485218749022</v>
      </c>
      <c r="M30" s="203">
        <v>54.242482210254884</v>
      </c>
      <c r="N30" s="203">
        <v>52.549419796499777</v>
      </c>
      <c r="O30" s="203">
        <v>41.074234544984492</v>
      </c>
      <c r="P30" s="203">
        <v>38.319339367687121</v>
      </c>
      <c r="Q30" s="203">
        <v>38.292607429390529</v>
      </c>
      <c r="R30" s="203">
        <v>37.001524331233874</v>
      </c>
      <c r="S30" s="203">
        <v>26.981509794889423</v>
      </c>
      <c r="T30" s="203">
        <v>24.604901478062164</v>
      </c>
      <c r="U30" s="203">
        <v>24.047183729174446</v>
      </c>
      <c r="V30" s="203">
        <v>22.762760608057892</v>
      </c>
      <c r="W30" s="203">
        <v>22.02889337690258</v>
      </c>
      <c r="X30" s="203">
        <v>21.598624196738992</v>
      </c>
      <c r="Y30" s="203">
        <v>21.36519978865498</v>
      </c>
      <c r="Z30" s="203">
        <v>21.097694555038636</v>
      </c>
      <c r="AA30" s="203">
        <v>20.658143674031365</v>
      </c>
      <c r="AB30" s="16">
        <f>Peak!AB32</f>
        <v>0.90406966596176652</v>
      </c>
      <c r="AC30" s="16">
        <f>Peak!AC32</f>
        <v>0</v>
      </c>
      <c r="AD30" s="18">
        <f>Peak!AD32</f>
        <v>198.92520866387423</v>
      </c>
      <c r="AE30" s="18">
        <f>Peak!AE32</f>
        <v>0</v>
      </c>
      <c r="AF30" s="16">
        <f>Peak!AF32</f>
        <v>0</v>
      </c>
      <c r="AG30" s="73">
        <f>Peak!AG32</f>
        <v>1.0351999999999999</v>
      </c>
      <c r="AH30" s="16">
        <f>Peak!AH32</f>
        <v>4.0026707018257941</v>
      </c>
      <c r="AI30" s="16">
        <f>Peak!AI32</f>
        <v>3.7756707317073168</v>
      </c>
      <c r="AJ30" s="16">
        <f>Peak!AJ32</f>
        <v>0</v>
      </c>
      <c r="AK30" s="16">
        <f>Peak!AK32</f>
        <v>0.48</v>
      </c>
    </row>
    <row r="31" spans="1:37" x14ac:dyDescent="0.2">
      <c r="A31" s="1">
        <f t="shared" si="5"/>
        <v>37209.174000000028</v>
      </c>
      <c r="B31" s="16">
        <f t="shared" si="3"/>
        <v>1.0351999999999999</v>
      </c>
      <c r="C31" s="17">
        <f t="shared" si="0"/>
        <v>10.3996192</v>
      </c>
      <c r="D31" s="16">
        <f t="shared" si="4"/>
        <v>0.90557644873836951</v>
      </c>
      <c r="E31" s="16">
        <f t="shared" si="1"/>
        <v>0</v>
      </c>
      <c r="F31" s="16">
        <f t="shared" si="2"/>
        <v>0</v>
      </c>
      <c r="G31" s="19">
        <f>IF(IS!$C$2="Peak","-",SUM(C31:F31))</f>
        <v>11.305195648738369</v>
      </c>
      <c r="H31" s="203">
        <v>89.60176072929562</v>
      </c>
      <c r="I31" s="203">
        <v>79.163362953591374</v>
      </c>
      <c r="J31" s="203">
        <v>69.39661946896851</v>
      </c>
      <c r="K31" s="203">
        <v>59.201606426916179</v>
      </c>
      <c r="L31" s="203">
        <v>56.758926726818473</v>
      </c>
      <c r="M31" s="203">
        <v>53.201978385674771</v>
      </c>
      <c r="N31" s="203">
        <v>50.708012500067795</v>
      </c>
      <c r="O31" s="203">
        <v>50.608278829362895</v>
      </c>
      <c r="P31" s="203">
        <v>47.138703354391325</v>
      </c>
      <c r="Q31" s="203">
        <v>37.52064815583114</v>
      </c>
      <c r="R31" s="203">
        <v>34.042267416934884</v>
      </c>
      <c r="S31" s="203">
        <v>29.377606666702825</v>
      </c>
      <c r="T31" s="203">
        <v>28.967797583390592</v>
      </c>
      <c r="U31" s="203">
        <v>26.002366660937696</v>
      </c>
      <c r="V31" s="203">
        <v>25.090198182761082</v>
      </c>
      <c r="W31" s="203">
        <v>23.548692144616798</v>
      </c>
      <c r="X31" s="203">
        <v>22.847541013888545</v>
      </c>
      <c r="Y31" s="203">
        <v>22.30913680895582</v>
      </c>
      <c r="Z31" s="203">
        <v>21.879283063841946</v>
      </c>
      <c r="AA31" s="203">
        <v>21.345472763375472</v>
      </c>
      <c r="AB31" s="16">
        <f>Peak!AB33</f>
        <v>0.90557644873836951</v>
      </c>
      <c r="AC31" s="16">
        <f>Peak!AC33</f>
        <v>0</v>
      </c>
      <c r="AD31" s="18">
        <f>Peak!AD33</f>
        <v>198.92520866387423</v>
      </c>
      <c r="AE31" s="18">
        <f>Peak!AE33</f>
        <v>0</v>
      </c>
      <c r="AF31" s="16">
        <f>Peak!AF33</f>
        <v>0</v>
      </c>
      <c r="AG31" s="73">
        <f>Peak!AG33</f>
        <v>1.0351999999999999</v>
      </c>
      <c r="AH31" s="16">
        <f>Peak!AH33</f>
        <v>4.3831065420397719</v>
      </c>
      <c r="AI31" s="16">
        <f>Peak!AI33</f>
        <v>4.0936219512195118</v>
      </c>
      <c r="AJ31" s="16">
        <f>Peak!AJ33</f>
        <v>0</v>
      </c>
      <c r="AK31" s="16">
        <f>Peak!AK33</f>
        <v>0.48</v>
      </c>
    </row>
    <row r="32" spans="1:37" x14ac:dyDescent="0.2">
      <c r="A32" s="1">
        <f t="shared" si="5"/>
        <v>37239.591000000029</v>
      </c>
      <c r="B32" s="16">
        <f t="shared" si="3"/>
        <v>1.0351999999999999</v>
      </c>
      <c r="C32" s="17">
        <f t="shared" si="0"/>
        <v>10.3996192</v>
      </c>
      <c r="D32" s="16">
        <f t="shared" si="4"/>
        <v>0.90708574281960019</v>
      </c>
      <c r="E32" s="16">
        <f t="shared" si="1"/>
        <v>0</v>
      </c>
      <c r="F32" s="16">
        <f t="shared" si="2"/>
        <v>0</v>
      </c>
      <c r="G32" s="19">
        <f>IF(IS!$C$2="Peak","-",SUM(C32:F32))</f>
        <v>11.3067049428196</v>
      </c>
      <c r="H32" s="203">
        <v>93.278708978317795</v>
      </c>
      <c r="I32" s="203">
        <v>89.712457289696701</v>
      </c>
      <c r="J32" s="203">
        <v>86.809253395685715</v>
      </c>
      <c r="K32" s="203">
        <v>86.307265112837428</v>
      </c>
      <c r="L32" s="203">
        <v>86.290043585282731</v>
      </c>
      <c r="M32" s="203">
        <v>82.533956348267424</v>
      </c>
      <c r="N32" s="203">
        <v>65.729929849049867</v>
      </c>
      <c r="O32" s="203">
        <v>58.211508636939904</v>
      </c>
      <c r="P32" s="203">
        <v>55.419680468435587</v>
      </c>
      <c r="Q32" s="203">
        <v>55.333716237686232</v>
      </c>
      <c r="R32" s="203">
        <v>27.913033022208197</v>
      </c>
      <c r="S32" s="203">
        <v>24.926841444885437</v>
      </c>
      <c r="T32" s="203">
        <v>24.298916490687837</v>
      </c>
      <c r="U32" s="203">
        <v>23.426936536936545</v>
      </c>
      <c r="V32" s="203">
        <v>22.320481449553743</v>
      </c>
      <c r="W32" s="203">
        <v>21.858567203839108</v>
      </c>
      <c r="X32" s="203">
        <v>21.473608956298431</v>
      </c>
      <c r="Y32" s="203">
        <v>21.232941048445301</v>
      </c>
      <c r="Z32" s="203">
        <v>20.99232746115711</v>
      </c>
      <c r="AA32" s="203">
        <v>20.52235632462871</v>
      </c>
      <c r="AB32" s="16">
        <f>Peak!AB34</f>
        <v>0.90708574281960019</v>
      </c>
      <c r="AC32" s="16">
        <f>Peak!AC34</f>
        <v>0</v>
      </c>
      <c r="AD32" s="18">
        <f>Peak!AD34</f>
        <v>198.92520866387423</v>
      </c>
      <c r="AE32" s="18">
        <f>Peak!AE34</f>
        <v>0</v>
      </c>
      <c r="AF32" s="16">
        <f>Peak!AF34</f>
        <v>0</v>
      </c>
      <c r="AG32" s="73">
        <f>Peak!AG34</f>
        <v>1.0351999999999999</v>
      </c>
      <c r="AH32" s="16">
        <f>Peak!AH34</f>
        <v>4.7433064333061985</v>
      </c>
      <c r="AI32" s="16">
        <f>Peak!AI34</f>
        <v>4.2923414634146342</v>
      </c>
      <c r="AJ32" s="16">
        <f>Peak!AJ34</f>
        <v>0</v>
      </c>
      <c r="AK32" s="16">
        <f>Peak!AK34</f>
        <v>0.48</v>
      </c>
    </row>
    <row r="33" spans="1:38" x14ac:dyDescent="0.2">
      <c r="A33" s="1">
        <f t="shared" si="5"/>
        <v>37270.008000000031</v>
      </c>
      <c r="B33" s="16">
        <f t="shared" si="3"/>
        <v>1.0327999999999999</v>
      </c>
      <c r="C33" s="17">
        <f t="shared" si="0"/>
        <v>10.375508799999999</v>
      </c>
      <c r="D33" s="16">
        <f t="shared" si="4"/>
        <v>0.90859755239096618</v>
      </c>
      <c r="E33" s="16">
        <f t="shared" si="1"/>
        <v>0</v>
      </c>
      <c r="F33" s="16">
        <f t="shared" si="2"/>
        <v>0</v>
      </c>
      <c r="G33" s="19">
        <f>IF(IS!$C$2="Peak","-",SUM(C33:F33))</f>
        <v>11.284106352390964</v>
      </c>
      <c r="H33" s="203">
        <v>77.619688937682881</v>
      </c>
      <c r="I33" s="203">
        <v>75.711203786504399</v>
      </c>
      <c r="J33" s="203">
        <v>73.78410128803003</v>
      </c>
      <c r="K33" s="203">
        <v>69.692918356594618</v>
      </c>
      <c r="L33" s="203">
        <v>68.657800810470818</v>
      </c>
      <c r="M33" s="203">
        <v>68.299843104989094</v>
      </c>
      <c r="N33" s="203">
        <v>64.436204034381973</v>
      </c>
      <c r="O33" s="203">
        <v>52.580480235146702</v>
      </c>
      <c r="P33" s="203">
        <v>46.206641503579462</v>
      </c>
      <c r="Q33" s="203">
        <v>41.405894413389028</v>
      </c>
      <c r="R33" s="203">
        <v>37.880297087824729</v>
      </c>
      <c r="S33" s="203">
        <v>26.615622323594394</v>
      </c>
      <c r="T33" s="203">
        <v>24.797814763733417</v>
      </c>
      <c r="U33" s="203">
        <v>24.116929007254381</v>
      </c>
      <c r="V33" s="203">
        <v>22.794354166470747</v>
      </c>
      <c r="W33" s="203">
        <v>22.207132341659275</v>
      </c>
      <c r="X33" s="203">
        <v>21.861331403753546</v>
      </c>
      <c r="Y33" s="203">
        <v>21.528588324610666</v>
      </c>
      <c r="Z33" s="203">
        <v>21.301869470401293</v>
      </c>
      <c r="AA33" s="203">
        <v>20.847407529582057</v>
      </c>
      <c r="AB33" s="16">
        <f>Peak!AB35</f>
        <v>0.90859755239096618</v>
      </c>
      <c r="AC33" s="16">
        <f>Peak!AC35</f>
        <v>0</v>
      </c>
      <c r="AD33" s="18">
        <f>Peak!AD35</f>
        <v>218.80258102590736</v>
      </c>
      <c r="AE33" s="18">
        <f>Peak!AE35</f>
        <v>0</v>
      </c>
      <c r="AF33" s="16">
        <f>Peak!AF35</f>
        <v>0</v>
      </c>
      <c r="AG33" s="73">
        <f>Peak!AG35</f>
        <v>1.0327999999999999</v>
      </c>
      <c r="AH33" s="16">
        <f>Peak!AH35</f>
        <v>4.1606975675827789</v>
      </c>
      <c r="AI33" s="16">
        <f>Peak!AI35</f>
        <v>3.9054604358353529</v>
      </c>
      <c r="AJ33" s="16">
        <f>Peak!AJ35</f>
        <v>0</v>
      </c>
      <c r="AK33" s="16">
        <f>Peak!AK35</f>
        <v>0.48</v>
      </c>
    </row>
    <row r="34" spans="1:38" x14ac:dyDescent="0.2">
      <c r="A34" s="1">
        <f t="shared" si="5"/>
        <v>37300.425000000032</v>
      </c>
      <c r="B34" s="16">
        <f t="shared" si="3"/>
        <v>1.0327999999999999</v>
      </c>
      <c r="C34" s="17">
        <f t="shared" si="0"/>
        <v>10.375508799999999</v>
      </c>
      <c r="D34" s="16">
        <f t="shared" si="4"/>
        <v>0.91011188164495116</v>
      </c>
      <c r="E34" s="16">
        <f t="shared" si="1"/>
        <v>0</v>
      </c>
      <c r="F34" s="16">
        <f t="shared" si="2"/>
        <v>0</v>
      </c>
      <c r="G34" s="19">
        <f>IF(IS!$C$2="Peak","-",SUM(C34:F34))</f>
        <v>11.28562068164495</v>
      </c>
      <c r="H34" s="203">
        <v>187.53697382609306</v>
      </c>
      <c r="I34" s="203">
        <v>104.02247061300116</v>
      </c>
      <c r="J34" s="203">
        <v>86.059835618879717</v>
      </c>
      <c r="K34" s="203">
        <v>65.257061758178793</v>
      </c>
      <c r="L34" s="203">
        <v>55.481156323912892</v>
      </c>
      <c r="M34" s="203">
        <v>52.189227629941016</v>
      </c>
      <c r="N34" s="203">
        <v>48.314758359370956</v>
      </c>
      <c r="O34" s="203">
        <v>47.919360511893828</v>
      </c>
      <c r="P34" s="203">
        <v>45.394252149101554</v>
      </c>
      <c r="Q34" s="203">
        <v>36.118328093413211</v>
      </c>
      <c r="R34" s="203">
        <v>34.054617668247836</v>
      </c>
      <c r="S34" s="203">
        <v>28.965482260046556</v>
      </c>
      <c r="T34" s="203">
        <v>27.890325606343374</v>
      </c>
      <c r="U34" s="203">
        <v>27.187373053256131</v>
      </c>
      <c r="V34" s="203">
        <v>26.220341540765521</v>
      </c>
      <c r="W34" s="203">
        <v>24.779411712521686</v>
      </c>
      <c r="X34" s="203">
        <v>24.135924287314982</v>
      </c>
      <c r="Y34" s="203">
        <v>23.424666076124076</v>
      </c>
      <c r="Z34" s="203">
        <v>22.817911254663347</v>
      </c>
      <c r="AA34" s="203">
        <v>22.338050286879817</v>
      </c>
      <c r="AB34" s="16">
        <f>Peak!AB36</f>
        <v>0.91011188164495116</v>
      </c>
      <c r="AC34" s="16">
        <f>Peak!AC36</f>
        <v>0</v>
      </c>
      <c r="AD34" s="18">
        <f>Peak!AD36</f>
        <v>218.80258102590736</v>
      </c>
      <c r="AE34" s="18">
        <f>Peak!AE36</f>
        <v>0</v>
      </c>
      <c r="AF34" s="16">
        <f>Peak!AF36</f>
        <v>0</v>
      </c>
      <c r="AG34" s="73">
        <f>Peak!AG36</f>
        <v>1.0327999999999999</v>
      </c>
      <c r="AH34" s="16">
        <f>Peak!AH36</f>
        <v>3.7291358517962672</v>
      </c>
      <c r="AI34" s="16">
        <f>Peak!AI36</f>
        <v>3.8692987651331734</v>
      </c>
      <c r="AJ34" s="16">
        <f>Peak!AJ36</f>
        <v>0</v>
      </c>
      <c r="AK34" s="16">
        <f>Peak!AK36</f>
        <v>0.48</v>
      </c>
    </row>
    <row r="35" spans="1:38" x14ac:dyDescent="0.2">
      <c r="A35" s="1">
        <f t="shared" si="5"/>
        <v>37330.842000000033</v>
      </c>
      <c r="B35" s="16">
        <f t="shared" si="3"/>
        <v>1.0327999999999999</v>
      </c>
      <c r="C35" s="17">
        <f t="shared" si="0"/>
        <v>10.375508799999999</v>
      </c>
      <c r="D35" s="16">
        <f t="shared" si="4"/>
        <v>0.91162873478102613</v>
      </c>
      <c r="E35" s="16">
        <f t="shared" si="1"/>
        <v>0</v>
      </c>
      <c r="F35" s="16">
        <f t="shared" si="2"/>
        <v>0</v>
      </c>
      <c r="G35" s="19">
        <f>IF(IS!$C$2="Peak","-",SUM(C35:F35))</f>
        <v>11.287137534781024</v>
      </c>
      <c r="H35" s="203">
        <v>74.472344708406197</v>
      </c>
      <c r="I35" s="203">
        <v>71.699674653338178</v>
      </c>
      <c r="J35" s="203">
        <v>70.515954849927567</v>
      </c>
      <c r="K35" s="203">
        <v>66.821077220360479</v>
      </c>
      <c r="L35" s="203">
        <v>64.914537002916092</v>
      </c>
      <c r="M35" s="203">
        <v>64.768200365504953</v>
      </c>
      <c r="N35" s="203">
        <v>62.764682794640734</v>
      </c>
      <c r="O35" s="203">
        <v>49.317206155876832</v>
      </c>
      <c r="P35" s="203">
        <v>45.037211650050878</v>
      </c>
      <c r="Q35" s="203">
        <v>44.884727774528244</v>
      </c>
      <c r="R35" s="203">
        <v>44.722799770156904</v>
      </c>
      <c r="S35" s="203">
        <v>25.78236639803777</v>
      </c>
      <c r="T35" s="203">
        <v>23.264392800970487</v>
      </c>
      <c r="U35" s="203">
        <v>22.837620092156364</v>
      </c>
      <c r="V35" s="203">
        <v>21.638335614202116</v>
      </c>
      <c r="W35" s="203">
        <v>20.94105001959209</v>
      </c>
      <c r="X35" s="203">
        <v>20.461231362748634</v>
      </c>
      <c r="Y35" s="203">
        <v>20.016343397958778</v>
      </c>
      <c r="Z35" s="203">
        <v>19.763924129829654</v>
      </c>
      <c r="AA35" s="203">
        <v>19.253775197355935</v>
      </c>
      <c r="AB35" s="16">
        <f>Peak!AB37</f>
        <v>0.91162873478102613</v>
      </c>
      <c r="AC35" s="16">
        <f>Peak!AC37</f>
        <v>0</v>
      </c>
      <c r="AD35" s="18">
        <f>Peak!AD37</f>
        <v>218.80258102590736</v>
      </c>
      <c r="AE35" s="18">
        <f>Peak!AE37</f>
        <v>0</v>
      </c>
      <c r="AF35" s="16">
        <f>Peak!AF37</f>
        <v>0</v>
      </c>
      <c r="AG35" s="73">
        <f>Peak!AG37</f>
        <v>1.0327999999999999</v>
      </c>
      <c r="AH35" s="16">
        <f>Peak!AH37</f>
        <v>3.6664303033486547</v>
      </c>
      <c r="AI35" s="16">
        <f>Peak!AI37</f>
        <v>3.7246520823244564</v>
      </c>
      <c r="AJ35" s="16">
        <f>Peak!AJ37</f>
        <v>0</v>
      </c>
      <c r="AK35" s="16">
        <f>Peak!AK37</f>
        <v>0.48</v>
      </c>
    </row>
    <row r="36" spans="1:38" x14ac:dyDescent="0.2">
      <c r="A36" s="1">
        <f t="shared" si="5"/>
        <v>37361.259000000035</v>
      </c>
      <c r="B36" s="16">
        <f t="shared" si="3"/>
        <v>1.0327999999999999</v>
      </c>
      <c r="C36" s="17">
        <f t="shared" si="0"/>
        <v>10.375508799999999</v>
      </c>
      <c r="D36" s="16">
        <f t="shared" si="4"/>
        <v>0.91314811600566126</v>
      </c>
      <c r="E36" s="16">
        <f t="shared" si="1"/>
        <v>0</v>
      </c>
      <c r="F36" s="16">
        <f t="shared" si="2"/>
        <v>0</v>
      </c>
      <c r="G36" s="19">
        <f>IF(IS!$C$2="Peak","-",SUM(C36:F36))</f>
        <v>11.28865691600566</v>
      </c>
      <c r="H36" s="203">
        <v>69.099344266976644</v>
      </c>
      <c r="I36" s="203">
        <v>66.375706093132948</v>
      </c>
      <c r="J36" s="203">
        <v>64.254460502531202</v>
      </c>
      <c r="K36" s="203">
        <v>63.772249657018989</v>
      </c>
      <c r="L36" s="203">
        <v>63.406557508401534</v>
      </c>
      <c r="M36" s="203">
        <v>60.15921507751267</v>
      </c>
      <c r="N36" s="203">
        <v>47.263003755572747</v>
      </c>
      <c r="O36" s="203">
        <v>42.335809717655252</v>
      </c>
      <c r="P36" s="203">
        <v>39.505859485741787</v>
      </c>
      <c r="Q36" s="203">
        <v>33.46502583887883</v>
      </c>
      <c r="R36" s="203">
        <v>23.15465545992538</v>
      </c>
      <c r="S36" s="203">
        <v>21.922629247050711</v>
      </c>
      <c r="T36" s="203">
        <v>21.380490087644301</v>
      </c>
      <c r="U36" s="203">
        <v>20.308684174883247</v>
      </c>
      <c r="V36" s="203">
        <v>19.835700772146346</v>
      </c>
      <c r="W36" s="203">
        <v>19.453473749354306</v>
      </c>
      <c r="X36" s="203">
        <v>19.207296402411327</v>
      </c>
      <c r="Y36" s="203">
        <v>19.039240123450099</v>
      </c>
      <c r="Z36" s="203">
        <v>18.899697131657796</v>
      </c>
      <c r="AA36" s="203">
        <v>18.485972251630265</v>
      </c>
      <c r="AB36" s="16">
        <f>Peak!AB38</f>
        <v>0.91314811600566126</v>
      </c>
      <c r="AC36" s="16">
        <f>Peak!AC38</f>
        <v>0</v>
      </c>
      <c r="AD36" s="18">
        <f>Peak!AD38</f>
        <v>218.80258102590736</v>
      </c>
      <c r="AE36" s="18">
        <f>Peak!AE38</f>
        <v>0</v>
      </c>
      <c r="AF36" s="16">
        <f>Peak!AF38</f>
        <v>0</v>
      </c>
      <c r="AG36" s="73">
        <f>Peak!AG38</f>
        <v>1.0327999999999999</v>
      </c>
      <c r="AH36" s="16">
        <f>Peak!AH38</f>
        <v>3.4856907813525941</v>
      </c>
      <c r="AI36" s="16">
        <f>Peak!AI38</f>
        <v>3.5800053995157399</v>
      </c>
      <c r="AJ36" s="16">
        <f>Peak!AJ38</f>
        <v>0</v>
      </c>
      <c r="AK36" s="16">
        <f>Peak!AK38</f>
        <v>0.48</v>
      </c>
    </row>
    <row r="37" spans="1:38" x14ac:dyDescent="0.2">
      <c r="A37" s="1">
        <f t="shared" si="5"/>
        <v>37391.676000000036</v>
      </c>
      <c r="B37" s="16">
        <f t="shared" si="3"/>
        <v>1.0327999999999999</v>
      </c>
      <c r="C37" s="17">
        <f t="shared" si="0"/>
        <v>10.375508799999999</v>
      </c>
      <c r="D37" s="16">
        <f t="shared" si="4"/>
        <v>0.91467002953233745</v>
      </c>
      <c r="E37" s="16">
        <f t="shared" si="1"/>
        <v>0</v>
      </c>
      <c r="F37" s="16">
        <f t="shared" si="2"/>
        <v>0</v>
      </c>
      <c r="G37" s="19">
        <f>IF(IS!$C$2="Peak","-",SUM(C37:F37))</f>
        <v>11.290178829532335</v>
      </c>
      <c r="H37" s="203">
        <v>60.92043001130908</v>
      </c>
      <c r="I37" s="203">
        <v>57.763638834758595</v>
      </c>
      <c r="J37" s="203">
        <v>55.393817889237823</v>
      </c>
      <c r="K37" s="203">
        <v>51.364113584617414</v>
      </c>
      <c r="L37" s="203">
        <v>50.835156117668888</v>
      </c>
      <c r="M37" s="203">
        <v>45.309173750761438</v>
      </c>
      <c r="N37" s="203">
        <v>37.434387069229565</v>
      </c>
      <c r="O37" s="203">
        <v>36.396137285552399</v>
      </c>
      <c r="P37" s="203">
        <v>32.876254800430416</v>
      </c>
      <c r="Q37" s="203">
        <v>29.447965218104383</v>
      </c>
      <c r="R37" s="203">
        <v>27.401861581004134</v>
      </c>
      <c r="S37" s="203">
        <v>26.463445835062547</v>
      </c>
      <c r="T37" s="203">
        <v>25.637953846258863</v>
      </c>
      <c r="U37" s="203">
        <v>24.846873383355966</v>
      </c>
      <c r="V37" s="203">
        <v>23.166611246790268</v>
      </c>
      <c r="W37" s="203">
        <v>22.482630798047047</v>
      </c>
      <c r="X37" s="203">
        <v>21.843023952242469</v>
      </c>
      <c r="Y37" s="203">
        <v>21.449365048558491</v>
      </c>
      <c r="Z37" s="203">
        <v>21.187016341850647</v>
      </c>
      <c r="AA37" s="203">
        <v>20.67426584328998</v>
      </c>
      <c r="AB37" s="16">
        <f>Peak!AB39</f>
        <v>0.91467002953233745</v>
      </c>
      <c r="AC37" s="16">
        <f>Peak!AC39</f>
        <v>0</v>
      </c>
      <c r="AD37" s="18">
        <f>Peak!AD39</f>
        <v>218.80258102590736</v>
      </c>
      <c r="AE37" s="18">
        <f>Peak!AE39</f>
        <v>0</v>
      </c>
      <c r="AF37" s="16">
        <f>Peak!AF39</f>
        <v>0</v>
      </c>
      <c r="AG37" s="73">
        <f>Peak!AG39</f>
        <v>1.0327999999999999</v>
      </c>
      <c r="AH37" s="16">
        <f>Peak!AH39</f>
        <v>3.6701188650220438</v>
      </c>
      <c r="AI37" s="16">
        <f>Peak!AI39</f>
        <v>3.435358716707023</v>
      </c>
      <c r="AJ37" s="16">
        <f>Peak!AJ39</f>
        <v>0</v>
      </c>
      <c r="AK37" s="16">
        <f>Peak!AK39</f>
        <v>0.48</v>
      </c>
    </row>
    <row r="38" spans="1:38" x14ac:dyDescent="0.2">
      <c r="A38" s="1">
        <f t="shared" si="5"/>
        <v>37422.093000000037</v>
      </c>
      <c r="B38" s="16">
        <f t="shared" si="3"/>
        <v>1.0327999999999999</v>
      </c>
      <c r="C38" s="17">
        <f t="shared" si="0"/>
        <v>10.375508799999999</v>
      </c>
      <c r="D38" s="16">
        <f t="shared" si="4"/>
        <v>0.91619447958155809</v>
      </c>
      <c r="E38" s="16">
        <f t="shared" si="1"/>
        <v>0</v>
      </c>
      <c r="F38" s="16">
        <f t="shared" si="2"/>
        <v>0</v>
      </c>
      <c r="G38" s="19">
        <f>IF(IS!$C$2="Peak","-",SUM(C38:F38))</f>
        <v>11.291703279581556</v>
      </c>
      <c r="H38" s="203">
        <v>369.69652614314498</v>
      </c>
      <c r="I38" s="203">
        <v>232.20462315963829</v>
      </c>
      <c r="J38" s="203">
        <v>126.00609111676519</v>
      </c>
      <c r="K38" s="203">
        <v>58.282397392635161</v>
      </c>
      <c r="L38" s="203">
        <v>53.795914011554792</v>
      </c>
      <c r="M38" s="203">
        <v>49.735571781617196</v>
      </c>
      <c r="N38" s="203">
        <v>48.544661905387237</v>
      </c>
      <c r="O38" s="203">
        <v>43.928310955151829</v>
      </c>
      <c r="P38" s="203">
        <v>34.226034727598432</v>
      </c>
      <c r="Q38" s="203">
        <v>29.113610276756745</v>
      </c>
      <c r="R38" s="203">
        <v>27.05725640650585</v>
      </c>
      <c r="S38" s="203">
        <v>24.625543612645551</v>
      </c>
      <c r="T38" s="203">
        <v>23.146377135870374</v>
      </c>
      <c r="U38" s="203">
        <v>21.942429519214677</v>
      </c>
      <c r="V38" s="203">
        <v>21.253758935960995</v>
      </c>
      <c r="W38" s="203">
        <v>20.998453826358254</v>
      </c>
      <c r="X38" s="203">
        <v>20.818182725658986</v>
      </c>
      <c r="Y38" s="203">
        <v>20.535441030875354</v>
      </c>
      <c r="Z38" s="203">
        <v>20.372784727048831</v>
      </c>
      <c r="AA38" s="203">
        <v>19.949904828713674</v>
      </c>
      <c r="AB38" s="16">
        <f>Peak!AB40</f>
        <v>0.91619447958155809</v>
      </c>
      <c r="AC38" s="16">
        <f>Peak!AC40</f>
        <v>0</v>
      </c>
      <c r="AD38" s="18">
        <f>Peak!AD40</f>
        <v>218.80258102590736</v>
      </c>
      <c r="AE38" s="18">
        <f>Peak!AE40</f>
        <v>0</v>
      </c>
      <c r="AF38" s="16">
        <f>Peak!AF40</f>
        <v>0</v>
      </c>
      <c r="AG38" s="73">
        <f>Peak!AG40</f>
        <v>1.0327999999999999</v>
      </c>
      <c r="AH38" s="16">
        <f>Peak!AH40</f>
        <v>3.4967564663727608</v>
      </c>
      <c r="AI38" s="16">
        <f>Peak!AI40</f>
        <v>3.435358716707023</v>
      </c>
      <c r="AJ38" s="16">
        <f>Peak!AJ40</f>
        <v>0</v>
      </c>
      <c r="AK38" s="16">
        <f>Peak!AK40</f>
        <v>0.48</v>
      </c>
    </row>
    <row r="39" spans="1:38" x14ac:dyDescent="0.2">
      <c r="A39" s="1">
        <f t="shared" si="5"/>
        <v>37452.510000000038</v>
      </c>
      <c r="B39" s="16">
        <f t="shared" si="3"/>
        <v>1.0327999999999999</v>
      </c>
      <c r="C39" s="17">
        <f t="shared" si="0"/>
        <v>10.375508799999999</v>
      </c>
      <c r="D39" s="16">
        <f t="shared" si="4"/>
        <v>0.91772147038086072</v>
      </c>
      <c r="E39" s="16">
        <f t="shared" si="1"/>
        <v>0</v>
      </c>
      <c r="F39" s="16">
        <f t="shared" si="2"/>
        <v>0</v>
      </c>
      <c r="G39" s="19">
        <f>IF(IS!$C$2="Peak","-",SUM(C39:F39))</f>
        <v>11.29323027038086</v>
      </c>
      <c r="H39" s="203">
        <v>1055.5831613825278</v>
      </c>
      <c r="I39" s="203">
        <v>557.80810355480537</v>
      </c>
      <c r="J39" s="203">
        <v>347.35746153335202</v>
      </c>
      <c r="K39" s="203">
        <v>212.79104294126213</v>
      </c>
      <c r="L39" s="203">
        <v>68.033570902138052</v>
      </c>
      <c r="M39" s="203">
        <v>58.669496459004584</v>
      </c>
      <c r="N39" s="203">
        <v>53.816271048005468</v>
      </c>
      <c r="O39" s="203">
        <v>51.527330112054003</v>
      </c>
      <c r="P39" s="203">
        <v>49.482742898876126</v>
      </c>
      <c r="Q39" s="203">
        <v>39.84270191008082</v>
      </c>
      <c r="R39" s="203">
        <v>32.177011164873605</v>
      </c>
      <c r="S39" s="203">
        <v>29.040320027713939</v>
      </c>
      <c r="T39" s="203">
        <v>24.44197558605282</v>
      </c>
      <c r="U39" s="203">
        <v>23.078108810754358</v>
      </c>
      <c r="V39" s="203">
        <v>21.541527608861919</v>
      </c>
      <c r="W39" s="203">
        <v>20.870205523287261</v>
      </c>
      <c r="X39" s="203">
        <v>20.43309520169106</v>
      </c>
      <c r="Y39" s="203">
        <v>20.083665243686326</v>
      </c>
      <c r="Z39" s="203">
        <v>19.858194470189485</v>
      </c>
      <c r="AA39" s="203">
        <v>19.358128130329455</v>
      </c>
      <c r="AB39" s="16">
        <f>Peak!AB41</f>
        <v>0.91772147038086072</v>
      </c>
      <c r="AC39" s="16">
        <f>Peak!AC41</f>
        <v>0</v>
      </c>
      <c r="AD39" s="18">
        <f>Peak!AD41</f>
        <v>218.80258102590736</v>
      </c>
      <c r="AE39" s="18">
        <f>Peak!AE41</f>
        <v>0</v>
      </c>
      <c r="AF39" s="16">
        <f>Peak!AF41</f>
        <v>0</v>
      </c>
      <c r="AG39" s="73">
        <f>Peak!AG41</f>
        <v>1.0327999999999999</v>
      </c>
      <c r="AH39" s="16">
        <f>Peak!AH41</f>
        <v>3.4856907813525941</v>
      </c>
      <c r="AI39" s="16">
        <f>Peak!AI41</f>
        <v>3.435358716707023</v>
      </c>
      <c r="AJ39" s="16">
        <f>Peak!AJ41</f>
        <v>0</v>
      </c>
      <c r="AK39" s="16">
        <f>Peak!AK41</f>
        <v>0.48</v>
      </c>
    </row>
    <row r="40" spans="1:38" x14ac:dyDescent="0.2">
      <c r="A40" s="1">
        <f t="shared" si="5"/>
        <v>37482.92700000004</v>
      </c>
      <c r="B40" s="16">
        <f t="shared" si="3"/>
        <v>1.0327999999999999</v>
      </c>
      <c r="C40" s="17">
        <f t="shared" si="0"/>
        <v>10.375508799999999</v>
      </c>
      <c r="D40" s="16">
        <f t="shared" si="4"/>
        <v>0.9192510061648288</v>
      </c>
      <c r="E40" s="16">
        <f t="shared" si="1"/>
        <v>0</v>
      </c>
      <c r="F40" s="16">
        <f t="shared" si="2"/>
        <v>0</v>
      </c>
      <c r="G40" s="19">
        <f>IF(IS!$C$2="Peak","-",SUM(C40:F40))</f>
        <v>11.294759806164828</v>
      </c>
      <c r="H40" s="203">
        <v>2214.6198515256228</v>
      </c>
      <c r="I40" s="203">
        <v>982.19166419557007</v>
      </c>
      <c r="J40" s="203">
        <v>550.78247770454811</v>
      </c>
      <c r="K40" s="203">
        <v>276.99517556332842</v>
      </c>
      <c r="L40" s="203">
        <v>133.31662885966114</v>
      </c>
      <c r="M40" s="203">
        <v>71.63936069653947</v>
      </c>
      <c r="N40" s="203">
        <v>63.940004549254319</v>
      </c>
      <c r="O40" s="203">
        <v>60.980928581600779</v>
      </c>
      <c r="P40" s="203">
        <v>48.641443497059171</v>
      </c>
      <c r="Q40" s="203">
        <v>40.584015886968224</v>
      </c>
      <c r="R40" s="203">
        <v>34.514254406945568</v>
      </c>
      <c r="S40" s="203">
        <v>32.127259208906061</v>
      </c>
      <c r="T40" s="203">
        <v>30.838936311707535</v>
      </c>
      <c r="U40" s="203">
        <v>26.010970736211501</v>
      </c>
      <c r="V40" s="203">
        <v>24.426905224326084</v>
      </c>
      <c r="W40" s="203">
        <v>22.99601096858272</v>
      </c>
      <c r="X40" s="203">
        <v>22.179932264453043</v>
      </c>
      <c r="Y40" s="203">
        <v>21.869864771443179</v>
      </c>
      <c r="Z40" s="203">
        <v>21.616216401319392</v>
      </c>
      <c r="AA40" s="203">
        <v>20.966881061636702</v>
      </c>
      <c r="AB40" s="16">
        <f>Peak!AB42</f>
        <v>0.9192510061648288</v>
      </c>
      <c r="AC40" s="16">
        <f>Peak!AC42</f>
        <v>0</v>
      </c>
      <c r="AD40" s="18">
        <f>Peak!AD42</f>
        <v>218.80258102590736</v>
      </c>
      <c r="AE40" s="18">
        <f>Peak!AE42</f>
        <v>0</v>
      </c>
      <c r="AF40" s="16">
        <f>Peak!AF42</f>
        <v>0</v>
      </c>
      <c r="AG40" s="73">
        <f>Peak!AG42</f>
        <v>1.0327999999999999</v>
      </c>
      <c r="AH40" s="16">
        <f>Peak!AH42</f>
        <v>3.304951259356534</v>
      </c>
      <c r="AI40" s="16">
        <f>Peak!AI42</f>
        <v>3.435358716707023</v>
      </c>
      <c r="AJ40" s="16">
        <f>Peak!AJ42</f>
        <v>0</v>
      </c>
      <c r="AK40" s="16">
        <f>Peak!AK42</f>
        <v>0.48</v>
      </c>
    </row>
    <row r="41" spans="1:38" x14ac:dyDescent="0.2">
      <c r="A41" s="1">
        <f t="shared" si="5"/>
        <v>37513.344000000041</v>
      </c>
      <c r="B41" s="16">
        <f t="shared" si="3"/>
        <v>1.0327999999999999</v>
      </c>
      <c r="C41" s="17">
        <f t="shared" si="0"/>
        <v>10.375508799999999</v>
      </c>
      <c r="D41" s="16">
        <f t="shared" si="4"/>
        <v>0.9207830911751036</v>
      </c>
      <c r="E41" s="16">
        <f t="shared" si="1"/>
        <v>0</v>
      </c>
      <c r="F41" s="16">
        <f t="shared" si="2"/>
        <v>0</v>
      </c>
      <c r="G41" s="19">
        <f>IF(IS!$C$2="Peak","-",SUM(C41:F41))</f>
        <v>11.296291891175102</v>
      </c>
      <c r="H41" s="203">
        <v>456.21662556815892</v>
      </c>
      <c r="I41" s="203">
        <v>267.8990473735762</v>
      </c>
      <c r="J41" s="203">
        <v>197.83923666433392</v>
      </c>
      <c r="K41" s="203">
        <v>63.388434167870216</v>
      </c>
      <c r="L41" s="203">
        <v>46.357745399998016</v>
      </c>
      <c r="M41" s="203">
        <v>40.185146010028582</v>
      </c>
      <c r="N41" s="203">
        <v>36.35859950575739</v>
      </c>
      <c r="O41" s="203">
        <v>35.304665816361684</v>
      </c>
      <c r="P41" s="203">
        <v>32.585080284017629</v>
      </c>
      <c r="Q41" s="203">
        <v>26.652497571820184</v>
      </c>
      <c r="R41" s="203">
        <v>25.073863098392756</v>
      </c>
      <c r="S41" s="203">
        <v>23.836612299808017</v>
      </c>
      <c r="T41" s="203">
        <v>22.050006835328414</v>
      </c>
      <c r="U41" s="203">
        <v>21.186062737084427</v>
      </c>
      <c r="V41" s="203">
        <v>21.116498425392223</v>
      </c>
      <c r="W41" s="203">
        <v>20.771698530267805</v>
      </c>
      <c r="X41" s="203">
        <v>20.362804213127838</v>
      </c>
      <c r="Y41" s="203">
        <v>20.031062025985296</v>
      </c>
      <c r="Z41" s="203">
        <v>19.787734247744858</v>
      </c>
      <c r="AA41" s="203">
        <v>19.347517015117138</v>
      </c>
      <c r="AB41" s="16">
        <f>Peak!AB43</f>
        <v>0.9207830911751036</v>
      </c>
      <c r="AC41" s="16">
        <f>Peak!AC43</f>
        <v>0</v>
      </c>
      <c r="AD41" s="18">
        <f>Peak!AD43</f>
        <v>218.80258102590736</v>
      </c>
      <c r="AE41" s="18">
        <f>Peak!AE43</f>
        <v>0</v>
      </c>
      <c r="AF41" s="16">
        <f>Peak!AF43</f>
        <v>0</v>
      </c>
      <c r="AG41" s="73">
        <f>Peak!AG43</f>
        <v>1.0327999999999999</v>
      </c>
      <c r="AH41" s="16">
        <f>Peak!AH43</f>
        <v>3.2938855743363669</v>
      </c>
      <c r="AI41" s="16">
        <f>Peak!AI43</f>
        <v>3.435358716707023</v>
      </c>
      <c r="AJ41" s="16">
        <f>Peak!AJ43</f>
        <v>0</v>
      </c>
      <c r="AK41" s="16">
        <f>Peak!AK43</f>
        <v>0.48</v>
      </c>
    </row>
    <row r="42" spans="1:38" x14ac:dyDescent="0.2">
      <c r="A42" s="1">
        <f t="shared" si="5"/>
        <v>37543.761000000042</v>
      </c>
      <c r="B42" s="16">
        <f t="shared" si="3"/>
        <v>1.0327999999999999</v>
      </c>
      <c r="C42" s="17">
        <f t="shared" si="0"/>
        <v>10.375508799999999</v>
      </c>
      <c r="D42" s="16">
        <f t="shared" si="4"/>
        <v>0.92231772966039549</v>
      </c>
      <c r="E42" s="16">
        <f t="shared" si="1"/>
        <v>0</v>
      </c>
      <c r="F42" s="16">
        <f t="shared" si="2"/>
        <v>0</v>
      </c>
      <c r="G42" s="19">
        <f>IF(IS!$C$2="Peak","-",SUM(C42:F42))</f>
        <v>11.297826529660394</v>
      </c>
      <c r="H42" s="203">
        <v>57.006142922524738</v>
      </c>
      <c r="I42" s="203">
        <v>56.040761732617263</v>
      </c>
      <c r="J42" s="203">
        <v>54.740886369632719</v>
      </c>
      <c r="K42" s="203">
        <v>52.62768407506006</v>
      </c>
      <c r="L42" s="203">
        <v>50.217795242768652</v>
      </c>
      <c r="M42" s="203">
        <v>48.76559951993525</v>
      </c>
      <c r="N42" s="203">
        <v>48.638725296568417</v>
      </c>
      <c r="O42" s="203">
        <v>45.683376491748547</v>
      </c>
      <c r="P42" s="203">
        <v>36.688748232550807</v>
      </c>
      <c r="Q42" s="203">
        <v>34.365545523634452</v>
      </c>
      <c r="R42" s="203">
        <v>28.906273685521207</v>
      </c>
      <c r="S42" s="203">
        <v>28.333261203807076</v>
      </c>
      <c r="T42" s="203">
        <v>27.231769522040128</v>
      </c>
      <c r="U42" s="203">
        <v>26.240079571408636</v>
      </c>
      <c r="V42" s="203">
        <v>24.750438797629815</v>
      </c>
      <c r="W42" s="203">
        <v>23.682460652555424</v>
      </c>
      <c r="X42" s="203">
        <v>23.035655624432707</v>
      </c>
      <c r="Y42" s="203">
        <v>22.43229591980225</v>
      </c>
      <c r="Z42" s="203">
        <v>22.126096747118428</v>
      </c>
      <c r="AA42" s="203">
        <v>21.579800289647636</v>
      </c>
      <c r="AB42" s="16">
        <f>Peak!AB44</f>
        <v>0.92231772966039549</v>
      </c>
      <c r="AC42" s="16">
        <f>Peak!AC44</f>
        <v>0</v>
      </c>
      <c r="AD42" s="18">
        <f>Peak!AD44</f>
        <v>218.80258102590736</v>
      </c>
      <c r="AE42" s="18">
        <f>Peak!AE44</f>
        <v>0</v>
      </c>
      <c r="AF42" s="16">
        <f>Peak!AF44</f>
        <v>0</v>
      </c>
      <c r="AG42" s="73">
        <f>Peak!AG44</f>
        <v>1.0327999999999999</v>
      </c>
      <c r="AH42" s="16">
        <f>Peak!AH44</f>
        <v>3.6479874949817095</v>
      </c>
      <c r="AI42" s="16">
        <f>Peak!AI44</f>
        <v>3.435358716707023</v>
      </c>
      <c r="AJ42" s="16">
        <f>Peak!AJ44</f>
        <v>0</v>
      </c>
      <c r="AK42" s="16">
        <f>Peak!AK44</f>
        <v>0.48</v>
      </c>
    </row>
    <row r="43" spans="1:38" x14ac:dyDescent="0.2">
      <c r="A43" s="1">
        <f t="shared" si="5"/>
        <v>37574.178000000044</v>
      </c>
      <c r="B43" s="16">
        <f t="shared" si="3"/>
        <v>1.0327999999999999</v>
      </c>
      <c r="C43" s="17">
        <f t="shared" si="0"/>
        <v>10.375508799999999</v>
      </c>
      <c r="D43" s="16">
        <f t="shared" si="4"/>
        <v>0.9238549258764962</v>
      </c>
      <c r="E43" s="16">
        <f t="shared" si="1"/>
        <v>0</v>
      </c>
      <c r="F43" s="16">
        <f t="shared" si="2"/>
        <v>0</v>
      </c>
      <c r="G43" s="19">
        <f>IF(IS!$C$2="Peak","-",SUM(C43:F43))</f>
        <v>11.299363725876495</v>
      </c>
      <c r="H43" s="203">
        <v>81.719667091237312</v>
      </c>
      <c r="I43" s="203">
        <v>70.159320331937181</v>
      </c>
      <c r="J43" s="203">
        <v>67.095752685073052</v>
      </c>
      <c r="K43" s="203">
        <v>63.853907515457706</v>
      </c>
      <c r="L43" s="203">
        <v>59.803205265538168</v>
      </c>
      <c r="M43" s="203">
        <v>58.007957767646047</v>
      </c>
      <c r="N43" s="203">
        <v>56.982965979184243</v>
      </c>
      <c r="O43" s="203">
        <v>47.962078826274947</v>
      </c>
      <c r="P43" s="203">
        <v>40.67215677369326</v>
      </c>
      <c r="Q43" s="203">
        <v>33.46691003161763</v>
      </c>
      <c r="R43" s="203">
        <v>32.585813980086577</v>
      </c>
      <c r="S43" s="203">
        <v>29.625966433836272</v>
      </c>
      <c r="T43" s="203">
        <v>29.625966433836272</v>
      </c>
      <c r="U43" s="203">
        <v>29.541670909900702</v>
      </c>
      <c r="V43" s="203">
        <v>29.299400375655477</v>
      </c>
      <c r="W43" s="203">
        <v>24.080534054725973</v>
      </c>
      <c r="X43" s="203">
        <v>22.759920017739283</v>
      </c>
      <c r="Y43" s="203">
        <v>21.531707394619289</v>
      </c>
      <c r="Z43" s="203">
        <v>20.647493928612192</v>
      </c>
      <c r="AA43" s="203">
        <v>19.695587829446993</v>
      </c>
      <c r="AB43" s="16">
        <f>Peak!AB45</f>
        <v>0.9238549258764962</v>
      </c>
      <c r="AC43" s="16">
        <f>Peak!AC45</f>
        <v>0</v>
      </c>
      <c r="AD43" s="18">
        <f>Peak!AD45</f>
        <v>218.80258102590736</v>
      </c>
      <c r="AE43" s="18">
        <f>Peak!AE45</f>
        <v>0</v>
      </c>
      <c r="AF43" s="16">
        <f>Peak!AF45</f>
        <v>0</v>
      </c>
      <c r="AG43" s="73">
        <f>Peak!AG45</f>
        <v>1.0327999999999999</v>
      </c>
      <c r="AH43" s="16">
        <f>Peak!AH45</f>
        <v>3.9947122922802745</v>
      </c>
      <c r="AI43" s="16">
        <f>Peak!AI45</f>
        <v>3.7246520823244564</v>
      </c>
      <c r="AJ43" s="16">
        <f>Peak!AJ45</f>
        <v>0</v>
      </c>
      <c r="AK43" s="16">
        <f>Peak!AK45</f>
        <v>0.48</v>
      </c>
    </row>
    <row r="44" spans="1:38" x14ac:dyDescent="0.2">
      <c r="A44" s="1">
        <f t="shared" si="5"/>
        <v>37604.595000000045</v>
      </c>
      <c r="B44" s="16">
        <f t="shared" si="3"/>
        <v>1.0327999999999999</v>
      </c>
      <c r="C44" s="17">
        <f t="shared" si="0"/>
        <v>10.375508799999999</v>
      </c>
      <c r="D44" s="16">
        <f t="shared" si="4"/>
        <v>0.92539468408629044</v>
      </c>
      <c r="E44" s="16">
        <f t="shared" si="1"/>
        <v>0</v>
      </c>
      <c r="F44" s="16">
        <f t="shared" si="2"/>
        <v>0</v>
      </c>
      <c r="G44" s="19">
        <f>IF(IS!$C$2="Peak","-",SUM(C44:F44))</f>
        <v>11.300903484086289</v>
      </c>
      <c r="H44" s="203">
        <v>84.119426862222653</v>
      </c>
      <c r="I44" s="203">
        <v>76.12353258684513</v>
      </c>
      <c r="J44" s="203">
        <v>74.332274868709035</v>
      </c>
      <c r="K44" s="203">
        <v>70.884443720119123</v>
      </c>
      <c r="L44" s="203">
        <v>66.727670262545445</v>
      </c>
      <c r="M44" s="203">
        <v>65.032198740499382</v>
      </c>
      <c r="N44" s="203">
        <v>64.493876889460211</v>
      </c>
      <c r="O44" s="203">
        <v>59.244323721414652</v>
      </c>
      <c r="P44" s="203">
        <v>46.97174242695845</v>
      </c>
      <c r="Q44" s="203">
        <v>42.887291263159092</v>
      </c>
      <c r="R44" s="203">
        <v>37.014647076443147</v>
      </c>
      <c r="S44" s="203">
        <v>35.625733349195443</v>
      </c>
      <c r="T44" s="203">
        <v>26.8157386494157</v>
      </c>
      <c r="U44" s="203">
        <v>25.728933776355788</v>
      </c>
      <c r="V44" s="203">
        <v>24.002608701604075</v>
      </c>
      <c r="W44" s="203">
        <v>22.776321447061623</v>
      </c>
      <c r="X44" s="203">
        <v>22.22656526514379</v>
      </c>
      <c r="Y44" s="203">
        <v>21.819644030236663</v>
      </c>
      <c r="Z44" s="203">
        <v>21.46613043327919</v>
      </c>
      <c r="AA44" s="203">
        <v>20.856624001489145</v>
      </c>
      <c r="AB44" s="16">
        <f>Peak!AB46</f>
        <v>0.92539468408629044</v>
      </c>
      <c r="AC44" s="16">
        <f>Peak!AC46</f>
        <v>0</v>
      </c>
      <c r="AD44" s="18">
        <f>Peak!AD46</f>
        <v>218.80258102590736</v>
      </c>
      <c r="AE44" s="18">
        <f>Peak!AE46</f>
        <v>0</v>
      </c>
      <c r="AF44" s="16">
        <f>Peak!AF46</f>
        <v>0</v>
      </c>
      <c r="AG44" s="73">
        <f>Peak!AG46</f>
        <v>1.0327999999999999</v>
      </c>
      <c r="AH44" s="16">
        <f>Peak!AH46</f>
        <v>4.3229942812118942</v>
      </c>
      <c r="AI44" s="16">
        <f>Peak!AI46</f>
        <v>3.9054604358353529</v>
      </c>
      <c r="AJ44" s="16">
        <f>Peak!AJ46</f>
        <v>0</v>
      </c>
      <c r="AK44" s="16">
        <f>Peak!AK46</f>
        <v>0.48</v>
      </c>
    </row>
    <row r="45" spans="1:38" x14ac:dyDescent="0.2">
      <c r="A45" s="1">
        <f t="shared" si="5"/>
        <v>37635.012000000046</v>
      </c>
      <c r="B45" s="16">
        <f t="shared" si="3"/>
        <v>1.0227999999999999</v>
      </c>
      <c r="C45" s="17">
        <f t="shared" si="0"/>
        <v>10.275048799999999</v>
      </c>
      <c r="D45" s="16">
        <f t="shared" si="4"/>
        <v>0.92693700855976768</v>
      </c>
      <c r="E45" s="16">
        <f t="shared" si="1"/>
        <v>0</v>
      </c>
      <c r="F45" s="16">
        <f t="shared" si="2"/>
        <v>0</v>
      </c>
      <c r="G45" s="19">
        <f>IF(IS!$C$2="Peak","-",SUM(C45:F45))</f>
        <v>11.201985808559765</v>
      </c>
      <c r="H45" s="203">
        <v>74.028231842640821</v>
      </c>
      <c r="I45" s="203">
        <v>71.633993864981036</v>
      </c>
      <c r="J45" s="203">
        <v>66.883973322967805</v>
      </c>
      <c r="K45" s="203">
        <v>60.321597098039646</v>
      </c>
      <c r="L45" s="203">
        <v>55.062612679049195</v>
      </c>
      <c r="M45" s="203">
        <v>52.480110542031355</v>
      </c>
      <c r="N45" s="203">
        <v>49.328971455208524</v>
      </c>
      <c r="O45" s="203">
        <v>48.897765739432565</v>
      </c>
      <c r="P45" s="203">
        <v>47.513146539933118</v>
      </c>
      <c r="Q45" s="203">
        <v>37.361930008329139</v>
      </c>
      <c r="R45" s="203">
        <v>35.57364104503786</v>
      </c>
      <c r="S45" s="203">
        <v>34.931762563240625</v>
      </c>
      <c r="T45" s="203">
        <v>27.888519862783046</v>
      </c>
      <c r="U45" s="203">
        <v>25.602155362477049</v>
      </c>
      <c r="V45" s="203">
        <v>25.421649063098961</v>
      </c>
      <c r="W45" s="203">
        <v>25.018727472501162</v>
      </c>
      <c r="X45" s="203">
        <v>23.995763829819953</v>
      </c>
      <c r="Y45" s="203">
        <v>23.190517805433011</v>
      </c>
      <c r="Z45" s="203">
        <v>22.123427149241571</v>
      </c>
      <c r="AA45" s="203">
        <v>21.031465550528427</v>
      </c>
      <c r="AB45" s="16">
        <f>Peak!AB47</f>
        <v>0.92693700855976768</v>
      </c>
      <c r="AC45" s="16">
        <f>Peak!AC47</f>
        <v>0</v>
      </c>
      <c r="AD45" s="18">
        <f>Peak!AD47</f>
        <v>240.4080539178627</v>
      </c>
      <c r="AE45" s="18">
        <f>Peak!AE47</f>
        <v>4274.5039754649742</v>
      </c>
      <c r="AF45" s="16">
        <f>Peak!AF47</f>
        <v>0</v>
      </c>
      <c r="AG45" s="73">
        <f>Peak!AG47</f>
        <v>1.0227999999999999</v>
      </c>
      <c r="AH45" s="16">
        <f>Peak!AH47</f>
        <v>3.9896555363352655</v>
      </c>
      <c r="AI45" s="16">
        <f>Peak!AI47</f>
        <v>3.808396097560975</v>
      </c>
      <c r="AJ45" s="16">
        <f>Peak!AJ47</f>
        <v>0</v>
      </c>
      <c r="AK45" s="16">
        <f>Peak!AK47</f>
        <v>7.2000000000000008E-2</v>
      </c>
      <c r="AL45" s="4"/>
    </row>
    <row r="46" spans="1:38" x14ac:dyDescent="0.2">
      <c r="A46" s="1">
        <f t="shared" si="5"/>
        <v>37665.429000000047</v>
      </c>
      <c r="B46" s="16">
        <f t="shared" si="3"/>
        <v>1.0227999999999999</v>
      </c>
      <c r="C46" s="17">
        <f t="shared" si="0"/>
        <v>10.275048799999999</v>
      </c>
      <c r="D46" s="16">
        <f t="shared" si="4"/>
        <v>0.92848190357403404</v>
      </c>
      <c r="E46" s="16">
        <f t="shared" si="1"/>
        <v>0</v>
      </c>
      <c r="F46" s="16">
        <f t="shared" si="2"/>
        <v>0</v>
      </c>
      <c r="G46" s="19">
        <f>IF(IS!$C$2="Peak","-",SUM(C46:F46))</f>
        <v>11.203530703574033</v>
      </c>
      <c r="H46" s="203">
        <v>117.50502983162259</v>
      </c>
      <c r="I46" s="203">
        <v>73.056560333132126</v>
      </c>
      <c r="J46" s="203">
        <v>64.707655712366389</v>
      </c>
      <c r="K46" s="203">
        <v>59.587951919959515</v>
      </c>
      <c r="L46" s="203">
        <v>57.049526657934145</v>
      </c>
      <c r="M46" s="203">
        <v>53.974672035976383</v>
      </c>
      <c r="N46" s="203">
        <v>51.143237675113873</v>
      </c>
      <c r="O46" s="203">
        <v>50.902569355894421</v>
      </c>
      <c r="P46" s="203">
        <v>46.256806556604104</v>
      </c>
      <c r="Q46" s="203">
        <v>36.717227987826099</v>
      </c>
      <c r="R46" s="203">
        <v>31.825957338689449</v>
      </c>
      <c r="S46" s="203">
        <v>29.579854489679825</v>
      </c>
      <c r="T46" s="203">
        <v>27.310203818911244</v>
      </c>
      <c r="U46" s="203">
        <v>25.319175204033961</v>
      </c>
      <c r="V46" s="203">
        <v>24.456729162346843</v>
      </c>
      <c r="W46" s="203">
        <v>23.212075497993908</v>
      </c>
      <c r="X46" s="203">
        <v>22.735601559567971</v>
      </c>
      <c r="Y46" s="203">
        <v>22.327077911242728</v>
      </c>
      <c r="Z46" s="203">
        <v>21.926088590252714</v>
      </c>
      <c r="AA46" s="203">
        <v>21.439021540675689</v>
      </c>
      <c r="AB46" s="16">
        <f>Peak!AB48</f>
        <v>0.92848190357403404</v>
      </c>
      <c r="AC46" s="16">
        <f>Peak!AC48</f>
        <v>0</v>
      </c>
      <c r="AD46" s="18">
        <f>Peak!AD48</f>
        <v>240.4080539178627</v>
      </c>
      <c r="AE46" s="18">
        <f>Peak!AE48</f>
        <v>4274.5039754649742</v>
      </c>
      <c r="AF46" s="16">
        <f>Peak!AF48</f>
        <v>0</v>
      </c>
      <c r="AG46" s="73">
        <f>Peak!AG48</f>
        <v>1.0227999999999999</v>
      </c>
      <c r="AH46" s="16">
        <f>Peak!AH48</f>
        <v>3.5758348823004904</v>
      </c>
      <c r="AI46" s="16">
        <f>Peak!AI48</f>
        <v>3.7731331707317071</v>
      </c>
      <c r="AJ46" s="16">
        <f>Peak!AJ48</f>
        <v>0</v>
      </c>
      <c r="AK46" s="16">
        <f>Peak!AK48</f>
        <v>7.2000000000000008E-2</v>
      </c>
      <c r="AL46" s="4"/>
    </row>
    <row r="47" spans="1:38" x14ac:dyDescent="0.2">
      <c r="A47" s="1">
        <f t="shared" si="5"/>
        <v>37695.846000000049</v>
      </c>
      <c r="B47" s="16">
        <f t="shared" si="3"/>
        <v>1.0227999999999999</v>
      </c>
      <c r="C47" s="17">
        <f t="shared" si="0"/>
        <v>10.275048799999999</v>
      </c>
      <c r="D47" s="16">
        <f t="shared" si="4"/>
        <v>0.93002937341332415</v>
      </c>
      <c r="E47" s="16">
        <f t="shared" si="1"/>
        <v>0</v>
      </c>
      <c r="F47" s="16">
        <f t="shared" si="2"/>
        <v>0</v>
      </c>
      <c r="G47" s="19">
        <f>IF(IS!$C$2="Peak","-",SUM(C47:F47))</f>
        <v>11.205078173413323</v>
      </c>
      <c r="H47" s="203">
        <v>79.200863106730282</v>
      </c>
      <c r="I47" s="203">
        <v>70.213735561138677</v>
      </c>
      <c r="J47" s="203">
        <v>62.347127630750776</v>
      </c>
      <c r="K47" s="203">
        <v>59.974670810236979</v>
      </c>
      <c r="L47" s="203">
        <v>57.287550027261908</v>
      </c>
      <c r="M47" s="203">
        <v>53.710844545722281</v>
      </c>
      <c r="N47" s="203">
        <v>53.103338445906381</v>
      </c>
      <c r="O47" s="203">
        <v>51.9983722885178</v>
      </c>
      <c r="P47" s="203">
        <v>45.252404931858834</v>
      </c>
      <c r="Q47" s="203">
        <v>37.602507522029136</v>
      </c>
      <c r="R47" s="203">
        <v>34.219566952446208</v>
      </c>
      <c r="S47" s="203">
        <v>30.655113837816739</v>
      </c>
      <c r="T47" s="203">
        <v>30.480109483427547</v>
      </c>
      <c r="U47" s="203">
        <v>27.377428571776974</v>
      </c>
      <c r="V47" s="203">
        <v>26.373578806429645</v>
      </c>
      <c r="W47" s="203">
        <v>25.455681414833656</v>
      </c>
      <c r="X47" s="203">
        <v>24.169747935253728</v>
      </c>
      <c r="Y47" s="203">
        <v>23.707990701041744</v>
      </c>
      <c r="Z47" s="203">
        <v>23.163111857270806</v>
      </c>
      <c r="AA47" s="203">
        <v>22.525068739664277</v>
      </c>
      <c r="AB47" s="16">
        <f>Peak!AB49</f>
        <v>0.93002937341332415</v>
      </c>
      <c r="AC47" s="16">
        <f>Peak!AC49</f>
        <v>0</v>
      </c>
      <c r="AD47" s="18">
        <f>Peak!AD49</f>
        <v>240.4080539178627</v>
      </c>
      <c r="AE47" s="18">
        <f>Peak!AE49</f>
        <v>4274.5039754649742</v>
      </c>
      <c r="AF47" s="16">
        <f>Peak!AF49</f>
        <v>0</v>
      </c>
      <c r="AG47" s="73">
        <f>Peak!AG49</f>
        <v>1.0227999999999999</v>
      </c>
      <c r="AH47" s="16">
        <f>Peak!AH49</f>
        <v>3.5157070949621048</v>
      </c>
      <c r="AI47" s="16">
        <f>Peak!AI49</f>
        <v>3.6320814634146337</v>
      </c>
      <c r="AJ47" s="16">
        <f>Peak!AJ49</f>
        <v>0</v>
      </c>
      <c r="AK47" s="16">
        <f>Peak!AK49</f>
        <v>7.2000000000000008E-2</v>
      </c>
      <c r="AL47" s="4"/>
    </row>
    <row r="48" spans="1:38" x14ac:dyDescent="0.2">
      <c r="A48" s="1">
        <f t="shared" si="5"/>
        <v>37726.26300000005</v>
      </c>
      <c r="B48" s="16">
        <f t="shared" si="3"/>
        <v>1.0227999999999999</v>
      </c>
      <c r="C48" s="17">
        <f t="shared" si="0"/>
        <v>10.275048799999999</v>
      </c>
      <c r="D48" s="16">
        <f t="shared" si="4"/>
        <v>0.93157942236901303</v>
      </c>
      <c r="E48" s="16">
        <f t="shared" si="1"/>
        <v>0</v>
      </c>
      <c r="F48" s="16">
        <f t="shared" si="2"/>
        <v>0</v>
      </c>
      <c r="G48" s="19">
        <f>IF(IS!$C$2="Peak","-",SUM(C48:F48))</f>
        <v>11.206628222369012</v>
      </c>
      <c r="H48" s="203">
        <v>63.677584810919441</v>
      </c>
      <c r="I48" s="203">
        <v>63.677584810919441</v>
      </c>
      <c r="J48" s="203">
        <v>63.227961110744914</v>
      </c>
      <c r="K48" s="203">
        <v>59.634810729951781</v>
      </c>
      <c r="L48" s="203">
        <v>49.736984622867716</v>
      </c>
      <c r="M48" s="203">
        <v>42.408531692128804</v>
      </c>
      <c r="N48" s="203">
        <v>37.733638968158537</v>
      </c>
      <c r="O48" s="203">
        <v>34.713776986132764</v>
      </c>
      <c r="P48" s="203">
        <v>32.395204863624528</v>
      </c>
      <c r="Q48" s="203">
        <v>32.395204863624528</v>
      </c>
      <c r="R48" s="203">
        <v>32.395204863624528</v>
      </c>
      <c r="S48" s="203">
        <v>30.032329990683291</v>
      </c>
      <c r="T48" s="203">
        <v>26.478946976939628</v>
      </c>
      <c r="U48" s="203">
        <v>25.801155027575781</v>
      </c>
      <c r="V48" s="203">
        <v>24.599634890927209</v>
      </c>
      <c r="W48" s="203">
        <v>23.794887999960469</v>
      </c>
      <c r="X48" s="203">
        <v>23.437162086970655</v>
      </c>
      <c r="Y48" s="203">
        <v>23.078756290729139</v>
      </c>
      <c r="Z48" s="203">
        <v>22.82259669896926</v>
      </c>
      <c r="AA48" s="203">
        <v>22.325350075265384</v>
      </c>
      <c r="AB48" s="16">
        <f>Peak!AB50</f>
        <v>0.93157942236901303</v>
      </c>
      <c r="AC48" s="16">
        <f>Peak!AC50</f>
        <v>0</v>
      </c>
      <c r="AD48" s="18">
        <f>Peak!AD50</f>
        <v>240.4080539178627</v>
      </c>
      <c r="AE48" s="18">
        <f>Peak!AE50</f>
        <v>4274.5039754649742</v>
      </c>
      <c r="AF48" s="16">
        <f>Peak!AF50</f>
        <v>0</v>
      </c>
      <c r="AG48" s="73">
        <f>Peak!AG50</f>
        <v>1.0227999999999999</v>
      </c>
      <c r="AH48" s="16">
        <f>Peak!AH50</f>
        <v>3.342397590280874</v>
      </c>
      <c r="AI48" s="16">
        <f>Peak!AI50</f>
        <v>3.4910297560975603</v>
      </c>
      <c r="AJ48" s="16">
        <f>Peak!AJ50</f>
        <v>0</v>
      </c>
      <c r="AK48" s="16">
        <f>Peak!AK50</f>
        <v>7.2000000000000008E-2</v>
      </c>
      <c r="AL48" s="4"/>
    </row>
    <row r="49" spans="1:38" x14ac:dyDescent="0.2">
      <c r="A49" s="1">
        <f t="shared" si="5"/>
        <v>37756.680000000051</v>
      </c>
      <c r="B49" s="16">
        <f t="shared" si="3"/>
        <v>1.0227999999999999</v>
      </c>
      <c r="C49" s="17">
        <f t="shared" si="0"/>
        <v>10.275048799999999</v>
      </c>
      <c r="D49" s="16">
        <f t="shared" si="4"/>
        <v>0.93313205473962813</v>
      </c>
      <c r="E49" s="16">
        <f t="shared" si="1"/>
        <v>0</v>
      </c>
      <c r="F49" s="16">
        <f t="shared" si="2"/>
        <v>1.5459000097507611</v>
      </c>
      <c r="G49" s="19">
        <f>IF(IS!$C$2="Peak","-",SUM(C49:F49))</f>
        <v>12.754080864490389</v>
      </c>
      <c r="H49" s="203">
        <v>78.432296188507138</v>
      </c>
      <c r="I49" s="203">
        <v>72.178618729435158</v>
      </c>
      <c r="J49" s="203">
        <v>68.71995139670878</v>
      </c>
      <c r="K49" s="203">
        <v>64.194505496564858</v>
      </c>
      <c r="L49" s="203">
        <v>60.138395340018391</v>
      </c>
      <c r="M49" s="203">
        <v>58.227973052312812</v>
      </c>
      <c r="N49" s="203">
        <v>56.703802578782145</v>
      </c>
      <c r="O49" s="203">
        <v>43.482140808795748</v>
      </c>
      <c r="P49" s="203">
        <v>38.794790561262481</v>
      </c>
      <c r="Q49" s="203">
        <v>33.537844081419777</v>
      </c>
      <c r="R49" s="203">
        <v>33.332377150933503</v>
      </c>
      <c r="S49" s="203">
        <v>32.062747245659502</v>
      </c>
      <c r="T49" s="203">
        <v>30.062367550673311</v>
      </c>
      <c r="U49" s="203">
        <v>28.780648233385659</v>
      </c>
      <c r="V49" s="203">
        <v>28.484845063347358</v>
      </c>
      <c r="W49" s="203">
        <v>27.867135492491499</v>
      </c>
      <c r="X49" s="203">
        <v>27.19156344132492</v>
      </c>
      <c r="Y49" s="203">
        <v>26.748298290299051</v>
      </c>
      <c r="Z49" s="203">
        <v>26.315433229657284</v>
      </c>
      <c r="AA49" s="203">
        <v>25.618611554271897</v>
      </c>
      <c r="AB49" s="16">
        <f>Peak!AB51</f>
        <v>0.93313205473962813</v>
      </c>
      <c r="AC49" s="16">
        <f>Peak!AC51</f>
        <v>0</v>
      </c>
      <c r="AD49" s="18">
        <f>Peak!AD51</f>
        <v>240.4080539178627</v>
      </c>
      <c r="AE49" s="18">
        <f>Peak!AE51</f>
        <v>4274.5039754649742</v>
      </c>
      <c r="AF49" s="16">
        <f>Peak!AF51</f>
        <v>1</v>
      </c>
      <c r="AG49" s="73">
        <f>Peak!AG51</f>
        <v>1.0227999999999999</v>
      </c>
      <c r="AH49" s="16">
        <f>Peak!AH51</f>
        <v>3.5192440236290685</v>
      </c>
      <c r="AI49" s="16">
        <f>Peak!AI51</f>
        <v>3.3499780487804869</v>
      </c>
      <c r="AJ49" s="16">
        <f>Peak!AJ51</f>
        <v>0</v>
      </c>
      <c r="AK49" s="16">
        <f>Peak!AK51</f>
        <v>7.2000000000000008E-2</v>
      </c>
      <c r="AL49" s="4"/>
    </row>
    <row r="50" spans="1:38" x14ac:dyDescent="0.2">
      <c r="A50" s="1">
        <f t="shared" si="5"/>
        <v>37787.097000000053</v>
      </c>
      <c r="B50" s="16">
        <f t="shared" si="3"/>
        <v>1.0227999999999999</v>
      </c>
      <c r="C50" s="17">
        <f t="shared" si="0"/>
        <v>10.275048799999999</v>
      </c>
      <c r="D50" s="16">
        <f t="shared" si="4"/>
        <v>0.93468727483086089</v>
      </c>
      <c r="E50" s="16">
        <f t="shared" si="1"/>
        <v>0</v>
      </c>
      <c r="F50" s="16">
        <f t="shared" si="2"/>
        <v>1.5459000097507611</v>
      </c>
      <c r="G50" s="19">
        <f>IF(IS!$C$2="Peak","-",SUM(C50:F50))</f>
        <v>12.755636084581621</v>
      </c>
      <c r="H50" s="203">
        <v>279.59627063945044</v>
      </c>
      <c r="I50" s="203">
        <v>193.6508018465415</v>
      </c>
      <c r="J50" s="203">
        <v>107.37453031660434</v>
      </c>
      <c r="K50" s="203">
        <v>76.682479313998471</v>
      </c>
      <c r="L50" s="203">
        <v>65.02490680262089</v>
      </c>
      <c r="M50" s="203">
        <v>59.053872167654774</v>
      </c>
      <c r="N50" s="203">
        <v>54.082517147956608</v>
      </c>
      <c r="O50" s="203">
        <v>51.531831289566746</v>
      </c>
      <c r="P50" s="203">
        <v>40.10804114935943</v>
      </c>
      <c r="Q50" s="203">
        <v>39.016987895921353</v>
      </c>
      <c r="R50" s="203">
        <v>36.684863557543324</v>
      </c>
      <c r="S50" s="203">
        <v>31.676910024665471</v>
      </c>
      <c r="T50" s="203">
        <v>29.891593867077614</v>
      </c>
      <c r="U50" s="203">
        <v>29.150394411199365</v>
      </c>
      <c r="V50" s="203">
        <v>28.47227833759786</v>
      </c>
      <c r="W50" s="203">
        <v>28.045054302138315</v>
      </c>
      <c r="X50" s="203">
        <v>27.306433639772123</v>
      </c>
      <c r="Y50" s="203">
        <v>26.718820062353704</v>
      </c>
      <c r="Z50" s="203">
        <v>26.02802640624904</v>
      </c>
      <c r="AA50" s="203">
        <v>24.456340317409929</v>
      </c>
      <c r="AB50" s="16">
        <f>Peak!AB52</f>
        <v>0.93468727483086089</v>
      </c>
      <c r="AC50" s="16">
        <f>Peak!AC52</f>
        <v>0</v>
      </c>
      <c r="AD50" s="18">
        <f>Peak!AD52</f>
        <v>240.4080539178627</v>
      </c>
      <c r="AE50" s="18">
        <f>Peak!AE52</f>
        <v>4274.5039754649742</v>
      </c>
      <c r="AF50" s="16">
        <f>Peak!AF52</f>
        <v>1</v>
      </c>
      <c r="AG50" s="73">
        <f>Peak!AG52</f>
        <v>1.0227999999999999</v>
      </c>
      <c r="AH50" s="16">
        <f>Peak!AH52</f>
        <v>3.3530083762817657</v>
      </c>
      <c r="AI50" s="16">
        <f>Peak!AI52</f>
        <v>3.3499780487804869</v>
      </c>
      <c r="AJ50" s="16">
        <f>Peak!AJ52</f>
        <v>0</v>
      </c>
      <c r="AK50" s="16">
        <f>Peak!AK52</f>
        <v>7.2000000000000008E-2</v>
      </c>
      <c r="AL50" s="4"/>
    </row>
    <row r="51" spans="1:38" x14ac:dyDescent="0.2">
      <c r="A51" s="1">
        <f t="shared" si="5"/>
        <v>37817.514000000054</v>
      </c>
      <c r="B51" s="16">
        <f t="shared" si="3"/>
        <v>1.0227999999999999</v>
      </c>
      <c r="C51" s="17">
        <f t="shared" si="0"/>
        <v>10.275048799999999</v>
      </c>
      <c r="D51" s="16">
        <f t="shared" si="4"/>
        <v>0.93624508695557906</v>
      </c>
      <c r="E51" s="16">
        <f t="shared" si="1"/>
        <v>0</v>
      </c>
      <c r="F51" s="16">
        <f t="shared" si="2"/>
        <v>1.5459000097507611</v>
      </c>
      <c r="G51" s="19">
        <f>IF(IS!$C$2="Peak","-",SUM(C51:F51))</f>
        <v>12.757193896706339</v>
      </c>
      <c r="H51" s="203">
        <v>859.48305581503337</v>
      </c>
      <c r="I51" s="203">
        <v>473.70757579450583</v>
      </c>
      <c r="J51" s="203">
        <v>303.81592564862189</v>
      </c>
      <c r="K51" s="203">
        <v>195.49377956891368</v>
      </c>
      <c r="L51" s="203">
        <v>89.589284251866331</v>
      </c>
      <c r="M51" s="203">
        <v>72.669109214856292</v>
      </c>
      <c r="N51" s="203">
        <v>60.105336207781669</v>
      </c>
      <c r="O51" s="203">
        <v>54.954947032173145</v>
      </c>
      <c r="P51" s="203">
        <v>52.453711459269151</v>
      </c>
      <c r="Q51" s="203">
        <v>49.707123249122397</v>
      </c>
      <c r="R51" s="203">
        <v>40.871302295451848</v>
      </c>
      <c r="S51" s="203">
        <v>39.494409235647332</v>
      </c>
      <c r="T51" s="203">
        <v>37.184011116541541</v>
      </c>
      <c r="U51" s="203">
        <v>35.206004824571117</v>
      </c>
      <c r="V51" s="203">
        <v>33.245676000666904</v>
      </c>
      <c r="W51" s="203">
        <v>31.704321493295758</v>
      </c>
      <c r="X51" s="203">
        <v>30.922816019176555</v>
      </c>
      <c r="Y51" s="203">
        <v>30.418036437875909</v>
      </c>
      <c r="Z51" s="203">
        <v>29.72400936899724</v>
      </c>
      <c r="AA51" s="203">
        <v>27.395895579734667</v>
      </c>
      <c r="AB51" s="16">
        <f>Peak!AB53</f>
        <v>0.93624508695557906</v>
      </c>
      <c r="AC51" s="16">
        <f>Peak!AC53</f>
        <v>0</v>
      </c>
      <c r="AD51" s="18">
        <f>Peak!AD53</f>
        <v>240.4080539178627</v>
      </c>
      <c r="AE51" s="18">
        <f>Peak!AE53</f>
        <v>4274.5039754649742</v>
      </c>
      <c r="AF51" s="16">
        <f>Peak!AF53</f>
        <v>1</v>
      </c>
      <c r="AG51" s="73">
        <f>Peak!AG53</f>
        <v>1.0227999999999999</v>
      </c>
      <c r="AH51" s="16">
        <f>Peak!AH53</f>
        <v>3.342397590280874</v>
      </c>
      <c r="AI51" s="16">
        <f>Peak!AI53</f>
        <v>3.3499780487804869</v>
      </c>
      <c r="AJ51" s="16">
        <f>Peak!AJ53</f>
        <v>0</v>
      </c>
      <c r="AK51" s="16">
        <f>Peak!AK53</f>
        <v>7.2000000000000008E-2</v>
      </c>
      <c r="AL51" s="4"/>
    </row>
    <row r="52" spans="1:38" x14ac:dyDescent="0.2">
      <c r="A52" s="1">
        <f t="shared" si="5"/>
        <v>37847.931000000055</v>
      </c>
      <c r="B52" s="16">
        <f t="shared" si="3"/>
        <v>1.0227999999999999</v>
      </c>
      <c r="C52" s="17">
        <f t="shared" si="0"/>
        <v>10.275048799999999</v>
      </c>
      <c r="D52" s="16">
        <f t="shared" si="4"/>
        <v>0.9378054954338384</v>
      </c>
      <c r="E52" s="16">
        <f t="shared" si="1"/>
        <v>0</v>
      </c>
      <c r="F52" s="16">
        <f t="shared" si="2"/>
        <v>1.5459000097507611</v>
      </c>
      <c r="G52" s="19">
        <f>IF(IS!$C$2="Peak","-",SUM(C52:F52))</f>
        <v>12.758754305184599</v>
      </c>
      <c r="H52" s="203">
        <v>1783.4584120462423</v>
      </c>
      <c r="I52" s="203">
        <v>821.600196973626</v>
      </c>
      <c r="J52" s="203">
        <v>477.67586208541707</v>
      </c>
      <c r="K52" s="203">
        <v>247.96854478524637</v>
      </c>
      <c r="L52" s="203">
        <v>150.1364155822242</v>
      </c>
      <c r="M52" s="203">
        <v>91.064805553063309</v>
      </c>
      <c r="N52" s="203">
        <v>78.348591394381501</v>
      </c>
      <c r="O52" s="203">
        <v>72.795175737680694</v>
      </c>
      <c r="P52" s="203">
        <v>64.369943483334453</v>
      </c>
      <c r="Q52" s="203">
        <v>47.958708635409778</v>
      </c>
      <c r="R52" s="203">
        <v>41.118750635394036</v>
      </c>
      <c r="S52" s="203">
        <v>37.735427765940933</v>
      </c>
      <c r="T52" s="203">
        <v>34.03312904064628</v>
      </c>
      <c r="U52" s="203">
        <v>32.664490758808526</v>
      </c>
      <c r="V52" s="203">
        <v>32.071413621710306</v>
      </c>
      <c r="W52" s="203">
        <v>31.507016750892149</v>
      </c>
      <c r="X52" s="203">
        <v>30.617290349368318</v>
      </c>
      <c r="Y52" s="203">
        <v>29.756718723707845</v>
      </c>
      <c r="Z52" s="203">
        <v>28.74573954278247</v>
      </c>
      <c r="AA52" s="203">
        <v>27.099459633045274</v>
      </c>
      <c r="AB52" s="16">
        <f>Peak!AB54</f>
        <v>0.9378054954338384</v>
      </c>
      <c r="AC52" s="16">
        <f>Peak!AC54</f>
        <v>0</v>
      </c>
      <c r="AD52" s="18">
        <f>Peak!AD54</f>
        <v>240.4080539178627</v>
      </c>
      <c r="AE52" s="18">
        <f>Peak!AE54</f>
        <v>4274.5039754649742</v>
      </c>
      <c r="AF52" s="16">
        <f>Peak!AF54</f>
        <v>1</v>
      </c>
      <c r="AG52" s="73">
        <f>Peak!AG54</f>
        <v>1.0227999999999999</v>
      </c>
      <c r="AH52" s="16">
        <f>Peak!AH54</f>
        <v>3.1690880855996437</v>
      </c>
      <c r="AI52" s="16">
        <f>Peak!AI54</f>
        <v>3.3499780487804869</v>
      </c>
      <c r="AJ52" s="16">
        <f>Peak!AJ54</f>
        <v>0</v>
      </c>
      <c r="AK52" s="16">
        <f>Peak!AK54</f>
        <v>7.2000000000000008E-2</v>
      </c>
      <c r="AL52" s="4"/>
    </row>
    <row r="53" spans="1:38" x14ac:dyDescent="0.2">
      <c r="A53" s="1">
        <f t="shared" si="5"/>
        <v>37878.348000000056</v>
      </c>
      <c r="B53" s="16">
        <f t="shared" si="3"/>
        <v>1.0227999999999999</v>
      </c>
      <c r="C53" s="17">
        <f t="shared" si="0"/>
        <v>10.275048799999999</v>
      </c>
      <c r="D53" s="16">
        <f t="shared" si="4"/>
        <v>0.93936850459289478</v>
      </c>
      <c r="E53" s="16">
        <f t="shared" si="1"/>
        <v>0</v>
      </c>
      <c r="F53" s="16">
        <f t="shared" si="2"/>
        <v>1.5459000097507611</v>
      </c>
      <c r="G53" s="19">
        <f>IF(IS!$C$2="Peak","-",SUM(C53:F53))</f>
        <v>12.760317314343656</v>
      </c>
      <c r="H53" s="203">
        <v>189.4924103063496</v>
      </c>
      <c r="I53" s="203">
        <v>116.49255602144783</v>
      </c>
      <c r="J53" s="203">
        <v>99.280172823737104</v>
      </c>
      <c r="K53" s="203">
        <v>67.622072900753068</v>
      </c>
      <c r="L53" s="203">
        <v>54.177233538903621</v>
      </c>
      <c r="M53" s="203">
        <v>52.76377714797907</v>
      </c>
      <c r="N53" s="203">
        <v>49.192405689861559</v>
      </c>
      <c r="O53" s="203">
        <v>45.404603114951122</v>
      </c>
      <c r="P53" s="203">
        <v>45.022535037316423</v>
      </c>
      <c r="Q53" s="203">
        <v>41.82566877861678</v>
      </c>
      <c r="R53" s="203">
        <v>37.455161376200309</v>
      </c>
      <c r="S53" s="203">
        <v>35.158415128954097</v>
      </c>
      <c r="T53" s="203">
        <v>34.261490006315661</v>
      </c>
      <c r="U53" s="203">
        <v>33.161186043473656</v>
      </c>
      <c r="V53" s="203">
        <v>32.71844314339446</v>
      </c>
      <c r="W53" s="203">
        <v>32.506459100341921</v>
      </c>
      <c r="X53" s="203">
        <v>32.038069271291775</v>
      </c>
      <c r="Y53" s="203">
        <v>31.295226732535202</v>
      </c>
      <c r="Z53" s="203">
        <v>30.758700780609693</v>
      </c>
      <c r="AA53" s="203">
        <v>28.926725315633028</v>
      </c>
      <c r="AB53" s="16">
        <f>Peak!AB55</f>
        <v>0.93936850459289478</v>
      </c>
      <c r="AC53" s="16">
        <f>Peak!AC55</f>
        <v>0</v>
      </c>
      <c r="AD53" s="18">
        <f>Peak!AD55</f>
        <v>240.4080539178627</v>
      </c>
      <c r="AE53" s="18">
        <f>Peak!AE55</f>
        <v>4274.5039754649742</v>
      </c>
      <c r="AF53" s="16">
        <f>Peak!AF55</f>
        <v>1</v>
      </c>
      <c r="AG53" s="73">
        <f>Peak!AG55</f>
        <v>1.0227999999999999</v>
      </c>
      <c r="AH53" s="16">
        <f>Peak!AH55</f>
        <v>3.158477299598752</v>
      </c>
      <c r="AI53" s="16">
        <f>Peak!AI55</f>
        <v>3.3499780487804869</v>
      </c>
      <c r="AJ53" s="16">
        <f>Peak!AJ55</f>
        <v>0</v>
      </c>
      <c r="AK53" s="16">
        <f>Peak!AK55</f>
        <v>7.2000000000000008E-2</v>
      </c>
      <c r="AL53" s="4"/>
    </row>
    <row r="54" spans="1:38" x14ac:dyDescent="0.2">
      <c r="A54" s="1">
        <f t="shared" si="5"/>
        <v>37908.765000000058</v>
      </c>
      <c r="B54" s="16">
        <f t="shared" si="3"/>
        <v>1.0227999999999999</v>
      </c>
      <c r="C54" s="17">
        <f t="shared" si="0"/>
        <v>10.275048799999999</v>
      </c>
      <c r="D54" s="16">
        <f t="shared" si="4"/>
        <v>0.94093411876721633</v>
      </c>
      <c r="E54" s="16">
        <f t="shared" si="1"/>
        <v>0</v>
      </c>
      <c r="F54" s="16">
        <f t="shared" si="2"/>
        <v>0</v>
      </c>
      <c r="G54" s="19">
        <f>IF(IS!$C$2="Peak","-",SUM(C54:F54))</f>
        <v>11.215982918767216</v>
      </c>
      <c r="H54" s="203">
        <v>65.977933928873625</v>
      </c>
      <c r="I54" s="203">
        <v>63.741495704892074</v>
      </c>
      <c r="J54" s="203">
        <v>62.554235306004728</v>
      </c>
      <c r="K54" s="203">
        <v>59.04991668824141</v>
      </c>
      <c r="L54" s="203">
        <v>57.436681485054244</v>
      </c>
      <c r="M54" s="203">
        <v>57.285519486389163</v>
      </c>
      <c r="N54" s="203">
        <v>51.640111540665046</v>
      </c>
      <c r="O54" s="203">
        <v>43.6962399341609</v>
      </c>
      <c r="P54" s="203">
        <v>42.905529187316588</v>
      </c>
      <c r="Q54" s="203">
        <v>40.372405687050176</v>
      </c>
      <c r="R54" s="203">
        <v>31.259923126493863</v>
      </c>
      <c r="S54" s="203">
        <v>29.375572858362908</v>
      </c>
      <c r="T54" s="203">
        <v>28.967777362326522</v>
      </c>
      <c r="U54" s="203">
        <v>28.938793733846786</v>
      </c>
      <c r="V54" s="203">
        <v>25.879977100537332</v>
      </c>
      <c r="W54" s="203">
        <v>24.644746489389469</v>
      </c>
      <c r="X54" s="203">
        <v>23.262867181278772</v>
      </c>
      <c r="Y54" s="203">
        <v>22.396640766634068</v>
      </c>
      <c r="Z54" s="203">
        <v>21.748856590514201</v>
      </c>
      <c r="AA54" s="203">
        <v>21.021056240554358</v>
      </c>
      <c r="AB54" s="16">
        <f>Peak!AB56</f>
        <v>0.94093411876721633</v>
      </c>
      <c r="AC54" s="16">
        <f>Peak!AC56</f>
        <v>0</v>
      </c>
      <c r="AD54" s="18">
        <f>Peak!AD56</f>
        <v>240.4080539178627</v>
      </c>
      <c r="AE54" s="18">
        <f>Peak!AE56</f>
        <v>4274.5039754649742</v>
      </c>
      <c r="AF54" s="16">
        <f>Peak!AF56</f>
        <v>0</v>
      </c>
      <c r="AG54" s="73">
        <f>Peak!AG56</f>
        <v>1.0227999999999999</v>
      </c>
      <c r="AH54" s="16">
        <f>Peak!AH56</f>
        <v>3.4980224516272855</v>
      </c>
      <c r="AI54" s="16">
        <f>Peak!AI56</f>
        <v>3.3499780487804869</v>
      </c>
      <c r="AJ54" s="16">
        <f>Peak!AJ56</f>
        <v>0</v>
      </c>
      <c r="AK54" s="16">
        <f>Peak!AK56</f>
        <v>7.2000000000000008E-2</v>
      </c>
      <c r="AL54" s="4"/>
    </row>
    <row r="55" spans="1:38" x14ac:dyDescent="0.2">
      <c r="A55" s="1">
        <f t="shared" si="5"/>
        <v>37939.182000000059</v>
      </c>
      <c r="B55" s="16">
        <f t="shared" si="3"/>
        <v>1.0227999999999999</v>
      </c>
      <c r="C55" s="17">
        <f t="shared" si="0"/>
        <v>10.275048799999999</v>
      </c>
      <c r="D55" s="16">
        <f t="shared" si="4"/>
        <v>0.94250234229849505</v>
      </c>
      <c r="E55" s="16">
        <f t="shared" si="1"/>
        <v>0</v>
      </c>
      <c r="F55" s="16">
        <f t="shared" si="2"/>
        <v>0</v>
      </c>
      <c r="G55" s="19">
        <f>IF(IS!$C$2="Peak","-",SUM(C55:F55))</f>
        <v>11.217551142298493</v>
      </c>
      <c r="H55" s="203">
        <v>75.657803801230017</v>
      </c>
      <c r="I55" s="203">
        <v>73.878793945720417</v>
      </c>
      <c r="J55" s="203">
        <v>71.392811624549879</v>
      </c>
      <c r="K55" s="203">
        <v>66.900707385534048</v>
      </c>
      <c r="L55" s="203">
        <v>65.136766073318341</v>
      </c>
      <c r="M55" s="203">
        <v>64.597485608818431</v>
      </c>
      <c r="N55" s="203">
        <v>57.354286677840051</v>
      </c>
      <c r="O55" s="203">
        <v>45.252785946837356</v>
      </c>
      <c r="P55" s="203">
        <v>39.299342527483148</v>
      </c>
      <c r="Q55" s="203">
        <v>37.072941905769781</v>
      </c>
      <c r="R55" s="203">
        <v>34.062255128064891</v>
      </c>
      <c r="S55" s="203">
        <v>33.321432864986932</v>
      </c>
      <c r="T55" s="203">
        <v>32.398808835402832</v>
      </c>
      <c r="U55" s="203">
        <v>26.790041395936814</v>
      </c>
      <c r="V55" s="203">
        <v>25.296177537903759</v>
      </c>
      <c r="W55" s="203">
        <v>24.407427962115811</v>
      </c>
      <c r="X55" s="203">
        <v>23.267853379319302</v>
      </c>
      <c r="Y55" s="203">
        <v>22.834655678301718</v>
      </c>
      <c r="Z55" s="203">
        <v>22.439919331554925</v>
      </c>
      <c r="AA55" s="203">
        <v>21.811307753831347</v>
      </c>
      <c r="AB55" s="16">
        <f>Peak!AB57</f>
        <v>0.94250234229849505</v>
      </c>
      <c r="AC55" s="16">
        <f>Peak!AC57</f>
        <v>0</v>
      </c>
      <c r="AD55" s="18">
        <f>Peak!AD57</f>
        <v>240.4080539178627</v>
      </c>
      <c r="AE55" s="18">
        <f>Peak!AE57</f>
        <v>4274.5039754649742</v>
      </c>
      <c r="AF55" s="16">
        <f>Peak!AF57</f>
        <v>0</v>
      </c>
      <c r="AG55" s="73">
        <f>Peak!AG57</f>
        <v>1.0227999999999999</v>
      </c>
      <c r="AH55" s="16">
        <f>Peak!AH57</f>
        <v>3.8304937463218907</v>
      </c>
      <c r="AI55" s="16">
        <f>Peak!AI57</f>
        <v>3.6320814634146337</v>
      </c>
      <c r="AJ55" s="16">
        <f>Peak!AJ57</f>
        <v>0</v>
      </c>
      <c r="AK55" s="16">
        <f>Peak!AK57</f>
        <v>7.2000000000000008E-2</v>
      </c>
      <c r="AL55" s="4"/>
    </row>
    <row r="56" spans="1:38" x14ac:dyDescent="0.2">
      <c r="A56" s="1">
        <f t="shared" si="5"/>
        <v>37969.59900000006</v>
      </c>
      <c r="B56" s="16">
        <f t="shared" si="3"/>
        <v>1.0227999999999999</v>
      </c>
      <c r="C56" s="17">
        <f t="shared" si="0"/>
        <v>10.275048799999999</v>
      </c>
      <c r="D56" s="16">
        <f t="shared" si="4"/>
        <v>0.94407317953565928</v>
      </c>
      <c r="E56" s="16">
        <f t="shared" si="1"/>
        <v>0</v>
      </c>
      <c r="F56" s="16">
        <f t="shared" si="2"/>
        <v>0</v>
      </c>
      <c r="G56" s="19">
        <f>IF(IS!$C$2="Peak","-",SUM(C56:F56))</f>
        <v>11.219121979535657</v>
      </c>
      <c r="H56" s="203">
        <v>86.503101636355069</v>
      </c>
      <c r="I56" s="203">
        <v>75.300460574016114</v>
      </c>
      <c r="J56" s="203">
        <v>73.153484633885597</v>
      </c>
      <c r="K56" s="203">
        <v>69.621438686686844</v>
      </c>
      <c r="L56" s="203">
        <v>65.22375044606072</v>
      </c>
      <c r="M56" s="203">
        <v>64.385070052265007</v>
      </c>
      <c r="N56" s="203">
        <v>62.52217220964134</v>
      </c>
      <c r="O56" s="203">
        <v>51.497249805531567</v>
      </c>
      <c r="P56" s="203">
        <v>44.564201434030942</v>
      </c>
      <c r="Q56" s="203">
        <v>36.82929609896901</v>
      </c>
      <c r="R56" s="203">
        <v>36.53704952600684</v>
      </c>
      <c r="S56" s="203">
        <v>32.613774760640247</v>
      </c>
      <c r="T56" s="203">
        <v>32.470062410947378</v>
      </c>
      <c r="U56" s="203">
        <v>32.470062410947378</v>
      </c>
      <c r="V56" s="203">
        <v>32.470062410947378</v>
      </c>
      <c r="W56" s="203">
        <v>32.470062410947378</v>
      </c>
      <c r="X56" s="203">
        <v>31.204365610780673</v>
      </c>
      <c r="Y56" s="203">
        <v>27.609596638703099</v>
      </c>
      <c r="Z56" s="203">
        <v>26.679184826872763</v>
      </c>
      <c r="AA56" s="203">
        <v>24.082999903243813</v>
      </c>
      <c r="AB56" s="16">
        <f>Peak!AB58</f>
        <v>0.94407317953565928</v>
      </c>
      <c r="AC56" s="16">
        <f>Peak!AC58</f>
        <v>0</v>
      </c>
      <c r="AD56" s="18">
        <f>Peak!AD58</f>
        <v>240.4080539178627</v>
      </c>
      <c r="AE56" s="18">
        <f>Peak!AE58</f>
        <v>4274.5039754649742</v>
      </c>
      <c r="AF56" s="16">
        <f>Peak!AF58</f>
        <v>0</v>
      </c>
      <c r="AG56" s="73">
        <f>Peak!AG58</f>
        <v>1.0227999999999999</v>
      </c>
      <c r="AH56" s="16">
        <f>Peak!AH58</f>
        <v>4.1452803976816766</v>
      </c>
      <c r="AI56" s="16">
        <f>Peak!AI58</f>
        <v>3.808396097560975</v>
      </c>
      <c r="AJ56" s="16">
        <f>Peak!AJ58</f>
        <v>0</v>
      </c>
      <c r="AK56" s="16">
        <f>Peak!AK58</f>
        <v>7.2000000000000008E-2</v>
      </c>
      <c r="AL56" s="4"/>
    </row>
    <row r="57" spans="1:38" x14ac:dyDescent="0.2">
      <c r="A57" s="1">
        <f t="shared" si="5"/>
        <v>38000.016000000061</v>
      </c>
      <c r="B57" s="16">
        <f t="shared" si="3"/>
        <v>1.0184</v>
      </c>
      <c r="C57" s="17">
        <f t="shared" si="0"/>
        <v>10.230846400000001</v>
      </c>
      <c r="D57" s="16">
        <f t="shared" si="4"/>
        <v>0.94564663483488542</v>
      </c>
      <c r="E57" s="16">
        <f t="shared" si="1"/>
        <v>0</v>
      </c>
      <c r="F57" s="16">
        <f t="shared" si="2"/>
        <v>0</v>
      </c>
      <c r="G57" s="19">
        <f>IF(IS!$C$2="Peak","-",SUM(C57:F57))</f>
        <v>11.176493034834886</v>
      </c>
      <c r="H57" s="203">
        <v>77.924930636924003</v>
      </c>
      <c r="I57" s="203">
        <v>74.66636620142063</v>
      </c>
      <c r="J57" s="203">
        <v>73.465830468650381</v>
      </c>
      <c r="K57" s="203">
        <v>73.349873419039511</v>
      </c>
      <c r="L57" s="203">
        <v>72.207054737877598</v>
      </c>
      <c r="M57" s="203">
        <v>66.384015791666826</v>
      </c>
      <c r="N57" s="203">
        <v>50.552298397304433</v>
      </c>
      <c r="O57" s="203">
        <v>45.56320712107329</v>
      </c>
      <c r="P57" s="203">
        <v>44.237650471047104</v>
      </c>
      <c r="Q57" s="203">
        <v>37.540990539524365</v>
      </c>
      <c r="R57" s="203">
        <v>37.026939056060776</v>
      </c>
      <c r="S57" s="203">
        <v>33.062702315870887</v>
      </c>
      <c r="T57" s="203">
        <v>26.89445212205688</v>
      </c>
      <c r="U57" s="203">
        <v>25.498154211301053</v>
      </c>
      <c r="V57" s="203">
        <v>24.924639905935848</v>
      </c>
      <c r="W57" s="203">
        <v>23.746461063724208</v>
      </c>
      <c r="X57" s="203">
        <v>23.317715759704434</v>
      </c>
      <c r="Y57" s="203">
        <v>23.00679745296468</v>
      </c>
      <c r="Z57" s="203">
        <v>22.71501965906161</v>
      </c>
      <c r="AA57" s="203">
        <v>22.197177358218802</v>
      </c>
      <c r="AB57" s="16">
        <f>Peak!AB59</f>
        <v>0.94564663483488542</v>
      </c>
      <c r="AC57" s="16">
        <f>Peak!AC59</f>
        <v>0</v>
      </c>
      <c r="AD57" s="18">
        <f>Peak!AD59</f>
        <v>264.14659569665338</v>
      </c>
      <c r="AE57" s="18">
        <f>Peak!AE59</f>
        <v>3642.145326358393</v>
      </c>
      <c r="AF57" s="16">
        <f>Peak!AF59</f>
        <v>0</v>
      </c>
      <c r="AG57" s="73">
        <f>Peak!AG59</f>
        <v>1.0184</v>
      </c>
      <c r="AH57" s="16">
        <f>Peak!AH59</f>
        <v>4.0146933517713324</v>
      </c>
      <c r="AI57" s="16">
        <f>Peak!AI59</f>
        <v>3.8442498113207555</v>
      </c>
      <c r="AJ57" s="16">
        <f>Peak!AJ59</f>
        <v>0</v>
      </c>
      <c r="AK57" s="16">
        <f>Peak!AK59</f>
        <v>7.2000000000000008E-2</v>
      </c>
      <c r="AL57" s="4"/>
    </row>
    <row r="58" spans="1:38" x14ac:dyDescent="0.2">
      <c r="A58" s="1">
        <f t="shared" si="5"/>
        <v>38030.433000000063</v>
      </c>
      <c r="B58" s="16">
        <f t="shared" si="3"/>
        <v>1.0184</v>
      </c>
      <c r="C58" s="17">
        <f t="shared" si="0"/>
        <v>10.230846400000001</v>
      </c>
      <c r="D58" s="16">
        <f t="shared" si="4"/>
        <v>0.94722271255961032</v>
      </c>
      <c r="E58" s="16">
        <f t="shared" si="1"/>
        <v>0</v>
      </c>
      <c r="F58" s="16">
        <f t="shared" si="2"/>
        <v>0</v>
      </c>
      <c r="G58" s="19">
        <f>IF(IS!$C$2="Peak","-",SUM(C58:F58))</f>
        <v>11.17806911255961</v>
      </c>
      <c r="H58" s="203">
        <v>78.142813113795825</v>
      </c>
      <c r="I58" s="203">
        <v>72.281333737853146</v>
      </c>
      <c r="J58" s="203">
        <v>70.173761672953589</v>
      </c>
      <c r="K58" s="203">
        <v>65.94643925395701</v>
      </c>
      <c r="L58" s="203">
        <v>64.925792395300903</v>
      </c>
      <c r="M58" s="203">
        <v>64.186181966721833</v>
      </c>
      <c r="N58" s="203">
        <v>52.786163879704105</v>
      </c>
      <c r="O58" s="203">
        <v>43.846434738629199</v>
      </c>
      <c r="P58" s="203">
        <v>40.833843313038102</v>
      </c>
      <c r="Q58" s="203">
        <v>35.856297136856675</v>
      </c>
      <c r="R58" s="203">
        <v>32.972799474753295</v>
      </c>
      <c r="S58" s="203">
        <v>32.972799474753295</v>
      </c>
      <c r="T58" s="203">
        <v>32.56027203123918</v>
      </c>
      <c r="U58" s="203">
        <v>28.804382663798624</v>
      </c>
      <c r="V58" s="203">
        <v>26.442055403281351</v>
      </c>
      <c r="W58" s="203">
        <v>25.861423422490013</v>
      </c>
      <c r="X58" s="203">
        <v>24.88162250217631</v>
      </c>
      <c r="Y58" s="203">
        <v>24.411510453752474</v>
      </c>
      <c r="Z58" s="203">
        <v>24.146909059052184</v>
      </c>
      <c r="AA58" s="203">
        <v>23.625690100140467</v>
      </c>
      <c r="AB58" s="16">
        <f>Peak!AB60</f>
        <v>0.94722271255961032</v>
      </c>
      <c r="AC58" s="16">
        <f>Peak!AC60</f>
        <v>0</v>
      </c>
      <c r="AD58" s="18">
        <f>Peak!AD60</f>
        <v>264.14659569665338</v>
      </c>
      <c r="AE58" s="18">
        <f>Peak!AE60</f>
        <v>3642.145326358393</v>
      </c>
      <c r="AF58" s="16">
        <f>Peak!AF60</f>
        <v>0</v>
      </c>
      <c r="AG58" s="73">
        <f>Peak!AG60</f>
        <v>1.0184</v>
      </c>
      <c r="AH58" s="16">
        <f>Peak!AH60</f>
        <v>3.598275690284412</v>
      </c>
      <c r="AI58" s="16">
        <f>Peak!AI60</f>
        <v>3.8086549056603785</v>
      </c>
      <c r="AJ58" s="16">
        <f>Peak!AJ60</f>
        <v>0</v>
      </c>
      <c r="AK58" s="16">
        <f>Peak!AK60</f>
        <v>7.2000000000000008E-2</v>
      </c>
      <c r="AL58" s="4"/>
    </row>
    <row r="59" spans="1:38" x14ac:dyDescent="0.2">
      <c r="A59" s="1">
        <f t="shared" si="5"/>
        <v>38060.850000000064</v>
      </c>
      <c r="B59" s="16">
        <f t="shared" si="3"/>
        <v>1.0184</v>
      </c>
      <c r="C59" s="17">
        <f t="shared" si="0"/>
        <v>10.230846400000001</v>
      </c>
      <c r="D59" s="16">
        <f t="shared" si="4"/>
        <v>0.948801417080543</v>
      </c>
      <c r="E59" s="16">
        <f t="shared" si="1"/>
        <v>0</v>
      </c>
      <c r="F59" s="16">
        <f t="shared" si="2"/>
        <v>0</v>
      </c>
      <c r="G59" s="19">
        <f>IF(IS!$C$2="Peak","-",SUM(C59:F59))</f>
        <v>11.179647817080543</v>
      </c>
      <c r="H59" s="203">
        <v>102.87258516876197</v>
      </c>
      <c r="I59" s="203">
        <v>75.110789904043301</v>
      </c>
      <c r="J59" s="203">
        <v>62.754755032448429</v>
      </c>
      <c r="K59" s="203">
        <v>60.217613918866121</v>
      </c>
      <c r="L59" s="203">
        <v>56.646191573736232</v>
      </c>
      <c r="M59" s="203">
        <v>53.779938074099405</v>
      </c>
      <c r="N59" s="203">
        <v>53.371222025270598</v>
      </c>
      <c r="O59" s="203">
        <v>48.485718160965426</v>
      </c>
      <c r="P59" s="203">
        <v>38.515918646043062</v>
      </c>
      <c r="Q59" s="203">
        <v>33.858109398151001</v>
      </c>
      <c r="R59" s="203">
        <v>30.91725023147734</v>
      </c>
      <c r="S59" s="203">
        <v>28.736500981307977</v>
      </c>
      <c r="T59" s="203">
        <v>27.706836538767316</v>
      </c>
      <c r="U59" s="203">
        <v>27.706836538767316</v>
      </c>
      <c r="V59" s="203">
        <v>27.586936268338171</v>
      </c>
      <c r="W59" s="203">
        <v>27.496258880636564</v>
      </c>
      <c r="X59" s="203">
        <v>27.380342368650986</v>
      </c>
      <c r="Y59" s="203">
        <v>26.691893344235091</v>
      </c>
      <c r="Z59" s="203">
        <v>23.552613559515532</v>
      </c>
      <c r="AA59" s="203">
        <v>21.199341710079153</v>
      </c>
      <c r="AB59" s="16">
        <f>Peak!AB61</f>
        <v>0.948801417080543</v>
      </c>
      <c r="AC59" s="16">
        <f>Peak!AC61</f>
        <v>0</v>
      </c>
      <c r="AD59" s="18">
        <f>Peak!AD61</f>
        <v>264.14659569665338</v>
      </c>
      <c r="AE59" s="18">
        <f>Peak!AE61</f>
        <v>3642.145326358393</v>
      </c>
      <c r="AF59" s="16">
        <f>Peak!AF61</f>
        <v>0</v>
      </c>
      <c r="AG59" s="73">
        <f>Peak!AG61</f>
        <v>1.0184</v>
      </c>
      <c r="AH59" s="16">
        <f>Peak!AH61</f>
        <v>3.5377705599828939</v>
      </c>
      <c r="AI59" s="16">
        <f>Peak!AI61</f>
        <v>3.6662752830188685</v>
      </c>
      <c r="AJ59" s="16">
        <f>Peak!AJ61</f>
        <v>0</v>
      </c>
      <c r="AK59" s="16">
        <f>Peak!AK61</f>
        <v>7.2000000000000008E-2</v>
      </c>
      <c r="AL59" s="4"/>
    </row>
    <row r="60" spans="1:38" x14ac:dyDescent="0.2">
      <c r="A60" s="1">
        <f t="shared" si="5"/>
        <v>38091.267000000065</v>
      </c>
      <c r="B60" s="16">
        <f t="shared" si="3"/>
        <v>1.0184</v>
      </c>
      <c r="C60" s="17">
        <f t="shared" si="0"/>
        <v>10.230846400000001</v>
      </c>
      <c r="D60" s="16">
        <f t="shared" si="4"/>
        <v>0.9503827527756773</v>
      </c>
      <c r="E60" s="16">
        <f t="shared" si="1"/>
        <v>0</v>
      </c>
      <c r="F60" s="16">
        <f t="shared" si="2"/>
        <v>0</v>
      </c>
      <c r="G60" s="19">
        <f>IF(IS!$C$2="Peak","-",SUM(C60:F60))</f>
        <v>11.181229152775678</v>
      </c>
      <c r="H60" s="203">
        <v>64.094135083462817</v>
      </c>
      <c r="I60" s="203">
        <v>56.252229689460094</v>
      </c>
      <c r="J60" s="203">
        <v>54.424556013860425</v>
      </c>
      <c r="K60" s="203">
        <v>50.894599112358897</v>
      </c>
      <c r="L60" s="203">
        <v>49.146184882367947</v>
      </c>
      <c r="M60" s="203">
        <v>49.028168109510474</v>
      </c>
      <c r="N60" s="203">
        <v>41.223842564640663</v>
      </c>
      <c r="O60" s="203">
        <v>35.657668472219967</v>
      </c>
      <c r="P60" s="203">
        <v>35.467053872397898</v>
      </c>
      <c r="Q60" s="203">
        <v>35.120540773395845</v>
      </c>
      <c r="R60" s="203">
        <v>29.850501240756135</v>
      </c>
      <c r="S60" s="203">
        <v>27.148931990278786</v>
      </c>
      <c r="T60" s="203">
        <v>25.719677727754508</v>
      </c>
      <c r="U60" s="203">
        <v>25.546975814515481</v>
      </c>
      <c r="V60" s="203">
        <v>25.546975814515481</v>
      </c>
      <c r="W60" s="203">
        <v>25.35956303738897</v>
      </c>
      <c r="X60" s="203">
        <v>24.369456548653204</v>
      </c>
      <c r="Y60" s="203">
        <v>24.16156497315631</v>
      </c>
      <c r="Z60" s="203">
        <v>23.862147244439008</v>
      </c>
      <c r="AA60" s="203">
        <v>23.242870661266856</v>
      </c>
      <c r="AB60" s="16">
        <f>Peak!AB62</f>
        <v>0.9503827527756773</v>
      </c>
      <c r="AC60" s="16">
        <f>Peak!AC62</f>
        <v>0</v>
      </c>
      <c r="AD60" s="18">
        <f>Peak!AD62</f>
        <v>264.14659569665338</v>
      </c>
      <c r="AE60" s="18">
        <f>Peak!AE62</f>
        <v>3642.145326358393</v>
      </c>
      <c r="AF60" s="16">
        <f>Peak!AF62</f>
        <v>0</v>
      </c>
      <c r="AG60" s="73">
        <f>Peak!AG62</f>
        <v>1.0184</v>
      </c>
      <c r="AH60" s="16">
        <f>Peak!AH62</f>
        <v>3.3633734197020471</v>
      </c>
      <c r="AI60" s="16">
        <f>Peak!AI62</f>
        <v>3.523895660377359</v>
      </c>
      <c r="AJ60" s="16">
        <f>Peak!AJ62</f>
        <v>0</v>
      </c>
      <c r="AK60" s="16">
        <f>Peak!AK62</f>
        <v>7.2000000000000008E-2</v>
      </c>
      <c r="AL60" s="4"/>
    </row>
    <row r="61" spans="1:38" x14ac:dyDescent="0.2">
      <c r="A61" s="1">
        <f t="shared" si="5"/>
        <v>38121.684000000067</v>
      </c>
      <c r="B61" s="16">
        <f t="shared" si="3"/>
        <v>1.0184</v>
      </c>
      <c r="C61" s="17">
        <f t="shared" si="0"/>
        <v>10.230846400000001</v>
      </c>
      <c r="D61" s="16">
        <f t="shared" si="4"/>
        <v>0.95196672403030347</v>
      </c>
      <c r="E61" s="16">
        <f t="shared" si="1"/>
        <v>0</v>
      </c>
      <c r="F61" s="16">
        <f t="shared" si="2"/>
        <v>1.3172037101494711</v>
      </c>
      <c r="G61" s="19">
        <f>IF(IS!$C$2="Peak","-",SUM(C61:F61))</f>
        <v>12.500016834179775</v>
      </c>
      <c r="H61" s="203">
        <v>72.265641483905199</v>
      </c>
      <c r="I61" s="203">
        <v>68.532451347526901</v>
      </c>
      <c r="J61" s="203">
        <v>64.999490797839854</v>
      </c>
      <c r="K61" s="203">
        <v>64.410875507792042</v>
      </c>
      <c r="L61" s="203">
        <v>57.520470353531231</v>
      </c>
      <c r="M61" s="203">
        <v>51.228044258165966</v>
      </c>
      <c r="N61" s="203">
        <v>44.690881374892271</v>
      </c>
      <c r="O61" s="203">
        <v>35.40871644973749</v>
      </c>
      <c r="P61" s="203">
        <v>32.422654688059417</v>
      </c>
      <c r="Q61" s="203">
        <v>31.619879302169142</v>
      </c>
      <c r="R61" s="203">
        <v>31.498410041090978</v>
      </c>
      <c r="S61" s="203">
        <v>31.498410041090978</v>
      </c>
      <c r="T61" s="203">
        <v>31.367804479480846</v>
      </c>
      <c r="U61" s="203">
        <v>31.248842107747077</v>
      </c>
      <c r="V61" s="203">
        <v>30.703733088166292</v>
      </c>
      <c r="W61" s="203">
        <v>29.676308296012323</v>
      </c>
      <c r="X61" s="203">
        <v>29.142619820810172</v>
      </c>
      <c r="Y61" s="203">
        <v>28.999831339466564</v>
      </c>
      <c r="Z61" s="203">
        <v>28.606411451430318</v>
      </c>
      <c r="AA61" s="203">
        <v>27.365219931964525</v>
      </c>
      <c r="AB61" s="16">
        <f>Peak!AB63</f>
        <v>0.95196672403030347</v>
      </c>
      <c r="AC61" s="16">
        <f>Peak!AC63</f>
        <v>0</v>
      </c>
      <c r="AD61" s="18">
        <f>Peak!AD63</f>
        <v>264.14659569665338</v>
      </c>
      <c r="AE61" s="18">
        <f>Peak!AE63</f>
        <v>3642.145326358393</v>
      </c>
      <c r="AF61" s="16">
        <f>Peak!AF63</f>
        <v>1</v>
      </c>
      <c r="AG61" s="73">
        <f>Peak!AG63</f>
        <v>1.0184</v>
      </c>
      <c r="AH61" s="16">
        <f>Peak!AH63</f>
        <v>3.5413296852947478</v>
      </c>
      <c r="AI61" s="16">
        <f>Peak!AI63</f>
        <v>3.3815160377358495</v>
      </c>
      <c r="AJ61" s="16">
        <f>Peak!AJ63</f>
        <v>0</v>
      </c>
      <c r="AK61" s="16">
        <f>Peak!AK63</f>
        <v>7.2000000000000008E-2</v>
      </c>
      <c r="AL61" s="4"/>
    </row>
    <row r="62" spans="1:38" x14ac:dyDescent="0.2">
      <c r="A62" s="1">
        <f t="shared" si="5"/>
        <v>38152.101000000068</v>
      </c>
      <c r="B62" s="16">
        <f t="shared" si="3"/>
        <v>1.0184</v>
      </c>
      <c r="C62" s="17">
        <f t="shared" si="0"/>
        <v>10.230846400000001</v>
      </c>
      <c r="D62" s="16">
        <f t="shared" si="4"/>
        <v>0.95355333523702068</v>
      </c>
      <c r="E62" s="16">
        <f t="shared" si="1"/>
        <v>0</v>
      </c>
      <c r="F62" s="16">
        <f t="shared" si="2"/>
        <v>1.3172037101494711</v>
      </c>
      <c r="G62" s="19">
        <f>IF(IS!$C$2="Peak","-",SUM(C62:F62))</f>
        <v>12.501603445386493</v>
      </c>
      <c r="H62" s="203">
        <v>329.79568723500768</v>
      </c>
      <c r="I62" s="203">
        <v>213.93891521747696</v>
      </c>
      <c r="J62" s="203">
        <v>157.45825850279422</v>
      </c>
      <c r="K62" s="203">
        <v>67.224761468180802</v>
      </c>
      <c r="L62" s="203">
        <v>57.634479163676914</v>
      </c>
      <c r="M62" s="203">
        <v>51.563810972489733</v>
      </c>
      <c r="N62" s="203">
        <v>47.258167326754617</v>
      </c>
      <c r="O62" s="203">
        <v>45.616128877236513</v>
      </c>
      <c r="P62" s="203">
        <v>35.754753944355052</v>
      </c>
      <c r="Q62" s="203">
        <v>33.805534854943062</v>
      </c>
      <c r="R62" s="203">
        <v>32.150737210807229</v>
      </c>
      <c r="S62" s="203">
        <v>29.317029477157444</v>
      </c>
      <c r="T62" s="203">
        <v>27.762260714706759</v>
      </c>
      <c r="U62" s="203">
        <v>27.385413353657793</v>
      </c>
      <c r="V62" s="203">
        <v>26.461720393921354</v>
      </c>
      <c r="W62" s="203">
        <v>25.827235611550229</v>
      </c>
      <c r="X62" s="203">
        <v>24.802472841271946</v>
      </c>
      <c r="Y62" s="203">
        <v>24.097291563206028</v>
      </c>
      <c r="Z62" s="203">
        <v>23.998514691064521</v>
      </c>
      <c r="AA62" s="203">
        <v>22.678617579027815</v>
      </c>
      <c r="AB62" s="16">
        <f>Peak!AB64</f>
        <v>0.95355333523702068</v>
      </c>
      <c r="AC62" s="16">
        <f>Peak!AC64</f>
        <v>0</v>
      </c>
      <c r="AD62" s="18">
        <f>Peak!AD64</f>
        <v>264.14659569665338</v>
      </c>
      <c r="AE62" s="18">
        <f>Peak!AE64</f>
        <v>3642.145326358393</v>
      </c>
      <c r="AF62" s="16">
        <f>Peak!AF64</f>
        <v>1</v>
      </c>
      <c r="AG62" s="73">
        <f>Peak!AG64</f>
        <v>1.0184</v>
      </c>
      <c r="AH62" s="16">
        <f>Peak!AH64</f>
        <v>3.3740507956376091</v>
      </c>
      <c r="AI62" s="16">
        <f>Peak!AI64</f>
        <v>3.3815160377358495</v>
      </c>
      <c r="AJ62" s="16">
        <f>Peak!AJ64</f>
        <v>0</v>
      </c>
      <c r="AK62" s="16">
        <f>Peak!AK64</f>
        <v>7.2000000000000008E-2</v>
      </c>
      <c r="AL62" s="4"/>
    </row>
    <row r="63" spans="1:38" x14ac:dyDescent="0.2">
      <c r="A63" s="1">
        <f t="shared" si="5"/>
        <v>38182.518000000069</v>
      </c>
      <c r="B63" s="16">
        <f t="shared" si="3"/>
        <v>1.0184</v>
      </c>
      <c r="C63" s="17">
        <f t="shared" si="0"/>
        <v>10.230846400000001</v>
      </c>
      <c r="D63" s="16">
        <f t="shared" si="4"/>
        <v>0.95514259079574904</v>
      </c>
      <c r="E63" s="16">
        <f t="shared" si="1"/>
        <v>0</v>
      </c>
      <c r="F63" s="16">
        <f t="shared" si="2"/>
        <v>1.3172037101494711</v>
      </c>
      <c r="G63" s="19">
        <f>IF(IS!$C$2="Peak","-",SUM(C63:F63))</f>
        <v>12.50319270094522</v>
      </c>
      <c r="H63" s="203">
        <v>480.70051839704712</v>
      </c>
      <c r="I63" s="203">
        <v>279.43392623901167</v>
      </c>
      <c r="J63" s="203">
        <v>200.46398979230241</v>
      </c>
      <c r="K63" s="203">
        <v>115.82122062394672</v>
      </c>
      <c r="L63" s="203">
        <v>85.177887484427316</v>
      </c>
      <c r="M63" s="203">
        <v>74.849212254957635</v>
      </c>
      <c r="N63" s="203">
        <v>68.815570285160959</v>
      </c>
      <c r="O63" s="203">
        <v>66.924565510086381</v>
      </c>
      <c r="P63" s="203">
        <v>50.114333555445363</v>
      </c>
      <c r="Q63" s="203">
        <v>44.705864261783674</v>
      </c>
      <c r="R63" s="203">
        <v>41.897137266814497</v>
      </c>
      <c r="S63" s="203">
        <v>35.553567608667223</v>
      </c>
      <c r="T63" s="203">
        <v>33.167677143235181</v>
      </c>
      <c r="U63" s="203">
        <v>33.146371516503734</v>
      </c>
      <c r="V63" s="203">
        <v>33.146371516503734</v>
      </c>
      <c r="W63" s="203">
        <v>32.862634633153199</v>
      </c>
      <c r="X63" s="203">
        <v>31.743271678563417</v>
      </c>
      <c r="Y63" s="203">
        <v>31.32740976863618</v>
      </c>
      <c r="Z63" s="203">
        <v>30.583569104163935</v>
      </c>
      <c r="AA63" s="203">
        <v>28.756178860417961</v>
      </c>
      <c r="AB63" s="16">
        <f>Peak!AB65</f>
        <v>0.95514259079574904</v>
      </c>
      <c r="AC63" s="16">
        <f>Peak!AC65</f>
        <v>0</v>
      </c>
      <c r="AD63" s="18">
        <f>Peak!AD65</f>
        <v>264.14659569665338</v>
      </c>
      <c r="AE63" s="18">
        <f>Peak!AE65</f>
        <v>3642.145326358393</v>
      </c>
      <c r="AF63" s="16">
        <f>Peak!AF65</f>
        <v>1</v>
      </c>
      <c r="AG63" s="73">
        <f>Peak!AG65</f>
        <v>1.0184</v>
      </c>
      <c r="AH63" s="16">
        <f>Peak!AH65</f>
        <v>3.3633734197020471</v>
      </c>
      <c r="AI63" s="16">
        <f>Peak!AI65</f>
        <v>3.3815160377358495</v>
      </c>
      <c r="AJ63" s="16">
        <f>Peak!AJ65</f>
        <v>0</v>
      </c>
      <c r="AK63" s="16">
        <f>Peak!AK65</f>
        <v>7.2000000000000008E-2</v>
      </c>
      <c r="AL63" s="4"/>
    </row>
    <row r="64" spans="1:38" x14ac:dyDescent="0.2">
      <c r="A64" s="1">
        <f t="shared" si="5"/>
        <v>38212.93500000007</v>
      </c>
      <c r="B64" s="16">
        <f t="shared" si="3"/>
        <v>1.0184</v>
      </c>
      <c r="C64" s="17">
        <f t="shared" si="0"/>
        <v>10.230846400000001</v>
      </c>
      <c r="D64" s="16">
        <f t="shared" si="4"/>
        <v>0.95673449511374198</v>
      </c>
      <c r="E64" s="16">
        <f t="shared" si="1"/>
        <v>0</v>
      </c>
      <c r="F64" s="16">
        <f t="shared" si="2"/>
        <v>1.3172037101494711</v>
      </c>
      <c r="G64" s="19">
        <f>IF(IS!$C$2="Peak","-",SUM(C64:F64))</f>
        <v>12.504784605263215</v>
      </c>
      <c r="H64" s="203">
        <v>1628.7024036401699</v>
      </c>
      <c r="I64" s="203">
        <v>797.53502335473297</v>
      </c>
      <c r="J64" s="203">
        <v>480.88558800833215</v>
      </c>
      <c r="K64" s="203">
        <v>258.59729819595134</v>
      </c>
      <c r="L64" s="203">
        <v>155.2187087150852</v>
      </c>
      <c r="M64" s="203">
        <v>64.180352660245759</v>
      </c>
      <c r="N64" s="203">
        <v>51.122684368686649</v>
      </c>
      <c r="O64" s="203">
        <v>45.480348343963776</v>
      </c>
      <c r="P64" s="203">
        <v>43.827749891303974</v>
      </c>
      <c r="Q64" s="203">
        <v>35.597235392085928</v>
      </c>
      <c r="R64" s="203">
        <v>32.395312526247224</v>
      </c>
      <c r="S64" s="203">
        <v>31.396119018990639</v>
      </c>
      <c r="T64" s="203">
        <v>30.552708125968806</v>
      </c>
      <c r="U64" s="203">
        <v>29.601438376882921</v>
      </c>
      <c r="V64" s="203">
        <v>29.159195757010153</v>
      </c>
      <c r="W64" s="203">
        <v>28.633769177563273</v>
      </c>
      <c r="X64" s="203">
        <v>28.075394106308426</v>
      </c>
      <c r="Y64" s="203">
        <v>27.508496376106898</v>
      </c>
      <c r="Z64" s="203">
        <v>26.896894847671508</v>
      </c>
      <c r="AA64" s="203">
        <v>26.005201303072024</v>
      </c>
      <c r="AB64" s="16">
        <f>Peak!AB66</f>
        <v>0.95673449511374198</v>
      </c>
      <c r="AC64" s="16">
        <f>Peak!AC66</f>
        <v>0</v>
      </c>
      <c r="AD64" s="18">
        <f>Peak!AD66</f>
        <v>264.14659569665338</v>
      </c>
      <c r="AE64" s="18">
        <f>Peak!AE66</f>
        <v>3642.145326358393</v>
      </c>
      <c r="AF64" s="16">
        <f>Peak!AF66</f>
        <v>1</v>
      </c>
      <c r="AG64" s="73">
        <f>Peak!AG66</f>
        <v>1.0184</v>
      </c>
      <c r="AH64" s="16">
        <f>Peak!AH66</f>
        <v>3.1889762794212002</v>
      </c>
      <c r="AI64" s="16">
        <f>Peak!AI66</f>
        <v>3.3815160377358495</v>
      </c>
      <c r="AJ64" s="16">
        <f>Peak!AJ66</f>
        <v>0</v>
      </c>
      <c r="AK64" s="16">
        <f>Peak!AK66</f>
        <v>7.2000000000000008E-2</v>
      </c>
      <c r="AL64" s="4"/>
    </row>
    <row r="65" spans="1:38" x14ac:dyDescent="0.2">
      <c r="A65" s="1">
        <f t="shared" si="5"/>
        <v>38243.352000000072</v>
      </c>
      <c r="B65" s="16">
        <f t="shared" si="3"/>
        <v>1.0184</v>
      </c>
      <c r="C65" s="17">
        <f t="shared" si="0"/>
        <v>10.230846400000001</v>
      </c>
      <c r="D65" s="16">
        <f t="shared" si="4"/>
        <v>0.9583290526055982</v>
      </c>
      <c r="E65" s="16">
        <f t="shared" si="1"/>
        <v>0</v>
      </c>
      <c r="F65" s="16">
        <f t="shared" si="2"/>
        <v>1.3172037101494711</v>
      </c>
      <c r="G65" s="19">
        <f>IF(IS!$C$2="Peak","-",SUM(C65:F65))</f>
        <v>12.506379162755071</v>
      </c>
      <c r="H65" s="203">
        <v>116.61713602511725</v>
      </c>
      <c r="I65" s="203">
        <v>92.598682253508869</v>
      </c>
      <c r="J65" s="203">
        <v>78.292384039574884</v>
      </c>
      <c r="K65" s="203">
        <v>68.690584008832232</v>
      </c>
      <c r="L65" s="203">
        <v>63.805360042668553</v>
      </c>
      <c r="M65" s="203">
        <v>61.937232257057019</v>
      </c>
      <c r="N65" s="203">
        <v>53.68231470723692</v>
      </c>
      <c r="O65" s="203">
        <v>46.165074179889274</v>
      </c>
      <c r="P65" s="203">
        <v>39.149954217681383</v>
      </c>
      <c r="Q65" s="203">
        <v>33.385020360034218</v>
      </c>
      <c r="R65" s="203">
        <v>31.869295640467669</v>
      </c>
      <c r="S65" s="203">
        <v>31.148844564556516</v>
      </c>
      <c r="T65" s="203">
        <v>31.041719087737857</v>
      </c>
      <c r="U65" s="203">
        <v>31.041719087737857</v>
      </c>
      <c r="V65" s="203">
        <v>30.810965079053187</v>
      </c>
      <c r="W65" s="203">
        <v>30.698911852223933</v>
      </c>
      <c r="X65" s="203">
        <v>29.94097012306694</v>
      </c>
      <c r="Y65" s="203">
        <v>29.394846969620268</v>
      </c>
      <c r="Z65" s="203">
        <v>29.150333255241414</v>
      </c>
      <c r="AA65" s="203">
        <v>27.796803395581527</v>
      </c>
      <c r="AB65" s="16">
        <f>Peak!AB67</f>
        <v>0.9583290526055982</v>
      </c>
      <c r="AC65" s="16">
        <f>Peak!AC67</f>
        <v>0</v>
      </c>
      <c r="AD65" s="18">
        <f>Peak!AD67</f>
        <v>264.14659569665338</v>
      </c>
      <c r="AE65" s="18">
        <f>Peak!AE67</f>
        <v>3642.145326358393</v>
      </c>
      <c r="AF65" s="16">
        <f>Peak!AF67</f>
        <v>1</v>
      </c>
      <c r="AG65" s="73">
        <f>Peak!AG67</f>
        <v>1.0184</v>
      </c>
      <c r="AH65" s="16">
        <f>Peak!AH67</f>
        <v>3.1782989034856381</v>
      </c>
      <c r="AI65" s="16">
        <f>Peak!AI67</f>
        <v>3.3815160377358495</v>
      </c>
      <c r="AJ65" s="16">
        <f>Peak!AJ67</f>
        <v>0</v>
      </c>
      <c r="AK65" s="16">
        <f>Peak!AK67</f>
        <v>7.2000000000000008E-2</v>
      </c>
      <c r="AL65" s="4"/>
    </row>
    <row r="66" spans="1:38" x14ac:dyDescent="0.2">
      <c r="A66" s="1">
        <f t="shared" si="5"/>
        <v>38273.769000000073</v>
      </c>
      <c r="B66" s="16">
        <f t="shared" si="3"/>
        <v>1.0184</v>
      </c>
      <c r="C66" s="17">
        <f t="shared" si="0"/>
        <v>10.230846400000001</v>
      </c>
      <c r="D66" s="16">
        <f t="shared" si="4"/>
        <v>0.95992626769327427</v>
      </c>
      <c r="E66" s="16">
        <f t="shared" si="1"/>
        <v>0</v>
      </c>
      <c r="F66" s="16">
        <f t="shared" si="2"/>
        <v>0</v>
      </c>
      <c r="G66" s="19">
        <f>IF(IS!$C$2="Peak","-",SUM(C66:F66))</f>
        <v>11.190772667693276</v>
      </c>
      <c r="H66" s="203">
        <v>64.416434267290214</v>
      </c>
      <c r="I66" s="203">
        <v>62.964214475930895</v>
      </c>
      <c r="J66" s="203">
        <v>60.120941634334848</v>
      </c>
      <c r="K66" s="203">
        <v>57.13132356710021</v>
      </c>
      <c r="L66" s="203">
        <v>56.842616531325405</v>
      </c>
      <c r="M66" s="203">
        <v>54.498260120396061</v>
      </c>
      <c r="N66" s="203">
        <v>42.333673725214837</v>
      </c>
      <c r="O66" s="203">
        <v>36.420008190825413</v>
      </c>
      <c r="P66" s="203">
        <v>32.649395483373553</v>
      </c>
      <c r="Q66" s="203">
        <v>30.361320288947201</v>
      </c>
      <c r="R66" s="203">
        <v>29.156405330228655</v>
      </c>
      <c r="S66" s="203">
        <v>29.156405330228655</v>
      </c>
      <c r="T66" s="203">
        <v>29.008874974473915</v>
      </c>
      <c r="U66" s="203">
        <v>28.931753991926247</v>
      </c>
      <c r="V66" s="203">
        <v>28.771366761737674</v>
      </c>
      <c r="W66" s="203">
        <v>28.707648322142717</v>
      </c>
      <c r="X66" s="203">
        <v>28.39756776707474</v>
      </c>
      <c r="Y66" s="203">
        <v>24.039938588816405</v>
      </c>
      <c r="Z66" s="203">
        <v>22.87685725027886</v>
      </c>
      <c r="AA66" s="203">
        <v>21.04733929005409</v>
      </c>
      <c r="AB66" s="16">
        <f>Peak!AB68</f>
        <v>0.95992626769327427</v>
      </c>
      <c r="AC66" s="16">
        <f>Peak!AC68</f>
        <v>0</v>
      </c>
      <c r="AD66" s="18">
        <f>Peak!AD68</f>
        <v>264.14659569665338</v>
      </c>
      <c r="AE66" s="18">
        <f>Peak!AE68</f>
        <v>3642.145326358393</v>
      </c>
      <c r="AF66" s="16">
        <f>Peak!AF68</f>
        <v>0</v>
      </c>
      <c r="AG66" s="73">
        <f>Peak!AG68</f>
        <v>1.0184</v>
      </c>
      <c r="AH66" s="16">
        <f>Peak!AH68</f>
        <v>3.5199749334236237</v>
      </c>
      <c r="AI66" s="16">
        <f>Peak!AI68</f>
        <v>3.3815160377358495</v>
      </c>
      <c r="AJ66" s="16">
        <f>Peak!AJ68</f>
        <v>0</v>
      </c>
      <c r="AK66" s="16">
        <f>Peak!AK68</f>
        <v>7.2000000000000008E-2</v>
      </c>
      <c r="AL66" s="4"/>
    </row>
    <row r="67" spans="1:38" x14ac:dyDescent="0.2">
      <c r="A67" s="1">
        <f t="shared" si="5"/>
        <v>38304.186000000074</v>
      </c>
      <c r="B67" s="16">
        <f t="shared" si="3"/>
        <v>1.0184</v>
      </c>
      <c r="C67" s="17">
        <f t="shared" si="0"/>
        <v>10.230846400000001</v>
      </c>
      <c r="D67" s="16">
        <f t="shared" si="4"/>
        <v>0.96152614480609644</v>
      </c>
      <c r="E67" s="16">
        <f t="shared" si="1"/>
        <v>0</v>
      </c>
      <c r="F67" s="16">
        <f t="shared" si="2"/>
        <v>0</v>
      </c>
      <c r="G67" s="19">
        <f>IF(IS!$C$2="Peak","-",SUM(C67:F67))</f>
        <v>11.192372544806098</v>
      </c>
      <c r="H67" s="203">
        <v>80.208553162574574</v>
      </c>
      <c r="I67" s="203">
        <v>78.1817208468768</v>
      </c>
      <c r="J67" s="203">
        <v>78.115776968555224</v>
      </c>
      <c r="K67" s="203">
        <v>77.573873474116766</v>
      </c>
      <c r="L67" s="203">
        <v>74.316134404804387</v>
      </c>
      <c r="M67" s="203">
        <v>59.930483597347084</v>
      </c>
      <c r="N67" s="203">
        <v>50.594986587370919</v>
      </c>
      <c r="O67" s="203">
        <v>45.224759133939514</v>
      </c>
      <c r="P67" s="203">
        <v>40.623889175872065</v>
      </c>
      <c r="Q67" s="203">
        <v>28.90640163101866</v>
      </c>
      <c r="R67" s="203">
        <v>28.08807065788136</v>
      </c>
      <c r="S67" s="203">
        <v>26.748180359511771</v>
      </c>
      <c r="T67" s="203">
        <v>25.651569145397421</v>
      </c>
      <c r="U67" s="203">
        <v>25.208937943677277</v>
      </c>
      <c r="V67" s="203">
        <v>24.801875744360199</v>
      </c>
      <c r="W67" s="203">
        <v>24.482097129030077</v>
      </c>
      <c r="X67" s="203">
        <v>24.238813608935615</v>
      </c>
      <c r="Y67" s="203">
        <v>23.954602579162778</v>
      </c>
      <c r="Z67" s="203">
        <v>23.795996622938404</v>
      </c>
      <c r="AA67" s="203">
        <v>23.284694235607216</v>
      </c>
      <c r="AB67" s="16">
        <f>Peak!AB69</f>
        <v>0.96152614480609644</v>
      </c>
      <c r="AC67" s="16">
        <f>Peak!AC69</f>
        <v>0</v>
      </c>
      <c r="AD67" s="18">
        <f>Peak!AD69</f>
        <v>264.14659569665338</v>
      </c>
      <c r="AE67" s="18">
        <f>Peak!AE69</f>
        <v>3642.145326358393</v>
      </c>
      <c r="AF67" s="16">
        <f>Peak!AF69</f>
        <v>0</v>
      </c>
      <c r="AG67" s="73">
        <f>Peak!AG69</f>
        <v>1.0184</v>
      </c>
      <c r="AH67" s="16">
        <f>Peak!AH69</f>
        <v>3.8545327127379014</v>
      </c>
      <c r="AI67" s="16">
        <f>Peak!AI69</f>
        <v>3.6662752830188685</v>
      </c>
      <c r="AJ67" s="16">
        <f>Peak!AJ69</f>
        <v>0</v>
      </c>
      <c r="AK67" s="16">
        <f>Peak!AK69</f>
        <v>7.2000000000000008E-2</v>
      </c>
      <c r="AL67" s="4"/>
    </row>
    <row r="68" spans="1:38" x14ac:dyDescent="0.2">
      <c r="A68" s="1">
        <f t="shared" si="5"/>
        <v>38334.603000000076</v>
      </c>
      <c r="B68" s="16">
        <f t="shared" si="3"/>
        <v>1.0184</v>
      </c>
      <c r="C68" s="17">
        <f t="shared" si="0"/>
        <v>10.230846400000001</v>
      </c>
      <c r="D68" s="16">
        <f t="shared" si="4"/>
        <v>0.96312868838077326</v>
      </c>
      <c r="E68" s="16">
        <f t="shared" si="1"/>
        <v>0</v>
      </c>
      <c r="F68" s="16">
        <f t="shared" si="2"/>
        <v>0</v>
      </c>
      <c r="G68" s="19">
        <f>IF(IS!$C$2="Peak","-",SUM(C68:F68))</f>
        <v>11.193975088380775</v>
      </c>
      <c r="H68" s="203">
        <v>74.062591725701139</v>
      </c>
      <c r="I68" s="203">
        <v>71.875315325656146</v>
      </c>
      <c r="J68" s="203">
        <v>69.783748992439143</v>
      </c>
      <c r="K68" s="203">
        <v>65.858541797323966</v>
      </c>
      <c r="L68" s="203">
        <v>65.064261191047393</v>
      </c>
      <c r="M68" s="203">
        <v>64.369943660715734</v>
      </c>
      <c r="N68" s="203">
        <v>53.66054571964159</v>
      </c>
      <c r="O68" s="203">
        <v>48.507152388090113</v>
      </c>
      <c r="P68" s="203">
        <v>46.578522151351677</v>
      </c>
      <c r="Q68" s="203">
        <v>42.629513722559537</v>
      </c>
      <c r="R68" s="203">
        <v>32.795019197352403</v>
      </c>
      <c r="S68" s="203">
        <v>32.795019197352403</v>
      </c>
      <c r="T68" s="203">
        <v>32.679138849411814</v>
      </c>
      <c r="U68" s="203">
        <v>32.534740732191203</v>
      </c>
      <c r="V68" s="203">
        <v>32.481246792003347</v>
      </c>
      <c r="W68" s="203">
        <v>27.505849760045123</v>
      </c>
      <c r="X68" s="203">
        <v>25.954034489745535</v>
      </c>
      <c r="Y68" s="203">
        <v>24.019225326399194</v>
      </c>
      <c r="Z68" s="203">
        <v>23.169838083346107</v>
      </c>
      <c r="AA68" s="203">
        <v>22.503925199874686</v>
      </c>
      <c r="AB68" s="16">
        <f>Peak!AB70</f>
        <v>0.96312868838077326</v>
      </c>
      <c r="AC68" s="16">
        <f>Peak!AC70</f>
        <v>0</v>
      </c>
      <c r="AD68" s="18">
        <f>Peak!AD70</f>
        <v>264.14659569665338</v>
      </c>
      <c r="AE68" s="18">
        <f>Peak!AE70</f>
        <v>3642.145326358393</v>
      </c>
      <c r="AF68" s="16">
        <f>Peak!AF70</f>
        <v>0</v>
      </c>
      <c r="AG68" s="73">
        <f>Peak!AG70</f>
        <v>1.0184</v>
      </c>
      <c r="AH68" s="16">
        <f>Peak!AH70</f>
        <v>4.171294865492909</v>
      </c>
      <c r="AI68" s="16">
        <f>Peak!AI70</f>
        <v>3.8442498113207555</v>
      </c>
      <c r="AJ68" s="16">
        <f>Peak!AJ70</f>
        <v>0</v>
      </c>
      <c r="AK68" s="16">
        <f>Peak!AK70</f>
        <v>7.2000000000000008E-2</v>
      </c>
      <c r="AL68" s="4"/>
    </row>
    <row r="69" spans="1:38" x14ac:dyDescent="0.2">
      <c r="A69" s="1">
        <f t="shared" si="5"/>
        <v>38365.020000000077</v>
      </c>
      <c r="B69" s="16">
        <f t="shared" si="3"/>
        <v>1.0116000000000001</v>
      </c>
      <c r="C69" s="17">
        <f t="shared" si="0"/>
        <v>10.162533600000001</v>
      </c>
      <c r="D69" s="16">
        <f t="shared" si="4"/>
        <v>0.96473390286140792</v>
      </c>
      <c r="E69" s="16">
        <f t="shared" si="1"/>
        <v>0</v>
      </c>
      <c r="F69" s="16">
        <f t="shared" si="2"/>
        <v>0</v>
      </c>
      <c r="G69" s="19">
        <f>IF(IS!$C$2="Peak","-",SUM(C69:F69))</f>
        <v>11.127267502861409</v>
      </c>
      <c r="H69" s="203">
        <v>73.401895751362176</v>
      </c>
      <c r="I69" s="203">
        <v>71.068778498723574</v>
      </c>
      <c r="J69" s="203">
        <v>67.747450749798332</v>
      </c>
      <c r="K69" s="203">
        <v>66.487340606394383</v>
      </c>
      <c r="L69" s="203">
        <v>66.254418827685654</v>
      </c>
      <c r="M69" s="203">
        <v>60.451742496969985</v>
      </c>
      <c r="N69" s="203">
        <v>46.594160126047285</v>
      </c>
      <c r="O69" s="203">
        <v>39.165986928499699</v>
      </c>
      <c r="P69" s="203">
        <v>37.733888947700052</v>
      </c>
      <c r="Q69" s="203">
        <v>33.915931016028118</v>
      </c>
      <c r="R69" s="203">
        <v>33.687230299456296</v>
      </c>
      <c r="S69" s="203">
        <v>33.687230299456296</v>
      </c>
      <c r="T69" s="203">
        <v>33.687230299456296</v>
      </c>
      <c r="U69" s="203">
        <v>33.687230299456296</v>
      </c>
      <c r="V69" s="203">
        <v>33.687230299456296</v>
      </c>
      <c r="W69" s="203">
        <v>31.334243177532802</v>
      </c>
      <c r="X69" s="203">
        <v>28.183496931421907</v>
      </c>
      <c r="Y69" s="203">
        <v>27.479230138707372</v>
      </c>
      <c r="Z69" s="203">
        <v>26.38152685570461</v>
      </c>
      <c r="AA69" s="203">
        <v>25.516315540917017</v>
      </c>
      <c r="AB69" s="16">
        <f>Peak!AB71</f>
        <v>0.96473390286140792</v>
      </c>
      <c r="AC69" s="16">
        <f>Peak!AC71</f>
        <v>0</v>
      </c>
      <c r="AD69" s="18">
        <f>Peak!AD71</f>
        <v>290.22096928831274</v>
      </c>
      <c r="AE69" s="18">
        <f>Peak!AE71</f>
        <v>3781.0444397566248</v>
      </c>
      <c r="AF69" s="16">
        <f>Peak!AF71</f>
        <v>0</v>
      </c>
      <c r="AG69" s="73">
        <f>Peak!AG71</f>
        <v>1.0116000000000001</v>
      </c>
      <c r="AH69" s="16">
        <f>Peak!AH71</f>
        <v>4.0539502921348314</v>
      </c>
      <c r="AI69" s="16">
        <f>Peak!AI71</f>
        <v>3.8826460507614224</v>
      </c>
      <c r="AJ69" s="16">
        <f>Peak!AJ71</f>
        <v>0</v>
      </c>
      <c r="AK69" s="16">
        <f>Peak!AK71</f>
        <v>7.2000000000000008E-2</v>
      </c>
      <c r="AL69" s="4"/>
    </row>
    <row r="70" spans="1:38" x14ac:dyDescent="0.2">
      <c r="A70" s="1">
        <f t="shared" si="5"/>
        <v>38395.437000000078</v>
      </c>
      <c r="B70" s="16">
        <f t="shared" si="3"/>
        <v>1.0116000000000001</v>
      </c>
      <c r="C70" s="17">
        <f t="shared" si="0"/>
        <v>10.162533600000001</v>
      </c>
      <c r="D70" s="16">
        <f t="shared" si="4"/>
        <v>0.96634179269951026</v>
      </c>
      <c r="E70" s="16">
        <f t="shared" si="1"/>
        <v>0</v>
      </c>
      <c r="F70" s="16">
        <f t="shared" si="2"/>
        <v>0</v>
      </c>
      <c r="G70" s="19">
        <f>IF(IS!$C$2="Peak","-",SUM(C70:F70))</f>
        <v>11.128875392699511</v>
      </c>
      <c r="H70" s="203">
        <v>81.889367586608245</v>
      </c>
      <c r="I70" s="203">
        <v>77.073808874671428</v>
      </c>
      <c r="J70" s="203">
        <v>74.339865388168192</v>
      </c>
      <c r="K70" s="203">
        <v>70.205037570063013</v>
      </c>
      <c r="L70" s="203">
        <v>69.851329995864987</v>
      </c>
      <c r="M70" s="203">
        <v>63.697333387765902</v>
      </c>
      <c r="N70" s="203">
        <v>51.547807014422524</v>
      </c>
      <c r="O70" s="203">
        <v>49.281657868326256</v>
      </c>
      <c r="P70" s="203">
        <v>40.617843702545251</v>
      </c>
      <c r="Q70" s="203">
        <v>34.915106469135196</v>
      </c>
      <c r="R70" s="203">
        <v>34.862836581106265</v>
      </c>
      <c r="S70" s="203">
        <v>34.634084039153109</v>
      </c>
      <c r="T70" s="203">
        <v>34.621781113400068</v>
      </c>
      <c r="U70" s="203">
        <v>27.944721023680181</v>
      </c>
      <c r="V70" s="203">
        <v>26.513886537364495</v>
      </c>
      <c r="W70" s="203">
        <v>25.446948356893852</v>
      </c>
      <c r="X70" s="203">
        <v>24.634094839049062</v>
      </c>
      <c r="Y70" s="203">
        <v>24.179274496272615</v>
      </c>
      <c r="Z70" s="203">
        <v>23.748435689688797</v>
      </c>
      <c r="AA70" s="203">
        <v>22.977671384480828</v>
      </c>
      <c r="AB70" s="16">
        <f>Peak!AB72</f>
        <v>0.96634179269951026</v>
      </c>
      <c r="AC70" s="16">
        <f>Peak!AC72</f>
        <v>0</v>
      </c>
      <c r="AD70" s="18">
        <f>Peak!AD72</f>
        <v>290.22096928831274</v>
      </c>
      <c r="AE70" s="18">
        <f>Peak!AE72</f>
        <v>3781.0444397566248</v>
      </c>
      <c r="AF70" s="16">
        <f>Peak!AF72</f>
        <v>0</v>
      </c>
      <c r="AG70" s="73">
        <f>Peak!AG72</f>
        <v>1.0116000000000001</v>
      </c>
      <c r="AH70" s="16">
        <f>Peak!AH72</f>
        <v>3.6334607671527612</v>
      </c>
      <c r="AI70" s="16">
        <f>Peak!AI72</f>
        <v>3.8466956243654833</v>
      </c>
      <c r="AJ70" s="16">
        <f>Peak!AJ72</f>
        <v>0</v>
      </c>
      <c r="AK70" s="16">
        <f>Peak!AK72</f>
        <v>7.2000000000000008E-2</v>
      </c>
      <c r="AL70" s="4"/>
    </row>
    <row r="71" spans="1:38" x14ac:dyDescent="0.2">
      <c r="A71" s="1">
        <f t="shared" si="5"/>
        <v>38425.854000000079</v>
      </c>
      <c r="B71" s="16">
        <f t="shared" si="3"/>
        <v>1.0116000000000001</v>
      </c>
      <c r="C71" s="17">
        <f t="shared" si="0"/>
        <v>10.162533600000001</v>
      </c>
      <c r="D71" s="16">
        <f t="shared" si="4"/>
        <v>0.9679523623540095</v>
      </c>
      <c r="E71" s="16">
        <f t="shared" si="1"/>
        <v>0</v>
      </c>
      <c r="F71" s="16">
        <f t="shared" si="2"/>
        <v>0</v>
      </c>
      <c r="G71" s="19">
        <f>IF(IS!$C$2="Peak","-",SUM(C71:F71))</f>
        <v>11.130485962354012</v>
      </c>
      <c r="H71" s="203">
        <v>72.859033951990526</v>
      </c>
      <c r="I71" s="203">
        <v>70.440020011307595</v>
      </c>
      <c r="J71" s="203">
        <v>66.904526734369782</v>
      </c>
      <c r="K71" s="203">
        <v>65.318298961946709</v>
      </c>
      <c r="L71" s="203">
        <v>65.13992287496211</v>
      </c>
      <c r="M71" s="203">
        <v>59.291772288461559</v>
      </c>
      <c r="N71" s="203">
        <v>45.806097924994987</v>
      </c>
      <c r="O71" s="203">
        <v>39.388388559906375</v>
      </c>
      <c r="P71" s="203">
        <v>37.169759446371579</v>
      </c>
      <c r="Q71" s="203">
        <v>33.399512488964618</v>
      </c>
      <c r="R71" s="203">
        <v>32.390926529977889</v>
      </c>
      <c r="S71" s="203">
        <v>32.390926529977889</v>
      </c>
      <c r="T71" s="203">
        <v>32.390926529977889</v>
      </c>
      <c r="U71" s="203">
        <v>32.390926529977889</v>
      </c>
      <c r="V71" s="203">
        <v>32.292194794541246</v>
      </c>
      <c r="W71" s="203">
        <v>27.956466166983596</v>
      </c>
      <c r="X71" s="203">
        <v>26.684013612399497</v>
      </c>
      <c r="Y71" s="203">
        <v>25.523476061622883</v>
      </c>
      <c r="Z71" s="203">
        <v>24.547637321220051</v>
      </c>
      <c r="AA71" s="203">
        <v>23.405650581200366</v>
      </c>
      <c r="AB71" s="16">
        <f>Peak!AB73</f>
        <v>0.9679523623540095</v>
      </c>
      <c r="AC71" s="16">
        <f>Peak!AC73</f>
        <v>0</v>
      </c>
      <c r="AD71" s="18">
        <f>Peak!AD73</f>
        <v>290.22096928831274</v>
      </c>
      <c r="AE71" s="18">
        <f>Peak!AE73</f>
        <v>3781.0444397566248</v>
      </c>
      <c r="AF71" s="16">
        <f>Peak!AF73</f>
        <v>0</v>
      </c>
      <c r="AG71" s="73">
        <f>Peak!AG73</f>
        <v>1.0116000000000001</v>
      </c>
      <c r="AH71" s="16">
        <f>Peak!AH73</f>
        <v>3.5723639985656233</v>
      </c>
      <c r="AI71" s="16">
        <f>Peak!AI73</f>
        <v>3.7028939187817267</v>
      </c>
      <c r="AJ71" s="16">
        <f>Peak!AJ73</f>
        <v>0</v>
      </c>
      <c r="AK71" s="16">
        <f>Peak!AK73</f>
        <v>7.2000000000000008E-2</v>
      </c>
      <c r="AL71" s="4"/>
    </row>
    <row r="72" spans="1:38" x14ac:dyDescent="0.2">
      <c r="A72" s="1">
        <f t="shared" si="5"/>
        <v>38456.271000000081</v>
      </c>
      <c r="B72" s="16">
        <f t="shared" si="3"/>
        <v>1.0116000000000001</v>
      </c>
      <c r="C72" s="17">
        <f t="shared" si="0"/>
        <v>10.162533600000001</v>
      </c>
      <c r="D72" s="16">
        <f t="shared" si="4"/>
        <v>0.96956561629126625</v>
      </c>
      <c r="E72" s="16">
        <f t="shared" si="1"/>
        <v>0</v>
      </c>
      <c r="F72" s="16">
        <f t="shared" si="2"/>
        <v>0</v>
      </c>
      <c r="G72" s="19">
        <f>IF(IS!$C$2="Peak","-",SUM(C72:F72))</f>
        <v>11.132099216291268</v>
      </c>
      <c r="H72" s="203">
        <v>59.304207670478448</v>
      </c>
      <c r="I72" s="203">
        <v>57.153144791661227</v>
      </c>
      <c r="J72" s="203">
        <v>54.514346482828131</v>
      </c>
      <c r="K72" s="203">
        <v>53.925877605716984</v>
      </c>
      <c r="L72" s="203">
        <v>53.747379476491261</v>
      </c>
      <c r="M72" s="203">
        <v>44.921195076783491</v>
      </c>
      <c r="N72" s="203">
        <v>41.142651300265285</v>
      </c>
      <c r="O72" s="203">
        <v>38.25698050341866</v>
      </c>
      <c r="P72" s="203">
        <v>33.580074866121329</v>
      </c>
      <c r="Q72" s="203">
        <v>28.473309975048657</v>
      </c>
      <c r="R72" s="203">
        <v>28.091822839289478</v>
      </c>
      <c r="S72" s="203">
        <v>28.091822839289478</v>
      </c>
      <c r="T72" s="203">
        <v>28.069235654794589</v>
      </c>
      <c r="U72" s="203">
        <v>27.000060290338403</v>
      </c>
      <c r="V72" s="203">
        <v>26.03130176602982</v>
      </c>
      <c r="W72" s="203">
        <v>25.8264181537693</v>
      </c>
      <c r="X72" s="203">
        <v>24.787727500442877</v>
      </c>
      <c r="Y72" s="203">
        <v>24.228992862438613</v>
      </c>
      <c r="Z72" s="203">
        <v>23.764155709058386</v>
      </c>
      <c r="AA72" s="203">
        <v>23.342453097807564</v>
      </c>
      <c r="AB72" s="16">
        <f>Peak!AB74</f>
        <v>0.96956561629126625</v>
      </c>
      <c r="AC72" s="16">
        <f>Peak!AC74</f>
        <v>0</v>
      </c>
      <c r="AD72" s="18">
        <f>Peak!AD74</f>
        <v>290.22096928831274</v>
      </c>
      <c r="AE72" s="18">
        <f>Peak!AE74</f>
        <v>3781.0444397566248</v>
      </c>
      <c r="AF72" s="16">
        <f>Peak!AF74</f>
        <v>0</v>
      </c>
      <c r="AG72" s="73">
        <f>Peak!AG74</f>
        <v>1.0116000000000001</v>
      </c>
      <c r="AH72" s="16">
        <f>Peak!AH74</f>
        <v>3.3962615479321063</v>
      </c>
      <c r="AI72" s="16">
        <f>Peak!AI74</f>
        <v>3.5590922131979701</v>
      </c>
      <c r="AJ72" s="16">
        <f>Peak!AJ74</f>
        <v>0</v>
      </c>
      <c r="AK72" s="16">
        <f>Peak!AK74</f>
        <v>7.2000000000000008E-2</v>
      </c>
      <c r="AL72" s="4"/>
    </row>
    <row r="73" spans="1:38" x14ac:dyDescent="0.2">
      <c r="A73" s="1">
        <f t="shared" si="5"/>
        <v>38486.688000000082</v>
      </c>
      <c r="B73" s="16">
        <f t="shared" si="3"/>
        <v>1.0116000000000001</v>
      </c>
      <c r="C73" s="17">
        <f t="shared" ref="C73:C136" si="6">(B73*$B$1*1000)/1000000</f>
        <v>10.162533600000001</v>
      </c>
      <c r="D73" s="16">
        <f t="shared" si="4"/>
        <v>0.97118155898508507</v>
      </c>
      <c r="E73" s="16">
        <f t="shared" ref="E73:E136" si="7">(($AJ73*$B$1*AD73*1000)/2000)/1000000</f>
        <v>0</v>
      </c>
      <c r="F73" s="16">
        <f t="shared" ref="F73:F136" si="8">AF73*(($AK73*$B$1*AE73*1000)/2000)/1000000</f>
        <v>1.3674374079046221</v>
      </c>
      <c r="G73" s="19">
        <f>IF(IS!$C$2="Peak","-",SUM(C73:F73))</f>
        <v>12.50115256688971</v>
      </c>
      <c r="H73" s="203">
        <v>78.954243060226901</v>
      </c>
      <c r="I73" s="203">
        <v>68.904304346369585</v>
      </c>
      <c r="J73" s="203">
        <v>63.73488773375616</v>
      </c>
      <c r="K73" s="203">
        <v>59.36596721769159</v>
      </c>
      <c r="L73" s="203">
        <v>56.653486044397098</v>
      </c>
      <c r="M73" s="203">
        <v>55.742286293884561</v>
      </c>
      <c r="N73" s="203">
        <v>42.576779265072318</v>
      </c>
      <c r="O73" s="203">
        <v>38.09531917765127</v>
      </c>
      <c r="P73" s="203">
        <v>33.522022269532705</v>
      </c>
      <c r="Q73" s="203">
        <v>32.593107351583242</v>
      </c>
      <c r="R73" s="203">
        <v>32.520934450584477</v>
      </c>
      <c r="S73" s="203">
        <v>32.193409488355812</v>
      </c>
      <c r="T73" s="203">
        <v>31.145975872484065</v>
      </c>
      <c r="U73" s="203">
        <v>30.553405508985712</v>
      </c>
      <c r="V73" s="203">
        <v>29.782198894825463</v>
      </c>
      <c r="W73" s="203">
        <v>28.943665048298296</v>
      </c>
      <c r="X73" s="203">
        <v>28.55102057495386</v>
      </c>
      <c r="Y73" s="203">
        <v>28.075022317654909</v>
      </c>
      <c r="Z73" s="203">
        <v>27.852420117745723</v>
      </c>
      <c r="AA73" s="203">
        <v>27.333079765250901</v>
      </c>
      <c r="AB73" s="16">
        <f>Peak!AB75</f>
        <v>0.97118155898508507</v>
      </c>
      <c r="AC73" s="16">
        <f>Peak!AC75</f>
        <v>0</v>
      </c>
      <c r="AD73" s="18">
        <f>Peak!AD75</f>
        <v>290.22096928831274</v>
      </c>
      <c r="AE73" s="18">
        <f>Peak!AE75</f>
        <v>3781.0444397566248</v>
      </c>
      <c r="AF73" s="16">
        <f>Peak!AF75</f>
        <v>1</v>
      </c>
      <c r="AG73" s="73">
        <f>Peak!AG75</f>
        <v>1.0116000000000001</v>
      </c>
      <c r="AH73" s="16">
        <f>Peak!AH75</f>
        <v>3.5759579261295724</v>
      </c>
      <c r="AI73" s="16">
        <f>Peak!AI75</f>
        <v>3.4152905076142135</v>
      </c>
      <c r="AJ73" s="16">
        <f>Peak!AJ75</f>
        <v>0</v>
      </c>
      <c r="AK73" s="16">
        <f>Peak!AK75</f>
        <v>7.2000000000000008E-2</v>
      </c>
      <c r="AL73" s="4"/>
    </row>
    <row r="74" spans="1:38" x14ac:dyDescent="0.2">
      <c r="A74" s="1">
        <f t="shared" si="5"/>
        <v>38517.105000000083</v>
      </c>
      <c r="B74" s="16">
        <f t="shared" ref="B74:B137" si="9">IF($B$7="Coal",AG74,IF($B$7="Gas",AH74,IF($B$7="Oil",AI74,0)))</f>
        <v>1.0116000000000001</v>
      </c>
      <c r="C74" s="17">
        <f t="shared" si="6"/>
        <v>10.162533600000001</v>
      </c>
      <c r="D74" s="16">
        <f t="shared" ref="D74:D137" si="10">AB74+AC74</f>
        <v>0.97280019491672687</v>
      </c>
      <c r="E74" s="16">
        <f t="shared" si="7"/>
        <v>0</v>
      </c>
      <c r="F74" s="16">
        <f t="shared" si="8"/>
        <v>1.3674374079046221</v>
      </c>
      <c r="G74" s="19">
        <f>IF(IS!$C$2="Peak","-",SUM(C74:F74))</f>
        <v>12.502771202821352</v>
      </c>
      <c r="H74" s="203">
        <v>241.70667877359452</v>
      </c>
      <c r="I74" s="203">
        <v>177.47379728950406</v>
      </c>
      <c r="J74" s="203">
        <v>155.06651786181317</v>
      </c>
      <c r="K74" s="203">
        <v>103.08410065676853</v>
      </c>
      <c r="L74" s="203">
        <v>56.542479759817162</v>
      </c>
      <c r="M74" s="203">
        <v>49.718862572536736</v>
      </c>
      <c r="N74" s="203">
        <v>45.771565786234348</v>
      </c>
      <c r="O74" s="203">
        <v>43.810271197535357</v>
      </c>
      <c r="P74" s="203">
        <v>36.217239978675082</v>
      </c>
      <c r="Q74" s="203">
        <v>33.004697757326063</v>
      </c>
      <c r="R74" s="203">
        <v>32.141583282745493</v>
      </c>
      <c r="S74" s="203">
        <v>30.926889089179308</v>
      </c>
      <c r="T74" s="203">
        <v>30.431018900446762</v>
      </c>
      <c r="U74" s="203">
        <v>29.863307458356541</v>
      </c>
      <c r="V74" s="203">
        <v>29.064365718843742</v>
      </c>
      <c r="W74" s="203">
        <v>28.168833154531605</v>
      </c>
      <c r="X74" s="203">
        <v>27.788275328263701</v>
      </c>
      <c r="Y74" s="203">
        <v>27.206268287558629</v>
      </c>
      <c r="Z74" s="203">
        <v>26.67189572346296</v>
      </c>
      <c r="AA74" s="203">
        <v>25.332208281715893</v>
      </c>
      <c r="AB74" s="16">
        <f>Peak!AB76</f>
        <v>0.97280019491672687</v>
      </c>
      <c r="AC74" s="16">
        <f>Peak!AC76</f>
        <v>0</v>
      </c>
      <c r="AD74" s="18">
        <f>Peak!AD76</f>
        <v>290.22096928831274</v>
      </c>
      <c r="AE74" s="18">
        <f>Peak!AE76</f>
        <v>3781.0444397566248</v>
      </c>
      <c r="AF74" s="16">
        <f>Peak!AF76</f>
        <v>1</v>
      </c>
      <c r="AG74" s="73">
        <f>Peak!AG76</f>
        <v>1.0116000000000001</v>
      </c>
      <c r="AH74" s="16">
        <f>Peak!AH76</f>
        <v>3.4070433306239543</v>
      </c>
      <c r="AI74" s="16">
        <f>Peak!AI76</f>
        <v>3.4152905076142135</v>
      </c>
      <c r="AJ74" s="16">
        <f>Peak!AJ76</f>
        <v>0</v>
      </c>
      <c r="AK74" s="16">
        <f>Peak!AK76</f>
        <v>7.2000000000000008E-2</v>
      </c>
      <c r="AL74" s="4"/>
    </row>
    <row r="75" spans="1:38" x14ac:dyDescent="0.2">
      <c r="A75" s="1">
        <f t="shared" ref="A75:A138" si="11">A74+30.417</f>
        <v>38547.522000000085</v>
      </c>
      <c r="B75" s="16">
        <f t="shared" si="9"/>
        <v>1.0116000000000001</v>
      </c>
      <c r="C75" s="17">
        <f t="shared" si="6"/>
        <v>10.162533600000001</v>
      </c>
      <c r="D75" s="16">
        <f t="shared" si="10"/>
        <v>0.97442152857492148</v>
      </c>
      <c r="E75" s="16">
        <f t="shared" si="7"/>
        <v>0</v>
      </c>
      <c r="F75" s="16">
        <f t="shared" si="8"/>
        <v>1.3674374079046221</v>
      </c>
      <c r="G75" s="19">
        <f>IF(IS!$C$2="Peak","-",SUM(C75:F75))</f>
        <v>12.504392536479546</v>
      </c>
      <c r="H75" s="203">
        <v>538.65154979934925</v>
      </c>
      <c r="I75" s="203">
        <v>363.78976732443232</v>
      </c>
      <c r="J75" s="203">
        <v>265.11515640925103</v>
      </c>
      <c r="K75" s="203">
        <v>184.26477432184845</v>
      </c>
      <c r="L75" s="203">
        <v>138.26579161345902</v>
      </c>
      <c r="M75" s="203">
        <v>75.861740833625078</v>
      </c>
      <c r="N75" s="203">
        <v>55.78916722948766</v>
      </c>
      <c r="O75" s="203">
        <v>50.355753662897158</v>
      </c>
      <c r="P75" s="203">
        <v>49.400118586026949</v>
      </c>
      <c r="Q75" s="203">
        <v>41.033626228973205</v>
      </c>
      <c r="R75" s="203">
        <v>35.45540942269092</v>
      </c>
      <c r="S75" s="203">
        <v>33.61021216590909</v>
      </c>
      <c r="T75" s="203">
        <v>32.083696778697806</v>
      </c>
      <c r="U75" s="203">
        <v>31.052985577680836</v>
      </c>
      <c r="V75" s="203">
        <v>30.63577362230118</v>
      </c>
      <c r="W75" s="203">
        <v>29.587872692851061</v>
      </c>
      <c r="X75" s="203">
        <v>28.840599713448128</v>
      </c>
      <c r="Y75" s="203">
        <v>28.570829098161244</v>
      </c>
      <c r="Z75" s="203">
        <v>27.694272637399806</v>
      </c>
      <c r="AA75" s="203">
        <v>25.364665524611709</v>
      </c>
      <c r="AB75" s="16">
        <f>Peak!AB77</f>
        <v>0.97442152857492148</v>
      </c>
      <c r="AC75" s="16">
        <f>Peak!AC77</f>
        <v>0</v>
      </c>
      <c r="AD75" s="18">
        <f>Peak!AD77</f>
        <v>290.22096928831274</v>
      </c>
      <c r="AE75" s="18">
        <f>Peak!AE77</f>
        <v>3781.0444397566248</v>
      </c>
      <c r="AF75" s="16">
        <f>Peak!AF77</f>
        <v>1</v>
      </c>
      <c r="AG75" s="73">
        <f>Peak!AG77</f>
        <v>1.0116000000000001</v>
      </c>
      <c r="AH75" s="16">
        <f>Peak!AH77</f>
        <v>3.3962615479321063</v>
      </c>
      <c r="AI75" s="16">
        <f>Peak!AI77</f>
        <v>3.4152905076142135</v>
      </c>
      <c r="AJ75" s="16">
        <f>Peak!AJ77</f>
        <v>0</v>
      </c>
      <c r="AK75" s="16">
        <f>Peak!AK77</f>
        <v>7.2000000000000008E-2</v>
      </c>
      <c r="AL75" s="4"/>
    </row>
    <row r="76" spans="1:38" x14ac:dyDescent="0.2">
      <c r="A76" s="1">
        <f t="shared" si="11"/>
        <v>38577.939000000086</v>
      </c>
      <c r="B76" s="16">
        <f t="shared" si="9"/>
        <v>1.0116000000000001</v>
      </c>
      <c r="C76" s="17">
        <f t="shared" si="6"/>
        <v>10.162533600000001</v>
      </c>
      <c r="D76" s="16">
        <f t="shared" si="10"/>
        <v>0.97604556445587975</v>
      </c>
      <c r="E76" s="16">
        <f t="shared" si="7"/>
        <v>0</v>
      </c>
      <c r="F76" s="16">
        <f t="shared" si="8"/>
        <v>1.3674374079046221</v>
      </c>
      <c r="G76" s="19">
        <f>IF(IS!$C$2="Peak","-",SUM(C76:F76))</f>
        <v>12.506016572360505</v>
      </c>
      <c r="H76" s="203">
        <v>848.60440930492678</v>
      </c>
      <c r="I76" s="203">
        <v>492.21352996723846</v>
      </c>
      <c r="J76" s="203">
        <v>337.34197106825741</v>
      </c>
      <c r="K76" s="203">
        <v>211.36095838200896</v>
      </c>
      <c r="L76" s="203">
        <v>154.35257701520936</v>
      </c>
      <c r="M76" s="203">
        <v>92.460781836924269</v>
      </c>
      <c r="N76" s="203">
        <v>70.371508885798306</v>
      </c>
      <c r="O76" s="203">
        <v>63.410366051871598</v>
      </c>
      <c r="P76" s="203">
        <v>58.60725984460089</v>
      </c>
      <c r="Q76" s="203">
        <v>44.158609073707218</v>
      </c>
      <c r="R76" s="203">
        <v>38.558858534401345</v>
      </c>
      <c r="S76" s="203">
        <v>36.270460739600395</v>
      </c>
      <c r="T76" s="203">
        <v>35.685278546820697</v>
      </c>
      <c r="U76" s="203">
        <v>34.985838864093857</v>
      </c>
      <c r="V76" s="203">
        <v>34.244297745175643</v>
      </c>
      <c r="W76" s="203">
        <v>33.497073014835209</v>
      </c>
      <c r="X76" s="203">
        <v>32.361724423187844</v>
      </c>
      <c r="Y76" s="203">
        <v>31.627564811723648</v>
      </c>
      <c r="Z76" s="203">
        <v>30.881168562599782</v>
      </c>
      <c r="AA76" s="203">
        <v>28.466644256673749</v>
      </c>
      <c r="AB76" s="16">
        <f>Peak!AB78</f>
        <v>0.97604556445587975</v>
      </c>
      <c r="AC76" s="16">
        <f>Peak!AC78</f>
        <v>0</v>
      </c>
      <c r="AD76" s="18">
        <f>Peak!AD78</f>
        <v>290.22096928831274</v>
      </c>
      <c r="AE76" s="18">
        <f>Peak!AE78</f>
        <v>3781.0444397566248</v>
      </c>
      <c r="AF76" s="16">
        <f>Peak!AF78</f>
        <v>1</v>
      </c>
      <c r="AG76" s="73">
        <f>Peak!AG78</f>
        <v>1.0116000000000001</v>
      </c>
      <c r="AH76" s="16">
        <f>Peak!AH78</f>
        <v>3.2201590972985898</v>
      </c>
      <c r="AI76" s="16">
        <f>Peak!AI78</f>
        <v>3.4152905076142135</v>
      </c>
      <c r="AJ76" s="16">
        <f>Peak!AJ78</f>
        <v>0</v>
      </c>
      <c r="AK76" s="16">
        <f>Peak!AK78</f>
        <v>7.2000000000000008E-2</v>
      </c>
      <c r="AL76" s="4"/>
    </row>
    <row r="77" spans="1:38" x14ac:dyDescent="0.2">
      <c r="A77" s="1">
        <f t="shared" si="11"/>
        <v>38608.356000000087</v>
      </c>
      <c r="B77" s="16">
        <f t="shared" si="9"/>
        <v>1.0116000000000001</v>
      </c>
      <c r="C77" s="17">
        <f t="shared" si="6"/>
        <v>10.162533600000001</v>
      </c>
      <c r="D77" s="16">
        <f t="shared" si="10"/>
        <v>0.97767230706330621</v>
      </c>
      <c r="E77" s="16">
        <f t="shared" si="7"/>
        <v>0</v>
      </c>
      <c r="F77" s="16">
        <f t="shared" si="8"/>
        <v>1.3674374079046221</v>
      </c>
      <c r="G77" s="19">
        <f>IF(IS!$C$2="Peak","-",SUM(C77:F77))</f>
        <v>12.507643314967931</v>
      </c>
      <c r="H77" s="203">
        <v>197.77839709212429</v>
      </c>
      <c r="I77" s="203">
        <v>162.04618741458313</v>
      </c>
      <c r="J77" s="203">
        <v>134.26062354709208</v>
      </c>
      <c r="K77" s="203">
        <v>86.696652264740578</v>
      </c>
      <c r="L77" s="203">
        <v>66.515579944064299</v>
      </c>
      <c r="M77" s="203">
        <v>60.224210625544387</v>
      </c>
      <c r="N77" s="203">
        <v>58.177400998196298</v>
      </c>
      <c r="O77" s="203">
        <v>47.558647732152693</v>
      </c>
      <c r="P77" s="203">
        <v>38.804618791091123</v>
      </c>
      <c r="Q77" s="203">
        <v>33.451605575851708</v>
      </c>
      <c r="R77" s="203">
        <v>32.599208182595028</v>
      </c>
      <c r="S77" s="203">
        <v>30.921321456169345</v>
      </c>
      <c r="T77" s="203">
        <v>29.882953764424315</v>
      </c>
      <c r="U77" s="203">
        <v>29.338415542563091</v>
      </c>
      <c r="V77" s="203">
        <v>29.016018223345053</v>
      </c>
      <c r="W77" s="203">
        <v>28.583219579332059</v>
      </c>
      <c r="X77" s="203">
        <v>28.579620939492337</v>
      </c>
      <c r="Y77" s="203">
        <v>28.57930148007377</v>
      </c>
      <c r="Z77" s="203">
        <v>28.579092043973112</v>
      </c>
      <c r="AA77" s="203">
        <v>27.287897619430755</v>
      </c>
      <c r="AB77" s="16">
        <f>Peak!AB79</f>
        <v>0.97767230706330621</v>
      </c>
      <c r="AC77" s="16">
        <f>Peak!AC79</f>
        <v>0</v>
      </c>
      <c r="AD77" s="18">
        <f>Peak!AD79</f>
        <v>290.22096928831274</v>
      </c>
      <c r="AE77" s="18">
        <f>Peak!AE79</f>
        <v>3781.0444397566248</v>
      </c>
      <c r="AF77" s="16">
        <f>Peak!AF79</f>
        <v>1</v>
      </c>
      <c r="AG77" s="73">
        <f>Peak!AG79</f>
        <v>1.0116000000000001</v>
      </c>
      <c r="AH77" s="16">
        <f>Peak!AH79</f>
        <v>3.2093773146067419</v>
      </c>
      <c r="AI77" s="16">
        <f>Peak!AI79</f>
        <v>3.4152905076142135</v>
      </c>
      <c r="AJ77" s="16">
        <f>Peak!AJ79</f>
        <v>0</v>
      </c>
      <c r="AK77" s="16">
        <f>Peak!AK79</f>
        <v>7.2000000000000008E-2</v>
      </c>
      <c r="AL77" s="4"/>
    </row>
    <row r="78" spans="1:38" x14ac:dyDescent="0.2">
      <c r="A78" s="1">
        <f t="shared" si="11"/>
        <v>38638.773000000088</v>
      </c>
      <c r="B78" s="16">
        <f t="shared" si="9"/>
        <v>1.0116000000000001</v>
      </c>
      <c r="C78" s="17">
        <f t="shared" si="6"/>
        <v>10.162533600000001</v>
      </c>
      <c r="D78" s="16">
        <f t="shared" si="10"/>
        <v>0.97930176090841181</v>
      </c>
      <c r="E78" s="16">
        <f t="shared" si="7"/>
        <v>0</v>
      </c>
      <c r="F78" s="16">
        <f t="shared" si="8"/>
        <v>0</v>
      </c>
      <c r="G78" s="19">
        <f>IF(IS!$C$2="Peak","-",SUM(C78:F78))</f>
        <v>11.141835360908413</v>
      </c>
      <c r="H78" s="203">
        <v>70.845104078451627</v>
      </c>
      <c r="I78" s="203">
        <v>64.726857695634948</v>
      </c>
      <c r="J78" s="203">
        <v>61.058495768739782</v>
      </c>
      <c r="K78" s="203">
        <v>58.821351401554672</v>
      </c>
      <c r="L78" s="203">
        <v>56.564892943892929</v>
      </c>
      <c r="M78" s="203">
        <v>52.779488744957817</v>
      </c>
      <c r="N78" s="203">
        <v>52.036801256080423</v>
      </c>
      <c r="O78" s="203">
        <v>50.753882254161418</v>
      </c>
      <c r="P78" s="203">
        <v>42.092796856663071</v>
      </c>
      <c r="Q78" s="203">
        <v>37.027770893507849</v>
      </c>
      <c r="R78" s="203">
        <v>30.630191959776589</v>
      </c>
      <c r="S78" s="203">
        <v>30.086294003242891</v>
      </c>
      <c r="T78" s="203">
        <v>28.132474745209436</v>
      </c>
      <c r="U78" s="203">
        <v>27.465657885533339</v>
      </c>
      <c r="V78" s="203">
        <v>27.393732203125118</v>
      </c>
      <c r="W78" s="203">
        <v>25.624874324669086</v>
      </c>
      <c r="X78" s="203">
        <v>24.766604913054859</v>
      </c>
      <c r="Y78" s="203">
        <v>24.389961327824285</v>
      </c>
      <c r="Z78" s="203">
        <v>23.419244672150459</v>
      </c>
      <c r="AA78" s="203">
        <v>22.439473295236162</v>
      </c>
      <c r="AB78" s="16">
        <f>Peak!AB80</f>
        <v>0.97930176090841181</v>
      </c>
      <c r="AC78" s="16">
        <f>Peak!AC80</f>
        <v>0</v>
      </c>
      <c r="AD78" s="18">
        <f>Peak!AD80</f>
        <v>290.22096928831274</v>
      </c>
      <c r="AE78" s="18">
        <f>Peak!AE80</f>
        <v>3781.0444397566248</v>
      </c>
      <c r="AF78" s="16">
        <f>Peak!AF80</f>
        <v>0</v>
      </c>
      <c r="AG78" s="73">
        <f>Peak!AG80</f>
        <v>1.0116000000000001</v>
      </c>
      <c r="AH78" s="16">
        <f>Peak!AH80</f>
        <v>3.5543943607458766</v>
      </c>
      <c r="AI78" s="16">
        <f>Peak!AI80</f>
        <v>3.4152905076142135</v>
      </c>
      <c r="AJ78" s="16">
        <f>Peak!AJ80</f>
        <v>0</v>
      </c>
      <c r="AK78" s="16">
        <f>Peak!AK80</f>
        <v>7.2000000000000008E-2</v>
      </c>
      <c r="AL78" s="4"/>
    </row>
    <row r="79" spans="1:38" x14ac:dyDescent="0.2">
      <c r="A79" s="1">
        <f t="shared" si="11"/>
        <v>38669.19000000009</v>
      </c>
      <c r="B79" s="16">
        <f t="shared" si="9"/>
        <v>1.0116000000000001</v>
      </c>
      <c r="C79" s="17">
        <f t="shared" si="6"/>
        <v>10.162533600000001</v>
      </c>
      <c r="D79" s="16">
        <f t="shared" si="10"/>
        <v>0.98093393050992583</v>
      </c>
      <c r="E79" s="16">
        <f t="shared" si="7"/>
        <v>0</v>
      </c>
      <c r="F79" s="16">
        <f t="shared" si="8"/>
        <v>0</v>
      </c>
      <c r="G79" s="19">
        <f>IF(IS!$C$2="Peak","-",SUM(C79:F79))</f>
        <v>11.143467530509927</v>
      </c>
      <c r="H79" s="203">
        <v>78.5916063147165</v>
      </c>
      <c r="I79" s="203">
        <v>73.455675139125873</v>
      </c>
      <c r="J79" s="203">
        <v>67.192291077685724</v>
      </c>
      <c r="K79" s="203">
        <v>64.263780003509197</v>
      </c>
      <c r="L79" s="203">
        <v>60.861515878851563</v>
      </c>
      <c r="M79" s="203">
        <v>58.437917222810746</v>
      </c>
      <c r="N79" s="203">
        <v>58.229875602103689</v>
      </c>
      <c r="O79" s="203">
        <v>53.40232357475751</v>
      </c>
      <c r="P79" s="203">
        <v>41.00300755352098</v>
      </c>
      <c r="Q79" s="203">
        <v>40.893253350993398</v>
      </c>
      <c r="R79" s="203">
        <v>40.85446059360293</v>
      </c>
      <c r="S79" s="203">
        <v>31.630371233466015</v>
      </c>
      <c r="T79" s="203">
        <v>29.592053942844377</v>
      </c>
      <c r="U79" s="203">
        <v>29.393205022048797</v>
      </c>
      <c r="V79" s="203">
        <v>28.412182934262198</v>
      </c>
      <c r="W79" s="203">
        <v>26.689439849946801</v>
      </c>
      <c r="X79" s="203">
        <v>26.24783029766337</v>
      </c>
      <c r="Y79" s="203">
        <v>25.446986755743513</v>
      </c>
      <c r="Z79" s="203">
        <v>24.703139788446911</v>
      </c>
      <c r="AA79" s="203">
        <v>23.804449506315599</v>
      </c>
      <c r="AB79" s="16">
        <f>Peak!AB81</f>
        <v>0.98093393050992583</v>
      </c>
      <c r="AC79" s="16">
        <f>Peak!AC81</f>
        <v>0</v>
      </c>
      <c r="AD79" s="18">
        <f>Peak!AD81</f>
        <v>290.22096928831274</v>
      </c>
      <c r="AE79" s="18">
        <f>Peak!AE81</f>
        <v>3781.0444397566248</v>
      </c>
      <c r="AF79" s="16">
        <f>Peak!AF81</f>
        <v>0</v>
      </c>
      <c r="AG79" s="73">
        <f>Peak!AG81</f>
        <v>1.0116000000000001</v>
      </c>
      <c r="AH79" s="16">
        <f>Peak!AH81</f>
        <v>3.8922235517571124</v>
      </c>
      <c r="AI79" s="16">
        <f>Peak!AI81</f>
        <v>3.7028939187817267</v>
      </c>
      <c r="AJ79" s="16">
        <f>Peak!AJ81</f>
        <v>0</v>
      </c>
      <c r="AK79" s="16">
        <f>Peak!AK81</f>
        <v>7.2000000000000008E-2</v>
      </c>
      <c r="AL79" s="4"/>
    </row>
    <row r="80" spans="1:38" x14ac:dyDescent="0.2">
      <c r="A80" s="1">
        <f t="shared" si="11"/>
        <v>38699.607000000091</v>
      </c>
      <c r="B80" s="16">
        <f t="shared" si="9"/>
        <v>1.0116000000000001</v>
      </c>
      <c r="C80" s="17">
        <f t="shared" si="6"/>
        <v>10.162533600000001</v>
      </c>
      <c r="D80" s="16">
        <f t="shared" si="10"/>
        <v>0.98256882039410909</v>
      </c>
      <c r="E80" s="16">
        <f t="shared" si="7"/>
        <v>0</v>
      </c>
      <c r="F80" s="16">
        <f t="shared" si="8"/>
        <v>0</v>
      </c>
      <c r="G80" s="19">
        <f>IF(IS!$C$2="Peak","-",SUM(C80:F80))</f>
        <v>11.14510242039411</v>
      </c>
      <c r="H80" s="203">
        <v>90.488934570895111</v>
      </c>
      <c r="I80" s="203">
        <v>87.532116567806582</v>
      </c>
      <c r="J80" s="203">
        <v>84.530636725157109</v>
      </c>
      <c r="K80" s="203">
        <v>80.492668977979292</v>
      </c>
      <c r="L80" s="203">
        <v>76.57010633719176</v>
      </c>
      <c r="M80" s="203">
        <v>76.339780772696486</v>
      </c>
      <c r="N80" s="203">
        <v>73.836059491009379</v>
      </c>
      <c r="O80" s="203">
        <v>62.118352523284557</v>
      </c>
      <c r="P80" s="203">
        <v>52.441015293726736</v>
      </c>
      <c r="Q80" s="203">
        <v>45.397520194960336</v>
      </c>
      <c r="R80" s="203">
        <v>43.047883078771463</v>
      </c>
      <c r="S80" s="203">
        <v>38.10207688914182</v>
      </c>
      <c r="T80" s="203">
        <v>30.3282711793453</v>
      </c>
      <c r="U80" s="203">
        <v>28.299426809518412</v>
      </c>
      <c r="V80" s="203">
        <v>27.294440415790714</v>
      </c>
      <c r="W80" s="203">
        <v>27.042250375285953</v>
      </c>
      <c r="X80" s="203">
        <v>26.196748153912086</v>
      </c>
      <c r="Y80" s="203">
        <v>25.441610787256234</v>
      </c>
      <c r="Z80" s="203">
        <v>24.97392618855984</v>
      </c>
      <c r="AA80" s="203">
        <v>24.37226702126954</v>
      </c>
      <c r="AB80" s="16">
        <f>Peak!AB82</f>
        <v>0.98256882039410909</v>
      </c>
      <c r="AC80" s="16">
        <f>Peak!AC82</f>
        <v>0</v>
      </c>
      <c r="AD80" s="18">
        <f>Peak!AD82</f>
        <v>290.22096928831274</v>
      </c>
      <c r="AE80" s="18">
        <f>Peak!AE82</f>
        <v>3781.0444397566248</v>
      </c>
      <c r="AF80" s="16">
        <f>Peak!AF82</f>
        <v>0</v>
      </c>
      <c r="AG80" s="73">
        <f>Peak!AG82</f>
        <v>1.0116000000000001</v>
      </c>
      <c r="AH80" s="16">
        <f>Peak!AH82</f>
        <v>4.2120831049486016</v>
      </c>
      <c r="AI80" s="16">
        <f>Peak!AI82</f>
        <v>3.8826460507614224</v>
      </c>
      <c r="AJ80" s="16">
        <f>Peak!AJ82</f>
        <v>0</v>
      </c>
      <c r="AK80" s="16">
        <f>Peak!AK82</f>
        <v>7.2000000000000008E-2</v>
      </c>
      <c r="AL80" s="4"/>
    </row>
    <row r="81" spans="1:38" x14ac:dyDescent="0.2">
      <c r="A81" s="1">
        <f t="shared" si="11"/>
        <v>38730.024000000092</v>
      </c>
      <c r="B81" s="16">
        <f t="shared" si="9"/>
        <v>1.0302</v>
      </c>
      <c r="C81" s="17">
        <f t="shared" si="6"/>
        <v>10.349389199999999</v>
      </c>
      <c r="D81" s="16">
        <f t="shared" si="10"/>
        <v>0.98420643509476602</v>
      </c>
      <c r="E81" s="16">
        <f t="shared" si="7"/>
        <v>3.9209624549893221</v>
      </c>
      <c r="F81" s="16">
        <f t="shared" si="8"/>
        <v>0</v>
      </c>
      <c r="G81" s="19">
        <f>IF(IS!$C$2="Peak","-",SUM(C81:F81))</f>
        <v>15.254558090084087</v>
      </c>
      <c r="H81" s="203">
        <v>90.871466975174343</v>
      </c>
      <c r="I81" s="203">
        <v>79.475179888670567</v>
      </c>
      <c r="J81" s="203">
        <v>71.987376253097565</v>
      </c>
      <c r="K81" s="203">
        <v>66.106841992823234</v>
      </c>
      <c r="L81" s="203">
        <v>63.451964872503616</v>
      </c>
      <c r="M81" s="203">
        <v>59.730244379693829</v>
      </c>
      <c r="N81" s="203">
        <v>56.710878266528582</v>
      </c>
      <c r="O81" s="203">
        <v>56.482445132018697</v>
      </c>
      <c r="P81" s="203">
        <v>51.910480854302186</v>
      </c>
      <c r="Q81" s="203">
        <v>41.124652502399734</v>
      </c>
      <c r="R81" s="203">
        <v>35.906991274837978</v>
      </c>
      <c r="S81" s="203">
        <v>32.560457628054934</v>
      </c>
      <c r="T81" s="203">
        <v>30.286180523270374</v>
      </c>
      <c r="U81" s="203">
        <v>29.228102994602473</v>
      </c>
      <c r="V81" s="203">
        <v>28.113307285673674</v>
      </c>
      <c r="W81" s="203">
        <v>25.970498766617649</v>
      </c>
      <c r="X81" s="203">
        <v>24.994647358506988</v>
      </c>
      <c r="Y81" s="203">
        <v>24.436107424033185</v>
      </c>
      <c r="Z81" s="203">
        <v>23.980407011930563</v>
      </c>
      <c r="AA81" s="203">
        <v>22.937159138345464</v>
      </c>
      <c r="AB81" s="16">
        <f>Peak!AB83</f>
        <v>0.98420643509476602</v>
      </c>
      <c r="AC81" s="16">
        <f>Peak!AC83</f>
        <v>0</v>
      </c>
      <c r="AD81" s="18">
        <f>Peak!AD83</f>
        <v>319.92473742153555</v>
      </c>
      <c r="AE81" s="18">
        <f>Peak!AE83</f>
        <v>3926.9475616572372</v>
      </c>
      <c r="AF81" s="16">
        <f>Peak!AF83</f>
        <v>0</v>
      </c>
      <c r="AG81" s="73">
        <f>Peak!AG83</f>
        <v>1.0302</v>
      </c>
      <c r="AH81" s="16">
        <f>Peak!AH83</f>
        <v>4.0827587934965441</v>
      </c>
      <c r="AI81" s="16">
        <f>Peak!AI83</f>
        <v>3.9163658823529417</v>
      </c>
      <c r="AJ81" s="16">
        <f>Peak!AJ83</f>
        <v>2.4399542510000001</v>
      </c>
      <c r="AK81" s="16">
        <f>Peak!AK83</f>
        <v>7.2000000000000008E-2</v>
      </c>
      <c r="AL81" s="4"/>
    </row>
    <row r="82" spans="1:38" x14ac:dyDescent="0.2">
      <c r="A82" s="1">
        <f t="shared" si="11"/>
        <v>38760.441000000093</v>
      </c>
      <c r="B82" s="16">
        <f t="shared" si="9"/>
        <v>1.0302</v>
      </c>
      <c r="C82" s="17">
        <f t="shared" si="6"/>
        <v>10.349389199999999</v>
      </c>
      <c r="D82" s="16">
        <f t="shared" si="10"/>
        <v>0.98584677915325736</v>
      </c>
      <c r="E82" s="16">
        <f t="shared" si="7"/>
        <v>3.9209624549893221</v>
      </c>
      <c r="F82" s="16">
        <f t="shared" si="8"/>
        <v>0</v>
      </c>
      <c r="G82" s="19">
        <f>IF(IS!$C$2="Peak","-",SUM(C82:F82))</f>
        <v>15.256198434142579</v>
      </c>
      <c r="H82" s="203">
        <v>77.028705550120307</v>
      </c>
      <c r="I82" s="203">
        <v>74.094600946607628</v>
      </c>
      <c r="J82" s="203">
        <v>74.080026412624235</v>
      </c>
      <c r="K82" s="203">
        <v>68.957815664169829</v>
      </c>
      <c r="L82" s="203">
        <v>54.467900376146488</v>
      </c>
      <c r="M82" s="203">
        <v>52.394089576330821</v>
      </c>
      <c r="N82" s="203">
        <v>51.610550912575412</v>
      </c>
      <c r="O82" s="203">
        <v>45.623208152161325</v>
      </c>
      <c r="P82" s="203">
        <v>41.295686568967312</v>
      </c>
      <c r="Q82" s="203">
        <v>36.753257845410431</v>
      </c>
      <c r="R82" s="203">
        <v>36.510702110603802</v>
      </c>
      <c r="S82" s="203">
        <v>36.510702110603802</v>
      </c>
      <c r="T82" s="203">
        <v>36.284157497063838</v>
      </c>
      <c r="U82" s="203">
        <v>36.21197235376998</v>
      </c>
      <c r="V82" s="203">
        <v>36.21197235376998</v>
      </c>
      <c r="W82" s="203">
        <v>36.21197235376998</v>
      </c>
      <c r="X82" s="203">
        <v>36.21197235376998</v>
      </c>
      <c r="Y82" s="203">
        <v>29.222674848316451</v>
      </c>
      <c r="Z82" s="203">
        <v>23.547266582679143</v>
      </c>
      <c r="AA82" s="203">
        <v>22.04478038944308</v>
      </c>
      <c r="AB82" s="16">
        <f>Peak!AB84</f>
        <v>0.98584677915325736</v>
      </c>
      <c r="AC82" s="16">
        <f>Peak!AC84</f>
        <v>0</v>
      </c>
      <c r="AD82" s="18">
        <f>Peak!AD84</f>
        <v>319.92473742153555</v>
      </c>
      <c r="AE82" s="18">
        <f>Peak!AE84</f>
        <v>3926.9475616572372</v>
      </c>
      <c r="AF82" s="16">
        <f>Peak!AF84</f>
        <v>0</v>
      </c>
      <c r="AG82" s="73">
        <f>Peak!AG84</f>
        <v>1.0302</v>
      </c>
      <c r="AH82" s="16">
        <f>Peak!AH84</f>
        <v>3.6592811526817428</v>
      </c>
      <c r="AI82" s="16">
        <f>Peak!AI84</f>
        <v>3.8801032352941185</v>
      </c>
      <c r="AJ82" s="16">
        <f>Peak!AJ84</f>
        <v>2.4399542510000001</v>
      </c>
      <c r="AK82" s="16">
        <f>Peak!AK84</f>
        <v>7.2000000000000008E-2</v>
      </c>
      <c r="AL82" s="4"/>
    </row>
    <row r="83" spans="1:38" x14ac:dyDescent="0.2">
      <c r="A83" s="1">
        <f t="shared" si="11"/>
        <v>38790.858000000095</v>
      </c>
      <c r="B83" s="16">
        <f t="shared" si="9"/>
        <v>1.0302</v>
      </c>
      <c r="C83" s="17">
        <f t="shared" si="6"/>
        <v>10.349389199999999</v>
      </c>
      <c r="D83" s="16">
        <f t="shared" si="10"/>
        <v>0.98748985711851278</v>
      </c>
      <c r="E83" s="16">
        <f t="shared" si="7"/>
        <v>3.9209624549893221</v>
      </c>
      <c r="F83" s="16">
        <f t="shared" si="8"/>
        <v>0</v>
      </c>
      <c r="G83" s="19">
        <f>IF(IS!$C$2="Peak","-",SUM(C83:F83))</f>
        <v>15.257841512107834</v>
      </c>
      <c r="H83" s="203">
        <v>88.245016267231591</v>
      </c>
      <c r="I83" s="203">
        <v>80.211653502084872</v>
      </c>
      <c r="J83" s="203">
        <v>69.851392443673603</v>
      </c>
      <c r="K83" s="203">
        <v>65.588647830888718</v>
      </c>
      <c r="L83" s="203">
        <v>62.390420028623488</v>
      </c>
      <c r="M83" s="203">
        <v>58.151795269736724</v>
      </c>
      <c r="N83" s="203">
        <v>57.420133603159627</v>
      </c>
      <c r="O83" s="203">
        <v>55.229927007399219</v>
      </c>
      <c r="P83" s="203">
        <v>45.314459149772958</v>
      </c>
      <c r="Q83" s="203">
        <v>40.090454712844348</v>
      </c>
      <c r="R83" s="203">
        <v>33.162696263167376</v>
      </c>
      <c r="S83" s="203">
        <v>32.943917422857417</v>
      </c>
      <c r="T83" s="203">
        <v>29.549185694337208</v>
      </c>
      <c r="U83" s="203">
        <v>29.451920351882055</v>
      </c>
      <c r="V83" s="203">
        <v>29.451920351882055</v>
      </c>
      <c r="W83" s="203">
        <v>29.382992058883087</v>
      </c>
      <c r="X83" s="203">
        <v>28.725903766978508</v>
      </c>
      <c r="Y83" s="203">
        <v>26.209374166316252</v>
      </c>
      <c r="Z83" s="203">
        <v>24.813531653499474</v>
      </c>
      <c r="AA83" s="203">
        <v>23.44589721494162</v>
      </c>
      <c r="AB83" s="16">
        <f>Peak!AB85</f>
        <v>0.98748985711851278</v>
      </c>
      <c r="AC83" s="16">
        <f>Peak!AC85</f>
        <v>0</v>
      </c>
      <c r="AD83" s="18">
        <f>Peak!AD85</f>
        <v>319.92473742153555</v>
      </c>
      <c r="AE83" s="18">
        <f>Peak!AE85</f>
        <v>3926.9475616572372</v>
      </c>
      <c r="AF83" s="16">
        <f>Peak!AF85</f>
        <v>0</v>
      </c>
      <c r="AG83" s="73">
        <f>Peak!AG85</f>
        <v>1.0302</v>
      </c>
      <c r="AH83" s="16">
        <f>Peak!AH85</f>
        <v>3.5977502134180543</v>
      </c>
      <c r="AI83" s="16">
        <f>Peak!AI85</f>
        <v>3.7350526470588239</v>
      </c>
      <c r="AJ83" s="16">
        <f>Peak!AJ85</f>
        <v>2.4399542510000001</v>
      </c>
      <c r="AK83" s="16">
        <f>Peak!AK85</f>
        <v>7.2000000000000008E-2</v>
      </c>
      <c r="AL83" s="4"/>
    </row>
    <row r="84" spans="1:38" x14ac:dyDescent="0.2">
      <c r="A84" s="1">
        <f t="shared" si="11"/>
        <v>38821.275000000096</v>
      </c>
      <c r="B84" s="16">
        <f t="shared" si="9"/>
        <v>1.0302</v>
      </c>
      <c r="C84" s="17">
        <f t="shared" si="6"/>
        <v>10.349389199999999</v>
      </c>
      <c r="D84" s="16">
        <f t="shared" si="10"/>
        <v>0.98913567354704368</v>
      </c>
      <c r="E84" s="16">
        <f t="shared" si="7"/>
        <v>3.9209624549893221</v>
      </c>
      <c r="F84" s="16">
        <f t="shared" si="8"/>
        <v>0</v>
      </c>
      <c r="G84" s="19">
        <f>IF(IS!$C$2="Peak","-",SUM(C84:F84))</f>
        <v>15.259487328536364</v>
      </c>
      <c r="H84" s="203">
        <v>73.439747626919058</v>
      </c>
      <c r="I84" s="203">
        <v>72.729605765512616</v>
      </c>
      <c r="J84" s="203">
        <v>72.729605765512616</v>
      </c>
      <c r="K84" s="203">
        <v>70.967939515391876</v>
      </c>
      <c r="L84" s="203">
        <v>64.018227366218767</v>
      </c>
      <c r="M84" s="203">
        <v>51.0060616044195</v>
      </c>
      <c r="N84" s="203">
        <v>42.179377890204719</v>
      </c>
      <c r="O84" s="203">
        <v>40.427353904439784</v>
      </c>
      <c r="P84" s="203">
        <v>35.630790959975116</v>
      </c>
      <c r="Q84" s="203">
        <v>35.630790959975116</v>
      </c>
      <c r="R84" s="203">
        <v>35.630790959975116</v>
      </c>
      <c r="S84" s="203">
        <v>33.139261519957849</v>
      </c>
      <c r="T84" s="203">
        <v>26.816920856065284</v>
      </c>
      <c r="U84" s="203">
        <v>25.898447766693238</v>
      </c>
      <c r="V84" s="203">
        <v>24.791022433939386</v>
      </c>
      <c r="W84" s="203">
        <v>24.32120655092459</v>
      </c>
      <c r="X84" s="203">
        <v>23.955195366891001</v>
      </c>
      <c r="Y84" s="203">
        <v>23.623999780332419</v>
      </c>
      <c r="Z84" s="203">
        <v>23.304351721217678</v>
      </c>
      <c r="AA84" s="203">
        <v>22.760108909881524</v>
      </c>
      <c r="AB84" s="16">
        <f>Peak!AB86</f>
        <v>0.98913567354704368</v>
      </c>
      <c r="AC84" s="16">
        <f>Peak!AC86</f>
        <v>0</v>
      </c>
      <c r="AD84" s="18">
        <f>Peak!AD86</f>
        <v>319.92473742153555</v>
      </c>
      <c r="AE84" s="18">
        <f>Peak!AE86</f>
        <v>3926.9475616572372</v>
      </c>
      <c r="AF84" s="16">
        <f>Peak!AF86</f>
        <v>0</v>
      </c>
      <c r="AG84" s="73">
        <f>Peak!AG86</f>
        <v>1.0302</v>
      </c>
      <c r="AH84" s="16">
        <f>Peak!AH86</f>
        <v>3.4203963296580091</v>
      </c>
      <c r="AI84" s="16">
        <f>Peak!AI86</f>
        <v>3.5900020588235297</v>
      </c>
      <c r="AJ84" s="16">
        <f>Peak!AJ86</f>
        <v>2.4399542510000001</v>
      </c>
      <c r="AK84" s="16">
        <f>Peak!AK86</f>
        <v>7.2000000000000008E-2</v>
      </c>
      <c r="AL84" s="4"/>
    </row>
    <row r="85" spans="1:38" x14ac:dyDescent="0.2">
      <c r="A85" s="1">
        <f t="shared" si="11"/>
        <v>38851.692000000097</v>
      </c>
      <c r="B85" s="16">
        <f t="shared" si="9"/>
        <v>1.0302</v>
      </c>
      <c r="C85" s="17">
        <f t="shared" si="6"/>
        <v>10.349389199999999</v>
      </c>
      <c r="D85" s="16">
        <f t="shared" si="10"/>
        <v>0.99078423300295548</v>
      </c>
      <c r="E85" s="16">
        <f t="shared" si="7"/>
        <v>3.9209624549893221</v>
      </c>
      <c r="F85" s="16">
        <f t="shared" si="8"/>
        <v>1.4202041473587099</v>
      </c>
      <c r="G85" s="19">
        <f>IF(IS!$C$2="Peak","-",SUM(C85:F85))</f>
        <v>16.681340035350985</v>
      </c>
      <c r="H85" s="203">
        <v>152.95094881229366</v>
      </c>
      <c r="I85" s="203">
        <v>91.408355710881466</v>
      </c>
      <c r="J85" s="203">
        <v>82.105459152257623</v>
      </c>
      <c r="K85" s="203">
        <v>75.197769592872504</v>
      </c>
      <c r="L85" s="203">
        <v>73.444320596302688</v>
      </c>
      <c r="M85" s="203">
        <v>70.49024237552446</v>
      </c>
      <c r="N85" s="203">
        <v>51.309243754724172</v>
      </c>
      <c r="O85" s="203">
        <v>43.443865668106476</v>
      </c>
      <c r="P85" s="203">
        <v>40.910432634777166</v>
      </c>
      <c r="Q85" s="203">
        <v>32.323303038090224</v>
      </c>
      <c r="R85" s="203">
        <v>30.99271300488703</v>
      </c>
      <c r="S85" s="203">
        <v>30.077474029193759</v>
      </c>
      <c r="T85" s="203">
        <v>29.277743687878026</v>
      </c>
      <c r="U85" s="203">
        <v>28.771604586257723</v>
      </c>
      <c r="V85" s="203">
        <v>28.351746312293368</v>
      </c>
      <c r="W85" s="203">
        <v>28.197176878314544</v>
      </c>
      <c r="X85" s="203">
        <v>28.045531961317153</v>
      </c>
      <c r="Y85" s="203">
        <v>27.825713490892866</v>
      </c>
      <c r="Z85" s="203">
        <v>27.738492777200399</v>
      </c>
      <c r="AA85" s="203">
        <v>26.984441778401486</v>
      </c>
      <c r="AB85" s="16">
        <f>Peak!AB87</f>
        <v>0.99078423300295548</v>
      </c>
      <c r="AC85" s="16">
        <f>Peak!AC87</f>
        <v>0</v>
      </c>
      <c r="AD85" s="18">
        <f>Peak!AD87</f>
        <v>319.92473742153555</v>
      </c>
      <c r="AE85" s="18">
        <f>Peak!AE87</f>
        <v>3926.9475616572372</v>
      </c>
      <c r="AF85" s="16">
        <f>Peak!AF87</f>
        <v>1</v>
      </c>
      <c r="AG85" s="73">
        <f>Peak!AG87</f>
        <v>1.0302</v>
      </c>
      <c r="AH85" s="16">
        <f>Peak!AH87</f>
        <v>3.6013696804335655</v>
      </c>
      <c r="AI85" s="16">
        <f>Peak!AI87</f>
        <v>3.4449514705882356</v>
      </c>
      <c r="AJ85" s="16">
        <f>Peak!AJ87</f>
        <v>2.4399542510000001</v>
      </c>
      <c r="AK85" s="16">
        <f>Peak!AK87</f>
        <v>7.2000000000000008E-2</v>
      </c>
      <c r="AL85" s="4"/>
    </row>
    <row r="86" spans="1:38" x14ac:dyDescent="0.2">
      <c r="A86" s="1">
        <f t="shared" si="11"/>
        <v>38882.109000000099</v>
      </c>
      <c r="B86" s="16">
        <f t="shared" si="9"/>
        <v>1.0302</v>
      </c>
      <c r="C86" s="17">
        <f t="shared" si="6"/>
        <v>10.349389199999999</v>
      </c>
      <c r="D86" s="16">
        <f t="shared" si="10"/>
        <v>0.99243554005796042</v>
      </c>
      <c r="E86" s="16">
        <f t="shared" si="7"/>
        <v>3.9209624549893221</v>
      </c>
      <c r="F86" s="16">
        <f t="shared" si="8"/>
        <v>1.4202041473587099</v>
      </c>
      <c r="G86" s="19">
        <f>IF(IS!$C$2="Peak","-",SUM(C86:F86))</f>
        <v>16.682991342405991</v>
      </c>
      <c r="H86" s="203">
        <v>166.07453610162523</v>
      </c>
      <c r="I86" s="203">
        <v>125.32491700188299</v>
      </c>
      <c r="J86" s="203">
        <v>91.404246522033475</v>
      </c>
      <c r="K86" s="203">
        <v>78.684227228694652</v>
      </c>
      <c r="L86" s="203">
        <v>71.059753845209414</v>
      </c>
      <c r="M86" s="203">
        <v>68.959392769903175</v>
      </c>
      <c r="N86" s="203">
        <v>54.87350998439743</v>
      </c>
      <c r="O86" s="203">
        <v>45.998952707556796</v>
      </c>
      <c r="P86" s="203">
        <v>40.087968042384617</v>
      </c>
      <c r="Q86" s="203">
        <v>39.40294082735587</v>
      </c>
      <c r="R86" s="203">
        <v>37.810309447465151</v>
      </c>
      <c r="S86" s="203">
        <v>35.681607755083363</v>
      </c>
      <c r="T86" s="203">
        <v>34.724160590350188</v>
      </c>
      <c r="U86" s="203">
        <v>34.085100402304661</v>
      </c>
      <c r="V86" s="203">
        <v>34.011314117355184</v>
      </c>
      <c r="W86" s="203">
        <v>33.895866861008251</v>
      </c>
      <c r="X86" s="203">
        <v>33.725036539689292</v>
      </c>
      <c r="Y86" s="203">
        <v>33.387398089484734</v>
      </c>
      <c r="Z86" s="203">
        <v>33.181551836855313</v>
      </c>
      <c r="AA86" s="203">
        <v>30.693461523323965</v>
      </c>
      <c r="AB86" s="16">
        <f>Peak!AB88</f>
        <v>0.99243554005796042</v>
      </c>
      <c r="AC86" s="16">
        <f>Peak!AC88</f>
        <v>0</v>
      </c>
      <c r="AD86" s="18">
        <f>Peak!AD88</f>
        <v>319.92473742153555</v>
      </c>
      <c r="AE86" s="18">
        <f>Peak!AE88</f>
        <v>3926.9475616572372</v>
      </c>
      <c r="AF86" s="16">
        <f>Peak!AF88</f>
        <v>1</v>
      </c>
      <c r="AG86" s="73">
        <f>Peak!AG88</f>
        <v>1.0302</v>
      </c>
      <c r="AH86" s="16">
        <f>Peak!AH88</f>
        <v>3.4312547307045427</v>
      </c>
      <c r="AI86" s="16">
        <f>Peak!AI88</f>
        <v>3.4449514705882356</v>
      </c>
      <c r="AJ86" s="16">
        <f>Peak!AJ88</f>
        <v>2.4399542510000001</v>
      </c>
      <c r="AK86" s="16">
        <f>Peak!AK88</f>
        <v>7.2000000000000008E-2</v>
      </c>
      <c r="AL86" s="4"/>
    </row>
    <row r="87" spans="1:38" x14ac:dyDescent="0.2">
      <c r="A87" s="1">
        <f t="shared" si="11"/>
        <v>38912.5260000001</v>
      </c>
      <c r="B87" s="16">
        <f t="shared" si="9"/>
        <v>1.0302</v>
      </c>
      <c r="C87" s="17">
        <f t="shared" si="6"/>
        <v>10.349389199999999</v>
      </c>
      <c r="D87" s="16">
        <f t="shared" si="10"/>
        <v>0.9940895992913904</v>
      </c>
      <c r="E87" s="16">
        <f t="shared" si="7"/>
        <v>3.9209624549893221</v>
      </c>
      <c r="F87" s="16">
        <f t="shared" si="8"/>
        <v>1.4202041473587099</v>
      </c>
      <c r="G87" s="19">
        <f>IF(IS!$C$2="Peak","-",SUM(C87:F87))</f>
        <v>16.684645401639422</v>
      </c>
      <c r="H87" s="203">
        <v>211.3394752548549</v>
      </c>
      <c r="I87" s="203">
        <v>165.50999241682567</v>
      </c>
      <c r="J87" s="203">
        <v>146.60122411564006</v>
      </c>
      <c r="K87" s="203">
        <v>119.19239886696752</v>
      </c>
      <c r="L87" s="203">
        <v>108.65594378760196</v>
      </c>
      <c r="M87" s="203">
        <v>99.653127438509003</v>
      </c>
      <c r="N87" s="203">
        <v>95.129119679657492</v>
      </c>
      <c r="O87" s="203">
        <v>69.394760734456924</v>
      </c>
      <c r="P87" s="203">
        <v>55.375049796425969</v>
      </c>
      <c r="Q87" s="203">
        <v>49.174432270155854</v>
      </c>
      <c r="R87" s="203">
        <v>46.575931058986463</v>
      </c>
      <c r="S87" s="203">
        <v>46.131933881373186</v>
      </c>
      <c r="T87" s="203">
        <v>46.131933881373186</v>
      </c>
      <c r="U87" s="203">
        <v>41.657964007877339</v>
      </c>
      <c r="V87" s="203">
        <v>36.176983760707849</v>
      </c>
      <c r="W87" s="203">
        <v>34.520291463599833</v>
      </c>
      <c r="X87" s="203">
        <v>32.834978683253674</v>
      </c>
      <c r="Y87" s="203">
        <v>31.947813502419571</v>
      </c>
      <c r="Z87" s="203">
        <v>31.493017004302157</v>
      </c>
      <c r="AA87" s="203">
        <v>30.303699681999991</v>
      </c>
      <c r="AB87" s="16">
        <f>Peak!AB89</f>
        <v>0.9940895992913904</v>
      </c>
      <c r="AC87" s="16">
        <f>Peak!AC89</f>
        <v>0</v>
      </c>
      <c r="AD87" s="18">
        <f>Peak!AD89</f>
        <v>319.92473742153555</v>
      </c>
      <c r="AE87" s="18">
        <f>Peak!AE89</f>
        <v>3926.9475616572372</v>
      </c>
      <c r="AF87" s="16">
        <f>Peak!AF89</f>
        <v>1</v>
      </c>
      <c r="AG87" s="73">
        <f>Peak!AG89</f>
        <v>1.0302</v>
      </c>
      <c r="AH87" s="16">
        <f>Peak!AH89</f>
        <v>3.4203963296580091</v>
      </c>
      <c r="AI87" s="16">
        <f>Peak!AI89</f>
        <v>3.4449514705882356</v>
      </c>
      <c r="AJ87" s="16">
        <f>Peak!AJ89</f>
        <v>2.4399542510000001</v>
      </c>
      <c r="AK87" s="16">
        <f>Peak!AK89</f>
        <v>7.2000000000000008E-2</v>
      </c>
      <c r="AL87" s="4"/>
    </row>
    <row r="88" spans="1:38" x14ac:dyDescent="0.2">
      <c r="A88" s="1">
        <f t="shared" si="11"/>
        <v>38942.943000000101</v>
      </c>
      <c r="B88" s="16">
        <f t="shared" si="9"/>
        <v>1.0302</v>
      </c>
      <c r="C88" s="17">
        <f t="shared" si="6"/>
        <v>10.349389199999999</v>
      </c>
      <c r="D88" s="16">
        <f t="shared" si="10"/>
        <v>0.99574641529020946</v>
      </c>
      <c r="E88" s="16">
        <f t="shared" si="7"/>
        <v>3.9209624549893221</v>
      </c>
      <c r="F88" s="16">
        <f t="shared" si="8"/>
        <v>1.4202041473587099</v>
      </c>
      <c r="G88" s="19">
        <f>IF(IS!$C$2="Peak","-",SUM(C88:F88))</f>
        <v>16.686302217638239</v>
      </c>
      <c r="H88" s="203">
        <v>583.76452323825242</v>
      </c>
      <c r="I88" s="203">
        <v>382.22843311937851</v>
      </c>
      <c r="J88" s="203">
        <v>283.01608014104204</v>
      </c>
      <c r="K88" s="203">
        <v>195.605936490327</v>
      </c>
      <c r="L88" s="203">
        <v>148.10054394724131</v>
      </c>
      <c r="M88" s="203">
        <v>94.079917618786084</v>
      </c>
      <c r="N88" s="203">
        <v>80.911810218899035</v>
      </c>
      <c r="O88" s="203">
        <v>76.000939486482395</v>
      </c>
      <c r="P88" s="203">
        <v>61.590844186170536</v>
      </c>
      <c r="Q88" s="203">
        <v>49.487953769701207</v>
      </c>
      <c r="R88" s="203">
        <v>41.614728540842393</v>
      </c>
      <c r="S88" s="203">
        <v>37.053634309893567</v>
      </c>
      <c r="T88" s="203">
        <v>36.785153400485527</v>
      </c>
      <c r="U88" s="203">
        <v>36.46139137241137</v>
      </c>
      <c r="V88" s="203">
        <v>35.567581282888007</v>
      </c>
      <c r="W88" s="203">
        <v>32.566363447768005</v>
      </c>
      <c r="X88" s="203">
        <v>30.662900759657362</v>
      </c>
      <c r="Y88" s="203">
        <v>29.519711995208461</v>
      </c>
      <c r="Z88" s="203">
        <v>28.864568487311196</v>
      </c>
      <c r="AA88" s="203">
        <v>26.215724832813198</v>
      </c>
      <c r="AB88" s="16">
        <f>Peak!AB90</f>
        <v>0.99574641529020946</v>
      </c>
      <c r="AC88" s="16">
        <f>Peak!AC90</f>
        <v>0</v>
      </c>
      <c r="AD88" s="18">
        <f>Peak!AD90</f>
        <v>319.92473742153555</v>
      </c>
      <c r="AE88" s="18">
        <f>Peak!AE90</f>
        <v>3926.9475616572372</v>
      </c>
      <c r="AF88" s="16">
        <f>Peak!AF90</f>
        <v>1</v>
      </c>
      <c r="AG88" s="73">
        <f>Peak!AG90</f>
        <v>1.0302</v>
      </c>
      <c r="AH88" s="16">
        <f>Peak!AH90</f>
        <v>3.2430424458979643</v>
      </c>
      <c r="AI88" s="16">
        <f>Peak!AI90</f>
        <v>3.4449514705882356</v>
      </c>
      <c r="AJ88" s="16">
        <f>Peak!AJ90</f>
        <v>2.4399542510000001</v>
      </c>
      <c r="AK88" s="16">
        <f>Peak!AK90</f>
        <v>7.2000000000000008E-2</v>
      </c>
      <c r="AL88" s="4"/>
    </row>
    <row r="89" spans="1:38" x14ac:dyDescent="0.2">
      <c r="A89" s="1">
        <f t="shared" si="11"/>
        <v>38973.360000000102</v>
      </c>
      <c r="B89" s="16">
        <f t="shared" si="9"/>
        <v>1.0302</v>
      </c>
      <c r="C89" s="17">
        <f t="shared" si="6"/>
        <v>10.349389199999999</v>
      </c>
      <c r="D89" s="16">
        <f t="shared" si="10"/>
        <v>0.99740599264902652</v>
      </c>
      <c r="E89" s="16">
        <f t="shared" si="7"/>
        <v>3.9209624549893221</v>
      </c>
      <c r="F89" s="16">
        <f t="shared" si="8"/>
        <v>1.4202041473587099</v>
      </c>
      <c r="G89" s="19">
        <f>IF(IS!$C$2="Peak","-",SUM(C89:F89))</f>
        <v>16.687961794997058</v>
      </c>
      <c r="H89" s="203">
        <v>232.6563387840153</v>
      </c>
      <c r="I89" s="203">
        <v>177.77936791807628</v>
      </c>
      <c r="J89" s="203">
        <v>151.86937963762645</v>
      </c>
      <c r="K89" s="203">
        <v>79.401883910270229</v>
      </c>
      <c r="L89" s="203">
        <v>69.887055848904851</v>
      </c>
      <c r="M89" s="203">
        <v>63.014308402863172</v>
      </c>
      <c r="N89" s="203">
        <v>57.980757490705436</v>
      </c>
      <c r="O89" s="203">
        <v>57.315946320020444</v>
      </c>
      <c r="P89" s="203">
        <v>48.276083991651916</v>
      </c>
      <c r="Q89" s="203">
        <v>40.165517542455667</v>
      </c>
      <c r="R89" s="203">
        <v>33.789134939337799</v>
      </c>
      <c r="S89" s="203">
        <v>32.964370252454927</v>
      </c>
      <c r="T89" s="203">
        <v>31.686617410582777</v>
      </c>
      <c r="U89" s="203">
        <v>30.126518452051155</v>
      </c>
      <c r="V89" s="203">
        <v>29.155689729287207</v>
      </c>
      <c r="W89" s="203">
        <v>28.606808481908523</v>
      </c>
      <c r="X89" s="203">
        <v>28.180684153199984</v>
      </c>
      <c r="Y89" s="203">
        <v>27.969390279022814</v>
      </c>
      <c r="Z89" s="203">
        <v>27.512693383138576</v>
      </c>
      <c r="AA89" s="203">
        <v>26.797816128261815</v>
      </c>
      <c r="AB89" s="16">
        <f>Peak!AB91</f>
        <v>0.99740599264902652</v>
      </c>
      <c r="AC89" s="16">
        <f>Peak!AC91</f>
        <v>0</v>
      </c>
      <c r="AD89" s="18">
        <f>Peak!AD91</f>
        <v>319.92473742153555</v>
      </c>
      <c r="AE89" s="18">
        <f>Peak!AE91</f>
        <v>3926.9475616572372</v>
      </c>
      <c r="AF89" s="16">
        <f>Peak!AF91</f>
        <v>1</v>
      </c>
      <c r="AG89" s="73">
        <f>Peak!AG91</f>
        <v>1.0302</v>
      </c>
      <c r="AH89" s="16">
        <f>Peak!AH91</f>
        <v>3.2321840448514312</v>
      </c>
      <c r="AI89" s="16">
        <f>Peak!AI91</f>
        <v>3.4449514705882356</v>
      </c>
      <c r="AJ89" s="16">
        <f>Peak!AJ91</f>
        <v>2.4399542510000001</v>
      </c>
      <c r="AK89" s="16">
        <f>Peak!AK91</f>
        <v>7.2000000000000008E-2</v>
      </c>
      <c r="AL89" s="4"/>
    </row>
    <row r="90" spans="1:38" x14ac:dyDescent="0.2">
      <c r="A90" s="1">
        <f t="shared" si="11"/>
        <v>39003.777000000104</v>
      </c>
      <c r="B90" s="16">
        <f t="shared" si="9"/>
        <v>1.0302</v>
      </c>
      <c r="C90" s="17">
        <f t="shared" si="6"/>
        <v>10.349389199999999</v>
      </c>
      <c r="D90" s="16">
        <f t="shared" si="10"/>
        <v>0.99906833597010825</v>
      </c>
      <c r="E90" s="16">
        <f t="shared" si="7"/>
        <v>3.9209624549893221</v>
      </c>
      <c r="F90" s="16">
        <f t="shared" si="8"/>
        <v>0</v>
      </c>
      <c r="G90" s="19">
        <f>IF(IS!$C$2="Peak","-",SUM(C90:F90))</f>
        <v>15.269419990959429</v>
      </c>
      <c r="H90" s="203">
        <v>70.427613969035804</v>
      </c>
      <c r="I90" s="203">
        <v>68.162521371052918</v>
      </c>
      <c r="J90" s="203">
        <v>66.18981139947806</v>
      </c>
      <c r="K90" s="203">
        <v>62.175497918766006</v>
      </c>
      <c r="L90" s="203">
        <v>61.390338265413014</v>
      </c>
      <c r="M90" s="203">
        <v>60.263607088057178</v>
      </c>
      <c r="N90" s="203">
        <v>49.060576321043186</v>
      </c>
      <c r="O90" s="203">
        <v>42.072716796990171</v>
      </c>
      <c r="P90" s="203">
        <v>35.074862864108802</v>
      </c>
      <c r="Q90" s="203">
        <v>34.629276073389825</v>
      </c>
      <c r="R90" s="203">
        <v>30.789696742492293</v>
      </c>
      <c r="S90" s="203">
        <v>30.731752048146458</v>
      </c>
      <c r="T90" s="203">
        <v>30.731110667399427</v>
      </c>
      <c r="U90" s="203">
        <v>30.731062572796077</v>
      </c>
      <c r="V90" s="203">
        <v>30.731062572796077</v>
      </c>
      <c r="W90" s="203">
        <v>30.025801457471459</v>
      </c>
      <c r="X90" s="203">
        <v>27.178732046862912</v>
      </c>
      <c r="Y90" s="203">
        <v>26.670266987238058</v>
      </c>
      <c r="Z90" s="203">
        <v>25.472703633066416</v>
      </c>
      <c r="AA90" s="203">
        <v>24.432749027638799</v>
      </c>
      <c r="AB90" s="16">
        <f>Peak!AB92</f>
        <v>0.99906833597010825</v>
      </c>
      <c r="AC90" s="16">
        <f>Peak!AC92</f>
        <v>0</v>
      </c>
      <c r="AD90" s="18">
        <f>Peak!AD92</f>
        <v>319.92473742153555</v>
      </c>
      <c r="AE90" s="18">
        <f>Peak!AE92</f>
        <v>3926.9475616572372</v>
      </c>
      <c r="AF90" s="16">
        <f>Peak!AF92</f>
        <v>0</v>
      </c>
      <c r="AG90" s="73">
        <f>Peak!AG92</f>
        <v>1.0302</v>
      </c>
      <c r="AH90" s="16">
        <f>Peak!AH92</f>
        <v>3.5796528783404988</v>
      </c>
      <c r="AI90" s="16">
        <f>Peak!AI92</f>
        <v>3.4449514705882356</v>
      </c>
      <c r="AJ90" s="16">
        <f>Peak!AJ92</f>
        <v>2.4399542510000001</v>
      </c>
      <c r="AK90" s="16">
        <f>Peak!AK92</f>
        <v>7.2000000000000008E-2</v>
      </c>
      <c r="AL90" s="4"/>
    </row>
    <row r="91" spans="1:38" x14ac:dyDescent="0.2">
      <c r="A91" s="1">
        <f t="shared" si="11"/>
        <v>39034.194000000105</v>
      </c>
      <c r="B91" s="16">
        <f t="shared" si="9"/>
        <v>1.0302</v>
      </c>
      <c r="C91" s="17">
        <f t="shared" si="6"/>
        <v>10.349389199999999</v>
      </c>
      <c r="D91" s="16">
        <f t="shared" si="10"/>
        <v>1.0007334498633917</v>
      </c>
      <c r="E91" s="16">
        <f t="shared" si="7"/>
        <v>3.9209624549893221</v>
      </c>
      <c r="F91" s="16">
        <f t="shared" si="8"/>
        <v>0</v>
      </c>
      <c r="G91" s="19">
        <f>IF(IS!$C$2="Peak","-",SUM(C91:F91))</f>
        <v>15.271085104852713</v>
      </c>
      <c r="H91" s="203">
        <v>80.999582783374265</v>
      </c>
      <c r="I91" s="203">
        <v>76.821692838900702</v>
      </c>
      <c r="J91" s="203">
        <v>75.117756774418794</v>
      </c>
      <c r="K91" s="203">
        <v>70.935882606473683</v>
      </c>
      <c r="L91" s="203">
        <v>69.406043346531959</v>
      </c>
      <c r="M91" s="203">
        <v>69.087940747996882</v>
      </c>
      <c r="N91" s="203">
        <v>64.007356384368194</v>
      </c>
      <c r="O91" s="203">
        <v>48.094809323298797</v>
      </c>
      <c r="P91" s="203">
        <v>45.151659373820095</v>
      </c>
      <c r="Q91" s="203">
        <v>43.981774996425322</v>
      </c>
      <c r="R91" s="203">
        <v>35.629186128575753</v>
      </c>
      <c r="S91" s="203">
        <v>34.206875204455145</v>
      </c>
      <c r="T91" s="203">
        <v>34.206875204455145</v>
      </c>
      <c r="U91" s="203">
        <v>32.085343921559321</v>
      </c>
      <c r="V91" s="203">
        <v>26.658911268550462</v>
      </c>
      <c r="W91" s="203">
        <v>25.669871438802588</v>
      </c>
      <c r="X91" s="203">
        <v>24.678542848996472</v>
      </c>
      <c r="Y91" s="203">
        <v>24.204769937297858</v>
      </c>
      <c r="Z91" s="203">
        <v>23.816235387322486</v>
      </c>
      <c r="AA91" s="203">
        <v>23.082924592459293</v>
      </c>
      <c r="AB91" s="16">
        <f>Peak!AB93</f>
        <v>1.0007334498633917</v>
      </c>
      <c r="AC91" s="16">
        <f>Peak!AC93</f>
        <v>0</v>
      </c>
      <c r="AD91" s="18">
        <f>Peak!AD93</f>
        <v>319.92473742153555</v>
      </c>
      <c r="AE91" s="18">
        <f>Peak!AE93</f>
        <v>3926.9475616572372</v>
      </c>
      <c r="AF91" s="16">
        <f>Peak!AF93</f>
        <v>0</v>
      </c>
      <c r="AG91" s="73">
        <f>Peak!AG93</f>
        <v>1.0302</v>
      </c>
      <c r="AH91" s="16">
        <f>Peak!AH93</f>
        <v>3.9198827777985441</v>
      </c>
      <c r="AI91" s="16">
        <f>Peak!AI93</f>
        <v>3.7350526470588239</v>
      </c>
      <c r="AJ91" s="16">
        <f>Peak!AJ93</f>
        <v>2.4399542510000001</v>
      </c>
      <c r="AK91" s="16">
        <f>Peak!AK93</f>
        <v>7.2000000000000008E-2</v>
      </c>
      <c r="AL91" s="4"/>
    </row>
    <row r="92" spans="1:38" x14ac:dyDescent="0.2">
      <c r="A92" s="1">
        <f t="shared" si="11"/>
        <v>39064.611000000106</v>
      </c>
      <c r="B92" s="16">
        <f t="shared" si="9"/>
        <v>1.0302</v>
      </c>
      <c r="C92" s="17">
        <f t="shared" si="6"/>
        <v>10.349389199999999</v>
      </c>
      <c r="D92" s="16">
        <f t="shared" si="10"/>
        <v>1.0024013389464974</v>
      </c>
      <c r="E92" s="16">
        <f t="shared" si="7"/>
        <v>3.9209624549893221</v>
      </c>
      <c r="F92" s="16">
        <f t="shared" si="8"/>
        <v>0</v>
      </c>
      <c r="G92" s="19">
        <f>IF(IS!$C$2="Peak","-",SUM(C92:F92))</f>
        <v>15.272752993935818</v>
      </c>
      <c r="H92" s="203">
        <v>163.69646160424401</v>
      </c>
      <c r="I92" s="203">
        <v>153.62847377574602</v>
      </c>
      <c r="J92" s="203">
        <v>90.098241136503717</v>
      </c>
      <c r="K92" s="203">
        <v>70.779883203132016</v>
      </c>
      <c r="L92" s="203">
        <v>65.102066403574781</v>
      </c>
      <c r="M92" s="203">
        <v>62.58428096032177</v>
      </c>
      <c r="N92" s="203">
        <v>59.316603094978305</v>
      </c>
      <c r="O92" s="203">
        <v>56.0349934422281</v>
      </c>
      <c r="P92" s="203">
        <v>55.69903066562987</v>
      </c>
      <c r="Q92" s="203">
        <v>54.749972151767139</v>
      </c>
      <c r="R92" s="203">
        <v>48.454161741236646</v>
      </c>
      <c r="S92" s="203">
        <v>39.417865037190012</v>
      </c>
      <c r="T92" s="203">
        <v>33.639068036480886</v>
      </c>
      <c r="U92" s="203">
        <v>31.955814110234797</v>
      </c>
      <c r="V92" s="203">
        <v>28.921337464605067</v>
      </c>
      <c r="W92" s="203">
        <v>28.269997327529673</v>
      </c>
      <c r="X92" s="203">
        <v>28.269514368240319</v>
      </c>
      <c r="Y92" s="203">
        <v>27.930599479089697</v>
      </c>
      <c r="Z92" s="203">
        <v>26.733816945864767</v>
      </c>
      <c r="AA92" s="203">
        <v>24.906779298592756</v>
      </c>
      <c r="AB92" s="16">
        <f>Peak!AB94</f>
        <v>1.0024013389464974</v>
      </c>
      <c r="AC92" s="16">
        <f>Peak!AC94</f>
        <v>0</v>
      </c>
      <c r="AD92" s="18">
        <f>Peak!AD94</f>
        <v>319.92473742153555</v>
      </c>
      <c r="AE92" s="18">
        <f>Peak!AE94</f>
        <v>3926.9475616572372</v>
      </c>
      <c r="AF92" s="16">
        <f>Peak!AF94</f>
        <v>0</v>
      </c>
      <c r="AG92" s="73">
        <f>Peak!AG94</f>
        <v>1.0302</v>
      </c>
      <c r="AH92" s="16">
        <f>Peak!AH94</f>
        <v>4.2420153421790339</v>
      </c>
      <c r="AI92" s="16">
        <f>Peak!AI94</f>
        <v>3.9163658823529417</v>
      </c>
      <c r="AJ92" s="16">
        <f>Peak!AJ94</f>
        <v>2.4399542510000001</v>
      </c>
      <c r="AK92" s="16">
        <f>Peak!AK94</f>
        <v>7.2000000000000008E-2</v>
      </c>
      <c r="AL92" s="4"/>
    </row>
    <row r="93" spans="1:38" x14ac:dyDescent="0.2">
      <c r="A93" s="1">
        <f t="shared" si="11"/>
        <v>39095.028000000108</v>
      </c>
      <c r="B93" s="16">
        <f t="shared" si="9"/>
        <v>1.0623</v>
      </c>
      <c r="C93" s="17">
        <f t="shared" si="6"/>
        <v>10.671865799999999</v>
      </c>
      <c r="D93" s="16">
        <f t="shared" si="10"/>
        <v>1.0040720078447416</v>
      </c>
      <c r="E93" s="16">
        <f t="shared" si="7"/>
        <v>4.3460736593647988</v>
      </c>
      <c r="F93" s="16">
        <f t="shared" si="8"/>
        <v>0.77671209261552876</v>
      </c>
      <c r="G93" s="19">
        <f>IF(IS!$C$2="Peak","-",SUM(C93:F93))</f>
        <v>16.798723559825067</v>
      </c>
      <c r="H93" s="203">
        <v>88.210592783978655</v>
      </c>
      <c r="I93" s="203">
        <v>85.507492675197241</v>
      </c>
      <c r="J93" s="203">
        <v>81.111011258175907</v>
      </c>
      <c r="K93" s="203">
        <v>80.03162108305564</v>
      </c>
      <c r="L93" s="203">
        <v>79.337243111260619</v>
      </c>
      <c r="M93" s="203">
        <v>71.697844852664147</v>
      </c>
      <c r="N93" s="203">
        <v>54.832676903634194</v>
      </c>
      <c r="O93" s="203">
        <v>45.98743440905649</v>
      </c>
      <c r="P93" s="203">
        <v>44.874161771136599</v>
      </c>
      <c r="Q93" s="203">
        <v>38.962603525917942</v>
      </c>
      <c r="R93" s="203">
        <v>38.313990559248019</v>
      </c>
      <c r="S93" s="203">
        <v>38.313924061579911</v>
      </c>
      <c r="T93" s="203">
        <v>38.31381490390185</v>
      </c>
      <c r="U93" s="203">
        <v>38.31337570036753</v>
      </c>
      <c r="V93" s="203">
        <v>35.978174523844224</v>
      </c>
      <c r="W93" s="203">
        <v>33.079357022006349</v>
      </c>
      <c r="X93" s="203">
        <v>31.378865163025448</v>
      </c>
      <c r="Y93" s="203">
        <v>30.777416519772306</v>
      </c>
      <c r="Z93" s="203">
        <v>30.598542229177795</v>
      </c>
      <c r="AA93" s="203">
        <v>29.80523337732674</v>
      </c>
      <c r="AB93" s="16">
        <f>Peak!AB95</f>
        <v>1.0040720078447416</v>
      </c>
      <c r="AC93" s="16">
        <f>Peak!AC95</f>
        <v>0</v>
      </c>
      <c r="AD93" s="18">
        <f>Peak!AD95</f>
        <v>354.61101457823628</v>
      </c>
      <c r="AE93" s="18">
        <f>Peak!AE95</f>
        <v>2147.6543804486269</v>
      </c>
      <c r="AF93" s="16">
        <f>Peak!AF95</f>
        <v>1</v>
      </c>
      <c r="AG93" s="73">
        <f>Peak!AG95</f>
        <v>1.0623</v>
      </c>
      <c r="AH93" s="16">
        <f>Peak!AH95</f>
        <v>4.1475159064986542</v>
      </c>
      <c r="AI93" s="16">
        <f>Peak!AI95</f>
        <v>3.9745426415094349</v>
      </c>
      <c r="AJ93" s="16">
        <f>Peak!AJ95</f>
        <v>2.4399542510000001</v>
      </c>
      <c r="AK93" s="16">
        <f>Peak!AK95</f>
        <v>7.2000000000000008E-2</v>
      </c>
      <c r="AL93" s="4"/>
    </row>
    <row r="94" spans="1:38" x14ac:dyDescent="0.2">
      <c r="A94" s="1">
        <f t="shared" si="11"/>
        <v>39125.445000000109</v>
      </c>
      <c r="B94" s="16">
        <f t="shared" si="9"/>
        <v>1.0623</v>
      </c>
      <c r="C94" s="17">
        <f t="shared" si="6"/>
        <v>10.671865799999999</v>
      </c>
      <c r="D94" s="16">
        <f t="shared" si="10"/>
        <v>1.0057454611911496</v>
      </c>
      <c r="E94" s="16">
        <f t="shared" si="7"/>
        <v>4.3460736593647988</v>
      </c>
      <c r="F94" s="16">
        <f t="shared" si="8"/>
        <v>0.77671209261552876</v>
      </c>
      <c r="G94" s="19">
        <f>IF(IS!$C$2="Peak","-",SUM(C94:F94))</f>
        <v>16.800397013171477</v>
      </c>
      <c r="H94" s="203">
        <v>158.64767780106166</v>
      </c>
      <c r="I94" s="203">
        <v>120.8425049386249</v>
      </c>
      <c r="J94" s="203">
        <v>95.980273118565336</v>
      </c>
      <c r="K94" s="203">
        <v>79.339314609615045</v>
      </c>
      <c r="L94" s="203">
        <v>70.863549322916867</v>
      </c>
      <c r="M94" s="203">
        <v>66.876626313031778</v>
      </c>
      <c r="N94" s="203">
        <v>63.94811216406702</v>
      </c>
      <c r="O94" s="203">
        <v>63.227654201916053</v>
      </c>
      <c r="P94" s="203">
        <v>48.301308383779499</v>
      </c>
      <c r="Q94" s="203">
        <v>45.909651469922693</v>
      </c>
      <c r="R94" s="203">
        <v>44.650765604759243</v>
      </c>
      <c r="S94" s="203">
        <v>39.031222417482986</v>
      </c>
      <c r="T94" s="203">
        <v>35.499430240029099</v>
      </c>
      <c r="U94" s="203">
        <v>34.247218780510586</v>
      </c>
      <c r="V94" s="203">
        <v>32.922543342672199</v>
      </c>
      <c r="W94" s="203">
        <v>31.927799279081107</v>
      </c>
      <c r="X94" s="203">
        <v>31.806429048934298</v>
      </c>
      <c r="Y94" s="203">
        <v>31.65505942435481</v>
      </c>
      <c r="Z94" s="203">
        <v>30.19139623914138</v>
      </c>
      <c r="AA94" s="203">
        <v>27.238309293402718</v>
      </c>
      <c r="AB94" s="16">
        <f>Peak!AB96</f>
        <v>1.0057454611911496</v>
      </c>
      <c r="AC94" s="16">
        <f>Peak!AC96</f>
        <v>0</v>
      </c>
      <c r="AD94" s="18">
        <f>Peak!AD96</f>
        <v>354.61101457823628</v>
      </c>
      <c r="AE94" s="18">
        <f>Peak!AE96</f>
        <v>2147.6543804486269</v>
      </c>
      <c r="AF94" s="16">
        <f>Peak!AF96</f>
        <v>1</v>
      </c>
      <c r="AG94" s="73">
        <f>Peak!AG96</f>
        <v>1.0623</v>
      </c>
      <c r="AH94" s="16">
        <f>Peak!AH96</f>
        <v>3.7173214374735277</v>
      </c>
      <c r="AI94" s="16">
        <f>Peak!AI96</f>
        <v>3.9377413207547178</v>
      </c>
      <c r="AJ94" s="16">
        <f>Peak!AJ96</f>
        <v>2.4399542510000001</v>
      </c>
      <c r="AK94" s="16">
        <f>Peak!AK96</f>
        <v>7.2000000000000008E-2</v>
      </c>
      <c r="AL94" s="4"/>
    </row>
    <row r="95" spans="1:38" x14ac:dyDescent="0.2">
      <c r="A95" s="1">
        <f t="shared" si="11"/>
        <v>39155.86200000011</v>
      </c>
      <c r="B95" s="16">
        <f t="shared" si="9"/>
        <v>1.0623</v>
      </c>
      <c r="C95" s="17">
        <f t="shared" si="6"/>
        <v>10.671865799999999</v>
      </c>
      <c r="D95" s="16">
        <f t="shared" si="10"/>
        <v>1.0074217036264683</v>
      </c>
      <c r="E95" s="16">
        <f t="shared" si="7"/>
        <v>4.3460736593647988</v>
      </c>
      <c r="F95" s="16">
        <f t="shared" si="8"/>
        <v>0.77671209261552876</v>
      </c>
      <c r="G95" s="19">
        <f>IF(IS!$C$2="Peak","-",SUM(C95:F95))</f>
        <v>16.802073255606796</v>
      </c>
      <c r="H95" s="203">
        <v>84.4024032991978</v>
      </c>
      <c r="I95" s="203">
        <v>79.333468805175713</v>
      </c>
      <c r="J95" s="203">
        <v>76.32789073325867</v>
      </c>
      <c r="K95" s="203">
        <v>73.464285891327862</v>
      </c>
      <c r="L95" s="203">
        <v>70.29766129217407</v>
      </c>
      <c r="M95" s="203">
        <v>68.337589480089903</v>
      </c>
      <c r="N95" s="203">
        <v>67.980417947198447</v>
      </c>
      <c r="O95" s="203">
        <v>63.714833541778866</v>
      </c>
      <c r="P95" s="203">
        <v>48.69761447840591</v>
      </c>
      <c r="Q95" s="203">
        <v>45.359358398110608</v>
      </c>
      <c r="R95" s="203">
        <v>41.208045929879574</v>
      </c>
      <c r="S95" s="203">
        <v>40.274297239900406</v>
      </c>
      <c r="T95" s="203">
        <v>33.47006016540702</v>
      </c>
      <c r="U95" s="203">
        <v>33.195754675616357</v>
      </c>
      <c r="V95" s="203">
        <v>33.008582740420998</v>
      </c>
      <c r="W95" s="203">
        <v>31.073292314167077</v>
      </c>
      <c r="X95" s="203">
        <v>29.375050162970894</v>
      </c>
      <c r="Y95" s="203">
        <v>28.527029777197097</v>
      </c>
      <c r="Z95" s="203">
        <v>28.148847614835592</v>
      </c>
      <c r="AA95" s="203">
        <v>25.788952620533895</v>
      </c>
      <c r="AB95" s="16">
        <f>Peak!AB97</f>
        <v>1.0074217036264683</v>
      </c>
      <c r="AC95" s="16">
        <f>Peak!AC97</f>
        <v>0</v>
      </c>
      <c r="AD95" s="18">
        <f>Peak!AD97</f>
        <v>354.61101457823628</v>
      </c>
      <c r="AE95" s="18">
        <f>Peak!AE97</f>
        <v>2147.6543804486269</v>
      </c>
      <c r="AF95" s="16">
        <f>Peak!AF97</f>
        <v>1</v>
      </c>
      <c r="AG95" s="73">
        <f>Peak!AG97</f>
        <v>1.0623</v>
      </c>
      <c r="AH95" s="16">
        <f>Peak!AH97</f>
        <v>3.6548145488117578</v>
      </c>
      <c r="AI95" s="16">
        <f>Peak!AI97</f>
        <v>3.7905360377358499</v>
      </c>
      <c r="AJ95" s="16">
        <f>Peak!AJ97</f>
        <v>2.4399542510000001</v>
      </c>
      <c r="AK95" s="16">
        <f>Peak!AK97</f>
        <v>7.2000000000000008E-2</v>
      </c>
      <c r="AL95" s="4"/>
    </row>
    <row r="96" spans="1:38" x14ac:dyDescent="0.2">
      <c r="A96" s="1">
        <f t="shared" si="11"/>
        <v>39186.279000000111</v>
      </c>
      <c r="B96" s="16">
        <f t="shared" si="9"/>
        <v>1.0623</v>
      </c>
      <c r="C96" s="17">
        <f t="shared" si="6"/>
        <v>10.671865799999999</v>
      </c>
      <c r="D96" s="16">
        <f t="shared" si="10"/>
        <v>1.0091007397991791</v>
      </c>
      <c r="E96" s="16">
        <f t="shared" si="7"/>
        <v>4.3460736593647988</v>
      </c>
      <c r="F96" s="16">
        <f t="shared" si="8"/>
        <v>0.77671209261552876</v>
      </c>
      <c r="G96" s="19">
        <f>IF(IS!$C$2="Peak","-",SUM(C96:F96))</f>
        <v>16.803752291779507</v>
      </c>
      <c r="H96" s="203">
        <v>82.841030605113218</v>
      </c>
      <c r="I96" s="203">
        <v>82.841030605113218</v>
      </c>
      <c r="J96" s="203">
        <v>81.591252068554439</v>
      </c>
      <c r="K96" s="203">
        <v>66.101242953810441</v>
      </c>
      <c r="L96" s="203">
        <v>56.624926773897769</v>
      </c>
      <c r="M96" s="203">
        <v>51.324998501918159</v>
      </c>
      <c r="N96" s="203">
        <v>49.270984726870786</v>
      </c>
      <c r="O96" s="203">
        <v>41.078171695552356</v>
      </c>
      <c r="P96" s="203">
        <v>40.77615157976058</v>
      </c>
      <c r="Q96" s="203">
        <v>40.392417820685061</v>
      </c>
      <c r="R96" s="203">
        <v>38.666292181244287</v>
      </c>
      <c r="S96" s="203">
        <v>36.618292356772571</v>
      </c>
      <c r="T96" s="203">
        <v>34.657079869667783</v>
      </c>
      <c r="U96" s="203">
        <v>33.593722992958796</v>
      </c>
      <c r="V96" s="203">
        <v>32.523467189985354</v>
      </c>
      <c r="W96" s="203">
        <v>31.599300552367101</v>
      </c>
      <c r="X96" s="203">
        <v>30.726483378972411</v>
      </c>
      <c r="Y96" s="203">
        <v>30.110278245736264</v>
      </c>
      <c r="Z96" s="203">
        <v>28.582449181391336</v>
      </c>
      <c r="AA96" s="203">
        <v>27.112600221515635</v>
      </c>
      <c r="AB96" s="16">
        <f>Peak!AB98</f>
        <v>1.0091007397991791</v>
      </c>
      <c r="AC96" s="16">
        <f>Peak!AC98</f>
        <v>0</v>
      </c>
      <c r="AD96" s="18">
        <f>Peak!AD98</f>
        <v>354.61101457823628</v>
      </c>
      <c r="AE96" s="18">
        <f>Peak!AE98</f>
        <v>2147.6543804486269</v>
      </c>
      <c r="AF96" s="16">
        <f>Peak!AF98</f>
        <v>1</v>
      </c>
      <c r="AG96" s="73">
        <f>Peak!AG98</f>
        <v>1.0623</v>
      </c>
      <c r="AH96" s="16">
        <f>Peak!AH98</f>
        <v>3.4746476344337132</v>
      </c>
      <c r="AI96" s="16">
        <f>Peak!AI98</f>
        <v>3.6433307547169815</v>
      </c>
      <c r="AJ96" s="16">
        <f>Peak!AJ98</f>
        <v>2.4399542510000001</v>
      </c>
      <c r="AK96" s="16">
        <f>Peak!AK98</f>
        <v>7.2000000000000008E-2</v>
      </c>
      <c r="AL96" s="4"/>
    </row>
    <row r="97" spans="1:38" x14ac:dyDescent="0.2">
      <c r="A97" s="1">
        <f t="shared" si="11"/>
        <v>39216.696000000113</v>
      </c>
      <c r="B97" s="16">
        <f t="shared" si="9"/>
        <v>1.0623</v>
      </c>
      <c r="C97" s="17">
        <f t="shared" si="6"/>
        <v>10.671865799999999</v>
      </c>
      <c r="D97" s="16">
        <f t="shared" si="10"/>
        <v>1.0107825743655112</v>
      </c>
      <c r="E97" s="16">
        <f t="shared" si="7"/>
        <v>4.3460736593647988</v>
      </c>
      <c r="F97" s="16">
        <f t="shared" si="8"/>
        <v>0.77671209261552876</v>
      </c>
      <c r="G97" s="19">
        <f>IF(IS!$C$2="Peak","-",SUM(C97:F97))</f>
        <v>16.805434126345837</v>
      </c>
      <c r="H97" s="203">
        <v>75.503084164780304</v>
      </c>
      <c r="I97" s="203">
        <v>69.184215629459032</v>
      </c>
      <c r="J97" s="203">
        <v>65.322505792944128</v>
      </c>
      <c r="K97" s="203">
        <v>60.340339484311926</v>
      </c>
      <c r="L97" s="203">
        <v>58.971647503358341</v>
      </c>
      <c r="M97" s="203">
        <v>56.479937423028481</v>
      </c>
      <c r="N97" s="203">
        <v>44.003479520751156</v>
      </c>
      <c r="O97" s="203">
        <v>41.139879606909673</v>
      </c>
      <c r="P97" s="203">
        <v>38.040168654174273</v>
      </c>
      <c r="Q97" s="203">
        <v>36.119708078056746</v>
      </c>
      <c r="R97" s="203">
        <v>35.348062242142035</v>
      </c>
      <c r="S97" s="203">
        <v>34.159909091037704</v>
      </c>
      <c r="T97" s="203">
        <v>33.784878668457779</v>
      </c>
      <c r="U97" s="203">
        <v>33.481906349668087</v>
      </c>
      <c r="V97" s="203">
        <v>33.115625746796781</v>
      </c>
      <c r="W97" s="203">
        <v>31.242278582035993</v>
      </c>
      <c r="X97" s="203">
        <v>30.122067524222153</v>
      </c>
      <c r="Y97" s="203">
        <v>29.939539106707432</v>
      </c>
      <c r="Z97" s="203">
        <v>29.703456303145451</v>
      </c>
      <c r="AA97" s="203">
        <v>29.357419185786632</v>
      </c>
      <c r="AB97" s="16">
        <f>Peak!AB99</f>
        <v>1.0107825743655112</v>
      </c>
      <c r="AC97" s="16">
        <f>Peak!AC99</f>
        <v>0</v>
      </c>
      <c r="AD97" s="18">
        <f>Peak!AD99</f>
        <v>354.61101457823628</v>
      </c>
      <c r="AE97" s="18">
        <f>Peak!AE99</f>
        <v>2147.6543804486269</v>
      </c>
      <c r="AF97" s="16">
        <f>Peak!AF99</f>
        <v>1</v>
      </c>
      <c r="AG97" s="73">
        <f>Peak!AG99</f>
        <v>1.0623</v>
      </c>
      <c r="AH97" s="16">
        <f>Peak!AH99</f>
        <v>3.6584914246153915</v>
      </c>
      <c r="AI97" s="16">
        <f>Peak!AI99</f>
        <v>3.4961254716981136</v>
      </c>
      <c r="AJ97" s="16">
        <f>Peak!AJ99</f>
        <v>2.4399542510000001</v>
      </c>
      <c r="AK97" s="16">
        <f>Peak!AK99</f>
        <v>7.2000000000000008E-2</v>
      </c>
      <c r="AL97" s="4"/>
    </row>
    <row r="98" spans="1:38" x14ac:dyDescent="0.2">
      <c r="A98" s="1">
        <f t="shared" si="11"/>
        <v>39247.113000000114</v>
      </c>
      <c r="B98" s="16">
        <f t="shared" si="9"/>
        <v>1.0623</v>
      </c>
      <c r="C98" s="17">
        <f t="shared" si="6"/>
        <v>10.671865799999999</v>
      </c>
      <c r="D98" s="16">
        <f t="shared" si="10"/>
        <v>1.0124672119894538</v>
      </c>
      <c r="E98" s="16">
        <f t="shared" si="7"/>
        <v>4.3460736593647988</v>
      </c>
      <c r="F98" s="16">
        <f t="shared" si="8"/>
        <v>0.77671209261552876</v>
      </c>
      <c r="G98" s="19">
        <f>IF(IS!$C$2="Peak","-",SUM(C98:F98))</f>
        <v>16.807118763969783</v>
      </c>
      <c r="H98" s="203">
        <v>210.46246187641509</v>
      </c>
      <c r="I98" s="203">
        <v>170.05150156564048</v>
      </c>
      <c r="J98" s="203">
        <v>140.19507863339425</v>
      </c>
      <c r="K98" s="203">
        <v>89.143228562397425</v>
      </c>
      <c r="L98" s="203">
        <v>74.405977067551888</v>
      </c>
      <c r="M98" s="203">
        <v>65.29233306967086</v>
      </c>
      <c r="N98" s="203">
        <v>60.143973507136593</v>
      </c>
      <c r="O98" s="203">
        <v>54.992366751888945</v>
      </c>
      <c r="P98" s="203">
        <v>44.90003531261258</v>
      </c>
      <c r="Q98" s="203">
        <v>41.972539779143872</v>
      </c>
      <c r="R98" s="203">
        <v>34.039676947770964</v>
      </c>
      <c r="S98" s="203">
        <v>30.722056075049288</v>
      </c>
      <c r="T98" s="203">
        <v>29.606737747168303</v>
      </c>
      <c r="U98" s="203">
        <v>29.545425557353624</v>
      </c>
      <c r="V98" s="203">
        <v>29.274407144578014</v>
      </c>
      <c r="W98" s="203">
        <v>28.973796967232079</v>
      </c>
      <c r="X98" s="203">
        <v>27.947473921490808</v>
      </c>
      <c r="Y98" s="203">
        <v>26.876698700774377</v>
      </c>
      <c r="Z98" s="203">
        <v>25.492976902161384</v>
      </c>
      <c r="AA98" s="203">
        <v>23.457387176534667</v>
      </c>
      <c r="AB98" s="16">
        <f>Peak!AB100</f>
        <v>1.0124672119894538</v>
      </c>
      <c r="AC98" s="16">
        <f>Peak!AC100</f>
        <v>0</v>
      </c>
      <c r="AD98" s="18">
        <f>Peak!AD100</f>
        <v>354.61101457823628</v>
      </c>
      <c r="AE98" s="18">
        <f>Peak!AE100</f>
        <v>2147.6543804486269</v>
      </c>
      <c r="AF98" s="16">
        <f>Peak!AF100</f>
        <v>1</v>
      </c>
      <c r="AG98" s="73">
        <f>Peak!AG100</f>
        <v>1.0623</v>
      </c>
      <c r="AH98" s="16">
        <f>Peak!AH100</f>
        <v>3.485678261844614</v>
      </c>
      <c r="AI98" s="16">
        <f>Peak!AI100</f>
        <v>3.4961254716981136</v>
      </c>
      <c r="AJ98" s="16">
        <f>Peak!AJ100</f>
        <v>2.4399542510000001</v>
      </c>
      <c r="AK98" s="16">
        <f>Peak!AK100</f>
        <v>7.2000000000000008E-2</v>
      </c>
      <c r="AL98" s="4"/>
    </row>
    <row r="99" spans="1:38" x14ac:dyDescent="0.2">
      <c r="A99" s="1">
        <f t="shared" si="11"/>
        <v>39277.530000000115</v>
      </c>
      <c r="B99" s="16">
        <f t="shared" si="9"/>
        <v>1.0623</v>
      </c>
      <c r="C99" s="17">
        <f t="shared" si="6"/>
        <v>10.671865799999999</v>
      </c>
      <c r="D99" s="16">
        <f t="shared" si="10"/>
        <v>1.0141546573427695</v>
      </c>
      <c r="E99" s="16">
        <f t="shared" si="7"/>
        <v>4.3460736593647988</v>
      </c>
      <c r="F99" s="16">
        <f t="shared" si="8"/>
        <v>0.77671209261552876</v>
      </c>
      <c r="G99" s="19">
        <f>IF(IS!$C$2="Peak","-",SUM(C99:F99))</f>
        <v>16.808806209323098</v>
      </c>
      <c r="H99" s="203">
        <v>293.33618394641104</v>
      </c>
      <c r="I99" s="203">
        <v>224.8132364596112</v>
      </c>
      <c r="J99" s="203">
        <v>183.54555114236203</v>
      </c>
      <c r="K99" s="203">
        <v>145.580274728083</v>
      </c>
      <c r="L99" s="203">
        <v>94.027273183582494</v>
      </c>
      <c r="M99" s="203">
        <v>83.615929322123549</v>
      </c>
      <c r="N99" s="203">
        <v>76.586824685229161</v>
      </c>
      <c r="O99" s="203">
        <v>74.235347171810858</v>
      </c>
      <c r="P99" s="203">
        <v>58.840674583398538</v>
      </c>
      <c r="Q99" s="203">
        <v>46.396849584595245</v>
      </c>
      <c r="R99" s="203">
        <v>42.324254990108578</v>
      </c>
      <c r="S99" s="203">
        <v>37.421400445744936</v>
      </c>
      <c r="T99" s="203">
        <v>36.555410621041005</v>
      </c>
      <c r="U99" s="203">
        <v>36.551678420955156</v>
      </c>
      <c r="V99" s="203">
        <v>36.551511937411512</v>
      </c>
      <c r="W99" s="203">
        <v>36.476525687679874</v>
      </c>
      <c r="X99" s="203">
        <v>35.067853383046909</v>
      </c>
      <c r="Y99" s="203">
        <v>34.000499370529681</v>
      </c>
      <c r="Z99" s="203">
        <v>32.772242357851567</v>
      </c>
      <c r="AA99" s="203">
        <v>30.634268779774381</v>
      </c>
      <c r="AB99" s="16">
        <f>Peak!AB101</f>
        <v>1.0141546573427695</v>
      </c>
      <c r="AC99" s="16">
        <f>Peak!AC101</f>
        <v>0</v>
      </c>
      <c r="AD99" s="18">
        <f>Peak!AD101</f>
        <v>354.61101457823628</v>
      </c>
      <c r="AE99" s="18">
        <f>Peak!AE101</f>
        <v>2147.6543804486269</v>
      </c>
      <c r="AF99" s="16">
        <f>Peak!AF101</f>
        <v>1</v>
      </c>
      <c r="AG99" s="73">
        <f>Peak!AG101</f>
        <v>1.0623</v>
      </c>
      <c r="AH99" s="16">
        <f>Peak!AH101</f>
        <v>3.4746476344337132</v>
      </c>
      <c r="AI99" s="16">
        <f>Peak!AI101</f>
        <v>3.4961254716981136</v>
      </c>
      <c r="AJ99" s="16">
        <f>Peak!AJ101</f>
        <v>2.4399542510000001</v>
      </c>
      <c r="AK99" s="16">
        <f>Peak!AK101</f>
        <v>7.2000000000000008E-2</v>
      </c>
      <c r="AL99" s="4"/>
    </row>
    <row r="100" spans="1:38" x14ac:dyDescent="0.2">
      <c r="A100" s="1">
        <f t="shared" si="11"/>
        <v>39307.947000000117</v>
      </c>
      <c r="B100" s="16">
        <f t="shared" si="9"/>
        <v>1.0623</v>
      </c>
      <c r="C100" s="17">
        <f t="shared" si="6"/>
        <v>10.671865799999999</v>
      </c>
      <c r="D100" s="16">
        <f t="shared" si="10"/>
        <v>1.0158449151050075</v>
      </c>
      <c r="E100" s="16">
        <f t="shared" si="7"/>
        <v>4.3460736593647988</v>
      </c>
      <c r="F100" s="16">
        <f t="shared" si="8"/>
        <v>0.77671209261552876</v>
      </c>
      <c r="G100" s="19">
        <f>IF(IS!$C$2="Peak","-",SUM(C100:F100))</f>
        <v>16.810496467085336</v>
      </c>
      <c r="H100" s="203">
        <v>505.12370120044886</v>
      </c>
      <c r="I100" s="203">
        <v>346.1669326593136</v>
      </c>
      <c r="J100" s="203">
        <v>268.82319594740142</v>
      </c>
      <c r="K100" s="203">
        <v>196.72704383771719</v>
      </c>
      <c r="L100" s="203">
        <v>156.66937343437161</v>
      </c>
      <c r="M100" s="203">
        <v>105.04504340465812</v>
      </c>
      <c r="N100" s="203">
        <v>87.433278956460157</v>
      </c>
      <c r="O100" s="203">
        <v>82.090228383705821</v>
      </c>
      <c r="P100" s="203">
        <v>66.629964143232613</v>
      </c>
      <c r="Q100" s="203">
        <v>48.895287442938518</v>
      </c>
      <c r="R100" s="203">
        <v>42.150874572458562</v>
      </c>
      <c r="S100" s="203">
        <v>39.735137798048669</v>
      </c>
      <c r="T100" s="203">
        <v>38.439002867863181</v>
      </c>
      <c r="U100" s="203">
        <v>33.344851993997267</v>
      </c>
      <c r="V100" s="203">
        <v>32.559589409753286</v>
      </c>
      <c r="W100" s="203">
        <v>31.483813800035428</v>
      </c>
      <c r="X100" s="203">
        <v>30.613404720379513</v>
      </c>
      <c r="Y100" s="203">
        <v>29.582595223865777</v>
      </c>
      <c r="Z100" s="203">
        <v>28.822839818968042</v>
      </c>
      <c r="AA100" s="203">
        <v>26.016100840583903</v>
      </c>
      <c r="AB100" s="16">
        <f>Peak!AB102</f>
        <v>1.0158449151050075</v>
      </c>
      <c r="AC100" s="16">
        <f>Peak!AC102</f>
        <v>0</v>
      </c>
      <c r="AD100" s="18">
        <f>Peak!AD102</f>
        <v>354.61101457823628</v>
      </c>
      <c r="AE100" s="18">
        <f>Peak!AE102</f>
        <v>2147.6543804486269</v>
      </c>
      <c r="AF100" s="16">
        <f>Peak!AF102</f>
        <v>1</v>
      </c>
      <c r="AG100" s="73">
        <f>Peak!AG102</f>
        <v>1.0623</v>
      </c>
      <c r="AH100" s="16">
        <f>Peak!AH102</f>
        <v>3.2944807200556689</v>
      </c>
      <c r="AI100" s="16">
        <f>Peak!AI102</f>
        <v>3.4961254716981136</v>
      </c>
      <c r="AJ100" s="16">
        <f>Peak!AJ102</f>
        <v>2.4399542510000001</v>
      </c>
      <c r="AK100" s="16">
        <f>Peak!AK102</f>
        <v>7.2000000000000008E-2</v>
      </c>
      <c r="AL100" s="4"/>
    </row>
    <row r="101" spans="1:38" x14ac:dyDescent="0.2">
      <c r="A101" s="1">
        <f t="shared" si="11"/>
        <v>39338.364000000118</v>
      </c>
      <c r="B101" s="16">
        <f t="shared" si="9"/>
        <v>1.0623</v>
      </c>
      <c r="C101" s="17">
        <f t="shared" si="6"/>
        <v>10.671865799999999</v>
      </c>
      <c r="D101" s="16">
        <f t="shared" si="10"/>
        <v>1.017537989963516</v>
      </c>
      <c r="E101" s="16">
        <f t="shared" si="7"/>
        <v>4.3460736593647988</v>
      </c>
      <c r="F101" s="16">
        <f t="shared" si="8"/>
        <v>0.77671209261552876</v>
      </c>
      <c r="G101" s="19">
        <f>IF(IS!$C$2="Peak","-",SUM(C101:F101))</f>
        <v>16.812189541943845</v>
      </c>
      <c r="H101" s="203">
        <v>224.49598698261912</v>
      </c>
      <c r="I101" s="203">
        <v>179.94634454880199</v>
      </c>
      <c r="J101" s="203">
        <v>157.85733542032847</v>
      </c>
      <c r="K101" s="203">
        <v>93.891090885625744</v>
      </c>
      <c r="L101" s="203">
        <v>75.621717445667571</v>
      </c>
      <c r="M101" s="203">
        <v>63.070006768269671</v>
      </c>
      <c r="N101" s="203">
        <v>56.286853203743817</v>
      </c>
      <c r="O101" s="203">
        <v>54.281221544911432</v>
      </c>
      <c r="P101" s="203">
        <v>47.997443129604854</v>
      </c>
      <c r="Q101" s="203">
        <v>43.036600361601351</v>
      </c>
      <c r="R101" s="203">
        <v>38.657572761673109</v>
      </c>
      <c r="S101" s="203">
        <v>33.684206236428835</v>
      </c>
      <c r="T101" s="203">
        <v>30.336927168756091</v>
      </c>
      <c r="U101" s="203">
        <v>29.018417544807939</v>
      </c>
      <c r="V101" s="203">
        <v>28.594726661656296</v>
      </c>
      <c r="W101" s="203">
        <v>27.904126321551093</v>
      </c>
      <c r="X101" s="203">
        <v>27.160893849369167</v>
      </c>
      <c r="Y101" s="203">
        <v>27.138938696573113</v>
      </c>
      <c r="Z101" s="203">
        <v>27.050336025166636</v>
      </c>
      <c r="AA101" s="203">
        <v>24.509730082139008</v>
      </c>
      <c r="AB101" s="16">
        <f>Peak!AB103</f>
        <v>1.017537989963516</v>
      </c>
      <c r="AC101" s="16">
        <f>Peak!AC103</f>
        <v>0</v>
      </c>
      <c r="AD101" s="18">
        <f>Peak!AD103</f>
        <v>354.61101457823628</v>
      </c>
      <c r="AE101" s="18">
        <f>Peak!AE103</f>
        <v>2147.6543804486269</v>
      </c>
      <c r="AF101" s="16">
        <f>Peak!AF103</f>
        <v>1</v>
      </c>
      <c r="AG101" s="73">
        <f>Peak!AG103</f>
        <v>1.0623</v>
      </c>
      <c r="AH101" s="16">
        <f>Peak!AH103</f>
        <v>3.2834500926447685</v>
      </c>
      <c r="AI101" s="16">
        <f>Peak!AI103</f>
        <v>3.4961254716981136</v>
      </c>
      <c r="AJ101" s="16">
        <f>Peak!AJ103</f>
        <v>2.4399542510000001</v>
      </c>
      <c r="AK101" s="16">
        <f>Peak!AK103</f>
        <v>7.2000000000000008E-2</v>
      </c>
      <c r="AL101" s="4"/>
    </row>
    <row r="102" spans="1:38" x14ac:dyDescent="0.2">
      <c r="A102" s="1">
        <f t="shared" si="11"/>
        <v>39368.781000000119</v>
      </c>
      <c r="B102" s="16">
        <f t="shared" si="9"/>
        <v>1.0623</v>
      </c>
      <c r="C102" s="17">
        <f t="shared" si="6"/>
        <v>10.671865799999999</v>
      </c>
      <c r="D102" s="16">
        <f t="shared" si="10"/>
        <v>1.0192338866134552</v>
      </c>
      <c r="E102" s="16">
        <f t="shared" si="7"/>
        <v>4.3460736593647988</v>
      </c>
      <c r="F102" s="16">
        <f t="shared" si="8"/>
        <v>0.77671209261552876</v>
      </c>
      <c r="G102" s="19">
        <f>IF(IS!$C$2="Peak","-",SUM(C102:F102))</f>
        <v>16.813885438593783</v>
      </c>
      <c r="H102" s="203">
        <v>90.257409370229439</v>
      </c>
      <c r="I102" s="203">
        <v>79.920688171795447</v>
      </c>
      <c r="J102" s="203">
        <v>75.381281709205581</v>
      </c>
      <c r="K102" s="203">
        <v>70.948449414705649</v>
      </c>
      <c r="L102" s="203">
        <v>67.456132312928759</v>
      </c>
      <c r="M102" s="203">
        <v>63.004474838141164</v>
      </c>
      <c r="N102" s="203">
        <v>62.573614752066987</v>
      </c>
      <c r="O102" s="203">
        <v>58.952878351237416</v>
      </c>
      <c r="P102" s="203">
        <v>46.051899858754474</v>
      </c>
      <c r="Q102" s="203">
        <v>44.001325298012816</v>
      </c>
      <c r="R102" s="203">
        <v>40.975882851946857</v>
      </c>
      <c r="S102" s="203">
        <v>35.72709722072441</v>
      </c>
      <c r="T102" s="203">
        <v>33.444118356801326</v>
      </c>
      <c r="U102" s="203">
        <v>31.453666361729393</v>
      </c>
      <c r="V102" s="203">
        <v>31.300358006141401</v>
      </c>
      <c r="W102" s="203">
        <v>31.096427440656932</v>
      </c>
      <c r="X102" s="203">
        <v>30.966270860303215</v>
      </c>
      <c r="Y102" s="203">
        <v>30.792503470608011</v>
      </c>
      <c r="Z102" s="203">
        <v>29.946391661987306</v>
      </c>
      <c r="AA102" s="203">
        <v>26.208306814930094</v>
      </c>
      <c r="AB102" s="16">
        <f>Peak!AB104</f>
        <v>1.0192338866134552</v>
      </c>
      <c r="AC102" s="16">
        <f>Peak!AC104</f>
        <v>0</v>
      </c>
      <c r="AD102" s="18">
        <f>Peak!AD104</f>
        <v>354.61101457823628</v>
      </c>
      <c r="AE102" s="18">
        <f>Peak!AE104</f>
        <v>2147.6543804486269</v>
      </c>
      <c r="AF102" s="16">
        <f>Peak!AF104</f>
        <v>1</v>
      </c>
      <c r="AG102" s="73">
        <f>Peak!AG104</f>
        <v>1.0623</v>
      </c>
      <c r="AH102" s="16">
        <f>Peak!AH104</f>
        <v>3.6364301697935901</v>
      </c>
      <c r="AI102" s="16">
        <f>Peak!AI104</f>
        <v>3.4961254716981136</v>
      </c>
      <c r="AJ102" s="16">
        <f>Peak!AJ104</f>
        <v>2.4399542510000001</v>
      </c>
      <c r="AK102" s="16">
        <f>Peak!AK104</f>
        <v>7.2000000000000008E-2</v>
      </c>
      <c r="AL102" s="4"/>
    </row>
    <row r="103" spans="1:38" x14ac:dyDescent="0.2">
      <c r="A103" s="1">
        <f t="shared" si="11"/>
        <v>39399.19800000012</v>
      </c>
      <c r="B103" s="16">
        <f t="shared" si="9"/>
        <v>1.0623</v>
      </c>
      <c r="C103" s="17">
        <f t="shared" si="6"/>
        <v>10.671865799999999</v>
      </c>
      <c r="D103" s="16">
        <f t="shared" si="10"/>
        <v>1.0209326097578109</v>
      </c>
      <c r="E103" s="16">
        <f t="shared" si="7"/>
        <v>4.3460736593647988</v>
      </c>
      <c r="F103" s="16">
        <f t="shared" si="8"/>
        <v>0.77671209261552876</v>
      </c>
      <c r="G103" s="19">
        <f>IF(IS!$C$2="Peak","-",SUM(C103:F103))</f>
        <v>16.815584161738137</v>
      </c>
      <c r="H103" s="203">
        <v>87.263224619697027</v>
      </c>
      <c r="I103" s="203">
        <v>84.654840563986284</v>
      </c>
      <c r="J103" s="203">
        <v>81.3098023754129</v>
      </c>
      <c r="K103" s="203">
        <v>76.787705316277282</v>
      </c>
      <c r="L103" s="203">
        <v>73.201807948961857</v>
      </c>
      <c r="M103" s="203">
        <v>72.886999951255547</v>
      </c>
      <c r="N103" s="203">
        <v>68.007964675353179</v>
      </c>
      <c r="O103" s="203">
        <v>51.558072428958226</v>
      </c>
      <c r="P103" s="203">
        <v>47.045349330699125</v>
      </c>
      <c r="Q103" s="203">
        <v>41.281438716580716</v>
      </c>
      <c r="R103" s="203">
        <v>40.895150871643906</v>
      </c>
      <c r="S103" s="203">
        <v>38.290494069987702</v>
      </c>
      <c r="T103" s="203">
        <v>36.75227604627581</v>
      </c>
      <c r="U103" s="203">
        <v>36.100328701406504</v>
      </c>
      <c r="V103" s="203">
        <v>36.092099318770387</v>
      </c>
      <c r="W103" s="203">
        <v>36.092099318770387</v>
      </c>
      <c r="X103" s="203">
        <v>36.092099318770387</v>
      </c>
      <c r="Y103" s="203">
        <v>36.092099318770387</v>
      </c>
      <c r="Z103" s="203">
        <v>35.567911230092207</v>
      </c>
      <c r="AA103" s="203">
        <v>33.684804936325904</v>
      </c>
      <c r="AB103" s="16">
        <f>Peak!AB105</f>
        <v>1.0209326097578109</v>
      </c>
      <c r="AC103" s="16">
        <f>Peak!AC105</f>
        <v>0</v>
      </c>
      <c r="AD103" s="18">
        <f>Peak!AD105</f>
        <v>354.61101457823628</v>
      </c>
      <c r="AE103" s="18">
        <f>Peak!AE105</f>
        <v>2147.6543804486269</v>
      </c>
      <c r="AF103" s="16">
        <f>Peak!AF105</f>
        <v>1</v>
      </c>
      <c r="AG103" s="73">
        <f>Peak!AG105</f>
        <v>1.0623</v>
      </c>
      <c r="AH103" s="16">
        <f>Peak!AH105</f>
        <v>3.9820564953351445</v>
      </c>
      <c r="AI103" s="16">
        <f>Peak!AI105</f>
        <v>3.7905360377358499</v>
      </c>
      <c r="AJ103" s="16">
        <f>Peak!AJ105</f>
        <v>2.4399542510000001</v>
      </c>
      <c r="AK103" s="16">
        <f>Peak!AK105</f>
        <v>7.2000000000000008E-2</v>
      </c>
      <c r="AL103" s="4"/>
    </row>
    <row r="104" spans="1:38" x14ac:dyDescent="0.2">
      <c r="A104" s="1">
        <f t="shared" si="11"/>
        <v>39429.615000000122</v>
      </c>
      <c r="B104" s="16">
        <f t="shared" si="9"/>
        <v>1.0623</v>
      </c>
      <c r="C104" s="17">
        <f t="shared" si="6"/>
        <v>10.671865799999999</v>
      </c>
      <c r="D104" s="16">
        <f t="shared" si="10"/>
        <v>1.0226341641074073</v>
      </c>
      <c r="E104" s="16">
        <f t="shared" si="7"/>
        <v>4.3460736593647988</v>
      </c>
      <c r="F104" s="16">
        <f t="shared" si="8"/>
        <v>0.77671209261552876</v>
      </c>
      <c r="G104" s="19">
        <f>IF(IS!$C$2="Peak","-",SUM(C104:F104))</f>
        <v>16.817285716087735</v>
      </c>
      <c r="H104" s="203">
        <v>98.596931153344642</v>
      </c>
      <c r="I104" s="203">
        <v>94.546327070608385</v>
      </c>
      <c r="J104" s="203">
        <v>91.880016495710251</v>
      </c>
      <c r="K104" s="203">
        <v>87.590921918825217</v>
      </c>
      <c r="L104" s="203">
        <v>83.571852132411024</v>
      </c>
      <c r="M104" s="203">
        <v>83.197454948465264</v>
      </c>
      <c r="N104" s="203">
        <v>78.54163830454408</v>
      </c>
      <c r="O104" s="203">
        <v>60.669949280095238</v>
      </c>
      <c r="P104" s="203">
        <v>53.300910015785</v>
      </c>
      <c r="Q104" s="203">
        <v>46.865525202666319</v>
      </c>
      <c r="R104" s="203">
        <v>44.948335790763686</v>
      </c>
      <c r="S104" s="203">
        <v>40.810361049346042</v>
      </c>
      <c r="T104" s="203">
        <v>40.705998501727571</v>
      </c>
      <c r="U104" s="203">
        <v>39.931842557012949</v>
      </c>
      <c r="V104" s="203">
        <v>39.80685083472688</v>
      </c>
      <c r="W104" s="203">
        <v>39.806771533563122</v>
      </c>
      <c r="X104" s="203">
        <v>39.80669889436637</v>
      </c>
      <c r="Y104" s="203">
        <v>39.806623213213342</v>
      </c>
      <c r="Z104" s="203">
        <v>39.406480639178845</v>
      </c>
      <c r="AA104" s="203">
        <v>33.997046890038703</v>
      </c>
      <c r="AB104" s="16">
        <f>Peak!AB106</f>
        <v>1.0226341641074073</v>
      </c>
      <c r="AC104" s="16">
        <f>Peak!AC106</f>
        <v>0</v>
      </c>
      <c r="AD104" s="18">
        <f>Peak!AD106</f>
        <v>354.61101457823628</v>
      </c>
      <c r="AE104" s="18">
        <f>Peak!AE106</f>
        <v>2147.6543804486269</v>
      </c>
      <c r="AF104" s="16">
        <f>Peak!AF106</f>
        <v>1</v>
      </c>
      <c r="AG104" s="73">
        <f>Peak!AG106</f>
        <v>1.0623</v>
      </c>
      <c r="AH104" s="16">
        <f>Peak!AH106</f>
        <v>4.3092984418585312</v>
      </c>
      <c r="AI104" s="16">
        <f>Peak!AI106</f>
        <v>3.9745426415094349</v>
      </c>
      <c r="AJ104" s="16">
        <f>Peak!AJ106</f>
        <v>2.4399542510000001</v>
      </c>
      <c r="AK104" s="16">
        <f>Peak!AK106</f>
        <v>7.2000000000000008E-2</v>
      </c>
      <c r="AL104" s="4"/>
    </row>
    <row r="105" spans="1:38" x14ac:dyDescent="0.2">
      <c r="A105" s="1">
        <f t="shared" si="11"/>
        <v>39460.032000000123</v>
      </c>
      <c r="B105" s="16">
        <f t="shared" si="9"/>
        <v>1.0916999999999999</v>
      </c>
      <c r="C105" s="17">
        <f t="shared" si="6"/>
        <v>10.9672182</v>
      </c>
      <c r="D105" s="16">
        <f t="shared" si="10"/>
        <v>1.0243385543809196</v>
      </c>
      <c r="E105" s="16">
        <f t="shared" si="7"/>
        <v>4.7957116818198511</v>
      </c>
      <c r="F105" s="16">
        <f t="shared" si="8"/>
        <v>0.65363612537726401</v>
      </c>
      <c r="G105" s="19">
        <f>IF(IS!$C$2="Peak","-",SUM(C105:F105))</f>
        <v>17.440904561578034</v>
      </c>
      <c r="H105" s="203">
        <v>146.05197341410218</v>
      </c>
      <c r="I105" s="203">
        <v>121.01996621178969</v>
      </c>
      <c r="J105" s="203">
        <v>103.84729502923467</v>
      </c>
      <c r="K105" s="203">
        <v>81.967169189809141</v>
      </c>
      <c r="L105" s="203">
        <v>76.583596564875165</v>
      </c>
      <c r="M105" s="203">
        <v>71.195510914970129</v>
      </c>
      <c r="N105" s="203">
        <v>69.248045404404451</v>
      </c>
      <c r="O105" s="203">
        <v>67.516656196680998</v>
      </c>
      <c r="P105" s="203">
        <v>55.290947422288887</v>
      </c>
      <c r="Q105" s="203">
        <v>47.732030700183195</v>
      </c>
      <c r="R105" s="203">
        <v>40.90100417683864</v>
      </c>
      <c r="S105" s="203">
        <v>39.265624215682372</v>
      </c>
      <c r="T105" s="203">
        <v>37.640435164320273</v>
      </c>
      <c r="U105" s="203">
        <v>35.66209058690265</v>
      </c>
      <c r="V105" s="203">
        <v>34.326925915712152</v>
      </c>
      <c r="W105" s="203">
        <v>34.031767221165047</v>
      </c>
      <c r="X105" s="203">
        <v>33.845866152489293</v>
      </c>
      <c r="Y105" s="203">
        <v>33.757428579141646</v>
      </c>
      <c r="Z105" s="203">
        <v>33.73955686699798</v>
      </c>
      <c r="AA105" s="203">
        <v>32.341922194117927</v>
      </c>
      <c r="AB105" s="16">
        <f>Peak!AB107</f>
        <v>1.0243385543809196</v>
      </c>
      <c r="AC105" s="16">
        <f>Peak!AC107</f>
        <v>0</v>
      </c>
      <c r="AD105" s="18">
        <f>Peak!AD107</f>
        <v>391.29851871019378</v>
      </c>
      <c r="AE105" s="18">
        <f>Peak!AE107</f>
        <v>1807.3421300276059</v>
      </c>
      <c r="AF105" s="16">
        <f>Peak!AF107</f>
        <v>1</v>
      </c>
      <c r="AG105" s="73">
        <f>Peak!AG107</f>
        <v>1.0916999999999999</v>
      </c>
      <c r="AH105" s="16">
        <f>Peak!AH107</f>
        <v>3.847158216465588</v>
      </c>
      <c r="AI105" s="16">
        <f>Peak!AI107</f>
        <v>3.5836328118465897</v>
      </c>
      <c r="AJ105" s="16">
        <f>Peak!AJ107</f>
        <v>2.4399542510000001</v>
      </c>
      <c r="AK105" s="16">
        <f>Peak!AK107</f>
        <v>7.2000000000000008E-2</v>
      </c>
      <c r="AL105" s="4"/>
    </row>
    <row r="106" spans="1:38" x14ac:dyDescent="0.2">
      <c r="A106" s="1">
        <f t="shared" si="11"/>
        <v>39490.449000000124</v>
      </c>
      <c r="B106" s="16">
        <f t="shared" si="9"/>
        <v>1.0916999999999999</v>
      </c>
      <c r="C106" s="17">
        <f t="shared" si="6"/>
        <v>10.9672182</v>
      </c>
      <c r="D106" s="16">
        <f t="shared" si="10"/>
        <v>1.0260457853048879</v>
      </c>
      <c r="E106" s="16">
        <f t="shared" si="7"/>
        <v>4.7957116818198511</v>
      </c>
      <c r="F106" s="16">
        <f t="shared" si="8"/>
        <v>0.65363612537726401</v>
      </c>
      <c r="G106" s="19">
        <f>IF(IS!$C$2="Peak","-",SUM(C106:F106))</f>
        <v>17.442611792502003</v>
      </c>
      <c r="H106" s="203">
        <v>109.76001464274714</v>
      </c>
      <c r="I106" s="203">
        <v>99.3607949241146</v>
      </c>
      <c r="J106" s="203">
        <v>94.817806220076747</v>
      </c>
      <c r="K106" s="203">
        <v>90.651143098150413</v>
      </c>
      <c r="L106" s="203">
        <v>85.797264125459094</v>
      </c>
      <c r="M106" s="203">
        <v>84.730909220924644</v>
      </c>
      <c r="N106" s="203">
        <v>81.56858672959055</v>
      </c>
      <c r="O106" s="203">
        <v>67.980651483205037</v>
      </c>
      <c r="P106" s="203">
        <v>56.667916383653711</v>
      </c>
      <c r="Q106" s="203">
        <v>47.523151584493142</v>
      </c>
      <c r="R106" s="203">
        <v>45.226616956866991</v>
      </c>
      <c r="S106" s="203">
        <v>40.502323768521009</v>
      </c>
      <c r="T106" s="203">
        <v>37.211593383779004</v>
      </c>
      <c r="U106" s="203">
        <v>34.60342258436566</v>
      </c>
      <c r="V106" s="203">
        <v>33.575957739077886</v>
      </c>
      <c r="W106" s="203">
        <v>32.668504977359476</v>
      </c>
      <c r="X106" s="203">
        <v>31.453345099289852</v>
      </c>
      <c r="Y106" s="203">
        <v>29.9963143988791</v>
      </c>
      <c r="Z106" s="203">
        <v>28.811676765580817</v>
      </c>
      <c r="AA106" s="203">
        <v>27.472761308313373</v>
      </c>
      <c r="AB106" s="16">
        <f>Peak!AB108</f>
        <v>1.0260457853048879</v>
      </c>
      <c r="AC106" s="16">
        <f>Peak!AC108</f>
        <v>0</v>
      </c>
      <c r="AD106" s="18">
        <f>Peak!AD108</f>
        <v>391.29851871019378</v>
      </c>
      <c r="AE106" s="18">
        <f>Peak!AE108</f>
        <v>1807.3421300276059</v>
      </c>
      <c r="AF106" s="16">
        <f>Peak!AF108</f>
        <v>1</v>
      </c>
      <c r="AG106" s="73">
        <f>Peak!AG108</f>
        <v>1.0916999999999999</v>
      </c>
      <c r="AH106" s="16">
        <f>Peak!AH108</f>
        <v>3.4481178695449555</v>
      </c>
      <c r="AI106" s="16">
        <f>Peak!AI108</f>
        <v>3.5504510265517135</v>
      </c>
      <c r="AJ106" s="16">
        <f>Peak!AJ108</f>
        <v>2.4399542510000001</v>
      </c>
      <c r="AK106" s="16">
        <f>Peak!AK108</f>
        <v>7.2000000000000008E-2</v>
      </c>
      <c r="AL106" s="4"/>
    </row>
    <row r="107" spans="1:38" x14ac:dyDescent="0.2">
      <c r="A107" s="1">
        <f t="shared" si="11"/>
        <v>39520.866000000125</v>
      </c>
      <c r="B107" s="16">
        <f t="shared" si="9"/>
        <v>1.0916999999999999</v>
      </c>
      <c r="C107" s="17">
        <f t="shared" si="6"/>
        <v>10.9672182</v>
      </c>
      <c r="D107" s="16">
        <f t="shared" si="10"/>
        <v>1.0277558616137294</v>
      </c>
      <c r="E107" s="16">
        <f t="shared" si="7"/>
        <v>4.8350133215686251</v>
      </c>
      <c r="F107" s="16">
        <f t="shared" si="8"/>
        <v>0.65900733628946184</v>
      </c>
      <c r="G107" s="19">
        <f>IF(IS!$C$2="Peak","-",SUM(C107:F107))</f>
        <v>17.488994719471815</v>
      </c>
      <c r="H107" s="203">
        <v>97.706798444127216</v>
      </c>
      <c r="I107" s="203">
        <v>97.253287923207296</v>
      </c>
      <c r="J107" s="203">
        <v>94.725816419445209</v>
      </c>
      <c r="K107" s="203">
        <v>82.610105924771119</v>
      </c>
      <c r="L107" s="203">
        <v>66.088510931828907</v>
      </c>
      <c r="M107" s="203">
        <v>57.236896009592805</v>
      </c>
      <c r="N107" s="203">
        <v>53.422169575200961</v>
      </c>
      <c r="O107" s="203">
        <v>47.599559893012092</v>
      </c>
      <c r="P107" s="203">
        <v>47.599559893012092</v>
      </c>
      <c r="Q107" s="203">
        <v>47.550524160036055</v>
      </c>
      <c r="R107" s="203">
        <v>47.203602961616248</v>
      </c>
      <c r="S107" s="203">
        <v>47.203602961616248</v>
      </c>
      <c r="T107" s="203">
        <v>47.203602961616248</v>
      </c>
      <c r="U107" s="203">
        <v>47.203602961616248</v>
      </c>
      <c r="V107" s="203">
        <v>43.226615342191749</v>
      </c>
      <c r="W107" s="203">
        <v>36.980078905840699</v>
      </c>
      <c r="X107" s="203">
        <v>35.655257242706746</v>
      </c>
      <c r="Y107" s="203">
        <v>33.879490817516711</v>
      </c>
      <c r="Z107" s="203">
        <v>32.369905399789261</v>
      </c>
      <c r="AA107" s="203">
        <v>29.686671707669294</v>
      </c>
      <c r="AB107" s="16">
        <f>Peak!AB109</f>
        <v>1.0277558616137294</v>
      </c>
      <c r="AC107" s="16">
        <f>Peak!AC109</f>
        <v>0</v>
      </c>
      <c r="AD107" s="18">
        <f>Peak!AD109</f>
        <v>394.5052739192019</v>
      </c>
      <c r="AE107" s="18">
        <f>Peak!AE109</f>
        <v>1822.1938424620682</v>
      </c>
      <c r="AF107" s="16">
        <f>Peak!AF109</f>
        <v>1</v>
      </c>
      <c r="AG107" s="73">
        <f>Peak!AG109</f>
        <v>1.0916999999999999</v>
      </c>
      <c r="AH107" s="16">
        <f>Peak!AH109</f>
        <v>3.3901376481975132</v>
      </c>
      <c r="AI107" s="16">
        <f>Peak!AI109</f>
        <v>3.4177238853722103</v>
      </c>
      <c r="AJ107" s="16">
        <f>Peak!AJ109</f>
        <v>2.4399542510000001</v>
      </c>
      <c r="AK107" s="16">
        <f>Peak!AK109</f>
        <v>7.2000000000000008E-2</v>
      </c>
      <c r="AL107" s="4"/>
    </row>
    <row r="108" spans="1:38" x14ac:dyDescent="0.2">
      <c r="A108" s="1">
        <f t="shared" si="11"/>
        <v>39551.283000000127</v>
      </c>
      <c r="B108" s="16">
        <f t="shared" si="9"/>
        <v>1.0916999999999999</v>
      </c>
      <c r="C108" s="17">
        <f t="shared" si="6"/>
        <v>10.9672182</v>
      </c>
      <c r="D108" s="16">
        <f t="shared" si="10"/>
        <v>1.0294687880497524</v>
      </c>
      <c r="E108" s="16">
        <f t="shared" si="7"/>
        <v>4.8743149613173999</v>
      </c>
      <c r="F108" s="16">
        <f t="shared" si="8"/>
        <v>0.66437854720165979</v>
      </c>
      <c r="G108" s="19">
        <f>IF(IS!$C$2="Peak","-",SUM(C108:F108))</f>
        <v>17.535380496568813</v>
      </c>
      <c r="H108" s="203">
        <v>78.810688998714383</v>
      </c>
      <c r="I108" s="203">
        <v>75.646753067232993</v>
      </c>
      <c r="J108" s="203">
        <v>72.411938158051754</v>
      </c>
      <c r="K108" s="203">
        <v>68.873504115855013</v>
      </c>
      <c r="L108" s="203">
        <v>64.519278347969788</v>
      </c>
      <c r="M108" s="203">
        <v>63.177677264498307</v>
      </c>
      <c r="N108" s="203">
        <v>62.618697396639881</v>
      </c>
      <c r="O108" s="203">
        <v>54.142599310535424</v>
      </c>
      <c r="P108" s="203">
        <v>44.224725760612692</v>
      </c>
      <c r="Q108" s="203">
        <v>38.905597370113838</v>
      </c>
      <c r="R108" s="203">
        <v>36.028094541065762</v>
      </c>
      <c r="S108" s="203">
        <v>35.20585221282537</v>
      </c>
      <c r="T108" s="203">
        <v>32.45915945487225</v>
      </c>
      <c r="U108" s="203">
        <v>31.175319251096063</v>
      </c>
      <c r="V108" s="203">
        <v>30.954883824267114</v>
      </c>
      <c r="W108" s="203">
        <v>30.255878524900734</v>
      </c>
      <c r="X108" s="203">
        <v>29.436097548764998</v>
      </c>
      <c r="Y108" s="203">
        <v>28.16395887332984</v>
      </c>
      <c r="Z108" s="203">
        <v>27.677314475846451</v>
      </c>
      <c r="AA108" s="203">
        <v>26.166205030029111</v>
      </c>
      <c r="AB108" s="16">
        <f>Peak!AB110</f>
        <v>1.0294687880497524</v>
      </c>
      <c r="AC108" s="16">
        <f>Peak!AC110</f>
        <v>0</v>
      </c>
      <c r="AD108" s="18">
        <f>Peak!AD110</f>
        <v>397.71202912821002</v>
      </c>
      <c r="AE108" s="18">
        <f>Peak!AE110</f>
        <v>1837.0455548965306</v>
      </c>
      <c r="AF108" s="16">
        <f>Peak!AF110</f>
        <v>1</v>
      </c>
      <c r="AG108" s="73">
        <f>Peak!AG110</f>
        <v>1.0916999999999999</v>
      </c>
      <c r="AH108" s="16">
        <f>Peak!AH110</f>
        <v>3.2230181866666499</v>
      </c>
      <c r="AI108" s="16">
        <f>Peak!AI110</f>
        <v>3.284996744192707</v>
      </c>
      <c r="AJ108" s="16">
        <f>Peak!AJ110</f>
        <v>2.4399542510000001</v>
      </c>
      <c r="AK108" s="16">
        <f>Peak!AK110</f>
        <v>7.2000000000000008E-2</v>
      </c>
      <c r="AL108" s="4"/>
    </row>
    <row r="109" spans="1:38" x14ac:dyDescent="0.2">
      <c r="A109" s="1">
        <f t="shared" si="11"/>
        <v>39581.700000000128</v>
      </c>
      <c r="B109" s="16">
        <f t="shared" si="9"/>
        <v>1.0916999999999999</v>
      </c>
      <c r="C109" s="17">
        <f t="shared" si="6"/>
        <v>10.9672182</v>
      </c>
      <c r="D109" s="16">
        <f t="shared" si="10"/>
        <v>1.0311845693631687</v>
      </c>
      <c r="E109" s="16">
        <f t="shared" si="7"/>
        <v>4.913616601066173</v>
      </c>
      <c r="F109" s="16">
        <f t="shared" si="8"/>
        <v>0.66974975811385773</v>
      </c>
      <c r="G109" s="19">
        <f>IF(IS!$C$2="Peak","-",SUM(C109:F109))</f>
        <v>17.581769128543201</v>
      </c>
      <c r="H109" s="203">
        <v>74.018707266307302</v>
      </c>
      <c r="I109" s="203">
        <v>70.054950473701453</v>
      </c>
      <c r="J109" s="203">
        <v>65.800889698334942</v>
      </c>
      <c r="K109" s="203">
        <v>63.544829857001254</v>
      </c>
      <c r="L109" s="203">
        <v>63.099516859384337</v>
      </c>
      <c r="M109" s="203">
        <v>52.634997211910679</v>
      </c>
      <c r="N109" s="203">
        <v>44.323943081827871</v>
      </c>
      <c r="O109" s="203">
        <v>41.078834246354326</v>
      </c>
      <c r="P109" s="203">
        <v>38.504946613078133</v>
      </c>
      <c r="Q109" s="203">
        <v>36.581000615820983</v>
      </c>
      <c r="R109" s="203">
        <v>36.206857968141506</v>
      </c>
      <c r="S109" s="203">
        <v>35.901599566673461</v>
      </c>
      <c r="T109" s="203">
        <v>34.998618759281136</v>
      </c>
      <c r="U109" s="203">
        <v>33.458191131177863</v>
      </c>
      <c r="V109" s="203">
        <v>32.825999481563883</v>
      </c>
      <c r="W109" s="203">
        <v>32.017328518234237</v>
      </c>
      <c r="X109" s="203">
        <v>31.633284806231</v>
      </c>
      <c r="Y109" s="203">
        <v>31.630093703566903</v>
      </c>
      <c r="Z109" s="203">
        <v>31.394587564499727</v>
      </c>
      <c r="AA109" s="203">
        <v>30.077297809268394</v>
      </c>
      <c r="AB109" s="16">
        <f>Peak!AB111</f>
        <v>1.0311845693631687</v>
      </c>
      <c r="AC109" s="16">
        <f>Peak!AC111</f>
        <v>0</v>
      </c>
      <c r="AD109" s="18">
        <f>Peak!AD111</f>
        <v>400.91878433721814</v>
      </c>
      <c r="AE109" s="18">
        <f>Peak!AE111</f>
        <v>1851.8972673309929</v>
      </c>
      <c r="AF109" s="16">
        <f>Peak!AF111</f>
        <v>1</v>
      </c>
      <c r="AG109" s="73">
        <f>Peak!AG111</f>
        <v>1.0916999999999999</v>
      </c>
      <c r="AH109" s="16">
        <f>Peak!AH111</f>
        <v>3.3935482494532452</v>
      </c>
      <c r="AI109" s="16">
        <f>Peak!AI111</f>
        <v>3.1522696030132034</v>
      </c>
      <c r="AJ109" s="16">
        <f>Peak!AJ111</f>
        <v>2.4399542510000001</v>
      </c>
      <c r="AK109" s="16">
        <f>Peak!AK111</f>
        <v>7.2000000000000008E-2</v>
      </c>
      <c r="AL109" s="4"/>
    </row>
    <row r="110" spans="1:38" x14ac:dyDescent="0.2">
      <c r="A110" s="1">
        <f t="shared" si="11"/>
        <v>39612.117000000129</v>
      </c>
      <c r="B110" s="16">
        <f t="shared" si="9"/>
        <v>1.0916999999999999</v>
      </c>
      <c r="C110" s="17">
        <f t="shared" si="6"/>
        <v>10.9672182</v>
      </c>
      <c r="D110" s="16">
        <f t="shared" si="10"/>
        <v>1.0329032103121074</v>
      </c>
      <c r="E110" s="16">
        <f t="shared" si="7"/>
        <v>4.9529182408149479</v>
      </c>
      <c r="F110" s="16">
        <f t="shared" si="8"/>
        <v>0.67512096902605567</v>
      </c>
      <c r="G110" s="19">
        <f>IF(IS!$C$2="Peak","-",SUM(C110:F110))</f>
        <v>17.628160620153114</v>
      </c>
      <c r="H110" s="203">
        <v>169.77540858411768</v>
      </c>
      <c r="I110" s="203">
        <v>153.31442692069959</v>
      </c>
      <c r="J110" s="203">
        <v>140.5164705017508</v>
      </c>
      <c r="K110" s="203">
        <v>92.2439436968547</v>
      </c>
      <c r="L110" s="203">
        <v>71.249927812176125</v>
      </c>
      <c r="M110" s="203">
        <v>63.71287365901793</v>
      </c>
      <c r="N110" s="203">
        <v>57.096500210651094</v>
      </c>
      <c r="O110" s="203">
        <v>55.574411706956816</v>
      </c>
      <c r="P110" s="203">
        <v>45.758470155697978</v>
      </c>
      <c r="Q110" s="203">
        <v>40.273064961071427</v>
      </c>
      <c r="R110" s="203">
        <v>38.82560233249923</v>
      </c>
      <c r="S110" s="203">
        <v>36.687607579130812</v>
      </c>
      <c r="T110" s="203">
        <v>35.379484203254087</v>
      </c>
      <c r="U110" s="203">
        <v>32.143568154556782</v>
      </c>
      <c r="V110" s="203">
        <v>29.190302572581153</v>
      </c>
      <c r="W110" s="203">
        <v>28.561194174965877</v>
      </c>
      <c r="X110" s="203">
        <v>28.101632985886177</v>
      </c>
      <c r="Y110" s="203">
        <v>27.947870922183405</v>
      </c>
      <c r="Z110" s="203">
        <v>27.902837612095073</v>
      </c>
      <c r="AA110" s="203">
        <v>26.752778838540561</v>
      </c>
      <c r="AB110" s="16">
        <f>Peak!AB112</f>
        <v>1.0329032103121074</v>
      </c>
      <c r="AC110" s="16">
        <f>Peak!AC112</f>
        <v>0</v>
      </c>
      <c r="AD110" s="18">
        <f>Peak!AD112</f>
        <v>404.12553954622626</v>
      </c>
      <c r="AE110" s="18">
        <f>Peak!AE112</f>
        <v>1866.7489797654553</v>
      </c>
      <c r="AF110" s="16">
        <f>Peak!AF112</f>
        <v>1</v>
      </c>
      <c r="AG110" s="73">
        <f>Peak!AG112</f>
        <v>1.0916999999999999</v>
      </c>
      <c r="AH110" s="16">
        <f>Peak!AH112</f>
        <v>3.2332499904338454</v>
      </c>
      <c r="AI110" s="16">
        <f>Peak!AI112</f>
        <v>3.1522696030132034</v>
      </c>
      <c r="AJ110" s="16">
        <f>Peak!AJ112</f>
        <v>2.4399542510000001</v>
      </c>
      <c r="AK110" s="16">
        <f>Peak!AK112</f>
        <v>7.2000000000000008E-2</v>
      </c>
      <c r="AL110" s="4"/>
    </row>
    <row r="111" spans="1:38" x14ac:dyDescent="0.2">
      <c r="A111" s="1">
        <f t="shared" si="11"/>
        <v>39642.534000000131</v>
      </c>
      <c r="B111" s="16">
        <f t="shared" si="9"/>
        <v>1.0916999999999999</v>
      </c>
      <c r="C111" s="17">
        <f t="shared" si="6"/>
        <v>10.9672182</v>
      </c>
      <c r="D111" s="16">
        <f t="shared" si="10"/>
        <v>1.0346247156626276</v>
      </c>
      <c r="E111" s="16">
        <f t="shared" si="7"/>
        <v>4.992219880563721</v>
      </c>
      <c r="F111" s="16">
        <f t="shared" si="8"/>
        <v>0.68049217993825351</v>
      </c>
      <c r="G111" s="19">
        <f>IF(IS!$C$2="Peak","-",SUM(C111:F111))</f>
        <v>17.6745549761646</v>
      </c>
      <c r="H111" s="203">
        <v>309.55322945116171</v>
      </c>
      <c r="I111" s="203">
        <v>247.61898457828178</v>
      </c>
      <c r="J111" s="203">
        <v>206.90855479250516</v>
      </c>
      <c r="K111" s="203">
        <v>168.19404887539517</v>
      </c>
      <c r="L111" s="203">
        <v>140.63800008828053</v>
      </c>
      <c r="M111" s="203">
        <v>102.19985870284226</v>
      </c>
      <c r="N111" s="203">
        <v>69.325462974760114</v>
      </c>
      <c r="O111" s="203">
        <v>60.262947045847412</v>
      </c>
      <c r="P111" s="203">
        <v>58.723721886369859</v>
      </c>
      <c r="Q111" s="203">
        <v>57.717360423648643</v>
      </c>
      <c r="R111" s="203">
        <v>52.072525979703009</v>
      </c>
      <c r="S111" s="203">
        <v>40.988190043560543</v>
      </c>
      <c r="T111" s="203">
        <v>38.015719405393796</v>
      </c>
      <c r="U111" s="203">
        <v>35.256358035323615</v>
      </c>
      <c r="V111" s="203">
        <v>33.853810012278856</v>
      </c>
      <c r="W111" s="203">
        <v>31.636221832894211</v>
      </c>
      <c r="X111" s="203">
        <v>30.226312444823225</v>
      </c>
      <c r="Y111" s="203">
        <v>29.336449950139734</v>
      </c>
      <c r="Z111" s="203">
        <v>28.981218125992623</v>
      </c>
      <c r="AA111" s="203">
        <v>27.846197771371155</v>
      </c>
      <c r="AB111" s="16">
        <f>Peak!AB113</f>
        <v>1.0346247156626276</v>
      </c>
      <c r="AC111" s="16">
        <f>Peak!AC113</f>
        <v>0</v>
      </c>
      <c r="AD111" s="18">
        <f>Peak!AD113</f>
        <v>407.33229475523439</v>
      </c>
      <c r="AE111" s="18">
        <f>Peak!AE113</f>
        <v>1881.6006921999176</v>
      </c>
      <c r="AF111" s="16">
        <f>Peak!AF113</f>
        <v>1</v>
      </c>
      <c r="AG111" s="73">
        <f>Peak!AG113</f>
        <v>1.0916999999999999</v>
      </c>
      <c r="AH111" s="16">
        <f>Peak!AH113</f>
        <v>3.2230181866666499</v>
      </c>
      <c r="AI111" s="16">
        <f>Peak!AI113</f>
        <v>3.1522696030132034</v>
      </c>
      <c r="AJ111" s="16">
        <f>Peak!AJ113</f>
        <v>2.4399542510000001</v>
      </c>
      <c r="AK111" s="16">
        <f>Peak!AK113</f>
        <v>7.2000000000000008E-2</v>
      </c>
      <c r="AL111" s="4"/>
    </row>
    <row r="112" spans="1:38" x14ac:dyDescent="0.2">
      <c r="A112" s="1">
        <f t="shared" si="11"/>
        <v>39672.951000000132</v>
      </c>
      <c r="B112" s="16">
        <f t="shared" si="9"/>
        <v>1.0916999999999999</v>
      </c>
      <c r="C112" s="17">
        <f t="shared" si="6"/>
        <v>10.9672182</v>
      </c>
      <c r="D112" s="16">
        <f t="shared" si="10"/>
        <v>1.036349090188732</v>
      </c>
      <c r="E112" s="16">
        <f t="shared" si="7"/>
        <v>5.031521520312495</v>
      </c>
      <c r="F112" s="16">
        <f t="shared" si="8"/>
        <v>0.68586339085045145</v>
      </c>
      <c r="G112" s="19">
        <f>IF(IS!$C$2="Peak","-",SUM(C112:F112))</f>
        <v>17.720952201351679</v>
      </c>
      <c r="H112" s="203">
        <v>540.51678233602649</v>
      </c>
      <c r="I112" s="203">
        <v>354.25759097531881</v>
      </c>
      <c r="J112" s="203">
        <v>285.63599033883548</v>
      </c>
      <c r="K112" s="203">
        <v>218.50179053710568</v>
      </c>
      <c r="L112" s="203">
        <v>171.51734153408205</v>
      </c>
      <c r="M112" s="203">
        <v>128.19089330787082</v>
      </c>
      <c r="N112" s="203">
        <v>72.249376970558131</v>
      </c>
      <c r="O112" s="203">
        <v>64.626220666830051</v>
      </c>
      <c r="P112" s="203">
        <v>54.808664687586372</v>
      </c>
      <c r="Q112" s="203">
        <v>41.053126982642844</v>
      </c>
      <c r="R112" s="203">
        <v>36.33541193392972</v>
      </c>
      <c r="S112" s="203">
        <v>33.488260310830093</v>
      </c>
      <c r="T112" s="203">
        <v>32.312966113702657</v>
      </c>
      <c r="U112" s="203">
        <v>32.260798884417369</v>
      </c>
      <c r="V112" s="203">
        <v>32.024617887417122</v>
      </c>
      <c r="W112" s="203">
        <v>31.752990429654314</v>
      </c>
      <c r="X112" s="203">
        <v>31.323257075887522</v>
      </c>
      <c r="Y112" s="203">
        <v>30.275004240600904</v>
      </c>
      <c r="Z112" s="203">
        <v>29.313933948740988</v>
      </c>
      <c r="AA112" s="203">
        <v>26.888290937400843</v>
      </c>
      <c r="AB112" s="16">
        <f>Peak!AB114</f>
        <v>1.036349090188732</v>
      </c>
      <c r="AC112" s="16">
        <f>Peak!AC114</f>
        <v>0</v>
      </c>
      <c r="AD112" s="18">
        <f>Peak!AD114</f>
        <v>410.53904996424251</v>
      </c>
      <c r="AE112" s="18">
        <f>Peak!AE114</f>
        <v>1896.4524046343799</v>
      </c>
      <c r="AF112" s="16">
        <f>Peak!AF114</f>
        <v>1</v>
      </c>
      <c r="AG112" s="73">
        <f>Peak!AG114</f>
        <v>1.0916999999999999</v>
      </c>
      <c r="AH112" s="16">
        <f>Peak!AH114</f>
        <v>3.0558987251357865</v>
      </c>
      <c r="AI112" s="16">
        <f>Peak!AI114</f>
        <v>3.1522696030132034</v>
      </c>
      <c r="AJ112" s="16">
        <f>Peak!AJ114</f>
        <v>2.4399542510000001</v>
      </c>
      <c r="AK112" s="16">
        <f>Peak!AK114</f>
        <v>7.2000000000000008E-2</v>
      </c>
      <c r="AL112" s="4"/>
    </row>
    <row r="113" spans="1:38" x14ac:dyDescent="0.2">
      <c r="A113" s="1">
        <f t="shared" si="11"/>
        <v>39703.368000000133</v>
      </c>
      <c r="B113" s="16">
        <f t="shared" si="9"/>
        <v>1.0916999999999999</v>
      </c>
      <c r="C113" s="17">
        <f t="shared" si="6"/>
        <v>10.9672182</v>
      </c>
      <c r="D113" s="16">
        <f t="shared" si="10"/>
        <v>1.0380763386723799</v>
      </c>
      <c r="E113" s="16">
        <f t="shared" si="7"/>
        <v>5.070823160061269</v>
      </c>
      <c r="F113" s="16">
        <f t="shared" si="8"/>
        <v>0.69123460176264939</v>
      </c>
      <c r="G113" s="19">
        <f>IF(IS!$C$2="Peak","-",SUM(C113:F113))</f>
        <v>17.767352300496295</v>
      </c>
      <c r="H113" s="203">
        <v>179.94301121952418</v>
      </c>
      <c r="I113" s="203">
        <v>155.8646309999223</v>
      </c>
      <c r="J113" s="203">
        <v>114.66338503925158</v>
      </c>
      <c r="K113" s="203">
        <v>86.268677788859023</v>
      </c>
      <c r="L113" s="203">
        <v>68.1064350242074</v>
      </c>
      <c r="M113" s="203">
        <v>58.989533120427005</v>
      </c>
      <c r="N113" s="203">
        <v>55.242257021086907</v>
      </c>
      <c r="O113" s="203">
        <v>52.8428444436543</v>
      </c>
      <c r="P113" s="203">
        <v>50.348424320851265</v>
      </c>
      <c r="Q113" s="203">
        <v>42.159377512839647</v>
      </c>
      <c r="R113" s="203">
        <v>38.58660047080069</v>
      </c>
      <c r="S113" s="203">
        <v>35.103082288965467</v>
      </c>
      <c r="T113" s="203">
        <v>33.314655035318232</v>
      </c>
      <c r="U113" s="203">
        <v>31.680231709352846</v>
      </c>
      <c r="V113" s="203">
        <v>30.143344499516267</v>
      </c>
      <c r="W113" s="203">
        <v>29.192688133667026</v>
      </c>
      <c r="X113" s="203">
        <v>28.298139263078117</v>
      </c>
      <c r="Y113" s="203">
        <v>27.94546565124266</v>
      </c>
      <c r="Z113" s="203">
        <v>27.732304848768596</v>
      </c>
      <c r="AA113" s="203">
        <v>27.033796868379145</v>
      </c>
      <c r="AB113" s="16">
        <f>Peak!AB115</f>
        <v>1.0380763386723799</v>
      </c>
      <c r="AC113" s="16">
        <f>Peak!AC115</f>
        <v>0</v>
      </c>
      <c r="AD113" s="18">
        <f>Peak!AD115</f>
        <v>413.74580517325063</v>
      </c>
      <c r="AE113" s="18">
        <f>Peak!AE115</f>
        <v>1911.3041170688423</v>
      </c>
      <c r="AF113" s="16">
        <f>Peak!AF115</f>
        <v>1</v>
      </c>
      <c r="AG113" s="73">
        <f>Peak!AG115</f>
        <v>1.0916999999999999</v>
      </c>
      <c r="AH113" s="16">
        <f>Peak!AH115</f>
        <v>3.045666921368591</v>
      </c>
      <c r="AI113" s="16">
        <f>Peak!AI115</f>
        <v>3.1522696030132034</v>
      </c>
      <c r="AJ113" s="16">
        <f>Peak!AJ115</f>
        <v>2.4399542510000001</v>
      </c>
      <c r="AK113" s="16">
        <f>Peak!AK115</f>
        <v>7.2000000000000008E-2</v>
      </c>
      <c r="AL113" s="4"/>
    </row>
    <row r="114" spans="1:38" x14ac:dyDescent="0.2">
      <c r="A114" s="1">
        <f t="shared" si="11"/>
        <v>39733.785000000134</v>
      </c>
      <c r="B114" s="16">
        <f t="shared" si="9"/>
        <v>1.0916999999999999</v>
      </c>
      <c r="C114" s="17">
        <f t="shared" si="6"/>
        <v>10.9672182</v>
      </c>
      <c r="D114" s="16">
        <f t="shared" si="10"/>
        <v>1.0398064659035007</v>
      </c>
      <c r="E114" s="16">
        <f t="shared" si="7"/>
        <v>5.110124799810043</v>
      </c>
      <c r="F114" s="16">
        <f t="shared" si="8"/>
        <v>0.69660581267484734</v>
      </c>
      <c r="G114" s="19">
        <f>IF(IS!$C$2="Peak","-",SUM(C114:F114))</f>
        <v>17.813755278388392</v>
      </c>
      <c r="H114" s="203">
        <v>78.466188781639772</v>
      </c>
      <c r="I114" s="203">
        <v>74.5411955588133</v>
      </c>
      <c r="J114" s="203">
        <v>72.477129864013563</v>
      </c>
      <c r="K114" s="203">
        <v>67.838699095918727</v>
      </c>
      <c r="L114" s="203">
        <v>66.672458999432394</v>
      </c>
      <c r="M114" s="203">
        <v>66.091862802014688</v>
      </c>
      <c r="N114" s="203">
        <v>55.452125713392149</v>
      </c>
      <c r="O114" s="203">
        <v>46.456681054081976</v>
      </c>
      <c r="P114" s="203">
        <v>41.460889614135866</v>
      </c>
      <c r="Q114" s="203">
        <v>37.891978133030612</v>
      </c>
      <c r="R114" s="203">
        <v>37.530596431015894</v>
      </c>
      <c r="S114" s="203">
        <v>35.395494380176956</v>
      </c>
      <c r="T114" s="203">
        <v>34.482469852629833</v>
      </c>
      <c r="U114" s="203">
        <v>33.452493592961055</v>
      </c>
      <c r="V114" s="203">
        <v>33.189639030658576</v>
      </c>
      <c r="W114" s="203">
        <v>33.189639030658576</v>
      </c>
      <c r="X114" s="203">
        <v>33.189639030658576</v>
      </c>
      <c r="Y114" s="203">
        <v>33.189639030658576</v>
      </c>
      <c r="Z114" s="203">
        <v>33.189639030658576</v>
      </c>
      <c r="AA114" s="203">
        <v>32.549963533823814</v>
      </c>
      <c r="AB114" s="16">
        <f>Peak!AB116</f>
        <v>1.0398064659035007</v>
      </c>
      <c r="AC114" s="16">
        <f>Peak!AC116</f>
        <v>0</v>
      </c>
      <c r="AD114" s="18">
        <f>Peak!AD116</f>
        <v>416.95256038225875</v>
      </c>
      <c r="AE114" s="18">
        <f>Peak!AE116</f>
        <v>1926.1558295033046</v>
      </c>
      <c r="AF114" s="16">
        <f>Peak!AF116</f>
        <v>1</v>
      </c>
      <c r="AG114" s="73">
        <f>Peak!AG116</f>
        <v>1.0916999999999999</v>
      </c>
      <c r="AH114" s="16">
        <f>Peak!AH116</f>
        <v>3.3730846419188536</v>
      </c>
      <c r="AI114" s="16">
        <f>Peak!AI116</f>
        <v>3.1522696030132034</v>
      </c>
      <c r="AJ114" s="16">
        <f>Peak!AJ116</f>
        <v>2.4399542510000001</v>
      </c>
      <c r="AK114" s="16">
        <f>Peak!AK116</f>
        <v>7.2000000000000008E-2</v>
      </c>
      <c r="AL114" s="4"/>
    </row>
    <row r="115" spans="1:38" x14ac:dyDescent="0.2">
      <c r="A115" s="1">
        <f t="shared" si="11"/>
        <v>39764.202000000136</v>
      </c>
      <c r="B115" s="16">
        <f t="shared" si="9"/>
        <v>1.0916999999999999</v>
      </c>
      <c r="C115" s="17">
        <f t="shared" si="6"/>
        <v>10.9672182</v>
      </c>
      <c r="D115" s="16">
        <f t="shared" si="10"/>
        <v>1.0415394766800066</v>
      </c>
      <c r="E115" s="16">
        <f t="shared" si="7"/>
        <v>5.149426439558817</v>
      </c>
      <c r="F115" s="16">
        <f t="shared" si="8"/>
        <v>0.70197702358704517</v>
      </c>
      <c r="G115" s="19">
        <f>IF(IS!$C$2="Peak","-",SUM(C115:F115))</f>
        <v>17.860161139825866</v>
      </c>
      <c r="H115" s="203">
        <v>95.452520439207873</v>
      </c>
      <c r="I115" s="203">
        <v>88.505907562902593</v>
      </c>
      <c r="J115" s="203">
        <v>84.204355282374422</v>
      </c>
      <c r="K115" s="203">
        <v>79.0239314614264</v>
      </c>
      <c r="L115" s="203">
        <v>75.86517460578753</v>
      </c>
      <c r="M115" s="203">
        <v>75.4247680407112</v>
      </c>
      <c r="N115" s="203">
        <v>66.903984923682245</v>
      </c>
      <c r="O115" s="203">
        <v>52.293005355992619</v>
      </c>
      <c r="P115" s="203">
        <v>45.413413774099027</v>
      </c>
      <c r="Q115" s="203">
        <v>42.79475978975335</v>
      </c>
      <c r="R115" s="203">
        <v>41.338952567266375</v>
      </c>
      <c r="S115" s="203">
        <v>37.308227752318203</v>
      </c>
      <c r="T115" s="203">
        <v>36.656021066422625</v>
      </c>
      <c r="U115" s="203">
        <v>36.65578421384599</v>
      </c>
      <c r="V115" s="203">
        <v>36.65578421384599</v>
      </c>
      <c r="W115" s="203">
        <v>36.65578421384599</v>
      </c>
      <c r="X115" s="203">
        <v>36.402631037242656</v>
      </c>
      <c r="Y115" s="203">
        <v>34.40882363409203</v>
      </c>
      <c r="Z115" s="203">
        <v>33.546200594876716</v>
      </c>
      <c r="AA115" s="203">
        <v>31.024591379508252</v>
      </c>
      <c r="AB115" s="16">
        <f>Peak!AB117</f>
        <v>1.0415394766800066</v>
      </c>
      <c r="AC115" s="16">
        <f>Peak!AC117</f>
        <v>0</v>
      </c>
      <c r="AD115" s="18">
        <f>Peak!AD117</f>
        <v>420.15931559126687</v>
      </c>
      <c r="AE115" s="18">
        <f>Peak!AE117</f>
        <v>1941.007541937767</v>
      </c>
      <c r="AF115" s="16">
        <f>Peak!AF117</f>
        <v>1</v>
      </c>
      <c r="AG115" s="73">
        <f>Peak!AG117</f>
        <v>1.0916999999999999</v>
      </c>
      <c r="AH115" s="16">
        <f>Peak!AH117</f>
        <v>3.6936811599576527</v>
      </c>
      <c r="AI115" s="16">
        <f>Peak!AI117</f>
        <v>3.4177238853722103</v>
      </c>
      <c r="AJ115" s="16">
        <f>Peak!AJ117</f>
        <v>2.4399542510000001</v>
      </c>
      <c r="AK115" s="16">
        <f>Peak!AK117</f>
        <v>7.2000000000000008E-2</v>
      </c>
      <c r="AL115" s="4"/>
    </row>
    <row r="116" spans="1:38" x14ac:dyDescent="0.2">
      <c r="A116" s="1">
        <f t="shared" si="11"/>
        <v>39794.619000000137</v>
      </c>
      <c r="B116" s="16">
        <f t="shared" si="9"/>
        <v>1.0916999999999999</v>
      </c>
      <c r="C116" s="17">
        <f t="shared" si="6"/>
        <v>10.9672182</v>
      </c>
      <c r="D116" s="16">
        <f t="shared" si="10"/>
        <v>1.0432753758078066</v>
      </c>
      <c r="E116" s="16">
        <f t="shared" si="7"/>
        <v>5.1887280793075909</v>
      </c>
      <c r="F116" s="16">
        <f t="shared" si="8"/>
        <v>0.70734823449924311</v>
      </c>
      <c r="G116" s="19">
        <f>IF(IS!$C$2="Peak","-",SUM(C116:F116))</f>
        <v>17.906569889614641</v>
      </c>
      <c r="H116" s="203">
        <v>178.84032718512307</v>
      </c>
      <c r="I116" s="203">
        <v>163.98016751813367</v>
      </c>
      <c r="J116" s="203">
        <v>155.54572056315411</v>
      </c>
      <c r="K116" s="203">
        <v>115.61875753763771</v>
      </c>
      <c r="L116" s="203">
        <v>87.717351639286221</v>
      </c>
      <c r="M116" s="203">
        <v>74.475681421420717</v>
      </c>
      <c r="N116" s="203">
        <v>67.484479518860212</v>
      </c>
      <c r="O116" s="203">
        <v>63.323634891758182</v>
      </c>
      <c r="P116" s="203">
        <v>60.16789294080862</v>
      </c>
      <c r="Q116" s="203">
        <v>60.047515327679399</v>
      </c>
      <c r="R116" s="203">
        <v>58.683951718603772</v>
      </c>
      <c r="S116" s="203">
        <v>47.981399017490638</v>
      </c>
      <c r="T116" s="203">
        <v>41.590345038153529</v>
      </c>
      <c r="U116" s="203">
        <v>34.869947616064685</v>
      </c>
      <c r="V116" s="203">
        <v>34.271961787800414</v>
      </c>
      <c r="W116" s="203">
        <v>31.810664974224249</v>
      </c>
      <c r="X116" s="203">
        <v>29.95021995014212</v>
      </c>
      <c r="Y116" s="203">
        <v>29.830134931145935</v>
      </c>
      <c r="Z116" s="203">
        <v>29.617757496980794</v>
      </c>
      <c r="AA116" s="203">
        <v>27.699303446768727</v>
      </c>
      <c r="AB116" s="16">
        <f>Peak!AB118</f>
        <v>1.0432753758078066</v>
      </c>
      <c r="AC116" s="16">
        <f>Peak!AC118</f>
        <v>0</v>
      </c>
      <c r="AD116" s="18">
        <f>Peak!AD118</f>
        <v>423.366070800275</v>
      </c>
      <c r="AE116" s="18">
        <f>Peak!AE118</f>
        <v>1955.8592543722293</v>
      </c>
      <c r="AF116" s="16">
        <f>Peak!AF118</f>
        <v>1</v>
      </c>
      <c r="AG116" s="73">
        <f>Peak!AG118</f>
        <v>1.0916999999999999</v>
      </c>
      <c r="AH116" s="16">
        <f>Peak!AH118</f>
        <v>3.9972246717177922</v>
      </c>
      <c r="AI116" s="16">
        <f>Peak!AI118</f>
        <v>3.5836328118465897</v>
      </c>
      <c r="AJ116" s="16">
        <f>Peak!AJ118</f>
        <v>2.4399542510000001</v>
      </c>
      <c r="AK116" s="16">
        <f>Peak!AK118</f>
        <v>7.2000000000000008E-2</v>
      </c>
      <c r="AL116" s="4"/>
    </row>
    <row r="117" spans="1:38" x14ac:dyDescent="0.2">
      <c r="A117" s="1">
        <f t="shared" si="11"/>
        <v>39825.036000000138</v>
      </c>
      <c r="B117" s="16">
        <f t="shared" si="9"/>
        <v>1.125</v>
      </c>
      <c r="C117" s="17">
        <f t="shared" si="6"/>
        <v>11.30175</v>
      </c>
      <c r="D117" s="16">
        <f t="shared" si="10"/>
        <v>1.0450141681008196</v>
      </c>
      <c r="E117" s="16">
        <f t="shared" si="7"/>
        <v>5.2673313588051363</v>
      </c>
      <c r="F117" s="16">
        <f t="shared" si="8"/>
        <v>0.718090656323639</v>
      </c>
      <c r="G117" s="19">
        <f>IF(IS!$C$2="Peak","-",SUM(C117:F117))</f>
        <v>18.332186183229595</v>
      </c>
      <c r="H117" s="203">
        <v>116.70897413266998</v>
      </c>
      <c r="I117" s="203">
        <v>105.59586960243038</v>
      </c>
      <c r="J117" s="203">
        <v>93.419336886432887</v>
      </c>
      <c r="K117" s="203">
        <v>86.892316862958381</v>
      </c>
      <c r="L117" s="203">
        <v>82.262763812343934</v>
      </c>
      <c r="M117" s="203">
        <v>76.721761679561794</v>
      </c>
      <c r="N117" s="203">
        <v>76.001297281516713</v>
      </c>
      <c r="O117" s="203">
        <v>70.437005280680353</v>
      </c>
      <c r="P117" s="203">
        <v>53.806516308452018</v>
      </c>
      <c r="Q117" s="203">
        <v>46.842980570692816</v>
      </c>
      <c r="R117" s="203">
        <v>43.027174814968511</v>
      </c>
      <c r="S117" s="203">
        <v>39.943765200845746</v>
      </c>
      <c r="T117" s="203">
        <v>37.457951574066513</v>
      </c>
      <c r="U117" s="203">
        <v>37.457951574066513</v>
      </c>
      <c r="V117" s="203">
        <v>37.457951574066513</v>
      </c>
      <c r="W117" s="203">
        <v>37.457951574066513</v>
      </c>
      <c r="X117" s="203">
        <v>35.803237642000433</v>
      </c>
      <c r="Y117" s="203">
        <v>33.103140508913341</v>
      </c>
      <c r="Z117" s="203">
        <v>32.294936378946787</v>
      </c>
      <c r="AA117" s="203">
        <v>29.724826639365244</v>
      </c>
      <c r="AB117" s="16">
        <f>Peak!AB119</f>
        <v>1.0450141681008196</v>
      </c>
      <c r="AC117" s="16">
        <f>Peak!AC119</f>
        <v>0</v>
      </c>
      <c r="AD117" s="18">
        <f>Peak!AD119</f>
        <v>429.77958121829101</v>
      </c>
      <c r="AE117" s="18">
        <f>Peak!AE119</f>
        <v>1985.5626792411545</v>
      </c>
      <c r="AF117" s="16">
        <f>Peak!AF119</f>
        <v>1</v>
      </c>
      <c r="AG117" s="73">
        <f>Peak!AG119</f>
        <v>1.125</v>
      </c>
      <c r="AH117" s="16">
        <f>Peak!AH119</f>
        <v>3.9883095962770021</v>
      </c>
      <c r="AI117" s="16">
        <f>Peak!AI119</f>
        <v>3.7142218467191683</v>
      </c>
      <c r="AJ117" s="16">
        <f>Peak!AJ119</f>
        <v>2.4399542510000001</v>
      </c>
      <c r="AK117" s="16">
        <f>Peak!AK119</f>
        <v>7.2000000000000008E-2</v>
      </c>
      <c r="AL117" s="4"/>
    </row>
    <row r="118" spans="1:38" x14ac:dyDescent="0.2">
      <c r="A118" s="1">
        <f t="shared" si="11"/>
        <v>39855.45300000014</v>
      </c>
      <c r="B118" s="16">
        <f t="shared" si="9"/>
        <v>1.125</v>
      </c>
      <c r="C118" s="17">
        <f t="shared" si="6"/>
        <v>11.30175</v>
      </c>
      <c r="D118" s="16">
        <f t="shared" si="10"/>
        <v>1.0467558583809877</v>
      </c>
      <c r="E118" s="16">
        <f t="shared" si="7"/>
        <v>5.2673313588051363</v>
      </c>
      <c r="F118" s="16">
        <f t="shared" si="8"/>
        <v>0.718090656323639</v>
      </c>
      <c r="G118" s="19">
        <f>IF(IS!$C$2="Peak","-",SUM(C118:F118))</f>
        <v>18.333927873509765</v>
      </c>
      <c r="H118" s="203">
        <v>163.03336542398441</v>
      </c>
      <c r="I118" s="203">
        <v>153.0382035541341</v>
      </c>
      <c r="J118" s="203">
        <v>119.98118214244025</v>
      </c>
      <c r="K118" s="203">
        <v>88.355663471774378</v>
      </c>
      <c r="L118" s="203">
        <v>82.405601407210128</v>
      </c>
      <c r="M118" s="203">
        <v>77.609650846775281</v>
      </c>
      <c r="N118" s="203">
        <v>73.60646610545183</v>
      </c>
      <c r="O118" s="203">
        <v>72.356400062420192</v>
      </c>
      <c r="P118" s="203">
        <v>58.585914879369071</v>
      </c>
      <c r="Q118" s="203">
        <v>48.87248793428892</v>
      </c>
      <c r="R118" s="203">
        <v>41.5824099969591</v>
      </c>
      <c r="S118" s="203">
        <v>39.382019852526838</v>
      </c>
      <c r="T118" s="203">
        <v>36.104285504304812</v>
      </c>
      <c r="U118" s="203">
        <v>36.088134093517091</v>
      </c>
      <c r="V118" s="203">
        <v>35.53262442155313</v>
      </c>
      <c r="W118" s="203">
        <v>35.356008133677172</v>
      </c>
      <c r="X118" s="203">
        <v>33.80186716462849</v>
      </c>
      <c r="Y118" s="203">
        <v>33.079476144225296</v>
      </c>
      <c r="Z118" s="203">
        <v>32.214448679619878</v>
      </c>
      <c r="AA118" s="203">
        <v>29.444039654662543</v>
      </c>
      <c r="AB118" s="16">
        <f>Peak!AB120</f>
        <v>1.0467558583809877</v>
      </c>
      <c r="AC118" s="16">
        <f>Peak!AC120</f>
        <v>0</v>
      </c>
      <c r="AD118" s="18">
        <f>Peak!AD120</f>
        <v>429.77958121829101</v>
      </c>
      <c r="AE118" s="18">
        <f>Peak!AE120</f>
        <v>1985.5626792411545</v>
      </c>
      <c r="AF118" s="16">
        <f>Peak!AF120</f>
        <v>1</v>
      </c>
      <c r="AG118" s="73">
        <f>Peak!AG120</f>
        <v>1.125</v>
      </c>
      <c r="AH118" s="16">
        <f>Peak!AH120</f>
        <v>3.5746285477269937</v>
      </c>
      <c r="AI118" s="16">
        <f>Peak!AI120</f>
        <v>3.6798309036939907</v>
      </c>
      <c r="AJ118" s="16">
        <f>Peak!AJ120</f>
        <v>2.4399542510000001</v>
      </c>
      <c r="AK118" s="16">
        <f>Peak!AK120</f>
        <v>7.2000000000000008E-2</v>
      </c>
      <c r="AL118" s="4"/>
    </row>
    <row r="119" spans="1:38" x14ac:dyDescent="0.2">
      <c r="A119" s="1">
        <f t="shared" si="11"/>
        <v>39885.870000000141</v>
      </c>
      <c r="B119" s="16">
        <f t="shared" si="9"/>
        <v>1.125</v>
      </c>
      <c r="C119" s="17">
        <f t="shared" si="6"/>
        <v>11.30175</v>
      </c>
      <c r="D119" s="16">
        <f t="shared" si="10"/>
        <v>1.0485004514782894</v>
      </c>
      <c r="E119" s="16">
        <f t="shared" si="7"/>
        <v>5.2673313588051363</v>
      </c>
      <c r="F119" s="16">
        <f t="shared" si="8"/>
        <v>0.718090656323639</v>
      </c>
      <c r="G119" s="19">
        <f>IF(IS!$C$2="Peak","-",SUM(C119:F119))</f>
        <v>18.335672466607065</v>
      </c>
      <c r="H119" s="203">
        <v>98.219735272979392</v>
      </c>
      <c r="I119" s="203">
        <v>87.34964122781291</v>
      </c>
      <c r="J119" s="203">
        <v>84.157309127374418</v>
      </c>
      <c r="K119" s="203">
        <v>79.354534018198805</v>
      </c>
      <c r="L119" s="203">
        <v>73.845881544574382</v>
      </c>
      <c r="M119" s="203">
        <v>72.893047492920715</v>
      </c>
      <c r="N119" s="203">
        <v>70.365515101894601</v>
      </c>
      <c r="O119" s="203">
        <v>55.721875248697756</v>
      </c>
      <c r="P119" s="203">
        <v>49.671475258451309</v>
      </c>
      <c r="Q119" s="203">
        <v>43.015784684410207</v>
      </c>
      <c r="R119" s="203">
        <v>41.20962532955771</v>
      </c>
      <c r="S119" s="203">
        <v>40.864365927835884</v>
      </c>
      <c r="T119" s="203">
        <v>38.312484224602869</v>
      </c>
      <c r="U119" s="203">
        <v>36.206133455888519</v>
      </c>
      <c r="V119" s="203">
        <v>36.161738919444602</v>
      </c>
      <c r="W119" s="203">
        <v>35.686435655813099</v>
      </c>
      <c r="X119" s="203">
        <v>35.354369464135843</v>
      </c>
      <c r="Y119" s="203">
        <v>35.321215197470856</v>
      </c>
      <c r="Z119" s="203">
        <v>35.321171779494122</v>
      </c>
      <c r="AA119" s="203">
        <v>34.869472189256371</v>
      </c>
      <c r="AB119" s="16">
        <f>Peak!AB121</f>
        <v>1.0485004514782894</v>
      </c>
      <c r="AC119" s="16">
        <f>Peak!AC121</f>
        <v>0</v>
      </c>
      <c r="AD119" s="18">
        <f>Peak!AD121</f>
        <v>429.77958121829101</v>
      </c>
      <c r="AE119" s="18">
        <f>Peak!AE121</f>
        <v>1985.5626792411545</v>
      </c>
      <c r="AF119" s="16">
        <f>Peak!AF121</f>
        <v>1</v>
      </c>
      <c r="AG119" s="73">
        <f>Peak!AG121</f>
        <v>1.125</v>
      </c>
      <c r="AH119" s="16">
        <f>Peak!AH121</f>
        <v>3.5145210449462239</v>
      </c>
      <c r="AI119" s="16">
        <f>Peak!AI121</f>
        <v>3.5422671315932805</v>
      </c>
      <c r="AJ119" s="16">
        <f>Peak!AJ121</f>
        <v>2.4399542510000001</v>
      </c>
      <c r="AK119" s="16">
        <f>Peak!AK121</f>
        <v>7.2000000000000008E-2</v>
      </c>
      <c r="AL119" s="4"/>
    </row>
    <row r="120" spans="1:38" x14ac:dyDescent="0.2">
      <c r="A120" s="1">
        <f t="shared" si="11"/>
        <v>39916.287000000142</v>
      </c>
      <c r="B120" s="16">
        <f t="shared" si="9"/>
        <v>1.125</v>
      </c>
      <c r="C120" s="17">
        <f t="shared" si="6"/>
        <v>11.30175</v>
      </c>
      <c r="D120" s="16">
        <f t="shared" si="10"/>
        <v>1.0502479522307533</v>
      </c>
      <c r="E120" s="16">
        <f t="shared" si="7"/>
        <v>5.2673313588051363</v>
      </c>
      <c r="F120" s="16">
        <f t="shared" si="8"/>
        <v>0.718090656323639</v>
      </c>
      <c r="G120" s="19">
        <f>IF(IS!$C$2="Peak","-",SUM(C120:F120))</f>
        <v>18.33741996735953</v>
      </c>
      <c r="H120" s="203">
        <v>79.601683098347081</v>
      </c>
      <c r="I120" s="203">
        <v>76.864302332627375</v>
      </c>
      <c r="J120" s="203">
        <v>72.993322289361274</v>
      </c>
      <c r="K120" s="203">
        <v>69.863993520475461</v>
      </c>
      <c r="L120" s="203">
        <v>69.710958805533892</v>
      </c>
      <c r="M120" s="203">
        <v>63.362111962930612</v>
      </c>
      <c r="N120" s="203">
        <v>48.46547750263359</v>
      </c>
      <c r="O120" s="203">
        <v>44.4232919344186</v>
      </c>
      <c r="P120" s="203">
        <v>40.088163194562661</v>
      </c>
      <c r="Q120" s="203">
        <v>39.550925722637935</v>
      </c>
      <c r="R120" s="203">
        <v>38.500383541731239</v>
      </c>
      <c r="S120" s="203">
        <v>36.249561302420915</v>
      </c>
      <c r="T120" s="203">
        <v>35.256060586880821</v>
      </c>
      <c r="U120" s="203">
        <v>34.795153091865657</v>
      </c>
      <c r="V120" s="203">
        <v>34.757772843707855</v>
      </c>
      <c r="W120" s="203">
        <v>34.284895032990981</v>
      </c>
      <c r="X120" s="203">
        <v>33.931989195015532</v>
      </c>
      <c r="Y120" s="203">
        <v>33.931819287734129</v>
      </c>
      <c r="Z120" s="203">
        <v>33.931764861913244</v>
      </c>
      <c r="AA120" s="203">
        <v>33.558151962231818</v>
      </c>
      <c r="AB120" s="16">
        <f>Peak!AB122</f>
        <v>1.0502479522307533</v>
      </c>
      <c r="AC120" s="16">
        <f>Peak!AC122</f>
        <v>0</v>
      </c>
      <c r="AD120" s="18">
        <f>Peak!AD122</f>
        <v>429.77958121829101</v>
      </c>
      <c r="AE120" s="18">
        <f>Peak!AE122</f>
        <v>1985.5626792411545</v>
      </c>
      <c r="AF120" s="16">
        <f>Peak!AF122</f>
        <v>1</v>
      </c>
      <c r="AG120" s="73">
        <f>Peak!AG122</f>
        <v>1.125</v>
      </c>
      <c r="AH120" s="16">
        <f>Peak!AH122</f>
        <v>3.3412700075192969</v>
      </c>
      <c r="AI120" s="16">
        <f>Peak!AI122</f>
        <v>3.4047033594925704</v>
      </c>
      <c r="AJ120" s="16">
        <f>Peak!AJ122</f>
        <v>2.4399542510000001</v>
      </c>
      <c r="AK120" s="16">
        <f>Peak!AK122</f>
        <v>7.2000000000000008E-2</v>
      </c>
      <c r="AL120" s="4"/>
    </row>
    <row r="121" spans="1:38" x14ac:dyDescent="0.2">
      <c r="A121" s="1">
        <f t="shared" si="11"/>
        <v>39946.704000000143</v>
      </c>
      <c r="B121" s="16">
        <f t="shared" si="9"/>
        <v>1.125</v>
      </c>
      <c r="C121" s="17">
        <f t="shared" si="6"/>
        <v>11.30175</v>
      </c>
      <c r="D121" s="16">
        <f t="shared" si="10"/>
        <v>1.0519983654844713</v>
      </c>
      <c r="E121" s="16">
        <f t="shared" si="7"/>
        <v>5.2673313588051363</v>
      </c>
      <c r="F121" s="16">
        <f t="shared" si="8"/>
        <v>0.718090656323639</v>
      </c>
      <c r="G121" s="19">
        <f>IF(IS!$C$2="Peak","-",SUM(C121:F121))</f>
        <v>18.339170380613247</v>
      </c>
      <c r="H121" s="203">
        <v>109.9655446951884</v>
      </c>
      <c r="I121" s="203">
        <v>85.043855257364527</v>
      </c>
      <c r="J121" s="203">
        <v>77.020619522490009</v>
      </c>
      <c r="K121" s="203">
        <v>71.531403120857448</v>
      </c>
      <c r="L121" s="203">
        <v>70.350873172778037</v>
      </c>
      <c r="M121" s="203">
        <v>58.670809338675745</v>
      </c>
      <c r="N121" s="203">
        <v>48.651429701004659</v>
      </c>
      <c r="O121" s="203">
        <v>44.678942817185622</v>
      </c>
      <c r="P121" s="203">
        <v>40.805333142606599</v>
      </c>
      <c r="Q121" s="203">
        <v>35.213399176863717</v>
      </c>
      <c r="R121" s="203">
        <v>34.888553465204964</v>
      </c>
      <c r="S121" s="203">
        <v>34.55156523020235</v>
      </c>
      <c r="T121" s="203">
        <v>34.058953588325025</v>
      </c>
      <c r="U121" s="203">
        <v>34.058953588325025</v>
      </c>
      <c r="V121" s="203">
        <v>34.058953588325025</v>
      </c>
      <c r="W121" s="203">
        <v>34.058873740966767</v>
      </c>
      <c r="X121" s="203">
        <v>34.058644121191278</v>
      </c>
      <c r="Y121" s="203">
        <v>33.590519802173745</v>
      </c>
      <c r="Z121" s="203">
        <v>32.130376982334951</v>
      </c>
      <c r="AA121" s="203">
        <v>29.977894944158521</v>
      </c>
      <c r="AB121" s="16">
        <f>Peak!AB123</f>
        <v>1.0519983654844713</v>
      </c>
      <c r="AC121" s="16">
        <f>Peak!AC123</f>
        <v>0</v>
      </c>
      <c r="AD121" s="18">
        <f>Peak!AD123</f>
        <v>429.77958121829101</v>
      </c>
      <c r="AE121" s="18">
        <f>Peak!AE123</f>
        <v>1985.5626792411545</v>
      </c>
      <c r="AF121" s="16">
        <f>Peak!AF123</f>
        <v>1</v>
      </c>
      <c r="AG121" s="73">
        <f>Peak!AG123</f>
        <v>1.125</v>
      </c>
      <c r="AH121" s="16">
        <f>Peak!AH123</f>
        <v>3.5180567804039162</v>
      </c>
      <c r="AI121" s="16">
        <f>Peak!AI123</f>
        <v>3.2671395873918607</v>
      </c>
      <c r="AJ121" s="16">
        <f>Peak!AJ123</f>
        <v>2.4399542510000001</v>
      </c>
      <c r="AK121" s="16">
        <f>Peak!AK123</f>
        <v>7.2000000000000008E-2</v>
      </c>
      <c r="AL121" s="4"/>
    </row>
    <row r="122" spans="1:38" x14ac:dyDescent="0.2">
      <c r="A122" s="1">
        <f t="shared" si="11"/>
        <v>39977.121000000145</v>
      </c>
      <c r="B122" s="16">
        <f t="shared" si="9"/>
        <v>1.125</v>
      </c>
      <c r="C122" s="17">
        <f t="shared" si="6"/>
        <v>11.30175</v>
      </c>
      <c r="D122" s="16">
        <f t="shared" si="10"/>
        <v>1.0537516960936122</v>
      </c>
      <c r="E122" s="16">
        <f t="shared" si="7"/>
        <v>5.2673313588051363</v>
      </c>
      <c r="F122" s="16">
        <f t="shared" si="8"/>
        <v>0.718090656323639</v>
      </c>
      <c r="G122" s="19">
        <f>IF(IS!$C$2="Peak","-",SUM(C122:F122))</f>
        <v>18.340923711222388</v>
      </c>
      <c r="H122" s="203">
        <v>204.55552934128602</v>
      </c>
      <c r="I122" s="203">
        <v>174.68480307080935</v>
      </c>
      <c r="J122" s="203">
        <v>157.33845446359339</v>
      </c>
      <c r="K122" s="203">
        <v>127.7994732809312</v>
      </c>
      <c r="L122" s="203">
        <v>78.212615172092853</v>
      </c>
      <c r="M122" s="203">
        <v>65.021474696299933</v>
      </c>
      <c r="N122" s="203">
        <v>60.687219678749258</v>
      </c>
      <c r="O122" s="203">
        <v>52.288033035421471</v>
      </c>
      <c r="P122" s="203">
        <v>42.489583549029319</v>
      </c>
      <c r="Q122" s="203">
        <v>38.906785981198944</v>
      </c>
      <c r="R122" s="203">
        <v>35.773871629173108</v>
      </c>
      <c r="S122" s="203">
        <v>34.780095005251795</v>
      </c>
      <c r="T122" s="203">
        <v>34.59979283395905</v>
      </c>
      <c r="U122" s="203">
        <v>33.682233619685569</v>
      </c>
      <c r="V122" s="203">
        <v>32.377746374624778</v>
      </c>
      <c r="W122" s="203">
        <v>31.382761039770521</v>
      </c>
      <c r="X122" s="203">
        <v>30.797326018173742</v>
      </c>
      <c r="Y122" s="203">
        <v>30.625912669057008</v>
      </c>
      <c r="Z122" s="203">
        <v>30.128405121585335</v>
      </c>
      <c r="AA122" s="203">
        <v>29.956098317304992</v>
      </c>
      <c r="AB122" s="16">
        <f>Peak!AB124</f>
        <v>1.0537516960936122</v>
      </c>
      <c r="AC122" s="16">
        <f>Peak!AC124</f>
        <v>0</v>
      </c>
      <c r="AD122" s="18">
        <f>Peak!AD124</f>
        <v>429.77958121829101</v>
      </c>
      <c r="AE122" s="18">
        <f>Peak!AE124</f>
        <v>1985.5626792411545</v>
      </c>
      <c r="AF122" s="16">
        <f>Peak!AF124</f>
        <v>1</v>
      </c>
      <c r="AG122" s="73">
        <f>Peak!AG124</f>
        <v>1.125</v>
      </c>
      <c r="AH122" s="16">
        <f>Peak!AH124</f>
        <v>3.351877213892374</v>
      </c>
      <c r="AI122" s="16">
        <f>Peak!AI124</f>
        <v>3.2671395873918607</v>
      </c>
      <c r="AJ122" s="16">
        <f>Peak!AJ124</f>
        <v>2.4399542510000001</v>
      </c>
      <c r="AK122" s="16">
        <f>Peak!AK124</f>
        <v>7.2000000000000008E-2</v>
      </c>
      <c r="AL122" s="4"/>
    </row>
    <row r="123" spans="1:38" x14ac:dyDescent="0.2">
      <c r="A123" s="1">
        <f t="shared" si="11"/>
        <v>40007.538000000146</v>
      </c>
      <c r="B123" s="16">
        <f t="shared" si="9"/>
        <v>1.125</v>
      </c>
      <c r="C123" s="17">
        <f t="shared" si="6"/>
        <v>11.30175</v>
      </c>
      <c r="D123" s="16">
        <f t="shared" si="10"/>
        <v>1.0555079489204349</v>
      </c>
      <c r="E123" s="16">
        <f t="shared" si="7"/>
        <v>5.2673313588051363</v>
      </c>
      <c r="F123" s="16">
        <f t="shared" si="8"/>
        <v>0.718090656323639</v>
      </c>
      <c r="G123" s="19">
        <f>IF(IS!$C$2="Peak","-",SUM(C123:F123))</f>
        <v>18.342679964049211</v>
      </c>
      <c r="H123" s="203">
        <v>320.91882413804831</v>
      </c>
      <c r="I123" s="203">
        <v>266.07431960818349</v>
      </c>
      <c r="J123" s="203">
        <v>228.67349202340529</v>
      </c>
      <c r="K123" s="203">
        <v>189.8456761943815</v>
      </c>
      <c r="L123" s="203">
        <v>162.31228792263886</v>
      </c>
      <c r="M123" s="203">
        <v>134.20604117414456</v>
      </c>
      <c r="N123" s="203">
        <v>74.217236301205148</v>
      </c>
      <c r="O123" s="203">
        <v>64.104110591915955</v>
      </c>
      <c r="P123" s="203">
        <v>61.359504663729034</v>
      </c>
      <c r="Q123" s="203">
        <v>53.002762566127487</v>
      </c>
      <c r="R123" s="203">
        <v>40.443845936394574</v>
      </c>
      <c r="S123" s="203">
        <v>35.074291451887817</v>
      </c>
      <c r="T123" s="203">
        <v>32.4125640754553</v>
      </c>
      <c r="U123" s="203">
        <v>30.638357223924061</v>
      </c>
      <c r="V123" s="203">
        <v>30.469346742220154</v>
      </c>
      <c r="W123" s="203">
        <v>30.469136684727882</v>
      </c>
      <c r="X123" s="203">
        <v>30.469136684727882</v>
      </c>
      <c r="Y123" s="203">
        <v>30.305713950258646</v>
      </c>
      <c r="Z123" s="203">
        <v>29.087398331959697</v>
      </c>
      <c r="AA123" s="203">
        <v>26.150768867052559</v>
      </c>
      <c r="AB123" s="16">
        <f>Peak!AB125</f>
        <v>1.0555079489204349</v>
      </c>
      <c r="AC123" s="16">
        <f>Peak!AC125</f>
        <v>0</v>
      </c>
      <c r="AD123" s="18">
        <f>Peak!AD125</f>
        <v>429.77958121829101</v>
      </c>
      <c r="AE123" s="18">
        <f>Peak!AE125</f>
        <v>1985.5626792411545</v>
      </c>
      <c r="AF123" s="16">
        <f>Peak!AF125</f>
        <v>1</v>
      </c>
      <c r="AG123" s="73">
        <f>Peak!AG125</f>
        <v>1.125</v>
      </c>
      <c r="AH123" s="16">
        <f>Peak!AH125</f>
        <v>3.3412700075192969</v>
      </c>
      <c r="AI123" s="16">
        <f>Peak!AI125</f>
        <v>3.2671395873918607</v>
      </c>
      <c r="AJ123" s="16">
        <f>Peak!AJ125</f>
        <v>2.4399542510000001</v>
      </c>
      <c r="AK123" s="16">
        <f>Peak!AK125</f>
        <v>7.2000000000000008E-2</v>
      </c>
      <c r="AL123" s="4"/>
    </row>
    <row r="124" spans="1:38" x14ac:dyDescent="0.2">
      <c r="A124" s="1">
        <f t="shared" si="11"/>
        <v>40037.955000000147</v>
      </c>
      <c r="B124" s="16">
        <f t="shared" si="9"/>
        <v>1.125</v>
      </c>
      <c r="C124" s="17">
        <f t="shared" si="6"/>
        <v>11.30175</v>
      </c>
      <c r="D124" s="16">
        <f t="shared" si="10"/>
        <v>1.0572671288353024</v>
      </c>
      <c r="E124" s="16">
        <f t="shared" si="7"/>
        <v>5.2673313588051363</v>
      </c>
      <c r="F124" s="16">
        <f t="shared" si="8"/>
        <v>0.718090656323639</v>
      </c>
      <c r="G124" s="19">
        <f>IF(IS!$C$2="Peak","-",SUM(C124:F124))</f>
        <v>18.344439143964077</v>
      </c>
      <c r="H124" s="203">
        <v>366.55177477345711</v>
      </c>
      <c r="I124" s="203">
        <v>275.82732954256664</v>
      </c>
      <c r="J124" s="203">
        <v>230.09653549221389</v>
      </c>
      <c r="K124" s="203">
        <v>183.70758145431637</v>
      </c>
      <c r="L124" s="203">
        <v>155.08858957196722</v>
      </c>
      <c r="M124" s="203">
        <v>108.06740335137411</v>
      </c>
      <c r="N124" s="203">
        <v>81.10365874674045</v>
      </c>
      <c r="O124" s="203">
        <v>75.12529576239271</v>
      </c>
      <c r="P124" s="203">
        <v>57.523973328381672</v>
      </c>
      <c r="Q124" s="203">
        <v>43.741149734759411</v>
      </c>
      <c r="R124" s="203">
        <v>40.73380180631473</v>
      </c>
      <c r="S124" s="203">
        <v>37.936916265675642</v>
      </c>
      <c r="T124" s="203">
        <v>36.633781572768982</v>
      </c>
      <c r="U124" s="203">
        <v>36.633671236702952</v>
      </c>
      <c r="V124" s="203">
        <v>36.633567303298292</v>
      </c>
      <c r="W124" s="203">
        <v>36.633431543321656</v>
      </c>
      <c r="X124" s="203">
        <v>36.588712420033545</v>
      </c>
      <c r="Y124" s="203">
        <v>35.077914571419718</v>
      </c>
      <c r="Z124" s="203">
        <v>33.622360309193432</v>
      </c>
      <c r="AA124" s="203">
        <v>30.028373721027485</v>
      </c>
      <c r="AB124" s="16">
        <f>Peak!AB126</f>
        <v>1.0572671288353024</v>
      </c>
      <c r="AC124" s="16">
        <f>Peak!AC126</f>
        <v>0</v>
      </c>
      <c r="AD124" s="18">
        <f>Peak!AD126</f>
        <v>429.77958121829101</v>
      </c>
      <c r="AE124" s="18">
        <f>Peak!AE126</f>
        <v>1985.5626792411545</v>
      </c>
      <c r="AF124" s="16">
        <f>Peak!AF126</f>
        <v>1</v>
      </c>
      <c r="AG124" s="73">
        <f>Peak!AG126</f>
        <v>1.125</v>
      </c>
      <c r="AH124" s="16">
        <f>Peak!AH126</f>
        <v>3.1680189700923709</v>
      </c>
      <c r="AI124" s="16">
        <f>Peak!AI126</f>
        <v>3.2671395873918607</v>
      </c>
      <c r="AJ124" s="16">
        <f>Peak!AJ126</f>
        <v>2.4399542510000001</v>
      </c>
      <c r="AK124" s="16">
        <f>Peak!AK126</f>
        <v>7.2000000000000008E-2</v>
      </c>
      <c r="AL124" s="4"/>
    </row>
    <row r="125" spans="1:38" x14ac:dyDescent="0.2">
      <c r="A125" s="1">
        <f t="shared" si="11"/>
        <v>40068.372000000149</v>
      </c>
      <c r="B125" s="16">
        <f t="shared" si="9"/>
        <v>1.125</v>
      </c>
      <c r="C125" s="17">
        <f t="shared" si="6"/>
        <v>11.30175</v>
      </c>
      <c r="D125" s="16">
        <f t="shared" si="10"/>
        <v>1.0590292407166946</v>
      </c>
      <c r="E125" s="16">
        <f t="shared" si="7"/>
        <v>5.2673313588051363</v>
      </c>
      <c r="F125" s="16">
        <f t="shared" si="8"/>
        <v>0.718090656323639</v>
      </c>
      <c r="G125" s="19">
        <f>IF(IS!$C$2="Peak","-",SUM(C125:F125))</f>
        <v>18.346201255845472</v>
      </c>
      <c r="H125" s="203">
        <v>199.22425601418007</v>
      </c>
      <c r="I125" s="203">
        <v>175.83435350510746</v>
      </c>
      <c r="J125" s="203">
        <v>162.3024291609712</v>
      </c>
      <c r="K125" s="203">
        <v>135.70259564538887</v>
      </c>
      <c r="L125" s="203">
        <v>68.811888384116088</v>
      </c>
      <c r="M125" s="203">
        <v>61.450304925870149</v>
      </c>
      <c r="N125" s="203">
        <v>57.935194318959944</v>
      </c>
      <c r="O125" s="203">
        <v>48.854739262081402</v>
      </c>
      <c r="P125" s="203">
        <v>37.354916478388631</v>
      </c>
      <c r="Q125" s="203">
        <v>33.067347421395105</v>
      </c>
      <c r="R125" s="203">
        <v>30.089013701491517</v>
      </c>
      <c r="S125" s="203">
        <v>29.885361401224035</v>
      </c>
      <c r="T125" s="203">
        <v>29.806167444772225</v>
      </c>
      <c r="U125" s="203">
        <v>29.660077173704813</v>
      </c>
      <c r="V125" s="203">
        <v>29.660077173704813</v>
      </c>
      <c r="W125" s="203">
        <v>29.660077173704813</v>
      </c>
      <c r="X125" s="203">
        <v>29.403355268114495</v>
      </c>
      <c r="Y125" s="203">
        <v>29.055948175263861</v>
      </c>
      <c r="Z125" s="203">
        <v>28.982575925723481</v>
      </c>
      <c r="AA125" s="203">
        <v>26.691188416569315</v>
      </c>
      <c r="AB125" s="16">
        <f>Peak!AB127</f>
        <v>1.0590292407166946</v>
      </c>
      <c r="AC125" s="16">
        <f>Peak!AC127</f>
        <v>0</v>
      </c>
      <c r="AD125" s="18">
        <f>Peak!AD127</f>
        <v>429.77958121829101</v>
      </c>
      <c r="AE125" s="18">
        <f>Peak!AE127</f>
        <v>1985.5626792411545</v>
      </c>
      <c r="AF125" s="16">
        <f>Peak!AF127</f>
        <v>1</v>
      </c>
      <c r="AG125" s="73">
        <f>Peak!AG127</f>
        <v>1.125</v>
      </c>
      <c r="AH125" s="16">
        <f>Peak!AH127</f>
        <v>3.1574117637192938</v>
      </c>
      <c r="AI125" s="16">
        <f>Peak!AI127</f>
        <v>3.2671395873918607</v>
      </c>
      <c r="AJ125" s="16">
        <f>Peak!AJ127</f>
        <v>2.4399542510000001</v>
      </c>
      <c r="AK125" s="16">
        <f>Peak!AK127</f>
        <v>7.2000000000000008E-2</v>
      </c>
      <c r="AL125" s="4"/>
    </row>
    <row r="126" spans="1:38" x14ac:dyDescent="0.2">
      <c r="A126" s="1">
        <f t="shared" si="11"/>
        <v>40098.78900000015</v>
      </c>
      <c r="B126" s="16">
        <f t="shared" si="9"/>
        <v>1.125</v>
      </c>
      <c r="C126" s="17">
        <f t="shared" si="6"/>
        <v>11.30175</v>
      </c>
      <c r="D126" s="16">
        <f t="shared" si="10"/>
        <v>1.0607942894512223</v>
      </c>
      <c r="E126" s="16">
        <f t="shared" si="7"/>
        <v>5.2673313588051363</v>
      </c>
      <c r="F126" s="16">
        <f t="shared" si="8"/>
        <v>0.718090656323639</v>
      </c>
      <c r="G126" s="19">
        <f>IF(IS!$C$2="Peak","-",SUM(C126:F126))</f>
        <v>18.347966304579998</v>
      </c>
      <c r="H126" s="203">
        <v>80.044024916583325</v>
      </c>
      <c r="I126" s="203">
        <v>79.179599816456346</v>
      </c>
      <c r="J126" s="203">
        <v>79.179599816456346</v>
      </c>
      <c r="K126" s="203">
        <v>78.487608541609035</v>
      </c>
      <c r="L126" s="203">
        <v>73.787205828113954</v>
      </c>
      <c r="M126" s="203">
        <v>56.597526596564855</v>
      </c>
      <c r="N126" s="203">
        <v>47.833448480856717</v>
      </c>
      <c r="O126" s="203">
        <v>44.562453235443385</v>
      </c>
      <c r="P126" s="203">
        <v>41.973367594956493</v>
      </c>
      <c r="Q126" s="203">
        <v>39.357160740394413</v>
      </c>
      <c r="R126" s="203">
        <v>39.357160740394413</v>
      </c>
      <c r="S126" s="203">
        <v>39.167925451596716</v>
      </c>
      <c r="T126" s="203">
        <v>39.040989238260401</v>
      </c>
      <c r="U126" s="203">
        <v>39.040989238260401</v>
      </c>
      <c r="V126" s="203">
        <v>38.943872157086787</v>
      </c>
      <c r="W126" s="203">
        <v>36.121063848197046</v>
      </c>
      <c r="X126" s="203">
        <v>34.118049008563091</v>
      </c>
      <c r="Y126" s="203">
        <v>32.679436327500646</v>
      </c>
      <c r="Z126" s="203">
        <v>31.565956147977897</v>
      </c>
      <c r="AA126" s="203">
        <v>29.687707366350757</v>
      </c>
      <c r="AB126" s="16">
        <f>Peak!AB128</f>
        <v>1.0607942894512223</v>
      </c>
      <c r="AC126" s="16">
        <f>Peak!AC128</f>
        <v>0</v>
      </c>
      <c r="AD126" s="18">
        <f>Peak!AD128</f>
        <v>429.77958121829101</v>
      </c>
      <c r="AE126" s="18">
        <f>Peak!AE128</f>
        <v>1985.5626792411545</v>
      </c>
      <c r="AF126" s="16">
        <f>Peak!AF128</f>
        <v>1</v>
      </c>
      <c r="AG126" s="73">
        <f>Peak!AG128</f>
        <v>1.125</v>
      </c>
      <c r="AH126" s="16">
        <f>Peak!AH128</f>
        <v>3.496842367657762</v>
      </c>
      <c r="AI126" s="16">
        <f>Peak!AI128</f>
        <v>3.2671395873918607</v>
      </c>
      <c r="AJ126" s="16">
        <f>Peak!AJ128</f>
        <v>2.4399542510000001</v>
      </c>
      <c r="AK126" s="16">
        <f>Peak!AK128</f>
        <v>7.2000000000000008E-2</v>
      </c>
      <c r="AL126" s="4"/>
    </row>
    <row r="127" spans="1:38" x14ac:dyDescent="0.2">
      <c r="A127" s="1">
        <f t="shared" si="11"/>
        <v>40129.206000000151</v>
      </c>
      <c r="B127" s="16">
        <f t="shared" si="9"/>
        <v>1.125</v>
      </c>
      <c r="C127" s="17">
        <f t="shared" si="6"/>
        <v>11.30175</v>
      </c>
      <c r="D127" s="16">
        <f t="shared" si="10"/>
        <v>1.0625622799336412</v>
      </c>
      <c r="E127" s="16">
        <f t="shared" si="7"/>
        <v>5.2673313588051363</v>
      </c>
      <c r="F127" s="16">
        <f t="shared" si="8"/>
        <v>0.718090656323639</v>
      </c>
      <c r="G127" s="19">
        <f>IF(IS!$C$2="Peak","-",SUM(C127:F127))</f>
        <v>18.349734295062415</v>
      </c>
      <c r="H127" s="203">
        <v>152.40276768370271</v>
      </c>
      <c r="I127" s="203">
        <v>141.02822575534111</v>
      </c>
      <c r="J127" s="203">
        <v>115.45103788802638</v>
      </c>
      <c r="K127" s="203">
        <v>83.11075752374046</v>
      </c>
      <c r="L127" s="203">
        <v>74.910772695576767</v>
      </c>
      <c r="M127" s="203">
        <v>71.911687240243296</v>
      </c>
      <c r="N127" s="203">
        <v>66.674520371381746</v>
      </c>
      <c r="O127" s="203">
        <v>51.187493929473661</v>
      </c>
      <c r="P127" s="203">
        <v>50.851036436655441</v>
      </c>
      <c r="Q127" s="203">
        <v>49.837556517553388</v>
      </c>
      <c r="R127" s="203">
        <v>41.561921882879027</v>
      </c>
      <c r="S127" s="203">
        <v>40.237744878569849</v>
      </c>
      <c r="T127" s="203">
        <v>35.900520007424035</v>
      </c>
      <c r="U127" s="203">
        <v>35.559732280851932</v>
      </c>
      <c r="V127" s="203">
        <v>35.405628549890878</v>
      </c>
      <c r="W127" s="203">
        <v>35.405628549890878</v>
      </c>
      <c r="X127" s="203">
        <v>35.405628549890878</v>
      </c>
      <c r="Y127" s="203">
        <v>35.051034880842671</v>
      </c>
      <c r="Z127" s="203">
        <v>33.078483015312507</v>
      </c>
      <c r="AA127" s="203">
        <v>27.682570440661411</v>
      </c>
      <c r="AB127" s="16">
        <f>Peak!AB129</f>
        <v>1.0625622799336412</v>
      </c>
      <c r="AC127" s="16">
        <f>Peak!AC129</f>
        <v>0</v>
      </c>
      <c r="AD127" s="18">
        <f>Peak!AD129</f>
        <v>429.77958121829101</v>
      </c>
      <c r="AE127" s="18">
        <f>Peak!AE129</f>
        <v>1985.5626792411545</v>
      </c>
      <c r="AF127" s="16">
        <f>Peak!AF129</f>
        <v>1</v>
      </c>
      <c r="AG127" s="73">
        <f>Peak!AG129</f>
        <v>1.125</v>
      </c>
      <c r="AH127" s="16">
        <f>Peak!AH129</f>
        <v>3.8292015006808455</v>
      </c>
      <c r="AI127" s="16">
        <f>Peak!AI129</f>
        <v>3.5422671315932805</v>
      </c>
      <c r="AJ127" s="16">
        <f>Peak!AJ129</f>
        <v>2.4399542510000001</v>
      </c>
      <c r="AK127" s="16">
        <f>Peak!AK129</f>
        <v>7.2000000000000008E-2</v>
      </c>
      <c r="AL127" s="4"/>
    </row>
    <row r="128" spans="1:38" x14ac:dyDescent="0.2">
      <c r="A128" s="1">
        <f t="shared" si="11"/>
        <v>40159.623000000152</v>
      </c>
      <c r="B128" s="16">
        <f t="shared" si="9"/>
        <v>1.125</v>
      </c>
      <c r="C128" s="17">
        <f t="shared" si="6"/>
        <v>11.30175</v>
      </c>
      <c r="D128" s="16">
        <f t="shared" si="10"/>
        <v>1.064333217066864</v>
      </c>
      <c r="E128" s="16">
        <f t="shared" si="7"/>
        <v>5.2673313588051363</v>
      </c>
      <c r="F128" s="16">
        <f t="shared" si="8"/>
        <v>0.718090656323639</v>
      </c>
      <c r="G128" s="19">
        <f>IF(IS!$C$2="Peak","-",SUM(C128:F128))</f>
        <v>18.351505232195638</v>
      </c>
      <c r="H128" s="203">
        <v>150.57291016872446</v>
      </c>
      <c r="I128" s="203">
        <v>124.23013155137332</v>
      </c>
      <c r="J128" s="203">
        <v>94.518999620200177</v>
      </c>
      <c r="K128" s="203">
        <v>87.800493982593323</v>
      </c>
      <c r="L128" s="203">
        <v>83.402796377980252</v>
      </c>
      <c r="M128" s="203">
        <v>78.102731968532254</v>
      </c>
      <c r="N128" s="203">
        <v>77.557856415480487</v>
      </c>
      <c r="O128" s="203">
        <v>73.770031394250211</v>
      </c>
      <c r="P128" s="203">
        <v>57.568422787227043</v>
      </c>
      <c r="Q128" s="203">
        <v>51.454408811851444</v>
      </c>
      <c r="R128" s="203">
        <v>43.801703066117184</v>
      </c>
      <c r="S128" s="203">
        <v>43.010463526273355</v>
      </c>
      <c r="T128" s="203">
        <v>38.508740509115604</v>
      </c>
      <c r="U128" s="203">
        <v>38.433347265811996</v>
      </c>
      <c r="V128" s="203">
        <v>38.433347265811996</v>
      </c>
      <c r="W128" s="203">
        <v>38.433347265811996</v>
      </c>
      <c r="X128" s="203">
        <v>37.8472983559423</v>
      </c>
      <c r="Y128" s="203">
        <v>36.199761299538103</v>
      </c>
      <c r="Z128" s="203">
        <v>33.561223662027729</v>
      </c>
      <c r="AA128" s="203">
        <v>30.685305016021491</v>
      </c>
      <c r="AB128" s="16">
        <f>Peak!AB130</f>
        <v>1.064333217066864</v>
      </c>
      <c r="AC128" s="16">
        <f>Peak!AC130</f>
        <v>0</v>
      </c>
      <c r="AD128" s="18">
        <f>Peak!AD130</f>
        <v>429.77958121829101</v>
      </c>
      <c r="AE128" s="18">
        <f>Peak!AE130</f>
        <v>1985.5626792411545</v>
      </c>
      <c r="AF128" s="16">
        <f>Peak!AF130</f>
        <v>1</v>
      </c>
      <c r="AG128" s="73">
        <f>Peak!AG130</f>
        <v>1.125</v>
      </c>
      <c r="AH128" s="16">
        <f>Peak!AH130</f>
        <v>4.1438819564154672</v>
      </c>
      <c r="AI128" s="16">
        <f>Peak!AI130</f>
        <v>3.7142218467191683</v>
      </c>
      <c r="AJ128" s="16">
        <f>Peak!AJ130</f>
        <v>2.4399542510000001</v>
      </c>
      <c r="AK128" s="16">
        <f>Peak!AK130</f>
        <v>7.2000000000000008E-2</v>
      </c>
      <c r="AL128" s="4"/>
    </row>
    <row r="129" spans="1:38" x14ac:dyDescent="0.2">
      <c r="A129" s="1">
        <f t="shared" si="11"/>
        <v>40190.040000000154</v>
      </c>
      <c r="B129" s="16">
        <f t="shared" si="9"/>
        <v>1.1412</v>
      </c>
      <c r="C129" s="17">
        <f t="shared" si="6"/>
        <v>11.4644952</v>
      </c>
      <c r="D129" s="16">
        <f t="shared" si="10"/>
        <v>1.0661071057619755</v>
      </c>
      <c r="E129" s="16">
        <f t="shared" si="7"/>
        <v>5.8580823257503205</v>
      </c>
      <c r="F129" s="16">
        <f t="shared" si="8"/>
        <v>0.68329076161725955</v>
      </c>
      <c r="G129" s="19">
        <f>IF(IS!$C$2="Peak","-",SUM(C129:F129))</f>
        <v>19.071975393129559</v>
      </c>
      <c r="H129" s="203">
        <v>95.602555410203109</v>
      </c>
      <c r="I129" s="203">
        <v>95.602555410203109</v>
      </c>
      <c r="J129" s="203">
        <v>94.822623997170467</v>
      </c>
      <c r="K129" s="203">
        <v>89.437418265744199</v>
      </c>
      <c r="L129" s="203">
        <v>85.81036207007017</v>
      </c>
      <c r="M129" s="203">
        <v>84.957132398127087</v>
      </c>
      <c r="N129" s="203">
        <v>63.154996451716535</v>
      </c>
      <c r="O129" s="203">
        <v>54.596365992651755</v>
      </c>
      <c r="P129" s="203">
        <v>45.861199065702351</v>
      </c>
      <c r="Q129" s="203">
        <v>42.811652111274377</v>
      </c>
      <c r="R129" s="203">
        <v>41.76229063143699</v>
      </c>
      <c r="S129" s="203">
        <v>41.76229063143699</v>
      </c>
      <c r="T129" s="203">
        <v>41.49662958531097</v>
      </c>
      <c r="U129" s="203">
        <v>40.773401728632656</v>
      </c>
      <c r="V129" s="203">
        <v>40.733167054594567</v>
      </c>
      <c r="W129" s="203">
        <v>40.733167054594567</v>
      </c>
      <c r="X129" s="203">
        <v>40.733156716206388</v>
      </c>
      <c r="Y129" s="203">
        <v>40.732918902115564</v>
      </c>
      <c r="Z129" s="203">
        <v>40.666885257482576</v>
      </c>
      <c r="AA129" s="203">
        <v>32.212186980134781</v>
      </c>
      <c r="AB129" s="16">
        <f>Peak!AB131</f>
        <v>1.0661071057619755</v>
      </c>
      <c r="AC129" s="16">
        <f>Peak!AC131</f>
        <v>0</v>
      </c>
      <c r="AD129" s="18">
        <f>Peak!AD131</f>
        <v>477.98097313444265</v>
      </c>
      <c r="AE129" s="18">
        <f>Peak!AE131</f>
        <v>1889.3389342835719</v>
      </c>
      <c r="AF129" s="16">
        <f>Peak!AF131</f>
        <v>1</v>
      </c>
      <c r="AG129" s="73">
        <f>Peak!AG131</f>
        <v>1.1412</v>
      </c>
      <c r="AH129" s="16">
        <f>Peak!AH131</f>
        <v>4.1589984704213947</v>
      </c>
      <c r="AI129" s="16">
        <f>Peak!AI131</f>
        <v>3.8664951930115166</v>
      </c>
      <c r="AJ129" s="16">
        <f>Peak!AJ131</f>
        <v>2.4399542510000001</v>
      </c>
      <c r="AK129" s="16">
        <f>Peak!AK131</f>
        <v>7.2000000000000008E-2</v>
      </c>
      <c r="AL129" s="4"/>
    </row>
    <row r="130" spans="1:38" x14ac:dyDescent="0.2">
      <c r="A130" s="1">
        <f t="shared" si="11"/>
        <v>40220.457000000155</v>
      </c>
      <c r="B130" s="16">
        <f t="shared" si="9"/>
        <v>1.1412</v>
      </c>
      <c r="C130" s="17">
        <f t="shared" si="6"/>
        <v>11.4644952</v>
      </c>
      <c r="D130" s="16">
        <f t="shared" si="10"/>
        <v>1.0678839509382456</v>
      </c>
      <c r="E130" s="16">
        <f t="shared" si="7"/>
        <v>5.8580823257503205</v>
      </c>
      <c r="F130" s="16">
        <f t="shared" si="8"/>
        <v>0.68329076161725955</v>
      </c>
      <c r="G130" s="19">
        <f>IF(IS!$C$2="Peak","-",SUM(C130:F130))</f>
        <v>19.073752238305826</v>
      </c>
      <c r="H130" s="203">
        <v>112.15096669241625</v>
      </c>
      <c r="I130" s="203">
        <v>95.611421352834697</v>
      </c>
      <c r="J130" s="203">
        <v>92.21000373437478</v>
      </c>
      <c r="K130" s="203">
        <v>87.07953884822706</v>
      </c>
      <c r="L130" s="203">
        <v>82.5976074675294</v>
      </c>
      <c r="M130" s="203">
        <v>79.695117912865953</v>
      </c>
      <c r="N130" s="203">
        <v>77.531046726256164</v>
      </c>
      <c r="O130" s="203">
        <v>64.175675199341654</v>
      </c>
      <c r="P130" s="203">
        <v>52.901952179198908</v>
      </c>
      <c r="Q130" s="203">
        <v>44.837396220195174</v>
      </c>
      <c r="R130" s="203">
        <v>42.357334910052877</v>
      </c>
      <c r="S130" s="203">
        <v>38.301203974297032</v>
      </c>
      <c r="T130" s="203">
        <v>38.298744504829216</v>
      </c>
      <c r="U130" s="203">
        <v>38.298649372694278</v>
      </c>
      <c r="V130" s="203">
        <v>38.298527568233602</v>
      </c>
      <c r="W130" s="203">
        <v>36.06620490194927</v>
      </c>
      <c r="X130" s="203">
        <v>33.230595875063351</v>
      </c>
      <c r="Y130" s="203">
        <v>32.600880275653338</v>
      </c>
      <c r="Z130" s="203">
        <v>31.715358152675776</v>
      </c>
      <c r="AA130" s="203">
        <v>30.054506920649963</v>
      </c>
      <c r="AB130" s="16">
        <f>Peak!AB132</f>
        <v>1.0678839509382456</v>
      </c>
      <c r="AC130" s="16">
        <f>Peak!AC132</f>
        <v>0</v>
      </c>
      <c r="AD130" s="18">
        <f>Peak!AD132</f>
        <v>477.98097313444265</v>
      </c>
      <c r="AE130" s="18">
        <f>Peak!AE132</f>
        <v>1889.3389342835719</v>
      </c>
      <c r="AF130" s="16">
        <f>Peak!AF132</f>
        <v>1</v>
      </c>
      <c r="AG130" s="73">
        <f>Peak!AG132</f>
        <v>1.1412</v>
      </c>
      <c r="AH130" s="16">
        <f>Peak!AH132</f>
        <v>3.7276129907766222</v>
      </c>
      <c r="AI130" s="16">
        <f>Peak!AI132</f>
        <v>3.8306943115947432</v>
      </c>
      <c r="AJ130" s="16">
        <f>Peak!AJ132</f>
        <v>2.4399542510000001</v>
      </c>
      <c r="AK130" s="16">
        <f>Peak!AK132</f>
        <v>7.2000000000000008E-2</v>
      </c>
      <c r="AL130" s="4"/>
    </row>
    <row r="131" spans="1:38" x14ac:dyDescent="0.2">
      <c r="A131" s="1">
        <f t="shared" si="11"/>
        <v>40250.874000000156</v>
      </c>
      <c r="B131" s="16">
        <f t="shared" si="9"/>
        <v>1.1412</v>
      </c>
      <c r="C131" s="17">
        <f t="shared" si="6"/>
        <v>11.4644952</v>
      </c>
      <c r="D131" s="16">
        <f t="shared" si="10"/>
        <v>1.0696637575231427</v>
      </c>
      <c r="E131" s="16">
        <f t="shared" si="7"/>
        <v>5.8580823257503205</v>
      </c>
      <c r="F131" s="16">
        <f t="shared" si="8"/>
        <v>0.68329076161725955</v>
      </c>
      <c r="G131" s="19">
        <f>IF(IS!$C$2="Peak","-",SUM(C131:F131))</f>
        <v>19.075532044890725</v>
      </c>
      <c r="H131" s="203">
        <v>82.232709187311201</v>
      </c>
      <c r="I131" s="203">
        <v>79.193967554951811</v>
      </c>
      <c r="J131" s="203">
        <v>77.162058341010948</v>
      </c>
      <c r="K131" s="203">
        <v>72.165170433625491</v>
      </c>
      <c r="L131" s="203">
        <v>70.047983224002778</v>
      </c>
      <c r="M131" s="203">
        <v>69.428508554324125</v>
      </c>
      <c r="N131" s="203">
        <v>60.10976998723828</v>
      </c>
      <c r="O131" s="203">
        <v>48.689183699881951</v>
      </c>
      <c r="P131" s="203">
        <v>45.702215257722443</v>
      </c>
      <c r="Q131" s="203">
        <v>40.955221250680133</v>
      </c>
      <c r="R131" s="203">
        <v>39.692257719468145</v>
      </c>
      <c r="S131" s="203">
        <v>39.109713538355635</v>
      </c>
      <c r="T131" s="203">
        <v>37.051739410730811</v>
      </c>
      <c r="U131" s="203">
        <v>36.151153053485892</v>
      </c>
      <c r="V131" s="203">
        <v>35.138823172631739</v>
      </c>
      <c r="W131" s="203">
        <v>34.928578874163762</v>
      </c>
      <c r="X131" s="203">
        <v>34.928578874163762</v>
      </c>
      <c r="Y131" s="203">
        <v>34.928578874163762</v>
      </c>
      <c r="Z131" s="203">
        <v>34.928578874163762</v>
      </c>
      <c r="AA131" s="203">
        <v>34.297624617382951</v>
      </c>
      <c r="AB131" s="16">
        <f>Peak!AB133</f>
        <v>1.0696637575231427</v>
      </c>
      <c r="AC131" s="16">
        <f>Peak!AC133</f>
        <v>0</v>
      </c>
      <c r="AD131" s="18">
        <f>Peak!AD133</f>
        <v>477.98097313444265</v>
      </c>
      <c r="AE131" s="18">
        <f>Peak!AE133</f>
        <v>1889.3389342835719</v>
      </c>
      <c r="AF131" s="16">
        <f>Peak!AF133</f>
        <v>1</v>
      </c>
      <c r="AG131" s="73">
        <f>Peak!AG133</f>
        <v>1.1412</v>
      </c>
      <c r="AH131" s="16">
        <f>Peak!AH133</f>
        <v>3.6649330492897754</v>
      </c>
      <c r="AI131" s="16">
        <f>Peak!AI133</f>
        <v>3.68749078592765</v>
      </c>
      <c r="AJ131" s="16">
        <f>Peak!AJ133</f>
        <v>2.4399542510000001</v>
      </c>
      <c r="AK131" s="16">
        <f>Peak!AK133</f>
        <v>7.2000000000000008E-2</v>
      </c>
      <c r="AL131" s="4"/>
    </row>
    <row r="132" spans="1:38" x14ac:dyDescent="0.2">
      <c r="A132" s="1">
        <f t="shared" si="11"/>
        <v>40281.291000000158</v>
      </c>
      <c r="B132" s="16">
        <f t="shared" si="9"/>
        <v>1.1412</v>
      </c>
      <c r="C132" s="17">
        <f t="shared" si="6"/>
        <v>11.4644952</v>
      </c>
      <c r="D132" s="16">
        <f t="shared" si="10"/>
        <v>1.0714465304523479</v>
      </c>
      <c r="E132" s="16">
        <f t="shared" si="7"/>
        <v>5.8580823257503205</v>
      </c>
      <c r="F132" s="16">
        <f t="shared" si="8"/>
        <v>0.68329076161725955</v>
      </c>
      <c r="G132" s="19">
        <f>IF(IS!$C$2="Peak","-",SUM(C132:F132))</f>
        <v>19.077314817819929</v>
      </c>
      <c r="H132" s="203">
        <v>76.526684097384774</v>
      </c>
      <c r="I132" s="203">
        <v>74.01379581152554</v>
      </c>
      <c r="J132" s="203">
        <v>70.727309704574864</v>
      </c>
      <c r="K132" s="203">
        <v>68.623343704959808</v>
      </c>
      <c r="L132" s="203">
        <v>68.349598867398754</v>
      </c>
      <c r="M132" s="203">
        <v>52.600588937286815</v>
      </c>
      <c r="N132" s="203">
        <v>45.406473449121201</v>
      </c>
      <c r="O132" s="203">
        <v>39.369882637858545</v>
      </c>
      <c r="P132" s="203">
        <v>37.722645854764991</v>
      </c>
      <c r="Q132" s="203">
        <v>35.860887276832486</v>
      </c>
      <c r="R132" s="203">
        <v>34.856411034688691</v>
      </c>
      <c r="S132" s="203">
        <v>34.169375814090557</v>
      </c>
      <c r="T132" s="203">
        <v>34.122775954950235</v>
      </c>
      <c r="U132" s="203">
        <v>34.030286118831498</v>
      </c>
      <c r="V132" s="203">
        <v>33.69946368581104</v>
      </c>
      <c r="W132" s="203">
        <v>33.316813667904448</v>
      </c>
      <c r="X132" s="203">
        <v>33.316418209550456</v>
      </c>
      <c r="Y132" s="203">
        <v>33.316418209550456</v>
      </c>
      <c r="Z132" s="203">
        <v>33.316365358824058</v>
      </c>
      <c r="AA132" s="203">
        <v>32.412108427060737</v>
      </c>
      <c r="AB132" s="16">
        <f>Peak!AB134</f>
        <v>1.0714465304523479</v>
      </c>
      <c r="AC132" s="16">
        <f>Peak!AC134</f>
        <v>0</v>
      </c>
      <c r="AD132" s="18">
        <f>Peak!AD134</f>
        <v>477.98097313444265</v>
      </c>
      <c r="AE132" s="18">
        <f>Peak!AE134</f>
        <v>1889.3389342835719</v>
      </c>
      <c r="AF132" s="16">
        <f>Peak!AF134</f>
        <v>1</v>
      </c>
      <c r="AG132" s="73">
        <f>Peak!AG134</f>
        <v>1.1412</v>
      </c>
      <c r="AH132" s="16">
        <f>Peak!AH134</f>
        <v>3.4842673355923917</v>
      </c>
      <c r="AI132" s="16">
        <f>Peak!AI134</f>
        <v>3.5442872602605564</v>
      </c>
      <c r="AJ132" s="16">
        <f>Peak!AJ134</f>
        <v>2.4399542510000001</v>
      </c>
      <c r="AK132" s="16">
        <f>Peak!AK134</f>
        <v>7.2000000000000008E-2</v>
      </c>
      <c r="AL132" s="4"/>
    </row>
    <row r="133" spans="1:38" x14ac:dyDescent="0.2">
      <c r="A133" s="1">
        <f t="shared" si="11"/>
        <v>40311.708000000159</v>
      </c>
      <c r="B133" s="16">
        <f t="shared" si="9"/>
        <v>1.1412</v>
      </c>
      <c r="C133" s="17">
        <f t="shared" si="6"/>
        <v>11.4644952</v>
      </c>
      <c r="D133" s="16">
        <f t="shared" si="10"/>
        <v>1.0732322746697687</v>
      </c>
      <c r="E133" s="16">
        <f t="shared" si="7"/>
        <v>5.8580823257503205</v>
      </c>
      <c r="F133" s="16">
        <f t="shared" si="8"/>
        <v>0.68329076161725955</v>
      </c>
      <c r="G133" s="19">
        <f>IF(IS!$C$2="Peak","-",SUM(C133:F133))</f>
        <v>19.07910056203735</v>
      </c>
      <c r="H133" s="203">
        <v>124.93346361631616</v>
      </c>
      <c r="I133" s="203">
        <v>73.59242924191696</v>
      </c>
      <c r="J133" s="203">
        <v>69.007382182021587</v>
      </c>
      <c r="K133" s="203">
        <v>63.527759204352165</v>
      </c>
      <c r="L133" s="203">
        <v>61.121298018987169</v>
      </c>
      <c r="M133" s="203">
        <v>59.046725168158432</v>
      </c>
      <c r="N133" s="203">
        <v>45.483070995411701</v>
      </c>
      <c r="O133" s="203">
        <v>42.060063181532534</v>
      </c>
      <c r="P133" s="203">
        <v>38.952828875076058</v>
      </c>
      <c r="Q133" s="203">
        <v>36.926327993182198</v>
      </c>
      <c r="R133" s="203">
        <v>35.440084082930113</v>
      </c>
      <c r="S133" s="203">
        <v>34.931837530252878</v>
      </c>
      <c r="T133" s="203">
        <v>34.744588270164236</v>
      </c>
      <c r="U133" s="203">
        <v>34.310152745733262</v>
      </c>
      <c r="V133" s="203">
        <v>33.76711774979826</v>
      </c>
      <c r="W133" s="203">
        <v>32.803179235919636</v>
      </c>
      <c r="X133" s="203">
        <v>31.878176018821442</v>
      </c>
      <c r="Y133" s="203">
        <v>31.347905766764534</v>
      </c>
      <c r="Z133" s="203">
        <v>30.663095367242626</v>
      </c>
      <c r="AA133" s="203">
        <v>30.266274236120147</v>
      </c>
      <c r="AB133" s="16">
        <f>Peak!AB135</f>
        <v>1.0732322746697687</v>
      </c>
      <c r="AC133" s="16">
        <f>Peak!AC135</f>
        <v>0</v>
      </c>
      <c r="AD133" s="18">
        <f>Peak!AD135</f>
        <v>477.98097313444265</v>
      </c>
      <c r="AE133" s="18">
        <f>Peak!AE135</f>
        <v>1889.3389342835719</v>
      </c>
      <c r="AF133" s="16">
        <f>Peak!AF135</f>
        <v>1</v>
      </c>
      <c r="AG133" s="73">
        <f>Peak!AG135</f>
        <v>1.1412</v>
      </c>
      <c r="AH133" s="16">
        <f>Peak!AH135</f>
        <v>3.6686201046713545</v>
      </c>
      <c r="AI133" s="16">
        <f>Peak!AI135</f>
        <v>3.4010837345934632</v>
      </c>
      <c r="AJ133" s="16">
        <f>Peak!AJ135</f>
        <v>2.4399542510000001</v>
      </c>
      <c r="AK133" s="16">
        <f>Peak!AK135</f>
        <v>7.2000000000000008E-2</v>
      </c>
      <c r="AL133" s="4"/>
    </row>
    <row r="134" spans="1:38" x14ac:dyDescent="0.2">
      <c r="A134" s="1">
        <f t="shared" si="11"/>
        <v>40342.12500000016</v>
      </c>
      <c r="B134" s="16">
        <f t="shared" si="9"/>
        <v>1.1412</v>
      </c>
      <c r="C134" s="17">
        <f t="shared" si="6"/>
        <v>11.4644952</v>
      </c>
      <c r="D134" s="16">
        <f t="shared" si="10"/>
        <v>1.0750209951275516</v>
      </c>
      <c r="E134" s="16">
        <f t="shared" si="7"/>
        <v>5.8580823257503205</v>
      </c>
      <c r="F134" s="16">
        <f t="shared" si="8"/>
        <v>0.68329076161725955</v>
      </c>
      <c r="G134" s="19">
        <f>IF(IS!$C$2="Peak","-",SUM(C134:F134))</f>
        <v>19.080889282495132</v>
      </c>
      <c r="H134" s="203">
        <v>165.51462742880122</v>
      </c>
      <c r="I134" s="203">
        <v>151.36636599170225</v>
      </c>
      <c r="J134" s="203">
        <v>112.00788652844794</v>
      </c>
      <c r="K134" s="203">
        <v>93.049089762563057</v>
      </c>
      <c r="L134" s="203">
        <v>87.232620831347418</v>
      </c>
      <c r="M134" s="203">
        <v>59.351176680268807</v>
      </c>
      <c r="N134" s="203">
        <v>48.587195318317754</v>
      </c>
      <c r="O134" s="203">
        <v>43.603133626345894</v>
      </c>
      <c r="P134" s="203">
        <v>43.603133626345894</v>
      </c>
      <c r="Q134" s="203">
        <v>43.603091847177367</v>
      </c>
      <c r="R134" s="203">
        <v>43.602909925562869</v>
      </c>
      <c r="S134" s="203">
        <v>43.602741522732444</v>
      </c>
      <c r="T134" s="203">
        <v>43.60228981690635</v>
      </c>
      <c r="U134" s="203">
        <v>40.313493909676581</v>
      </c>
      <c r="V134" s="203">
        <v>36.546922088000215</v>
      </c>
      <c r="W134" s="203">
        <v>34.545463189935163</v>
      </c>
      <c r="X134" s="203">
        <v>33.285399124296546</v>
      </c>
      <c r="Y134" s="203">
        <v>32.334411401882427</v>
      </c>
      <c r="Z134" s="203">
        <v>30.974390605380712</v>
      </c>
      <c r="AA134" s="203">
        <v>28.7551484747306</v>
      </c>
      <c r="AB134" s="16">
        <f>Peak!AB136</f>
        <v>1.0750209951275516</v>
      </c>
      <c r="AC134" s="16">
        <f>Peak!AC136</f>
        <v>0</v>
      </c>
      <c r="AD134" s="18">
        <f>Peak!AD136</f>
        <v>477.98097313444265</v>
      </c>
      <c r="AE134" s="18">
        <f>Peak!AE136</f>
        <v>1889.3389342835719</v>
      </c>
      <c r="AF134" s="16">
        <f>Peak!AF136</f>
        <v>1</v>
      </c>
      <c r="AG134" s="73">
        <f>Peak!AG136</f>
        <v>1.1412</v>
      </c>
      <c r="AH134" s="16">
        <f>Peak!AH136</f>
        <v>3.4953285017371298</v>
      </c>
      <c r="AI134" s="16">
        <f>Peak!AI136</f>
        <v>3.4010837345934632</v>
      </c>
      <c r="AJ134" s="16">
        <f>Peak!AJ136</f>
        <v>2.4399542510000001</v>
      </c>
      <c r="AK134" s="16">
        <f>Peak!AK136</f>
        <v>7.2000000000000008E-2</v>
      </c>
      <c r="AL134" s="4"/>
    </row>
    <row r="135" spans="1:38" x14ac:dyDescent="0.2">
      <c r="A135" s="1">
        <f t="shared" si="11"/>
        <v>40372.542000000161</v>
      </c>
      <c r="B135" s="16">
        <f t="shared" si="9"/>
        <v>1.1412</v>
      </c>
      <c r="C135" s="17">
        <f t="shared" si="6"/>
        <v>11.4644952</v>
      </c>
      <c r="D135" s="16">
        <f t="shared" si="10"/>
        <v>1.0768126967860976</v>
      </c>
      <c r="E135" s="16">
        <f t="shared" si="7"/>
        <v>5.8580823257503205</v>
      </c>
      <c r="F135" s="16">
        <f t="shared" si="8"/>
        <v>0.68329076161725955</v>
      </c>
      <c r="G135" s="19">
        <f>IF(IS!$C$2="Peak","-",SUM(C135:F135))</f>
        <v>19.082680984153679</v>
      </c>
      <c r="H135" s="203">
        <v>380.07803475693788</v>
      </c>
      <c r="I135" s="203">
        <v>286.03864301716806</v>
      </c>
      <c r="J135" s="203">
        <v>251.62706395491244</v>
      </c>
      <c r="K135" s="203">
        <v>213.5962150441714</v>
      </c>
      <c r="L135" s="203">
        <v>183.48965545116766</v>
      </c>
      <c r="M135" s="203">
        <v>158.67870391435457</v>
      </c>
      <c r="N135" s="203">
        <v>85.268130630218778</v>
      </c>
      <c r="O135" s="203">
        <v>49.988564146770621</v>
      </c>
      <c r="P135" s="203">
        <v>44.785480921582476</v>
      </c>
      <c r="Q135" s="203">
        <v>42.255611755462375</v>
      </c>
      <c r="R135" s="203">
        <v>40.146396845016071</v>
      </c>
      <c r="S135" s="203">
        <v>33.18585734847769</v>
      </c>
      <c r="T135" s="203">
        <v>30.980770283146875</v>
      </c>
      <c r="U135" s="203">
        <v>29.588879848107378</v>
      </c>
      <c r="V135" s="203">
        <v>28.516660685777133</v>
      </c>
      <c r="W135" s="203">
        <v>27.643552165761403</v>
      </c>
      <c r="X135" s="203">
        <v>26.837665457522384</v>
      </c>
      <c r="Y135" s="203">
        <v>26.385051581471558</v>
      </c>
      <c r="Z135" s="203">
        <v>25.599668998445125</v>
      </c>
      <c r="AA135" s="203">
        <v>24.38370813147608</v>
      </c>
      <c r="AB135" s="16">
        <f>Peak!AB137</f>
        <v>1.0768126967860976</v>
      </c>
      <c r="AC135" s="16">
        <f>Peak!AC137</f>
        <v>0</v>
      </c>
      <c r="AD135" s="18">
        <f>Peak!AD137</f>
        <v>477.98097313444265</v>
      </c>
      <c r="AE135" s="18">
        <f>Peak!AE137</f>
        <v>1889.3389342835719</v>
      </c>
      <c r="AF135" s="16">
        <f>Peak!AF137</f>
        <v>1</v>
      </c>
      <c r="AG135" s="73">
        <f>Peak!AG137</f>
        <v>1.1412</v>
      </c>
      <c r="AH135" s="16">
        <f>Peak!AH137</f>
        <v>3.4842673355923917</v>
      </c>
      <c r="AI135" s="16">
        <f>Peak!AI137</f>
        <v>3.4010837345934632</v>
      </c>
      <c r="AJ135" s="16">
        <f>Peak!AJ137</f>
        <v>2.4399542510000001</v>
      </c>
      <c r="AK135" s="16">
        <f>Peak!AK137</f>
        <v>7.2000000000000008E-2</v>
      </c>
      <c r="AL135" s="4"/>
    </row>
    <row r="136" spans="1:38" x14ac:dyDescent="0.2">
      <c r="A136" s="1">
        <f t="shared" si="11"/>
        <v>40402.959000000163</v>
      </c>
      <c r="B136" s="16">
        <f t="shared" si="9"/>
        <v>1.1412</v>
      </c>
      <c r="C136" s="17">
        <f t="shared" si="6"/>
        <v>11.4644952</v>
      </c>
      <c r="D136" s="16">
        <f t="shared" si="10"/>
        <v>1.0786073846140745</v>
      </c>
      <c r="E136" s="16">
        <f t="shared" si="7"/>
        <v>5.8580823257503205</v>
      </c>
      <c r="F136" s="16">
        <f t="shared" si="8"/>
        <v>0.68329076161725955</v>
      </c>
      <c r="G136" s="19">
        <f>IF(IS!$C$2="Peak","-",SUM(C136:F136))</f>
        <v>19.084475671981654</v>
      </c>
      <c r="H136" s="203">
        <v>619.99146407794501</v>
      </c>
      <c r="I136" s="203">
        <v>364.25396988685236</v>
      </c>
      <c r="J136" s="203">
        <v>285.70345878985898</v>
      </c>
      <c r="K136" s="203">
        <v>234.9387700281321</v>
      </c>
      <c r="L136" s="203">
        <v>197.48264112947678</v>
      </c>
      <c r="M136" s="203">
        <v>166.71204218362917</v>
      </c>
      <c r="N136" s="203">
        <v>123.79955007115127</v>
      </c>
      <c r="O136" s="203">
        <v>36.282371251387126</v>
      </c>
      <c r="P136" s="203">
        <v>32.923292261722516</v>
      </c>
      <c r="Q136" s="203">
        <v>31.679430643610978</v>
      </c>
      <c r="R136" s="203">
        <v>30.738859750237214</v>
      </c>
      <c r="S136" s="203">
        <v>29.816617516530361</v>
      </c>
      <c r="T136" s="203">
        <v>29.22829881360185</v>
      </c>
      <c r="U136" s="203">
        <v>28.338554140912308</v>
      </c>
      <c r="V136" s="203">
        <v>27.720523071024441</v>
      </c>
      <c r="W136" s="203">
        <v>27.220412380657734</v>
      </c>
      <c r="X136" s="203">
        <v>26.830926037964485</v>
      </c>
      <c r="Y136" s="203">
        <v>26.526360859848442</v>
      </c>
      <c r="Z136" s="203">
        <v>26.337869441725832</v>
      </c>
      <c r="AA136" s="203">
        <v>25.660925388313405</v>
      </c>
      <c r="AB136" s="16">
        <f>Peak!AB138</f>
        <v>1.0786073846140745</v>
      </c>
      <c r="AC136" s="16">
        <f>Peak!AC138</f>
        <v>0</v>
      </c>
      <c r="AD136" s="18">
        <f>Peak!AD138</f>
        <v>477.98097313444265</v>
      </c>
      <c r="AE136" s="18">
        <f>Peak!AE138</f>
        <v>1889.3389342835719</v>
      </c>
      <c r="AF136" s="16">
        <f>Peak!AF138</f>
        <v>1</v>
      </c>
      <c r="AG136" s="73">
        <f>Peak!AG138</f>
        <v>1.1412</v>
      </c>
      <c r="AH136" s="16">
        <f>Peak!AH138</f>
        <v>3.3036016218950088</v>
      </c>
      <c r="AI136" s="16">
        <f>Peak!AI138</f>
        <v>3.4010837345934632</v>
      </c>
      <c r="AJ136" s="16">
        <f>Peak!AJ138</f>
        <v>2.4399542510000001</v>
      </c>
      <c r="AK136" s="16">
        <f>Peak!AK138</f>
        <v>7.2000000000000008E-2</v>
      </c>
      <c r="AL136" s="4"/>
    </row>
    <row r="137" spans="1:38" x14ac:dyDescent="0.2">
      <c r="A137" s="1">
        <f t="shared" si="11"/>
        <v>40433.376000000164</v>
      </c>
      <c r="B137" s="16">
        <f t="shared" si="9"/>
        <v>1.1412</v>
      </c>
      <c r="C137" s="17">
        <f t="shared" ref="C137:C200" si="12">(B137*$B$1*1000)/1000000</f>
        <v>11.4644952</v>
      </c>
      <c r="D137" s="16">
        <f t="shared" si="10"/>
        <v>1.0804050635884312</v>
      </c>
      <c r="E137" s="16">
        <f t="shared" ref="E137:E200" si="13">(($AJ137*$B$1*AD137*1000)/2000)/1000000</f>
        <v>5.8580823257503205</v>
      </c>
      <c r="F137" s="16">
        <f t="shared" ref="F137:F200" si="14">AF137*(($AK137*$B$1*AE137*1000)/2000)/1000000</f>
        <v>0.68329076161725955</v>
      </c>
      <c r="G137" s="19">
        <f>IF(IS!$C$2="Peak","-",SUM(C137:F137))</f>
        <v>19.086273350956013</v>
      </c>
      <c r="H137" s="203">
        <v>155.0016517428229</v>
      </c>
      <c r="I137" s="203">
        <v>129.09102681413873</v>
      </c>
      <c r="J137" s="203">
        <v>96.902673528768702</v>
      </c>
      <c r="K137" s="203">
        <v>85.65710818466755</v>
      </c>
      <c r="L137" s="203">
        <v>80.068526738367623</v>
      </c>
      <c r="M137" s="203">
        <v>78.024479353368605</v>
      </c>
      <c r="N137" s="203">
        <v>58.582239463320924</v>
      </c>
      <c r="O137" s="203">
        <v>47.353515885192202</v>
      </c>
      <c r="P137" s="203">
        <v>44.657031072418818</v>
      </c>
      <c r="Q137" s="203">
        <v>39.425327325801163</v>
      </c>
      <c r="R137" s="203">
        <v>38.801454352726466</v>
      </c>
      <c r="S137" s="203">
        <v>38.497102131757991</v>
      </c>
      <c r="T137" s="203">
        <v>37.872479483113423</v>
      </c>
      <c r="U137" s="203">
        <v>35.986879270525947</v>
      </c>
      <c r="V137" s="203">
        <v>34.718771764389594</v>
      </c>
      <c r="W137" s="203">
        <v>33.59457697164278</v>
      </c>
      <c r="X137" s="203">
        <v>32.437844970366477</v>
      </c>
      <c r="Y137" s="203">
        <v>32.047493668879781</v>
      </c>
      <c r="Z137" s="203">
        <v>30.968100824632312</v>
      </c>
      <c r="AA137" s="203">
        <v>29.024518181189102</v>
      </c>
      <c r="AB137" s="16">
        <f>Peak!AB139</f>
        <v>1.0804050635884312</v>
      </c>
      <c r="AC137" s="16">
        <f>Peak!AC139</f>
        <v>0</v>
      </c>
      <c r="AD137" s="18">
        <f>Peak!AD139</f>
        <v>477.98097313444265</v>
      </c>
      <c r="AE137" s="18">
        <f>Peak!AE139</f>
        <v>1889.3389342835719</v>
      </c>
      <c r="AF137" s="16">
        <f>Peak!AF139</f>
        <v>1</v>
      </c>
      <c r="AG137" s="73">
        <f>Peak!AG139</f>
        <v>1.1412</v>
      </c>
      <c r="AH137" s="16">
        <f>Peak!AH139</f>
        <v>3.2925404557502711</v>
      </c>
      <c r="AI137" s="16">
        <f>Peak!AI139</f>
        <v>3.4010837345934632</v>
      </c>
      <c r="AJ137" s="16">
        <f>Peak!AJ139</f>
        <v>2.4399542510000001</v>
      </c>
      <c r="AK137" s="16">
        <f>Peak!AK139</f>
        <v>7.2000000000000008E-2</v>
      </c>
      <c r="AL137" s="4"/>
    </row>
    <row r="138" spans="1:38" x14ac:dyDescent="0.2">
      <c r="A138" s="1">
        <f t="shared" si="11"/>
        <v>40463.793000000165</v>
      </c>
      <c r="B138" s="16">
        <f t="shared" ref="B138:B201" si="15">IF($B$7="Coal",AG138,IF($B$7="Gas",AH138,IF($B$7="Oil",AI138,0)))</f>
        <v>1.1412</v>
      </c>
      <c r="C138" s="17">
        <f t="shared" si="12"/>
        <v>11.4644952</v>
      </c>
      <c r="D138" s="16">
        <f t="shared" ref="D138:D201" si="16">AB138+AC138</f>
        <v>1.0822057386944119</v>
      </c>
      <c r="E138" s="16">
        <f t="shared" si="13"/>
        <v>5.8580823257503205</v>
      </c>
      <c r="F138" s="16">
        <f t="shared" si="14"/>
        <v>0.68329076161725955</v>
      </c>
      <c r="G138" s="19">
        <f>IF(IS!$C$2="Peak","-",SUM(C138:F138))</f>
        <v>19.088074026061992</v>
      </c>
      <c r="H138" s="203">
        <v>79.823399891773917</v>
      </c>
      <c r="I138" s="203">
        <v>74.577063780254861</v>
      </c>
      <c r="J138" s="203">
        <v>73.105225677034667</v>
      </c>
      <c r="K138" s="203">
        <v>69.038586315104027</v>
      </c>
      <c r="L138" s="203">
        <v>66.204410229348127</v>
      </c>
      <c r="M138" s="203">
        <v>65.858526285010129</v>
      </c>
      <c r="N138" s="203">
        <v>62.671733782588959</v>
      </c>
      <c r="O138" s="203">
        <v>46.949645327317164</v>
      </c>
      <c r="P138" s="203">
        <v>44.005364813822837</v>
      </c>
      <c r="Q138" s="203">
        <v>40.383065442404224</v>
      </c>
      <c r="R138" s="203">
        <v>39.88111380489304</v>
      </c>
      <c r="S138" s="203">
        <v>36.133381037218889</v>
      </c>
      <c r="T138" s="203">
        <v>34.609183683282559</v>
      </c>
      <c r="U138" s="203">
        <v>33.308597994365002</v>
      </c>
      <c r="V138" s="203">
        <v>32.527174590125639</v>
      </c>
      <c r="W138" s="203">
        <v>32.480103381603726</v>
      </c>
      <c r="X138" s="203">
        <v>32.480103381603726</v>
      </c>
      <c r="Y138" s="203">
        <v>32.480103381603726</v>
      </c>
      <c r="Z138" s="203">
        <v>32.279794822547387</v>
      </c>
      <c r="AA138" s="203">
        <v>31.292083666909452</v>
      </c>
      <c r="AB138" s="16">
        <f>Peak!AB140</f>
        <v>1.0822057386944119</v>
      </c>
      <c r="AC138" s="16">
        <f>Peak!AC140</f>
        <v>0</v>
      </c>
      <c r="AD138" s="18">
        <f>Peak!AD140</f>
        <v>477.98097313444265</v>
      </c>
      <c r="AE138" s="18">
        <f>Peak!AE140</f>
        <v>1889.3389342835719</v>
      </c>
      <c r="AF138" s="16">
        <f>Peak!AF140</f>
        <v>1</v>
      </c>
      <c r="AG138" s="73">
        <f>Peak!AG140</f>
        <v>1.1412</v>
      </c>
      <c r="AH138" s="16">
        <f>Peak!AH140</f>
        <v>3.646497772381879</v>
      </c>
      <c r="AI138" s="16">
        <f>Peak!AI140</f>
        <v>3.4010837345934632</v>
      </c>
      <c r="AJ138" s="16">
        <f>Peak!AJ140</f>
        <v>2.4399542510000001</v>
      </c>
      <c r="AK138" s="16">
        <f>Peak!AK140</f>
        <v>7.2000000000000008E-2</v>
      </c>
      <c r="AL138" s="4"/>
    </row>
    <row r="139" spans="1:38" x14ac:dyDescent="0.2">
      <c r="A139" s="1">
        <f t="shared" ref="A139:A202" si="17">A138+30.417</f>
        <v>40494.210000000166</v>
      </c>
      <c r="B139" s="16">
        <f t="shared" si="15"/>
        <v>1.1412</v>
      </c>
      <c r="C139" s="17">
        <f t="shared" si="12"/>
        <v>11.4644952</v>
      </c>
      <c r="D139" s="16">
        <f t="shared" si="16"/>
        <v>1.0840094149255692</v>
      </c>
      <c r="E139" s="16">
        <f t="shared" si="13"/>
        <v>5.8580823257503205</v>
      </c>
      <c r="F139" s="16">
        <f t="shared" si="14"/>
        <v>0.68329076161725955</v>
      </c>
      <c r="G139" s="19">
        <f>IF(IS!$C$2="Peak","-",SUM(C139:F139))</f>
        <v>19.089877702293151</v>
      </c>
      <c r="H139" s="203">
        <v>118.54167108900542</v>
      </c>
      <c r="I139" s="203">
        <v>118.54023947829877</v>
      </c>
      <c r="J139" s="203">
        <v>117.98103945686474</v>
      </c>
      <c r="K139" s="203">
        <v>108.08391359401155</v>
      </c>
      <c r="L139" s="203">
        <v>82.095932178796332</v>
      </c>
      <c r="M139" s="203">
        <v>71.704146118378318</v>
      </c>
      <c r="N139" s="203">
        <v>65.554794388426018</v>
      </c>
      <c r="O139" s="203">
        <v>55.597166787563488</v>
      </c>
      <c r="P139" s="203">
        <v>55.118284895354812</v>
      </c>
      <c r="Q139" s="203">
        <v>55.118137611633657</v>
      </c>
      <c r="R139" s="203">
        <v>55.118029242536892</v>
      </c>
      <c r="S139" s="203">
        <v>55.118029242536892</v>
      </c>
      <c r="T139" s="203">
        <v>43.666120002878309</v>
      </c>
      <c r="U139" s="203">
        <v>35.931170804151392</v>
      </c>
      <c r="V139" s="203">
        <v>34.249037835702509</v>
      </c>
      <c r="W139" s="203">
        <v>32.747963818390012</v>
      </c>
      <c r="X139" s="203">
        <v>32.041198144467344</v>
      </c>
      <c r="Y139" s="203">
        <v>31.339425176321516</v>
      </c>
      <c r="Z139" s="203">
        <v>30.321620945690082</v>
      </c>
      <c r="AA139" s="203">
        <v>28.523682560452048</v>
      </c>
      <c r="AB139" s="16">
        <f>Peak!AB141</f>
        <v>1.0840094149255692</v>
      </c>
      <c r="AC139" s="16">
        <f>Peak!AC141</f>
        <v>0</v>
      </c>
      <c r="AD139" s="18">
        <f>Peak!AD141</f>
        <v>477.98097313444265</v>
      </c>
      <c r="AE139" s="18">
        <f>Peak!AE141</f>
        <v>1889.3389342835719</v>
      </c>
      <c r="AF139" s="16">
        <f>Peak!AF141</f>
        <v>1</v>
      </c>
      <c r="AG139" s="73">
        <f>Peak!AG141</f>
        <v>1.1412</v>
      </c>
      <c r="AH139" s="16">
        <f>Peak!AH141</f>
        <v>3.9930809782503287</v>
      </c>
      <c r="AI139" s="16">
        <f>Peak!AI141</f>
        <v>3.68749078592765</v>
      </c>
      <c r="AJ139" s="16">
        <f>Peak!AJ141</f>
        <v>2.4399542510000001</v>
      </c>
      <c r="AK139" s="16">
        <f>Peak!AK141</f>
        <v>7.2000000000000008E-2</v>
      </c>
      <c r="AL139" s="4"/>
    </row>
    <row r="140" spans="1:38" x14ac:dyDescent="0.2">
      <c r="A140" s="1">
        <f t="shared" si="17"/>
        <v>40524.627000000168</v>
      </c>
      <c r="B140" s="16">
        <f t="shared" si="15"/>
        <v>1.1412</v>
      </c>
      <c r="C140" s="17">
        <f t="shared" si="12"/>
        <v>11.4644952</v>
      </c>
      <c r="D140" s="16">
        <f t="shared" si="16"/>
        <v>1.0858160972837785</v>
      </c>
      <c r="E140" s="16">
        <f t="shared" si="13"/>
        <v>5.8580823257503205</v>
      </c>
      <c r="F140" s="16">
        <f t="shared" si="14"/>
        <v>0.68329076161725955</v>
      </c>
      <c r="G140" s="19">
        <f>IF(IS!$C$2="Peak","-",SUM(C140:F140))</f>
        <v>19.091684384651362</v>
      </c>
      <c r="H140" s="203">
        <v>135.74849435323455</v>
      </c>
      <c r="I140" s="203">
        <v>116.12961445979636</v>
      </c>
      <c r="J140" s="203">
        <v>99.413158665431268</v>
      </c>
      <c r="K140" s="203">
        <v>92.296965160133936</v>
      </c>
      <c r="L140" s="203">
        <v>86.80724473431863</v>
      </c>
      <c r="M140" s="203">
        <v>82.788418355184035</v>
      </c>
      <c r="N140" s="203">
        <v>82.190257951723339</v>
      </c>
      <c r="O140" s="203">
        <v>75.821548594856793</v>
      </c>
      <c r="P140" s="203">
        <v>58.173409261769542</v>
      </c>
      <c r="Q140" s="203">
        <v>52.095566857217861</v>
      </c>
      <c r="R140" s="203">
        <v>46.419520991136686</v>
      </c>
      <c r="S140" s="203">
        <v>44.549342704088787</v>
      </c>
      <c r="T140" s="203">
        <v>40.295502675340018</v>
      </c>
      <c r="U140" s="203">
        <v>40.035693551102966</v>
      </c>
      <c r="V140" s="203">
        <v>39.728099783351333</v>
      </c>
      <c r="W140" s="203">
        <v>39.63166903970172</v>
      </c>
      <c r="X140" s="203">
        <v>39.631636106161125</v>
      </c>
      <c r="Y140" s="203">
        <v>39.631636106161125</v>
      </c>
      <c r="Z140" s="203">
        <v>37.94812604483576</v>
      </c>
      <c r="AA140" s="203">
        <v>33.521164613714141</v>
      </c>
      <c r="AB140" s="16">
        <f>Peak!AB142</f>
        <v>1.0858160972837785</v>
      </c>
      <c r="AC140" s="16">
        <f>Peak!AC142</f>
        <v>0</v>
      </c>
      <c r="AD140" s="18">
        <f>Peak!AD142</f>
        <v>477.98097313444265</v>
      </c>
      <c r="AE140" s="18">
        <f>Peak!AE142</f>
        <v>1889.3389342835719</v>
      </c>
      <c r="AF140" s="16">
        <f>Peak!AF142</f>
        <v>1</v>
      </c>
      <c r="AG140" s="73">
        <f>Peak!AG142</f>
        <v>1.1412</v>
      </c>
      <c r="AH140" s="16">
        <f>Peak!AH142</f>
        <v>4.321228907210882</v>
      </c>
      <c r="AI140" s="16">
        <f>Peak!AI142</f>
        <v>3.8664951930115166</v>
      </c>
      <c r="AJ140" s="16">
        <f>Peak!AJ142</f>
        <v>2.4399542510000001</v>
      </c>
      <c r="AK140" s="16">
        <f>Peak!AK142</f>
        <v>7.2000000000000008E-2</v>
      </c>
      <c r="AL140" s="4"/>
    </row>
    <row r="141" spans="1:38" x14ac:dyDescent="0.2">
      <c r="A141" s="1">
        <f t="shared" si="17"/>
        <v>40555.044000000169</v>
      </c>
      <c r="B141" s="16">
        <f t="shared" si="15"/>
        <v>1.1604000000000001</v>
      </c>
      <c r="C141" s="17">
        <f t="shared" si="12"/>
        <v>11.657378400000002</v>
      </c>
      <c r="D141" s="16">
        <f t="shared" si="16"/>
        <v>1.0876257907792515</v>
      </c>
      <c r="E141" s="16">
        <f t="shared" si="13"/>
        <v>6.4531206920313986</v>
      </c>
      <c r="F141" s="16">
        <f t="shared" si="14"/>
        <v>0.70286077218320631</v>
      </c>
      <c r="G141" s="19">
        <f>IF(IS!$C$2="Peak","-",SUM(C141:F141))</f>
        <v>19.90098565499386</v>
      </c>
      <c r="H141" s="203">
        <v>164.2371995400384</v>
      </c>
      <c r="I141" s="203">
        <v>157.93154079770085</v>
      </c>
      <c r="J141" s="203">
        <v>153.19974174968567</v>
      </c>
      <c r="K141" s="203">
        <v>124.75598776358501</v>
      </c>
      <c r="L141" s="203">
        <v>81.889860366992977</v>
      </c>
      <c r="M141" s="203">
        <v>75.956505132246562</v>
      </c>
      <c r="N141" s="203">
        <v>69.820366551246352</v>
      </c>
      <c r="O141" s="203">
        <v>69.215147673414521</v>
      </c>
      <c r="P141" s="203">
        <v>65.658576380337593</v>
      </c>
      <c r="Q141" s="203">
        <v>50.458494230946044</v>
      </c>
      <c r="R141" s="203">
        <v>44.632922657497673</v>
      </c>
      <c r="S141" s="203">
        <v>39.311077948113677</v>
      </c>
      <c r="T141" s="203">
        <v>38.120360288603059</v>
      </c>
      <c r="U141" s="203">
        <v>34.81179169917273</v>
      </c>
      <c r="V141" s="203">
        <v>34.481763459177891</v>
      </c>
      <c r="W141" s="203">
        <v>34.135650992187962</v>
      </c>
      <c r="X141" s="203">
        <v>33.932711571092696</v>
      </c>
      <c r="Y141" s="203">
        <v>33.932659906923945</v>
      </c>
      <c r="Z141" s="203">
        <v>33.932629788046498</v>
      </c>
      <c r="AA141" s="203">
        <v>32.251440716103616</v>
      </c>
      <c r="AB141" s="16">
        <f>Peak!AB143</f>
        <v>1.0876257907792515</v>
      </c>
      <c r="AC141" s="16">
        <f>Peak!AC143</f>
        <v>0</v>
      </c>
      <c r="AD141" s="18">
        <f>Peak!AD143</f>
        <v>526.53218862643894</v>
      </c>
      <c r="AE141" s="18">
        <f>Peak!AE143</f>
        <v>1943.451158513079</v>
      </c>
      <c r="AF141" s="16">
        <f>Peak!AF143</f>
        <v>1</v>
      </c>
      <c r="AG141" s="73">
        <f>Peak!AG143</f>
        <v>1.1604000000000001</v>
      </c>
      <c r="AH141" s="16">
        <f>Peak!AH143</f>
        <v>4.2451246779926199</v>
      </c>
      <c r="AI141" s="16">
        <f>Peak!AI143</f>
        <v>3.9483837807100315</v>
      </c>
      <c r="AJ141" s="16">
        <f>Peak!AJ143</f>
        <v>2.4399542510000001</v>
      </c>
      <c r="AK141" s="16">
        <f>Peak!AK143</f>
        <v>7.2000000000000008E-2</v>
      </c>
      <c r="AL141" s="4"/>
    </row>
    <row r="142" spans="1:38" x14ac:dyDescent="0.2">
      <c r="A142" s="1">
        <f t="shared" si="17"/>
        <v>40585.46100000017</v>
      </c>
      <c r="B142" s="16">
        <f t="shared" si="15"/>
        <v>1.1604000000000001</v>
      </c>
      <c r="C142" s="17">
        <f t="shared" si="12"/>
        <v>11.657378400000002</v>
      </c>
      <c r="D142" s="16">
        <f t="shared" si="16"/>
        <v>1.0894385004305502</v>
      </c>
      <c r="E142" s="16">
        <f t="shared" si="13"/>
        <v>6.4531206920313986</v>
      </c>
      <c r="F142" s="16">
        <f t="shared" si="14"/>
        <v>0.70286077218320631</v>
      </c>
      <c r="G142" s="19">
        <f>IF(IS!$C$2="Peak","-",SUM(C142:F142))</f>
        <v>19.902798364645157</v>
      </c>
      <c r="H142" s="203">
        <v>144.14655867251236</v>
      </c>
      <c r="I142" s="203">
        <v>114.52021660062201</v>
      </c>
      <c r="J142" s="203">
        <v>96.882018459658127</v>
      </c>
      <c r="K142" s="203">
        <v>90.298012670119462</v>
      </c>
      <c r="L142" s="203">
        <v>85.262875064264776</v>
      </c>
      <c r="M142" s="203">
        <v>78.926596081350482</v>
      </c>
      <c r="N142" s="203">
        <v>77.684068530985982</v>
      </c>
      <c r="O142" s="203">
        <v>68.035890241360534</v>
      </c>
      <c r="P142" s="203">
        <v>54.098774829248974</v>
      </c>
      <c r="Q142" s="203">
        <v>49.791658875063987</v>
      </c>
      <c r="R142" s="203">
        <v>44.924173461246248</v>
      </c>
      <c r="S142" s="203">
        <v>44.047410668657399</v>
      </c>
      <c r="T142" s="203">
        <v>42.525815371453632</v>
      </c>
      <c r="U142" s="203">
        <v>41.37232754377586</v>
      </c>
      <c r="V142" s="203">
        <v>40.466892700463852</v>
      </c>
      <c r="W142" s="203">
        <v>38.824852082022325</v>
      </c>
      <c r="X142" s="203">
        <v>38.611971548513857</v>
      </c>
      <c r="Y142" s="203">
        <v>38.611971548513857</v>
      </c>
      <c r="Z142" s="203">
        <v>38.611971548513857</v>
      </c>
      <c r="AA142" s="203">
        <v>38.008319327881914</v>
      </c>
      <c r="AB142" s="16">
        <f>Peak!AB144</f>
        <v>1.0894385004305502</v>
      </c>
      <c r="AC142" s="16">
        <f>Peak!AC144</f>
        <v>0</v>
      </c>
      <c r="AD142" s="18">
        <f>Peak!AD144</f>
        <v>526.53218862643894</v>
      </c>
      <c r="AE142" s="18">
        <f>Peak!AE144</f>
        <v>1943.451158513079</v>
      </c>
      <c r="AF142" s="16">
        <f>Peak!AF144</f>
        <v>1</v>
      </c>
      <c r="AG142" s="73">
        <f>Peak!AG144</f>
        <v>1.1604000000000001</v>
      </c>
      <c r="AH142" s="16">
        <f>Peak!AH144</f>
        <v>3.8048058949029602</v>
      </c>
      <c r="AI142" s="16">
        <f>Peak!AI144</f>
        <v>3.911824671629383</v>
      </c>
      <c r="AJ142" s="16">
        <f>Peak!AJ144</f>
        <v>2.4399542510000001</v>
      </c>
      <c r="AK142" s="16">
        <f>Peak!AK144</f>
        <v>7.2000000000000008E-2</v>
      </c>
      <c r="AL142" s="4"/>
    </row>
    <row r="143" spans="1:38" x14ac:dyDescent="0.2">
      <c r="A143" s="1">
        <f t="shared" si="17"/>
        <v>40615.878000000172</v>
      </c>
      <c r="B143" s="16">
        <f t="shared" si="15"/>
        <v>1.1604000000000001</v>
      </c>
      <c r="C143" s="17">
        <f t="shared" si="12"/>
        <v>11.657378400000002</v>
      </c>
      <c r="D143" s="16">
        <f t="shared" si="16"/>
        <v>1.0912542312646012</v>
      </c>
      <c r="E143" s="16">
        <f t="shared" si="13"/>
        <v>6.4531206920313986</v>
      </c>
      <c r="F143" s="16">
        <f t="shared" si="14"/>
        <v>0.70286077218320631</v>
      </c>
      <c r="G143" s="19">
        <f>IF(IS!$C$2="Peak","-",SUM(C143:F143))</f>
        <v>19.904614095479211</v>
      </c>
      <c r="H143" s="203">
        <v>135.10060666663111</v>
      </c>
      <c r="I143" s="203">
        <v>110.980835189247</v>
      </c>
      <c r="J143" s="203">
        <v>85.213278254058523</v>
      </c>
      <c r="K143" s="203">
        <v>75.92200093584492</v>
      </c>
      <c r="L143" s="203">
        <v>71.5744139272024</v>
      </c>
      <c r="M143" s="203">
        <v>67.171411308157289</v>
      </c>
      <c r="N143" s="203">
        <v>66.803655477711175</v>
      </c>
      <c r="O143" s="203">
        <v>62.758580603872566</v>
      </c>
      <c r="P143" s="203">
        <v>50.097967535726589</v>
      </c>
      <c r="Q143" s="203">
        <v>46.740548744635532</v>
      </c>
      <c r="R143" s="203">
        <v>44.406325568225853</v>
      </c>
      <c r="S143" s="203">
        <v>41.338156406276752</v>
      </c>
      <c r="T143" s="203">
        <v>39.252841604128079</v>
      </c>
      <c r="U143" s="203">
        <v>38.477692781957373</v>
      </c>
      <c r="V143" s="203">
        <v>38.010894714836795</v>
      </c>
      <c r="W143" s="203">
        <v>37.882926963303603</v>
      </c>
      <c r="X143" s="203">
        <v>37.121538581606515</v>
      </c>
      <c r="Y143" s="203">
        <v>35.934555984599953</v>
      </c>
      <c r="Z143" s="203">
        <v>34.124396210102951</v>
      </c>
      <c r="AA143" s="203">
        <v>32.999394923710845</v>
      </c>
      <c r="AB143" s="16">
        <f>Peak!AB145</f>
        <v>1.0912542312646012</v>
      </c>
      <c r="AC143" s="16">
        <f>Peak!AC145</f>
        <v>0</v>
      </c>
      <c r="AD143" s="18">
        <f>Peak!AD145</f>
        <v>526.53218862643894</v>
      </c>
      <c r="AE143" s="18">
        <f>Peak!AE145</f>
        <v>1943.451158513079</v>
      </c>
      <c r="AF143" s="16">
        <f>Peak!AF145</f>
        <v>1</v>
      </c>
      <c r="AG143" s="73">
        <f>Peak!AG145</f>
        <v>1.1604000000000001</v>
      </c>
      <c r="AH143" s="16">
        <f>Peak!AH145</f>
        <v>3.7408279520608732</v>
      </c>
      <c r="AI143" s="16">
        <f>Peak!AI145</f>
        <v>3.7655882353067893</v>
      </c>
      <c r="AJ143" s="16">
        <f>Peak!AJ145</f>
        <v>2.4399542510000001</v>
      </c>
      <c r="AK143" s="16">
        <f>Peak!AK145</f>
        <v>7.2000000000000008E-2</v>
      </c>
      <c r="AL143" s="4"/>
    </row>
    <row r="144" spans="1:38" x14ac:dyDescent="0.2">
      <c r="A144" s="1">
        <f t="shared" si="17"/>
        <v>40646.295000000173</v>
      </c>
      <c r="B144" s="16">
        <f t="shared" si="15"/>
        <v>1.1604000000000001</v>
      </c>
      <c r="C144" s="17">
        <f t="shared" si="12"/>
        <v>11.657378400000002</v>
      </c>
      <c r="D144" s="16">
        <f t="shared" si="16"/>
        <v>1.093072988316709</v>
      </c>
      <c r="E144" s="16">
        <f t="shared" si="13"/>
        <v>6.4531206920313986</v>
      </c>
      <c r="F144" s="16">
        <f t="shared" si="14"/>
        <v>0.70286077218320631</v>
      </c>
      <c r="G144" s="19">
        <f>IF(IS!$C$2="Peak","-",SUM(C144:F144))</f>
        <v>19.906432852531317</v>
      </c>
      <c r="H144" s="203">
        <v>80.476876650215118</v>
      </c>
      <c r="I144" s="203">
        <v>77.557688106336869</v>
      </c>
      <c r="J144" s="203">
        <v>72.823797338940537</v>
      </c>
      <c r="K144" s="203">
        <v>70.329338613199326</v>
      </c>
      <c r="L144" s="203">
        <v>70.152085276467616</v>
      </c>
      <c r="M144" s="203">
        <v>61.482809684593306</v>
      </c>
      <c r="N144" s="203">
        <v>48.928006001203087</v>
      </c>
      <c r="O144" s="203">
        <v>42.612778163804364</v>
      </c>
      <c r="P144" s="203">
        <v>39.842313927039648</v>
      </c>
      <c r="Q144" s="203">
        <v>39.433612340750457</v>
      </c>
      <c r="R144" s="203">
        <v>37.531868889709457</v>
      </c>
      <c r="S144" s="203">
        <v>36.402124046560587</v>
      </c>
      <c r="T144" s="203">
        <v>35.455859365724415</v>
      </c>
      <c r="U144" s="203">
        <v>34.750155172850157</v>
      </c>
      <c r="V144" s="203">
        <v>34.317842454204325</v>
      </c>
      <c r="W144" s="203">
        <v>34.276255055216637</v>
      </c>
      <c r="X144" s="203">
        <v>34.276255055216637</v>
      </c>
      <c r="Y144" s="203">
        <v>34.276255055216637</v>
      </c>
      <c r="Z144" s="203">
        <v>34.276255055216637</v>
      </c>
      <c r="AA144" s="203">
        <v>33.849071826408235</v>
      </c>
      <c r="AB144" s="16">
        <f>Peak!AB146</f>
        <v>1.093072988316709</v>
      </c>
      <c r="AC144" s="16">
        <f>Peak!AC146</f>
        <v>0</v>
      </c>
      <c r="AD144" s="18">
        <f>Peak!AD146</f>
        <v>526.53218862643894</v>
      </c>
      <c r="AE144" s="18">
        <f>Peak!AE146</f>
        <v>1943.451158513079</v>
      </c>
      <c r="AF144" s="16">
        <f>Peak!AF146</f>
        <v>1</v>
      </c>
      <c r="AG144" s="73">
        <f>Peak!AG146</f>
        <v>1.1604000000000001</v>
      </c>
      <c r="AH144" s="16">
        <f>Peak!AH146</f>
        <v>3.5564209403395624</v>
      </c>
      <c r="AI144" s="16">
        <f>Peak!AI146</f>
        <v>3.6193517989841952</v>
      </c>
      <c r="AJ144" s="16">
        <f>Peak!AJ146</f>
        <v>2.4399542510000001</v>
      </c>
      <c r="AK144" s="16">
        <f>Peak!AK146</f>
        <v>7.2000000000000008E-2</v>
      </c>
      <c r="AL144" s="4"/>
    </row>
    <row r="145" spans="1:38" x14ac:dyDescent="0.2">
      <c r="A145" s="1">
        <f t="shared" si="17"/>
        <v>40676.712000000174</v>
      </c>
      <c r="B145" s="16">
        <f t="shared" si="15"/>
        <v>1.1604000000000001</v>
      </c>
      <c r="C145" s="17">
        <f t="shared" si="12"/>
        <v>11.657378400000002</v>
      </c>
      <c r="D145" s="16">
        <f t="shared" si="16"/>
        <v>1.0948947766305701</v>
      </c>
      <c r="E145" s="16">
        <f t="shared" si="13"/>
        <v>6.4531206920313986</v>
      </c>
      <c r="F145" s="16">
        <f t="shared" si="14"/>
        <v>0.70286077218320631</v>
      </c>
      <c r="G145" s="19">
        <f>IF(IS!$C$2="Peak","-",SUM(C145:F145))</f>
        <v>19.908254640845179</v>
      </c>
      <c r="H145" s="203">
        <v>101.89636211594757</v>
      </c>
      <c r="I145" s="203">
        <v>79.526395444723192</v>
      </c>
      <c r="J145" s="203">
        <v>68.235862048869464</v>
      </c>
      <c r="K145" s="203">
        <v>64.850996088115977</v>
      </c>
      <c r="L145" s="203">
        <v>64.015441540186913</v>
      </c>
      <c r="M145" s="203">
        <v>60.631713504545608</v>
      </c>
      <c r="N145" s="203">
        <v>58.10004269835273</v>
      </c>
      <c r="O145" s="203">
        <v>45.403358235344633</v>
      </c>
      <c r="P145" s="203">
        <v>42.503860801297201</v>
      </c>
      <c r="Q145" s="203">
        <v>40.621087032964716</v>
      </c>
      <c r="R145" s="203">
        <v>38.254330183085486</v>
      </c>
      <c r="S145" s="203">
        <v>37.113603240666947</v>
      </c>
      <c r="T145" s="203">
        <v>36.079533555925309</v>
      </c>
      <c r="U145" s="203">
        <v>35.010215125207125</v>
      </c>
      <c r="V145" s="203">
        <v>34.217476645121266</v>
      </c>
      <c r="W145" s="203">
        <v>32.125489826401157</v>
      </c>
      <c r="X145" s="203">
        <v>30.394746599368602</v>
      </c>
      <c r="Y145" s="203">
        <v>30.088543003614401</v>
      </c>
      <c r="Z145" s="203">
        <v>29.956911132349401</v>
      </c>
      <c r="AA145" s="203">
        <v>29.941111074405338</v>
      </c>
      <c r="AB145" s="16">
        <f>Peak!AB147</f>
        <v>1.0948947766305701</v>
      </c>
      <c r="AC145" s="16">
        <f>Peak!AC147</f>
        <v>0</v>
      </c>
      <c r="AD145" s="18">
        <f>Peak!AD147</f>
        <v>526.53218862643894</v>
      </c>
      <c r="AE145" s="18">
        <f>Peak!AE147</f>
        <v>1943.451158513079</v>
      </c>
      <c r="AF145" s="16">
        <f>Peak!AF147</f>
        <v>1</v>
      </c>
      <c r="AG145" s="73">
        <f>Peak!AG147</f>
        <v>1.1604000000000001</v>
      </c>
      <c r="AH145" s="16">
        <f>Peak!AH147</f>
        <v>3.7445913604633487</v>
      </c>
      <c r="AI145" s="16">
        <f>Peak!AI147</f>
        <v>3.4731153626616016</v>
      </c>
      <c r="AJ145" s="16">
        <f>Peak!AJ147</f>
        <v>2.4399542510000001</v>
      </c>
      <c r="AK145" s="16">
        <f>Peak!AK147</f>
        <v>7.2000000000000008E-2</v>
      </c>
      <c r="AL145" s="4"/>
    </row>
    <row r="146" spans="1:38" x14ac:dyDescent="0.2">
      <c r="A146" s="1">
        <f t="shared" si="17"/>
        <v>40707.129000000175</v>
      </c>
      <c r="B146" s="16">
        <f t="shared" si="15"/>
        <v>1.1604000000000001</v>
      </c>
      <c r="C146" s="17">
        <f t="shared" si="12"/>
        <v>11.657378400000002</v>
      </c>
      <c r="D146" s="16">
        <f t="shared" si="16"/>
        <v>1.0967196012582878</v>
      </c>
      <c r="E146" s="16">
        <f t="shared" si="13"/>
        <v>6.4531206920313986</v>
      </c>
      <c r="F146" s="16">
        <f t="shared" si="14"/>
        <v>0.70286077218320631</v>
      </c>
      <c r="G146" s="19">
        <f>IF(IS!$C$2="Peak","-",SUM(C146:F146))</f>
        <v>19.910079465472897</v>
      </c>
      <c r="H146" s="203">
        <v>234.59405531764565</v>
      </c>
      <c r="I146" s="203">
        <v>207.93787188123702</v>
      </c>
      <c r="J146" s="203">
        <v>187.21581770523463</v>
      </c>
      <c r="K146" s="203">
        <v>163.56201400333723</v>
      </c>
      <c r="L146" s="203">
        <v>146.55180574253018</v>
      </c>
      <c r="M146" s="203">
        <v>81.528927733095955</v>
      </c>
      <c r="N146" s="203">
        <v>52.67597068377134</v>
      </c>
      <c r="O146" s="203">
        <v>46.978747489759755</v>
      </c>
      <c r="P146" s="203">
        <v>45.588303166584282</v>
      </c>
      <c r="Q146" s="203">
        <v>38.494006337312484</v>
      </c>
      <c r="R146" s="203">
        <v>33.415381557157787</v>
      </c>
      <c r="S146" s="203">
        <v>32.130255365246761</v>
      </c>
      <c r="T146" s="203">
        <v>31.120053424882048</v>
      </c>
      <c r="U146" s="203">
        <v>30.049401588429724</v>
      </c>
      <c r="V146" s="203">
        <v>28.767080111486411</v>
      </c>
      <c r="W146" s="203">
        <v>27.28325536959229</v>
      </c>
      <c r="X146" s="203">
        <v>26.844215424460948</v>
      </c>
      <c r="Y146" s="203">
        <v>26.454376341362</v>
      </c>
      <c r="Z146" s="203">
        <v>25.199966464237512</v>
      </c>
      <c r="AA146" s="203">
        <v>24.081192460446793</v>
      </c>
      <c r="AB146" s="16">
        <f>Peak!AB148</f>
        <v>1.0967196012582878</v>
      </c>
      <c r="AC146" s="16">
        <f>Peak!AC148</f>
        <v>0</v>
      </c>
      <c r="AD146" s="18">
        <f>Peak!AD148</f>
        <v>526.53218862643894</v>
      </c>
      <c r="AE146" s="18">
        <f>Peak!AE148</f>
        <v>1943.451158513079</v>
      </c>
      <c r="AF146" s="16">
        <f>Peak!AF148</f>
        <v>1</v>
      </c>
      <c r="AG146" s="73">
        <f>Peak!AG148</f>
        <v>1.1604000000000001</v>
      </c>
      <c r="AH146" s="16">
        <f>Peak!AH148</f>
        <v>3.5677111655469895</v>
      </c>
      <c r="AI146" s="16">
        <f>Peak!AI148</f>
        <v>3.4731153626616016</v>
      </c>
      <c r="AJ146" s="16">
        <f>Peak!AJ148</f>
        <v>2.4399542510000001</v>
      </c>
      <c r="AK146" s="16">
        <f>Peak!AK148</f>
        <v>7.2000000000000008E-2</v>
      </c>
      <c r="AL146" s="4"/>
    </row>
    <row r="147" spans="1:38" x14ac:dyDescent="0.2">
      <c r="A147" s="1">
        <f t="shared" si="17"/>
        <v>40737.546000000177</v>
      </c>
      <c r="B147" s="16">
        <f t="shared" si="15"/>
        <v>1.1604000000000001</v>
      </c>
      <c r="C147" s="17">
        <f t="shared" si="12"/>
        <v>11.657378400000002</v>
      </c>
      <c r="D147" s="16">
        <f t="shared" si="16"/>
        <v>1.098547467260385</v>
      </c>
      <c r="E147" s="16">
        <f t="shared" si="13"/>
        <v>6.4531206920313986</v>
      </c>
      <c r="F147" s="16">
        <f t="shared" si="14"/>
        <v>0.70286077218320631</v>
      </c>
      <c r="G147" s="19">
        <f>IF(IS!$C$2="Peak","-",SUM(C147:F147))</f>
        <v>19.911907331474993</v>
      </c>
      <c r="H147" s="203">
        <v>230.27658285104758</v>
      </c>
      <c r="I147" s="203">
        <v>199.32503320900952</v>
      </c>
      <c r="J147" s="203">
        <v>178.12800297216648</v>
      </c>
      <c r="K147" s="203">
        <v>156.56442594048914</v>
      </c>
      <c r="L147" s="203">
        <v>131.55866241571033</v>
      </c>
      <c r="M147" s="203">
        <v>101.29015752785438</v>
      </c>
      <c r="N147" s="203">
        <v>94.883320611658689</v>
      </c>
      <c r="O147" s="203">
        <v>75.899390289559491</v>
      </c>
      <c r="P147" s="203">
        <v>58.123710684185276</v>
      </c>
      <c r="Q147" s="203">
        <v>51.868000612319207</v>
      </c>
      <c r="R147" s="203">
        <v>45.419988919890088</v>
      </c>
      <c r="S147" s="203">
        <v>45.243790416329588</v>
      </c>
      <c r="T147" s="203">
        <v>45.2435837418994</v>
      </c>
      <c r="U147" s="203">
        <v>44.525120456453564</v>
      </c>
      <c r="V147" s="203">
        <v>40.267016046992644</v>
      </c>
      <c r="W147" s="203">
        <v>38.070108633677364</v>
      </c>
      <c r="X147" s="203">
        <v>36.473638410222222</v>
      </c>
      <c r="Y147" s="203">
        <v>35.529340407522007</v>
      </c>
      <c r="Z147" s="203">
        <v>34.894175900572527</v>
      </c>
      <c r="AA147" s="203">
        <v>31.465020354819504</v>
      </c>
      <c r="AB147" s="16">
        <f>Peak!AB149</f>
        <v>1.098547467260385</v>
      </c>
      <c r="AC147" s="16">
        <f>Peak!AC149</f>
        <v>0</v>
      </c>
      <c r="AD147" s="18">
        <f>Peak!AD149</f>
        <v>526.53218862643894</v>
      </c>
      <c r="AE147" s="18">
        <f>Peak!AE149</f>
        <v>1943.451158513079</v>
      </c>
      <c r="AF147" s="16">
        <f>Peak!AF149</f>
        <v>1</v>
      </c>
      <c r="AG147" s="73">
        <f>Peak!AG149</f>
        <v>1.1604000000000001</v>
      </c>
      <c r="AH147" s="16">
        <f>Peak!AH149</f>
        <v>3.5564209403395624</v>
      </c>
      <c r="AI147" s="16">
        <f>Peak!AI149</f>
        <v>3.4731153626616016</v>
      </c>
      <c r="AJ147" s="16">
        <f>Peak!AJ149</f>
        <v>2.4399542510000001</v>
      </c>
      <c r="AK147" s="16">
        <f>Peak!AK149</f>
        <v>7.2000000000000008E-2</v>
      </c>
      <c r="AL147" s="4"/>
    </row>
    <row r="148" spans="1:38" x14ac:dyDescent="0.2">
      <c r="A148" s="1">
        <f t="shared" si="17"/>
        <v>40767.963000000178</v>
      </c>
      <c r="B148" s="16">
        <f t="shared" si="15"/>
        <v>1.1604000000000001</v>
      </c>
      <c r="C148" s="17">
        <f t="shared" si="12"/>
        <v>11.657378400000002</v>
      </c>
      <c r="D148" s="16">
        <f t="shared" si="16"/>
        <v>1.1003783797058191</v>
      </c>
      <c r="E148" s="16">
        <f t="shared" si="13"/>
        <v>6.4531206920313986</v>
      </c>
      <c r="F148" s="16">
        <f t="shared" si="14"/>
        <v>0.70286077218320631</v>
      </c>
      <c r="G148" s="19">
        <f>IF(IS!$C$2="Peak","-",SUM(C148:F148))</f>
        <v>19.913738243920427</v>
      </c>
      <c r="H148" s="203">
        <v>228.53908887598845</v>
      </c>
      <c r="I148" s="203">
        <v>196.06649134614173</v>
      </c>
      <c r="J148" s="203">
        <v>176.71225112673298</v>
      </c>
      <c r="K148" s="203">
        <v>156.53127822798803</v>
      </c>
      <c r="L148" s="203">
        <v>143.5610450764805</v>
      </c>
      <c r="M148" s="203">
        <v>128.05497300343123</v>
      </c>
      <c r="N148" s="203">
        <v>81.501960413169655</v>
      </c>
      <c r="O148" s="203">
        <v>66.765741107566328</v>
      </c>
      <c r="P148" s="203">
        <v>62.862866327445083</v>
      </c>
      <c r="Q148" s="203">
        <v>61.53456151181318</v>
      </c>
      <c r="R148" s="203">
        <v>61.22100189493775</v>
      </c>
      <c r="S148" s="203">
        <v>59.32205913387687</v>
      </c>
      <c r="T148" s="203">
        <v>46.751301266619848</v>
      </c>
      <c r="U148" s="203">
        <v>43.29353930370074</v>
      </c>
      <c r="V148" s="203">
        <v>41.506714009725286</v>
      </c>
      <c r="W148" s="203">
        <v>39.864390654304934</v>
      </c>
      <c r="X148" s="203">
        <v>39.028395374263063</v>
      </c>
      <c r="Y148" s="203">
        <v>36.757800312717237</v>
      </c>
      <c r="Z148" s="203">
        <v>33.830851772711895</v>
      </c>
      <c r="AA148" s="203">
        <v>31.116387845486585</v>
      </c>
      <c r="AB148" s="16">
        <f>Peak!AB150</f>
        <v>1.1003783797058191</v>
      </c>
      <c r="AC148" s="16">
        <f>Peak!AC150</f>
        <v>0</v>
      </c>
      <c r="AD148" s="18">
        <f>Peak!AD150</f>
        <v>526.53218862643894</v>
      </c>
      <c r="AE148" s="18">
        <f>Peak!AE150</f>
        <v>1943.451158513079</v>
      </c>
      <c r="AF148" s="16">
        <f>Peak!AF150</f>
        <v>1</v>
      </c>
      <c r="AG148" s="73">
        <f>Peak!AG150</f>
        <v>1.1604000000000001</v>
      </c>
      <c r="AH148" s="16">
        <f>Peak!AH150</f>
        <v>3.372013928618252</v>
      </c>
      <c r="AI148" s="16">
        <f>Peak!AI150</f>
        <v>3.4731153626616016</v>
      </c>
      <c r="AJ148" s="16">
        <f>Peak!AJ150</f>
        <v>2.4399542510000001</v>
      </c>
      <c r="AK148" s="16">
        <f>Peak!AK150</f>
        <v>7.2000000000000008E-2</v>
      </c>
      <c r="AL148" s="4"/>
    </row>
    <row r="149" spans="1:38" x14ac:dyDescent="0.2">
      <c r="A149" s="1">
        <f t="shared" si="17"/>
        <v>40798.380000000179</v>
      </c>
      <c r="B149" s="16">
        <f t="shared" si="15"/>
        <v>1.1604000000000001</v>
      </c>
      <c r="C149" s="17">
        <f t="shared" si="12"/>
        <v>11.657378400000002</v>
      </c>
      <c r="D149" s="16">
        <f t="shared" si="16"/>
        <v>1.1022123436719955</v>
      </c>
      <c r="E149" s="16">
        <f t="shared" si="13"/>
        <v>6.4531206920313986</v>
      </c>
      <c r="F149" s="16">
        <f t="shared" si="14"/>
        <v>0.70286077218320631</v>
      </c>
      <c r="G149" s="19">
        <f>IF(IS!$C$2="Peak","-",SUM(C149:F149))</f>
        <v>19.915572207886605</v>
      </c>
      <c r="H149" s="203">
        <v>153.40312088335128</v>
      </c>
      <c r="I149" s="203">
        <v>103.5362210905095</v>
      </c>
      <c r="J149" s="203">
        <v>80.808635558573627</v>
      </c>
      <c r="K149" s="203">
        <v>73.936099307268321</v>
      </c>
      <c r="L149" s="203">
        <v>68.583112043983888</v>
      </c>
      <c r="M149" s="203">
        <v>67.046242767902157</v>
      </c>
      <c r="N149" s="203">
        <v>54.844375171574079</v>
      </c>
      <c r="O149" s="203">
        <v>47.581302190240983</v>
      </c>
      <c r="P149" s="203">
        <v>44.888400432469382</v>
      </c>
      <c r="Q149" s="203">
        <v>42.315855051878216</v>
      </c>
      <c r="R149" s="203">
        <v>40.61476044694178</v>
      </c>
      <c r="S149" s="203">
        <v>39.140717780573745</v>
      </c>
      <c r="T149" s="203">
        <v>38.672670465339152</v>
      </c>
      <c r="U149" s="203">
        <v>37.366007989273115</v>
      </c>
      <c r="V149" s="203">
        <v>34.516407618380896</v>
      </c>
      <c r="W149" s="203">
        <v>33.792178782648577</v>
      </c>
      <c r="X149" s="203">
        <v>33.447465020477338</v>
      </c>
      <c r="Y149" s="203">
        <v>33.447465020477338</v>
      </c>
      <c r="Z149" s="203">
        <v>33.447465020477338</v>
      </c>
      <c r="AA149" s="203">
        <v>33.242324430087493</v>
      </c>
      <c r="AB149" s="16">
        <f>Peak!AB151</f>
        <v>1.1022123436719955</v>
      </c>
      <c r="AC149" s="16">
        <f>Peak!AC151</f>
        <v>0</v>
      </c>
      <c r="AD149" s="18">
        <f>Peak!AD151</f>
        <v>526.53218862643894</v>
      </c>
      <c r="AE149" s="18">
        <f>Peak!AE151</f>
        <v>1943.451158513079</v>
      </c>
      <c r="AF149" s="16">
        <f>Peak!AF151</f>
        <v>1</v>
      </c>
      <c r="AG149" s="73">
        <f>Peak!AG151</f>
        <v>1.1604000000000001</v>
      </c>
      <c r="AH149" s="16">
        <f>Peak!AH151</f>
        <v>3.3607237034108248</v>
      </c>
      <c r="AI149" s="16">
        <f>Peak!AI151</f>
        <v>3.4731153626616016</v>
      </c>
      <c r="AJ149" s="16">
        <f>Peak!AJ151</f>
        <v>2.4399542510000001</v>
      </c>
      <c r="AK149" s="16">
        <f>Peak!AK151</f>
        <v>7.2000000000000008E-2</v>
      </c>
      <c r="AL149" s="4"/>
    </row>
    <row r="150" spans="1:38" x14ac:dyDescent="0.2">
      <c r="A150" s="1">
        <f t="shared" si="17"/>
        <v>40828.797000000181</v>
      </c>
      <c r="B150" s="16">
        <f t="shared" si="15"/>
        <v>1.1604000000000001</v>
      </c>
      <c r="C150" s="17">
        <f t="shared" si="12"/>
        <v>11.657378400000002</v>
      </c>
      <c r="D150" s="16">
        <f t="shared" si="16"/>
        <v>1.1040493642447822</v>
      </c>
      <c r="E150" s="16">
        <f t="shared" si="13"/>
        <v>6.4531206920313986</v>
      </c>
      <c r="F150" s="16">
        <f t="shared" si="14"/>
        <v>0.70286077218320631</v>
      </c>
      <c r="G150" s="19">
        <f>IF(IS!$C$2="Peak","-",SUM(C150:F150))</f>
        <v>19.917409228459391</v>
      </c>
      <c r="H150" s="203">
        <v>80.989311061908126</v>
      </c>
      <c r="I150" s="203">
        <v>79.488146860457704</v>
      </c>
      <c r="J150" s="203">
        <v>77.572256743873794</v>
      </c>
      <c r="K150" s="203">
        <v>72.925292048971613</v>
      </c>
      <c r="L150" s="203">
        <v>70.449384126332717</v>
      </c>
      <c r="M150" s="203">
        <v>69.518771085264433</v>
      </c>
      <c r="N150" s="203">
        <v>52.55150398157808</v>
      </c>
      <c r="O150" s="203">
        <v>49.191819765339453</v>
      </c>
      <c r="P150" s="203">
        <v>44.603777219646311</v>
      </c>
      <c r="Q150" s="203">
        <v>37.829235033683567</v>
      </c>
      <c r="R150" s="203">
        <v>35.491747227024831</v>
      </c>
      <c r="S150" s="203">
        <v>35.018782541379544</v>
      </c>
      <c r="T150" s="203">
        <v>34.803447997878258</v>
      </c>
      <c r="U150" s="203">
        <v>34.581713581572721</v>
      </c>
      <c r="V150" s="203">
        <v>34.462394593547657</v>
      </c>
      <c r="W150" s="203">
        <v>34.190348024407257</v>
      </c>
      <c r="X150" s="203">
        <v>34.18805364118154</v>
      </c>
      <c r="Y150" s="203">
        <v>34.18805364118154</v>
      </c>
      <c r="Z150" s="203">
        <v>34.18805364118154</v>
      </c>
      <c r="AA150" s="203">
        <v>32.026606509992305</v>
      </c>
      <c r="AB150" s="16">
        <f>Peak!AB152</f>
        <v>1.1040493642447822</v>
      </c>
      <c r="AC150" s="16">
        <f>Peak!AC152</f>
        <v>0</v>
      </c>
      <c r="AD150" s="18">
        <f>Peak!AD152</f>
        <v>526.53218862643894</v>
      </c>
      <c r="AE150" s="18">
        <f>Peak!AE152</f>
        <v>1943.451158513079</v>
      </c>
      <c r="AF150" s="16">
        <f>Peak!AF152</f>
        <v>1</v>
      </c>
      <c r="AG150" s="73">
        <f>Peak!AG152</f>
        <v>1.1604000000000001</v>
      </c>
      <c r="AH150" s="16">
        <f>Peak!AH152</f>
        <v>3.7220109100484944</v>
      </c>
      <c r="AI150" s="16">
        <f>Peak!AI152</f>
        <v>3.4731153626616016</v>
      </c>
      <c r="AJ150" s="16">
        <f>Peak!AJ152</f>
        <v>2.4399542510000001</v>
      </c>
      <c r="AK150" s="16">
        <f>Peak!AK152</f>
        <v>7.2000000000000008E-2</v>
      </c>
      <c r="AL150" s="4"/>
    </row>
    <row r="151" spans="1:38" x14ac:dyDescent="0.2">
      <c r="A151" s="1">
        <f t="shared" si="17"/>
        <v>40859.214000000182</v>
      </c>
      <c r="B151" s="16">
        <f t="shared" si="15"/>
        <v>1.1604000000000001</v>
      </c>
      <c r="C151" s="17">
        <f t="shared" si="12"/>
        <v>11.657378400000002</v>
      </c>
      <c r="D151" s="16">
        <f t="shared" si="16"/>
        <v>1.1058894465185236</v>
      </c>
      <c r="E151" s="16">
        <f t="shared" si="13"/>
        <v>6.4531206920313986</v>
      </c>
      <c r="F151" s="16">
        <f t="shared" si="14"/>
        <v>0.70286077218320631</v>
      </c>
      <c r="G151" s="19">
        <f>IF(IS!$C$2="Peak","-",SUM(C151:F151))</f>
        <v>19.919249310733132</v>
      </c>
      <c r="H151" s="203">
        <v>154.00667831236206</v>
      </c>
      <c r="I151" s="203">
        <v>149.11245405540186</v>
      </c>
      <c r="J151" s="203">
        <v>94.564231863608398</v>
      </c>
      <c r="K151" s="203">
        <v>81.046352283992505</v>
      </c>
      <c r="L151" s="203">
        <v>68.701238971475988</v>
      </c>
      <c r="M151" s="203">
        <v>64.94249024103874</v>
      </c>
      <c r="N151" s="203">
        <v>60.649022856667635</v>
      </c>
      <c r="O151" s="203">
        <v>59.063814341616244</v>
      </c>
      <c r="P151" s="203">
        <v>57.77525812124729</v>
      </c>
      <c r="Q151" s="203">
        <v>47.413062717840809</v>
      </c>
      <c r="R151" s="203">
        <v>42.139879532875156</v>
      </c>
      <c r="S151" s="203">
        <v>41.464693390018752</v>
      </c>
      <c r="T151" s="203">
        <v>41.129353314867991</v>
      </c>
      <c r="U151" s="203">
        <v>40.019052888653803</v>
      </c>
      <c r="V151" s="203">
        <v>38.680366244117671</v>
      </c>
      <c r="W151" s="203">
        <v>37.147888118214645</v>
      </c>
      <c r="X151" s="203">
        <v>35.063783593331316</v>
      </c>
      <c r="Y151" s="203">
        <v>32.024881136817825</v>
      </c>
      <c r="Z151" s="203">
        <v>30.137562726617048</v>
      </c>
      <c r="AA151" s="203">
        <v>29.440995642570378</v>
      </c>
      <c r="AB151" s="16">
        <f>Peak!AB153</f>
        <v>1.1058894465185236</v>
      </c>
      <c r="AC151" s="16">
        <f>Peak!AC153</f>
        <v>0</v>
      </c>
      <c r="AD151" s="18">
        <f>Peak!AD153</f>
        <v>526.53218862643894</v>
      </c>
      <c r="AE151" s="18">
        <f>Peak!AE153</f>
        <v>1943.451158513079</v>
      </c>
      <c r="AF151" s="16">
        <f>Peak!AF153</f>
        <v>1</v>
      </c>
      <c r="AG151" s="73">
        <f>Peak!AG153</f>
        <v>1.1604000000000001</v>
      </c>
      <c r="AH151" s="16">
        <f>Peak!AH153</f>
        <v>4.0757712998812128</v>
      </c>
      <c r="AI151" s="16">
        <f>Peak!AI153</f>
        <v>3.7655882353067893</v>
      </c>
      <c r="AJ151" s="16">
        <f>Peak!AJ153</f>
        <v>2.4399542510000001</v>
      </c>
      <c r="AK151" s="16">
        <f>Peak!AK153</f>
        <v>7.2000000000000008E-2</v>
      </c>
      <c r="AL151" s="4"/>
    </row>
    <row r="152" spans="1:38" x14ac:dyDescent="0.2">
      <c r="A152" s="1">
        <f t="shared" si="17"/>
        <v>40889.631000000183</v>
      </c>
      <c r="B152" s="16">
        <f t="shared" si="15"/>
        <v>1.1604000000000001</v>
      </c>
      <c r="C152" s="17">
        <f t="shared" si="12"/>
        <v>11.657378400000002</v>
      </c>
      <c r="D152" s="16">
        <f t="shared" si="16"/>
        <v>1.1077325955960546</v>
      </c>
      <c r="E152" s="16">
        <f t="shared" si="13"/>
        <v>6.4531206920313986</v>
      </c>
      <c r="F152" s="16">
        <f t="shared" si="14"/>
        <v>0.70286077218320631</v>
      </c>
      <c r="G152" s="19">
        <f>IF(IS!$C$2="Peak","-",SUM(C152:F152))</f>
        <v>19.921092459810662</v>
      </c>
      <c r="H152" s="203">
        <v>100.69393339247577</v>
      </c>
      <c r="I152" s="203">
        <v>95.409868007824528</v>
      </c>
      <c r="J152" s="203">
        <v>92.265422456538985</v>
      </c>
      <c r="K152" s="203">
        <v>86.171448592757855</v>
      </c>
      <c r="L152" s="203">
        <v>84.621118789963447</v>
      </c>
      <c r="M152" s="203">
        <v>83.142099913272816</v>
      </c>
      <c r="N152" s="203">
        <v>67.282735250050592</v>
      </c>
      <c r="O152" s="203">
        <v>57.38750781694241</v>
      </c>
      <c r="P152" s="203">
        <v>48.670488815453062</v>
      </c>
      <c r="Q152" s="203">
        <v>47.46459668798051</v>
      </c>
      <c r="R152" s="203">
        <v>45.300532472887333</v>
      </c>
      <c r="S152" s="203">
        <v>41.947124432012814</v>
      </c>
      <c r="T152" s="203">
        <v>41.196983755251892</v>
      </c>
      <c r="U152" s="203">
        <v>41.050654306435852</v>
      </c>
      <c r="V152" s="203">
        <v>40.929050903642967</v>
      </c>
      <c r="W152" s="203">
        <v>40.591899809761969</v>
      </c>
      <c r="X152" s="203">
        <v>40.372912809125829</v>
      </c>
      <c r="Y152" s="203">
        <v>40.372912809125829</v>
      </c>
      <c r="Z152" s="203">
        <v>40.372912809125829</v>
      </c>
      <c r="AA152" s="203">
        <v>38.655372510866719</v>
      </c>
      <c r="AB152" s="16">
        <f>Peak!AB154</f>
        <v>1.1077325955960546</v>
      </c>
      <c r="AC152" s="16">
        <f>Peak!AC154</f>
        <v>0</v>
      </c>
      <c r="AD152" s="18">
        <f>Peak!AD154</f>
        <v>526.53218862643894</v>
      </c>
      <c r="AE152" s="18">
        <f>Peak!AE154</f>
        <v>1943.451158513079</v>
      </c>
      <c r="AF152" s="16">
        <f>Peak!AF154</f>
        <v>1</v>
      </c>
      <c r="AG152" s="73">
        <f>Peak!AG154</f>
        <v>1.1604000000000001</v>
      </c>
      <c r="AH152" s="16">
        <f>Peak!AH154</f>
        <v>4.4107146477015524</v>
      </c>
      <c r="AI152" s="16">
        <f>Peak!AI154</f>
        <v>3.9483837807100315</v>
      </c>
      <c r="AJ152" s="16">
        <f>Peak!AJ154</f>
        <v>2.4399542510000001</v>
      </c>
      <c r="AK152" s="16">
        <f>Peak!AK154</f>
        <v>7.2000000000000008E-2</v>
      </c>
      <c r="AL152" s="4"/>
    </row>
    <row r="153" spans="1:38" x14ac:dyDescent="0.2">
      <c r="A153" s="1">
        <f t="shared" si="17"/>
        <v>40920.048000000184</v>
      </c>
      <c r="B153" s="16">
        <f t="shared" si="15"/>
        <v>1.1668000000000001</v>
      </c>
      <c r="C153" s="17">
        <f t="shared" si="12"/>
        <v>11.7216728</v>
      </c>
      <c r="D153" s="16">
        <f t="shared" si="16"/>
        <v>1.1095788165887148</v>
      </c>
      <c r="E153" s="16">
        <f t="shared" si="13"/>
        <v>7.1498642563620738</v>
      </c>
      <c r="F153" s="16">
        <f t="shared" si="14"/>
        <v>0.72108656487453526</v>
      </c>
      <c r="G153" s="19">
        <f>IF(IS!$C$2="Peak","-",SUM(C153:F153))</f>
        <v>20.702202437825324</v>
      </c>
      <c r="H153" s="203">
        <v>101.80138962797244</v>
      </c>
      <c r="I153" s="203">
        <v>98.892738075501796</v>
      </c>
      <c r="J153" s="203">
        <v>98.879241285826708</v>
      </c>
      <c r="K153" s="203">
        <v>96.614371800105843</v>
      </c>
      <c r="L153" s="203">
        <v>82.109662942181785</v>
      </c>
      <c r="M153" s="203">
        <v>64.158115594853101</v>
      </c>
      <c r="N153" s="203">
        <v>55.068928685774246</v>
      </c>
      <c r="O153" s="203">
        <v>49.903983359294507</v>
      </c>
      <c r="P153" s="203">
        <v>47.545760635636839</v>
      </c>
      <c r="Q153" s="203">
        <v>47.545760635636839</v>
      </c>
      <c r="R153" s="203">
        <v>47.545760635636839</v>
      </c>
      <c r="S153" s="203">
        <v>47.545760635636839</v>
      </c>
      <c r="T153" s="203">
        <v>47.368120370484448</v>
      </c>
      <c r="U153" s="203">
        <v>47.143600399945477</v>
      </c>
      <c r="V153" s="203">
        <v>47.143600399945477</v>
      </c>
      <c r="W153" s="203">
        <v>47.143600399945477</v>
      </c>
      <c r="X153" s="203">
        <v>47.083803592241992</v>
      </c>
      <c r="Y153" s="203">
        <v>42.439348900627905</v>
      </c>
      <c r="Z153" s="203">
        <v>38.439950950998274</v>
      </c>
      <c r="AA153" s="203">
        <v>35.392833109331299</v>
      </c>
      <c r="AB153" s="16">
        <f>Peak!AB155</f>
        <v>1.1095788165887148</v>
      </c>
      <c r="AC153" s="16">
        <f>Peak!AC155</f>
        <v>0</v>
      </c>
      <c r="AD153" s="18">
        <f>Peak!AD155</f>
        <v>583.38187908572775</v>
      </c>
      <c r="AE153" s="18">
        <f>Peak!AE155</f>
        <v>1993.8465416709116</v>
      </c>
      <c r="AF153" s="16">
        <f>Peak!AF155</f>
        <v>1</v>
      </c>
      <c r="AG153" s="73">
        <f>Peak!AG155</f>
        <v>1.1668000000000001</v>
      </c>
      <c r="AH153" s="16">
        <f>Peak!AH155</f>
        <v>4.2352224987668006</v>
      </c>
      <c r="AI153" s="16">
        <f>Peak!AI155</f>
        <v>3.9414998675294424</v>
      </c>
      <c r="AJ153" s="16">
        <f>Peak!AJ155</f>
        <v>2.4399542510000001</v>
      </c>
      <c r="AK153" s="16">
        <f>Peak!AK155</f>
        <v>7.2000000000000008E-2</v>
      </c>
      <c r="AL153" s="4"/>
    </row>
    <row r="154" spans="1:38" x14ac:dyDescent="0.2">
      <c r="A154" s="1">
        <f t="shared" si="17"/>
        <v>40950.465000000186</v>
      </c>
      <c r="B154" s="16">
        <f t="shared" si="15"/>
        <v>1.1668000000000001</v>
      </c>
      <c r="C154" s="17">
        <f t="shared" si="12"/>
        <v>11.7216728</v>
      </c>
      <c r="D154" s="16">
        <f t="shared" si="16"/>
        <v>1.1114281146163627</v>
      </c>
      <c r="E154" s="16">
        <f t="shared" si="13"/>
        <v>7.1498642563620738</v>
      </c>
      <c r="F154" s="16">
        <f t="shared" si="14"/>
        <v>0.72108656487453526</v>
      </c>
      <c r="G154" s="19">
        <f>IF(IS!$C$2="Peak","-",SUM(C154:F154))</f>
        <v>20.704051735852975</v>
      </c>
      <c r="H154" s="203">
        <v>116.74726532738207</v>
      </c>
      <c r="I154" s="203">
        <v>102.54942948098486</v>
      </c>
      <c r="J154" s="203">
        <v>97.827781807842698</v>
      </c>
      <c r="K154" s="203">
        <v>91.101032161248256</v>
      </c>
      <c r="L154" s="203">
        <v>85.615726874316422</v>
      </c>
      <c r="M154" s="203">
        <v>84.948525306334744</v>
      </c>
      <c r="N154" s="203">
        <v>74.639995501293583</v>
      </c>
      <c r="O154" s="203">
        <v>57.879810484065409</v>
      </c>
      <c r="P154" s="203">
        <v>48.035070253966651</v>
      </c>
      <c r="Q154" s="203">
        <v>45.69337356780418</v>
      </c>
      <c r="R154" s="203">
        <v>41.766334932207343</v>
      </c>
      <c r="S154" s="203">
        <v>41.402223171628634</v>
      </c>
      <c r="T154" s="203">
        <v>41.204208203489188</v>
      </c>
      <c r="U154" s="203">
        <v>40.960747821406549</v>
      </c>
      <c r="V154" s="203">
        <v>40.861099538486002</v>
      </c>
      <c r="W154" s="203">
        <v>40.861031379715811</v>
      </c>
      <c r="X154" s="203">
        <v>38.748688359627543</v>
      </c>
      <c r="Y154" s="203">
        <v>35.140988079169134</v>
      </c>
      <c r="Z154" s="203">
        <v>33.430375397130838</v>
      </c>
      <c r="AA154" s="203">
        <v>31.076464030516775</v>
      </c>
      <c r="AB154" s="16">
        <f>Peak!AB156</f>
        <v>1.1114281146163627</v>
      </c>
      <c r="AC154" s="16">
        <f>Peak!AC156</f>
        <v>0</v>
      </c>
      <c r="AD154" s="18">
        <f>Peak!AD156</f>
        <v>583.38187908572775</v>
      </c>
      <c r="AE154" s="18">
        <f>Peak!AE156</f>
        <v>1993.8465416709116</v>
      </c>
      <c r="AF154" s="16">
        <f>Peak!AF156</f>
        <v>1</v>
      </c>
      <c r="AG154" s="73">
        <f>Peak!AG156</f>
        <v>1.1668000000000001</v>
      </c>
      <c r="AH154" s="16">
        <f>Peak!AH156</f>
        <v>3.7959308034159887</v>
      </c>
      <c r="AI154" s="16">
        <f>Peak!AI156</f>
        <v>3.9050044983856513</v>
      </c>
      <c r="AJ154" s="16">
        <f>Peak!AJ156</f>
        <v>2.4399542510000001</v>
      </c>
      <c r="AK154" s="16">
        <f>Peak!AK156</f>
        <v>7.2000000000000008E-2</v>
      </c>
      <c r="AL154" s="4"/>
    </row>
    <row r="155" spans="1:38" x14ac:dyDescent="0.2">
      <c r="A155" s="1">
        <f t="shared" si="17"/>
        <v>40980.882000000187</v>
      </c>
      <c r="B155" s="16">
        <f t="shared" si="15"/>
        <v>1.1668000000000001</v>
      </c>
      <c r="C155" s="17">
        <f t="shared" si="12"/>
        <v>11.7216728</v>
      </c>
      <c r="D155" s="16">
        <f t="shared" si="16"/>
        <v>1.11328049480739</v>
      </c>
      <c r="E155" s="16">
        <f t="shared" si="13"/>
        <v>7.1498642563620738</v>
      </c>
      <c r="F155" s="16">
        <f t="shared" si="14"/>
        <v>0.72108656487453526</v>
      </c>
      <c r="G155" s="19">
        <f>IF(IS!$C$2="Peak","-",SUM(C155:F155))</f>
        <v>20.705904116044</v>
      </c>
      <c r="H155" s="203">
        <v>106.08524223961545</v>
      </c>
      <c r="I155" s="203">
        <v>93.855913290547974</v>
      </c>
      <c r="J155" s="203">
        <v>89.538848825766891</v>
      </c>
      <c r="K155" s="203">
        <v>83.649045506607493</v>
      </c>
      <c r="L155" s="203">
        <v>78.462418109163778</v>
      </c>
      <c r="M155" s="203">
        <v>78.144786871768275</v>
      </c>
      <c r="N155" s="203">
        <v>67.265039771490876</v>
      </c>
      <c r="O155" s="203">
        <v>53.915614759077172</v>
      </c>
      <c r="P155" s="203">
        <v>44.474216495366093</v>
      </c>
      <c r="Q155" s="203">
        <v>44.062541496120708</v>
      </c>
      <c r="R155" s="203">
        <v>40.870214244876863</v>
      </c>
      <c r="S155" s="203">
        <v>38.5395007982005</v>
      </c>
      <c r="T155" s="203">
        <v>38.190640227854999</v>
      </c>
      <c r="U155" s="203">
        <v>37.823806687179015</v>
      </c>
      <c r="V155" s="203">
        <v>37.823806687179015</v>
      </c>
      <c r="W155" s="203">
        <v>37.823479065941108</v>
      </c>
      <c r="X155" s="203">
        <v>37.822697097807435</v>
      </c>
      <c r="Y155" s="203">
        <v>37.238169625337846</v>
      </c>
      <c r="Z155" s="203">
        <v>35.051473330062926</v>
      </c>
      <c r="AA155" s="203">
        <v>31.422966110598868</v>
      </c>
      <c r="AB155" s="16">
        <f>Peak!AB157</f>
        <v>1.11328049480739</v>
      </c>
      <c r="AC155" s="16">
        <f>Peak!AC157</f>
        <v>0</v>
      </c>
      <c r="AD155" s="18">
        <f>Peak!AD157</f>
        <v>583.38187908572775</v>
      </c>
      <c r="AE155" s="18">
        <f>Peak!AE157</f>
        <v>1993.8465416709116</v>
      </c>
      <c r="AF155" s="16">
        <f>Peak!AF157</f>
        <v>1</v>
      </c>
      <c r="AG155" s="73">
        <f>Peak!AG157</f>
        <v>1.1668000000000001</v>
      </c>
      <c r="AH155" s="16">
        <f>Peak!AH157</f>
        <v>3.7321020955445037</v>
      </c>
      <c r="AI155" s="16">
        <f>Peak!AI157</f>
        <v>3.7590230218104868</v>
      </c>
      <c r="AJ155" s="16">
        <f>Peak!AJ157</f>
        <v>2.4399542510000001</v>
      </c>
      <c r="AK155" s="16">
        <f>Peak!AK157</f>
        <v>7.2000000000000008E-2</v>
      </c>
      <c r="AL155" s="4"/>
    </row>
    <row r="156" spans="1:38" x14ac:dyDescent="0.2">
      <c r="A156" s="1">
        <f t="shared" si="17"/>
        <v>41011.299000000188</v>
      </c>
      <c r="B156" s="16">
        <f t="shared" si="15"/>
        <v>1.1668000000000001</v>
      </c>
      <c r="C156" s="17">
        <f t="shared" si="12"/>
        <v>11.7216728</v>
      </c>
      <c r="D156" s="16">
        <f t="shared" si="16"/>
        <v>1.1151359622987358</v>
      </c>
      <c r="E156" s="16">
        <f t="shared" si="13"/>
        <v>7.1498642563620738</v>
      </c>
      <c r="F156" s="16">
        <f t="shared" si="14"/>
        <v>0.72108656487453526</v>
      </c>
      <c r="G156" s="19">
        <f>IF(IS!$C$2="Peak","-",SUM(C156:F156))</f>
        <v>20.707759583535346</v>
      </c>
      <c r="H156" s="203">
        <v>79.499188281107266</v>
      </c>
      <c r="I156" s="203">
        <v>77.846372079782611</v>
      </c>
      <c r="J156" s="203">
        <v>77.846372079782611</v>
      </c>
      <c r="K156" s="203">
        <v>71.499352714787292</v>
      </c>
      <c r="L156" s="203">
        <v>54.227077896561269</v>
      </c>
      <c r="M156" s="203">
        <v>50.231505844310767</v>
      </c>
      <c r="N156" s="203">
        <v>43.913690053752688</v>
      </c>
      <c r="O156" s="203">
        <v>43.587721450948486</v>
      </c>
      <c r="P156" s="203">
        <v>40.556287058541244</v>
      </c>
      <c r="Q156" s="203">
        <v>39.028680173224444</v>
      </c>
      <c r="R156" s="203">
        <v>38.373600363940525</v>
      </c>
      <c r="S156" s="203">
        <v>37.967651696111027</v>
      </c>
      <c r="T156" s="203">
        <v>37.835878567046507</v>
      </c>
      <c r="U156" s="203">
        <v>37.835878567046507</v>
      </c>
      <c r="V156" s="203">
        <v>37.54751845808488</v>
      </c>
      <c r="W156" s="203">
        <v>37.525588353804373</v>
      </c>
      <c r="X156" s="203">
        <v>37.525588353804373</v>
      </c>
      <c r="Y156" s="203">
        <v>37.525588353804373</v>
      </c>
      <c r="Z156" s="203">
        <v>37.525508874649844</v>
      </c>
      <c r="AA156" s="203">
        <v>34.638516732444501</v>
      </c>
      <c r="AB156" s="16">
        <f>Peak!AB158</f>
        <v>1.1151359622987358</v>
      </c>
      <c r="AC156" s="16">
        <f>Peak!AC158</f>
        <v>0</v>
      </c>
      <c r="AD156" s="18">
        <f>Peak!AD158</f>
        <v>583.38187908572775</v>
      </c>
      <c r="AE156" s="18">
        <f>Peak!AE158</f>
        <v>1993.8465416709116</v>
      </c>
      <c r="AF156" s="16">
        <f>Peak!AF158</f>
        <v>1</v>
      </c>
      <c r="AG156" s="73">
        <f>Peak!AG158</f>
        <v>1.1668000000000001</v>
      </c>
      <c r="AH156" s="16">
        <f>Peak!AH158</f>
        <v>3.5481252316796335</v>
      </c>
      <c r="AI156" s="16">
        <f>Peak!AI158</f>
        <v>3.6130415452353222</v>
      </c>
      <c r="AJ156" s="16">
        <f>Peak!AJ158</f>
        <v>2.4399542510000001</v>
      </c>
      <c r="AK156" s="16">
        <f>Peak!AK158</f>
        <v>7.2000000000000008E-2</v>
      </c>
      <c r="AL156" s="4"/>
    </row>
    <row r="157" spans="1:38" x14ac:dyDescent="0.2">
      <c r="A157" s="1">
        <f t="shared" si="17"/>
        <v>41041.71600000019</v>
      </c>
      <c r="B157" s="16">
        <f t="shared" si="15"/>
        <v>1.1668000000000001</v>
      </c>
      <c r="C157" s="17">
        <f t="shared" si="12"/>
        <v>11.7216728</v>
      </c>
      <c r="D157" s="16">
        <f t="shared" si="16"/>
        <v>1.1169945222359003</v>
      </c>
      <c r="E157" s="16">
        <f t="shared" si="13"/>
        <v>7.1498642563620738</v>
      </c>
      <c r="F157" s="16">
        <f t="shared" si="14"/>
        <v>0.72108656487453526</v>
      </c>
      <c r="G157" s="19">
        <f>IF(IS!$C$2="Peak","-",SUM(C157:F157))</f>
        <v>20.709618143472511</v>
      </c>
      <c r="H157" s="203">
        <v>155.15641540975386</v>
      </c>
      <c r="I157" s="203">
        <v>133.47859990904385</v>
      </c>
      <c r="J157" s="203">
        <v>83.364089370712364</v>
      </c>
      <c r="K157" s="203">
        <v>72.43039993990935</v>
      </c>
      <c r="L157" s="203">
        <v>68.463294593411234</v>
      </c>
      <c r="M157" s="203">
        <v>63.604487820680689</v>
      </c>
      <c r="N157" s="203">
        <v>62.247578814494872</v>
      </c>
      <c r="O157" s="203">
        <v>51.350398654423408</v>
      </c>
      <c r="P157" s="203">
        <v>43.536349881404142</v>
      </c>
      <c r="Q157" s="203">
        <v>36.8163202813247</v>
      </c>
      <c r="R157" s="203">
        <v>35.571787132394519</v>
      </c>
      <c r="S157" s="203">
        <v>34.877770894105957</v>
      </c>
      <c r="T157" s="203">
        <v>33.201570777894759</v>
      </c>
      <c r="U157" s="203">
        <v>32.130237995223034</v>
      </c>
      <c r="V157" s="203">
        <v>31.099168162975975</v>
      </c>
      <c r="W157" s="203">
        <v>30.927510894303246</v>
      </c>
      <c r="X157" s="203">
        <v>30.772766587156898</v>
      </c>
      <c r="Y157" s="203">
        <v>30.69830647161216</v>
      </c>
      <c r="Z157" s="203">
        <v>29.645588613872771</v>
      </c>
      <c r="AA157" s="203">
        <v>26.180342438013913</v>
      </c>
      <c r="AB157" s="16">
        <f>Peak!AB159</f>
        <v>1.1169945222359003</v>
      </c>
      <c r="AC157" s="16">
        <f>Peak!AC159</f>
        <v>0</v>
      </c>
      <c r="AD157" s="18">
        <f>Peak!AD159</f>
        <v>583.38187908572775</v>
      </c>
      <c r="AE157" s="18">
        <f>Peak!AE159</f>
        <v>1993.8465416709116</v>
      </c>
      <c r="AF157" s="16">
        <f>Peak!AF159</f>
        <v>1</v>
      </c>
      <c r="AG157" s="73">
        <f>Peak!AG159</f>
        <v>1.1668000000000001</v>
      </c>
      <c r="AH157" s="16">
        <f>Peak!AH159</f>
        <v>3.7358567254192967</v>
      </c>
      <c r="AI157" s="16">
        <f>Peak!AI159</f>
        <v>3.4670600686601576</v>
      </c>
      <c r="AJ157" s="16">
        <f>Peak!AJ159</f>
        <v>2.4399542510000001</v>
      </c>
      <c r="AK157" s="16">
        <f>Peak!AK159</f>
        <v>7.2000000000000008E-2</v>
      </c>
      <c r="AL157" s="4"/>
    </row>
    <row r="158" spans="1:38" x14ac:dyDescent="0.2">
      <c r="A158" s="1">
        <f t="shared" si="17"/>
        <v>41072.133000000191</v>
      </c>
      <c r="B158" s="16">
        <f t="shared" si="15"/>
        <v>1.1668000000000001</v>
      </c>
      <c r="C158" s="17">
        <f t="shared" si="12"/>
        <v>11.7216728</v>
      </c>
      <c r="D158" s="16">
        <f t="shared" si="16"/>
        <v>1.1188561797729601</v>
      </c>
      <c r="E158" s="16">
        <f t="shared" si="13"/>
        <v>7.1498642563620738</v>
      </c>
      <c r="F158" s="16">
        <f t="shared" si="14"/>
        <v>0.72108656487453526</v>
      </c>
      <c r="G158" s="19">
        <f>IF(IS!$C$2="Peak","-",SUM(C158:F158))</f>
        <v>20.71147980100957</v>
      </c>
      <c r="H158" s="203">
        <v>193.41396022699371</v>
      </c>
      <c r="I158" s="203">
        <v>175.45002272086407</v>
      </c>
      <c r="J158" s="203">
        <v>160.13783305695773</v>
      </c>
      <c r="K158" s="203">
        <v>134.013322525219</v>
      </c>
      <c r="L158" s="203">
        <v>89.996429713672441</v>
      </c>
      <c r="M158" s="203">
        <v>78.377258606598787</v>
      </c>
      <c r="N158" s="203">
        <v>52.780794870434114</v>
      </c>
      <c r="O158" s="203">
        <v>46.764066941035395</v>
      </c>
      <c r="P158" s="203">
        <v>41.936270770363059</v>
      </c>
      <c r="Q158" s="203">
        <v>41.308021736294535</v>
      </c>
      <c r="R158" s="203">
        <v>40.902587286563993</v>
      </c>
      <c r="S158" s="203">
        <v>40.154797172001366</v>
      </c>
      <c r="T158" s="203">
        <v>37.600475154500266</v>
      </c>
      <c r="U158" s="203">
        <v>36.06618054811743</v>
      </c>
      <c r="V158" s="203">
        <v>34.443721848577802</v>
      </c>
      <c r="W158" s="203">
        <v>33.598235725127381</v>
      </c>
      <c r="X158" s="203">
        <v>32.878663774958916</v>
      </c>
      <c r="Y158" s="203">
        <v>31.983337340474197</v>
      </c>
      <c r="Z158" s="203">
        <v>30.471569911889283</v>
      </c>
      <c r="AA158" s="203">
        <v>27.435421757011238</v>
      </c>
      <c r="AB158" s="16">
        <f>Peak!AB160</f>
        <v>1.1188561797729601</v>
      </c>
      <c r="AC158" s="16">
        <f>Peak!AC160</f>
        <v>0</v>
      </c>
      <c r="AD158" s="18">
        <f>Peak!AD160</f>
        <v>583.38187908572775</v>
      </c>
      <c r="AE158" s="18">
        <f>Peak!AE160</f>
        <v>1993.8465416709116</v>
      </c>
      <c r="AF158" s="16">
        <f>Peak!AF160</f>
        <v>1</v>
      </c>
      <c r="AG158" s="73">
        <f>Peak!AG160</f>
        <v>1.1668000000000001</v>
      </c>
      <c r="AH158" s="16">
        <f>Peak!AH160</f>
        <v>3.5593891213040134</v>
      </c>
      <c r="AI158" s="16">
        <f>Peak!AI160</f>
        <v>3.4670600686601576</v>
      </c>
      <c r="AJ158" s="16">
        <f>Peak!AJ160</f>
        <v>2.4399542510000001</v>
      </c>
      <c r="AK158" s="16">
        <f>Peak!AK160</f>
        <v>7.2000000000000008E-2</v>
      </c>
      <c r="AL158" s="4"/>
    </row>
    <row r="159" spans="1:38" x14ac:dyDescent="0.2">
      <c r="A159" s="1">
        <f t="shared" si="17"/>
        <v>41102.550000000192</v>
      </c>
      <c r="B159" s="16">
        <f t="shared" si="15"/>
        <v>1.1668000000000001</v>
      </c>
      <c r="C159" s="17">
        <f t="shared" si="12"/>
        <v>11.7216728</v>
      </c>
      <c r="D159" s="16">
        <f t="shared" si="16"/>
        <v>1.1207209400725817</v>
      </c>
      <c r="E159" s="16">
        <f t="shared" si="13"/>
        <v>7.1498642563620738</v>
      </c>
      <c r="F159" s="16">
        <f t="shared" si="14"/>
        <v>0.72108656487453526</v>
      </c>
      <c r="G159" s="19">
        <f>IF(IS!$C$2="Peak","-",SUM(C159:F159))</f>
        <v>20.713344561309192</v>
      </c>
      <c r="H159" s="203">
        <v>227.84862916884771</v>
      </c>
      <c r="I159" s="203">
        <v>200.27690175261336</v>
      </c>
      <c r="J159" s="203">
        <v>181.31802141756731</v>
      </c>
      <c r="K159" s="203">
        <v>160.22339857620062</v>
      </c>
      <c r="L159" s="203">
        <v>146.10840201860879</v>
      </c>
      <c r="M159" s="203">
        <v>99.780406367115887</v>
      </c>
      <c r="N159" s="203">
        <v>84.72791395108068</v>
      </c>
      <c r="O159" s="203">
        <v>80.682389194499834</v>
      </c>
      <c r="P159" s="203">
        <v>69.872720258240818</v>
      </c>
      <c r="Q159" s="203">
        <v>53.732029536383678</v>
      </c>
      <c r="R159" s="203">
        <v>45.610982419180246</v>
      </c>
      <c r="S159" s="203">
        <v>43.78033070851297</v>
      </c>
      <c r="T159" s="203">
        <v>40.555614081283736</v>
      </c>
      <c r="U159" s="203">
        <v>39.501525962796777</v>
      </c>
      <c r="V159" s="203">
        <v>39.277136673946949</v>
      </c>
      <c r="W159" s="203">
        <v>39.263103594550714</v>
      </c>
      <c r="X159" s="203">
        <v>38.958339167204549</v>
      </c>
      <c r="Y159" s="203">
        <v>38.913297276288056</v>
      </c>
      <c r="Z159" s="203">
        <v>38.634598376436251</v>
      </c>
      <c r="AA159" s="203">
        <v>34.873943583409869</v>
      </c>
      <c r="AB159" s="16">
        <f>Peak!AB161</f>
        <v>1.1207209400725817</v>
      </c>
      <c r="AC159" s="16">
        <f>Peak!AC161</f>
        <v>0</v>
      </c>
      <c r="AD159" s="18">
        <f>Peak!AD161</f>
        <v>583.38187908572775</v>
      </c>
      <c r="AE159" s="18">
        <f>Peak!AE161</f>
        <v>1993.8465416709116</v>
      </c>
      <c r="AF159" s="16">
        <f>Peak!AF161</f>
        <v>1</v>
      </c>
      <c r="AG159" s="73">
        <f>Peak!AG161</f>
        <v>1.1668000000000001</v>
      </c>
      <c r="AH159" s="16">
        <f>Peak!AH161</f>
        <v>3.5481252316796335</v>
      </c>
      <c r="AI159" s="16">
        <f>Peak!AI161</f>
        <v>3.4670600686601576</v>
      </c>
      <c r="AJ159" s="16">
        <f>Peak!AJ161</f>
        <v>2.4399542510000001</v>
      </c>
      <c r="AK159" s="16">
        <f>Peak!AK161</f>
        <v>7.2000000000000008E-2</v>
      </c>
      <c r="AL159" s="4"/>
    </row>
    <row r="160" spans="1:38" x14ac:dyDescent="0.2">
      <c r="A160" s="1">
        <f t="shared" si="17"/>
        <v>41132.967000000193</v>
      </c>
      <c r="B160" s="16">
        <f t="shared" si="15"/>
        <v>1.1668000000000001</v>
      </c>
      <c r="C160" s="17">
        <f t="shared" si="12"/>
        <v>11.7216728</v>
      </c>
      <c r="D160" s="16">
        <f t="shared" si="16"/>
        <v>1.122588808306036</v>
      </c>
      <c r="E160" s="16">
        <f t="shared" si="13"/>
        <v>7.1498642563620738</v>
      </c>
      <c r="F160" s="16">
        <f t="shared" si="14"/>
        <v>0.72108656487453526</v>
      </c>
      <c r="G160" s="19">
        <f>IF(IS!$C$2="Peak","-",SUM(C160:F160))</f>
        <v>20.715212429542646</v>
      </c>
      <c r="H160" s="203">
        <v>454.14938756880395</v>
      </c>
      <c r="I160" s="203">
        <v>290.03607276374976</v>
      </c>
      <c r="J160" s="203">
        <v>242.26371480781131</v>
      </c>
      <c r="K160" s="203">
        <v>207.85361151623783</v>
      </c>
      <c r="L160" s="203">
        <v>180.5851462266821</v>
      </c>
      <c r="M160" s="203">
        <v>156.77382073319328</v>
      </c>
      <c r="N160" s="203">
        <v>104.49636490074205</v>
      </c>
      <c r="O160" s="203">
        <v>57.479641204128299</v>
      </c>
      <c r="P160" s="203">
        <v>49.125231532201255</v>
      </c>
      <c r="Q160" s="203">
        <v>45.077428574058985</v>
      </c>
      <c r="R160" s="203">
        <v>42.374763034030742</v>
      </c>
      <c r="S160" s="203">
        <v>38.904402211568815</v>
      </c>
      <c r="T160" s="203">
        <v>36.242303683143462</v>
      </c>
      <c r="U160" s="203">
        <v>34.606593865541996</v>
      </c>
      <c r="V160" s="203">
        <v>33.346134325633031</v>
      </c>
      <c r="W160" s="203">
        <v>32.482720559594043</v>
      </c>
      <c r="X160" s="203">
        <v>30.430315754955178</v>
      </c>
      <c r="Y160" s="203">
        <v>29.039001683511195</v>
      </c>
      <c r="Z160" s="203">
        <v>28.097863701336298</v>
      </c>
      <c r="AA160" s="203">
        <v>26.658583095990725</v>
      </c>
      <c r="AB160" s="16">
        <f>Peak!AB162</f>
        <v>1.122588808306036</v>
      </c>
      <c r="AC160" s="16">
        <f>Peak!AC162</f>
        <v>0</v>
      </c>
      <c r="AD160" s="18">
        <f>Peak!AD162</f>
        <v>583.38187908572775</v>
      </c>
      <c r="AE160" s="18">
        <f>Peak!AE162</f>
        <v>1993.8465416709116</v>
      </c>
      <c r="AF160" s="16">
        <f>Peak!AF162</f>
        <v>1</v>
      </c>
      <c r="AG160" s="73">
        <f>Peak!AG162</f>
        <v>1.1668000000000001</v>
      </c>
      <c r="AH160" s="16">
        <f>Peak!AH162</f>
        <v>3.3641483678147637</v>
      </c>
      <c r="AI160" s="16">
        <f>Peak!AI162</f>
        <v>3.4670600686601576</v>
      </c>
      <c r="AJ160" s="16">
        <f>Peak!AJ162</f>
        <v>2.4399542510000001</v>
      </c>
      <c r="AK160" s="16">
        <f>Peak!AK162</f>
        <v>7.2000000000000008E-2</v>
      </c>
      <c r="AL160" s="4"/>
    </row>
    <row r="161" spans="1:38" x14ac:dyDescent="0.2">
      <c r="A161" s="1">
        <f t="shared" si="17"/>
        <v>41163.384000000195</v>
      </c>
      <c r="B161" s="16">
        <f t="shared" si="15"/>
        <v>1.1668000000000001</v>
      </c>
      <c r="C161" s="17">
        <f t="shared" si="12"/>
        <v>11.7216728</v>
      </c>
      <c r="D161" s="16">
        <f t="shared" si="16"/>
        <v>1.1244597896532127</v>
      </c>
      <c r="E161" s="16">
        <f t="shared" si="13"/>
        <v>7.1498642563620738</v>
      </c>
      <c r="F161" s="16">
        <f t="shared" si="14"/>
        <v>0.72108656487453526</v>
      </c>
      <c r="G161" s="19">
        <f>IF(IS!$C$2="Peak","-",SUM(C161:F161))</f>
        <v>20.717083410889824</v>
      </c>
      <c r="H161" s="203">
        <v>176.8019585806974</v>
      </c>
      <c r="I161" s="203">
        <v>159.7011453442756</v>
      </c>
      <c r="J161" s="203">
        <v>150.51259114802792</v>
      </c>
      <c r="K161" s="203">
        <v>90.947213013725744</v>
      </c>
      <c r="L161" s="203">
        <v>76.649718108444702</v>
      </c>
      <c r="M161" s="203">
        <v>73.550002279010158</v>
      </c>
      <c r="N161" s="203">
        <v>54.206323554958374</v>
      </c>
      <c r="O161" s="203">
        <v>47.745714881461666</v>
      </c>
      <c r="P161" s="203">
        <v>42.348218859640681</v>
      </c>
      <c r="Q161" s="203">
        <v>41.846944476147904</v>
      </c>
      <c r="R161" s="203">
        <v>40.344741109560928</v>
      </c>
      <c r="S161" s="203">
        <v>39.402590580135623</v>
      </c>
      <c r="T161" s="203">
        <v>37.683033767627286</v>
      </c>
      <c r="U161" s="203">
        <v>36.580858024611764</v>
      </c>
      <c r="V161" s="203">
        <v>36.421419927955455</v>
      </c>
      <c r="W161" s="203">
        <v>36.267432926496653</v>
      </c>
      <c r="X161" s="203">
        <v>36.125285667902652</v>
      </c>
      <c r="Y161" s="203">
        <v>36.125285667902652</v>
      </c>
      <c r="Z161" s="203">
        <v>36.125273990001951</v>
      </c>
      <c r="AA161" s="203">
        <v>34.554802150871957</v>
      </c>
      <c r="AB161" s="16">
        <f>Peak!AB163</f>
        <v>1.1244597896532127</v>
      </c>
      <c r="AC161" s="16">
        <f>Peak!AC163</f>
        <v>0</v>
      </c>
      <c r="AD161" s="18">
        <f>Peak!AD163</f>
        <v>583.38187908572775</v>
      </c>
      <c r="AE161" s="18">
        <f>Peak!AE163</f>
        <v>1993.8465416709116</v>
      </c>
      <c r="AF161" s="16">
        <f>Peak!AF163</f>
        <v>1</v>
      </c>
      <c r="AG161" s="73">
        <f>Peak!AG163</f>
        <v>1.1668000000000001</v>
      </c>
      <c r="AH161" s="16">
        <f>Peak!AH163</f>
        <v>3.3528844781903842</v>
      </c>
      <c r="AI161" s="16">
        <f>Peak!AI163</f>
        <v>3.4670600686601576</v>
      </c>
      <c r="AJ161" s="16">
        <f>Peak!AJ163</f>
        <v>2.4399542510000001</v>
      </c>
      <c r="AK161" s="16">
        <f>Peak!AK163</f>
        <v>7.2000000000000008E-2</v>
      </c>
      <c r="AL161" s="4"/>
    </row>
    <row r="162" spans="1:38" x14ac:dyDescent="0.2">
      <c r="A162" s="1">
        <f t="shared" si="17"/>
        <v>41193.801000000196</v>
      </c>
      <c r="B162" s="16">
        <f t="shared" si="15"/>
        <v>1.1668000000000001</v>
      </c>
      <c r="C162" s="17">
        <f t="shared" si="12"/>
        <v>11.7216728</v>
      </c>
      <c r="D162" s="16">
        <f t="shared" si="16"/>
        <v>1.1263338893026347</v>
      </c>
      <c r="E162" s="16">
        <f t="shared" si="13"/>
        <v>7.1498642563620738</v>
      </c>
      <c r="F162" s="16">
        <f t="shared" si="14"/>
        <v>0.72108656487453526</v>
      </c>
      <c r="G162" s="19">
        <f>IF(IS!$C$2="Peak","-",SUM(C162:F162))</f>
        <v>20.718957510539244</v>
      </c>
      <c r="H162" s="203">
        <v>113.9764424835931</v>
      </c>
      <c r="I162" s="203">
        <v>95.726348316431626</v>
      </c>
      <c r="J162" s="203">
        <v>90.032341758727085</v>
      </c>
      <c r="K162" s="203">
        <v>78.984540913025612</v>
      </c>
      <c r="L162" s="203">
        <v>69.387244219364135</v>
      </c>
      <c r="M162" s="203">
        <v>65.083929179109845</v>
      </c>
      <c r="N162" s="203">
        <v>60.304998210874793</v>
      </c>
      <c r="O162" s="203">
        <v>59.720263465376107</v>
      </c>
      <c r="P162" s="203">
        <v>49.597320012292073</v>
      </c>
      <c r="Q162" s="203">
        <v>45.397713357823399</v>
      </c>
      <c r="R162" s="203">
        <v>42.412746353039488</v>
      </c>
      <c r="S162" s="203">
        <v>37.899222099633661</v>
      </c>
      <c r="T162" s="203">
        <v>32.851892060740752</v>
      </c>
      <c r="U162" s="203">
        <v>31.486190284037967</v>
      </c>
      <c r="V162" s="203">
        <v>30.514435321612687</v>
      </c>
      <c r="W162" s="203">
        <v>30.472210713429458</v>
      </c>
      <c r="X162" s="203">
        <v>30.172685520183776</v>
      </c>
      <c r="Y162" s="203">
        <v>29.775148096785124</v>
      </c>
      <c r="Z162" s="203">
        <v>29.775148096785124</v>
      </c>
      <c r="AA162" s="203">
        <v>29.767154027057842</v>
      </c>
      <c r="AB162" s="16">
        <f>Peak!AB164</f>
        <v>1.1263338893026347</v>
      </c>
      <c r="AC162" s="16">
        <f>Peak!AC164</f>
        <v>0</v>
      </c>
      <c r="AD162" s="18">
        <f>Peak!AD164</f>
        <v>583.38187908572775</v>
      </c>
      <c r="AE162" s="18">
        <f>Peak!AE164</f>
        <v>1993.8465416709116</v>
      </c>
      <c r="AF162" s="16">
        <f>Peak!AF164</f>
        <v>1</v>
      </c>
      <c r="AG162" s="73">
        <f>Peak!AG164</f>
        <v>1.1668000000000001</v>
      </c>
      <c r="AH162" s="16">
        <f>Peak!AH164</f>
        <v>3.7133289461705372</v>
      </c>
      <c r="AI162" s="16">
        <f>Peak!AI164</f>
        <v>3.4670600686601576</v>
      </c>
      <c r="AJ162" s="16">
        <f>Peak!AJ164</f>
        <v>2.4399542510000001</v>
      </c>
      <c r="AK162" s="16">
        <f>Peak!AK164</f>
        <v>7.2000000000000008E-2</v>
      </c>
      <c r="AL162" s="4"/>
    </row>
    <row r="163" spans="1:38" x14ac:dyDescent="0.2">
      <c r="A163" s="1">
        <f t="shared" si="17"/>
        <v>41224.218000000197</v>
      </c>
      <c r="B163" s="16">
        <f t="shared" si="15"/>
        <v>1.1668000000000001</v>
      </c>
      <c r="C163" s="17">
        <f t="shared" si="12"/>
        <v>11.7216728</v>
      </c>
      <c r="D163" s="16">
        <f t="shared" si="16"/>
        <v>1.1282111124514724</v>
      </c>
      <c r="E163" s="16">
        <f t="shared" si="13"/>
        <v>7.1498642563620738</v>
      </c>
      <c r="F163" s="16">
        <f t="shared" si="14"/>
        <v>0.72108656487453526</v>
      </c>
      <c r="G163" s="19">
        <f>IF(IS!$C$2="Peak","-",SUM(C163:F163))</f>
        <v>20.720834733688083</v>
      </c>
      <c r="H163" s="203">
        <v>150.94312074135209</v>
      </c>
      <c r="I163" s="203">
        <v>141.87364004814847</v>
      </c>
      <c r="J163" s="203">
        <v>117.83406294120584</v>
      </c>
      <c r="K163" s="203">
        <v>86.004926470161351</v>
      </c>
      <c r="L163" s="203">
        <v>76.644330463569943</v>
      </c>
      <c r="M163" s="203">
        <v>73.049881675657758</v>
      </c>
      <c r="N163" s="203">
        <v>66.029839536720885</v>
      </c>
      <c r="O163" s="203">
        <v>51.776036292460311</v>
      </c>
      <c r="P163" s="203">
        <v>51.389700393309155</v>
      </c>
      <c r="Q163" s="203">
        <v>50.223365628530118</v>
      </c>
      <c r="R163" s="203">
        <v>41.575141531708766</v>
      </c>
      <c r="S163" s="203">
        <v>40.706317905344122</v>
      </c>
      <c r="T163" s="203">
        <v>37.089893689292509</v>
      </c>
      <c r="U163" s="203">
        <v>36.100443176539784</v>
      </c>
      <c r="V163" s="203">
        <v>35.845602208937706</v>
      </c>
      <c r="W163" s="203">
        <v>35.796159189260322</v>
      </c>
      <c r="X163" s="203">
        <v>35.796159189260322</v>
      </c>
      <c r="Y163" s="203">
        <v>35.744139678765748</v>
      </c>
      <c r="Z163" s="203">
        <v>35.222548354049643</v>
      </c>
      <c r="AA163" s="203">
        <v>34.593899620999487</v>
      </c>
      <c r="AB163" s="16">
        <f>Peak!AB165</f>
        <v>1.1282111124514724</v>
      </c>
      <c r="AC163" s="16">
        <f>Peak!AC165</f>
        <v>0</v>
      </c>
      <c r="AD163" s="18">
        <f>Peak!AD165</f>
        <v>583.38187908572775</v>
      </c>
      <c r="AE163" s="18">
        <f>Peak!AE165</f>
        <v>1993.8465416709116</v>
      </c>
      <c r="AF163" s="16">
        <f>Peak!AF165</f>
        <v>1</v>
      </c>
      <c r="AG163" s="73">
        <f>Peak!AG165</f>
        <v>1.1668000000000001</v>
      </c>
      <c r="AH163" s="16">
        <f>Peak!AH165</f>
        <v>4.0662641544011038</v>
      </c>
      <c r="AI163" s="16">
        <f>Peak!AI165</f>
        <v>3.7590230218104868</v>
      </c>
      <c r="AJ163" s="16">
        <f>Peak!AJ165</f>
        <v>2.4399542510000001</v>
      </c>
      <c r="AK163" s="16">
        <f>Peak!AK165</f>
        <v>7.2000000000000008E-2</v>
      </c>
      <c r="AL163" s="4"/>
    </row>
    <row r="164" spans="1:38" x14ac:dyDescent="0.2">
      <c r="A164" s="1">
        <f t="shared" si="17"/>
        <v>41254.635000000198</v>
      </c>
      <c r="B164" s="16">
        <f t="shared" si="15"/>
        <v>1.1668000000000001</v>
      </c>
      <c r="C164" s="17">
        <f t="shared" si="12"/>
        <v>11.7216728</v>
      </c>
      <c r="D164" s="16">
        <f t="shared" si="16"/>
        <v>1.1300914643055582</v>
      </c>
      <c r="E164" s="16">
        <f t="shared" si="13"/>
        <v>7.1498642563620738</v>
      </c>
      <c r="F164" s="16">
        <f t="shared" si="14"/>
        <v>0.72108656487453526</v>
      </c>
      <c r="G164" s="19">
        <f>IF(IS!$C$2="Peak","-",SUM(C164:F164))</f>
        <v>20.722715085542166</v>
      </c>
      <c r="H164" s="203">
        <v>151.55627780310641</v>
      </c>
      <c r="I164" s="203">
        <v>148.07690728240505</v>
      </c>
      <c r="J164" s="203">
        <v>102.49287749641624</v>
      </c>
      <c r="K164" s="203">
        <v>93.011128274355002</v>
      </c>
      <c r="L164" s="203">
        <v>87.067592105519381</v>
      </c>
      <c r="M164" s="203">
        <v>84.029523567702384</v>
      </c>
      <c r="N164" s="203">
        <v>82.463495726401447</v>
      </c>
      <c r="O164" s="203">
        <v>68.281487727704999</v>
      </c>
      <c r="P164" s="203">
        <v>57.14464164778186</v>
      </c>
      <c r="Q164" s="203">
        <v>47.686365273820833</v>
      </c>
      <c r="R164" s="203">
        <v>46.80022528618602</v>
      </c>
      <c r="S164" s="203">
        <v>41.645760666771153</v>
      </c>
      <c r="T164" s="203">
        <v>41.036742651639223</v>
      </c>
      <c r="U164" s="203">
        <v>41.036742651639223</v>
      </c>
      <c r="V164" s="203">
        <v>41.036742651639223</v>
      </c>
      <c r="W164" s="203">
        <v>41.036742651639223</v>
      </c>
      <c r="X164" s="203">
        <v>40.705390418143573</v>
      </c>
      <c r="Y164" s="203">
        <v>40.698734579925976</v>
      </c>
      <c r="Z164" s="203">
        <v>40.698734579925976</v>
      </c>
      <c r="AA164" s="203">
        <v>37.37936014422511</v>
      </c>
      <c r="AB164" s="16">
        <f>Peak!AB166</f>
        <v>1.1300914643055582</v>
      </c>
      <c r="AC164" s="16">
        <f>Peak!AC166</f>
        <v>0</v>
      </c>
      <c r="AD164" s="18">
        <f>Peak!AD166</f>
        <v>583.38187908572775</v>
      </c>
      <c r="AE164" s="18">
        <f>Peak!AE166</f>
        <v>1993.8465416709116</v>
      </c>
      <c r="AF164" s="16">
        <f>Peak!AF166</f>
        <v>1</v>
      </c>
      <c r="AG164" s="73">
        <f>Peak!AG166</f>
        <v>1.1668000000000001</v>
      </c>
      <c r="AH164" s="16">
        <f>Peak!AH166</f>
        <v>4.4004262132577043</v>
      </c>
      <c r="AI164" s="16">
        <f>Peak!AI166</f>
        <v>3.9414998675294424</v>
      </c>
      <c r="AJ164" s="16">
        <f>Peak!AJ166</f>
        <v>2.4399542510000001</v>
      </c>
      <c r="AK164" s="16">
        <f>Peak!AK166</f>
        <v>7.2000000000000008E-2</v>
      </c>
      <c r="AL164" s="4"/>
    </row>
    <row r="165" spans="1:38" x14ac:dyDescent="0.2">
      <c r="A165" s="1">
        <f t="shared" si="17"/>
        <v>41285.0520000002</v>
      </c>
      <c r="B165" s="16">
        <f t="shared" si="15"/>
        <v>1.1665000000000001</v>
      </c>
      <c r="C165" s="17">
        <f t="shared" si="12"/>
        <v>11.718659000000002</v>
      </c>
      <c r="D165" s="16">
        <f t="shared" si="16"/>
        <v>1.1319749500794007</v>
      </c>
      <c r="E165" s="16">
        <f t="shared" si="13"/>
        <v>8.0168786727282555</v>
      </c>
      <c r="F165" s="16">
        <f t="shared" si="14"/>
        <v>0.64408159143643295</v>
      </c>
      <c r="G165" s="19">
        <f>IF(IS!$C$2="Peak","-",SUM(C165:F165))</f>
        <v>21.511594214244091</v>
      </c>
      <c r="H165" s="203">
        <v>106.12619029558753</v>
      </c>
      <c r="I165" s="203">
        <v>102.51069987331269</v>
      </c>
      <c r="J165" s="203">
        <v>98.122766843722871</v>
      </c>
      <c r="K165" s="203">
        <v>93.81794732113832</v>
      </c>
      <c r="L165" s="203">
        <v>93.600351090235961</v>
      </c>
      <c r="M165" s="203">
        <v>87.240003831409297</v>
      </c>
      <c r="N165" s="203">
        <v>63.624450731978321</v>
      </c>
      <c r="O165" s="203">
        <v>57.03791724863104</v>
      </c>
      <c r="P165" s="203">
        <v>52.29446650583639</v>
      </c>
      <c r="Q165" s="203">
        <v>44.884107361873056</v>
      </c>
      <c r="R165" s="203">
        <v>44.884107361873056</v>
      </c>
      <c r="S165" s="203">
        <v>44.884107361873056</v>
      </c>
      <c r="T165" s="203">
        <v>44.883975991450939</v>
      </c>
      <c r="U165" s="203">
        <v>44.506032806250929</v>
      </c>
      <c r="V165" s="203">
        <v>44.504710288822203</v>
      </c>
      <c r="W165" s="203">
        <v>44.504710288822203</v>
      </c>
      <c r="X165" s="203">
        <v>44.504710288822203</v>
      </c>
      <c r="Y165" s="203">
        <v>44.504688158917631</v>
      </c>
      <c r="Z165" s="203">
        <v>44.504550516071816</v>
      </c>
      <c r="AA165" s="203">
        <v>37.573813892644687</v>
      </c>
      <c r="AB165" s="16">
        <f>Peak!AB167</f>
        <v>1.1319749500794007</v>
      </c>
      <c r="AC165" s="16">
        <f>Peak!AC167</f>
        <v>0</v>
      </c>
      <c r="AD165" s="18">
        <f>Peak!AD167</f>
        <v>654.12455073352146</v>
      </c>
      <c r="AE165" s="18">
        <f>Peak!AE167</f>
        <v>1780.92328465844</v>
      </c>
      <c r="AF165" s="16">
        <f>Peak!AF167</f>
        <v>1</v>
      </c>
      <c r="AG165" s="73">
        <f>Peak!AG167</f>
        <v>1.1665000000000001</v>
      </c>
      <c r="AH165" s="16">
        <f>Peak!AH167</f>
        <v>4.4208538096916277</v>
      </c>
      <c r="AI165" s="16">
        <f>Peak!AI167</f>
        <v>4.1231816791224452</v>
      </c>
      <c r="AJ165" s="16">
        <f>Peak!AJ167</f>
        <v>2.4399542510000001</v>
      </c>
      <c r="AK165" s="16">
        <f>Peak!AK167</f>
        <v>7.2000000000000008E-2</v>
      </c>
      <c r="AL165" s="4"/>
    </row>
    <row r="166" spans="1:38" x14ac:dyDescent="0.2">
      <c r="A166" s="1">
        <f t="shared" si="17"/>
        <v>41315.469000000201</v>
      </c>
      <c r="B166" s="16">
        <f t="shared" si="15"/>
        <v>1.1665000000000001</v>
      </c>
      <c r="C166" s="17">
        <f t="shared" si="12"/>
        <v>11.718659000000002</v>
      </c>
      <c r="D166" s="16">
        <f t="shared" si="16"/>
        <v>1.1338615749961998</v>
      </c>
      <c r="E166" s="16">
        <f t="shared" si="13"/>
        <v>8.0168786727282555</v>
      </c>
      <c r="F166" s="16">
        <f t="shared" si="14"/>
        <v>0.64408159143643295</v>
      </c>
      <c r="G166" s="19">
        <f>IF(IS!$C$2="Peak","-",SUM(C166:F166))</f>
        <v>21.513480839160891</v>
      </c>
      <c r="H166" s="203">
        <v>151.79412228291909</v>
      </c>
      <c r="I166" s="203">
        <v>133.19880500863957</v>
      </c>
      <c r="J166" s="203">
        <v>96.077602482325162</v>
      </c>
      <c r="K166" s="203">
        <v>80.664747690849907</v>
      </c>
      <c r="L166" s="203">
        <v>75.75716139465878</v>
      </c>
      <c r="M166" s="203">
        <v>70.545563342924353</v>
      </c>
      <c r="N166" s="203">
        <v>66.054733208214245</v>
      </c>
      <c r="O166" s="203">
        <v>65.723298501791106</v>
      </c>
      <c r="P166" s="203">
        <v>60.221955529800674</v>
      </c>
      <c r="Q166" s="203">
        <v>46.840869945777683</v>
      </c>
      <c r="R166" s="203">
        <v>45.156117074188117</v>
      </c>
      <c r="S166" s="203">
        <v>40.863585989495718</v>
      </c>
      <c r="T166" s="203">
        <v>38.725340015393087</v>
      </c>
      <c r="U166" s="203">
        <v>37.720555375358394</v>
      </c>
      <c r="V166" s="203">
        <v>37.457670360863801</v>
      </c>
      <c r="W166" s="203">
        <v>37.027424641575514</v>
      </c>
      <c r="X166" s="203">
        <v>36.0558100360089</v>
      </c>
      <c r="Y166" s="203">
        <v>35.219147083769741</v>
      </c>
      <c r="Z166" s="203">
        <v>33.701301137199707</v>
      </c>
      <c r="AA166" s="203">
        <v>32.672672087765861</v>
      </c>
      <c r="AB166" s="16">
        <f>Peak!AB168</f>
        <v>1.1338615749961998</v>
      </c>
      <c r="AC166" s="16">
        <f>Peak!AC168</f>
        <v>0</v>
      </c>
      <c r="AD166" s="18">
        <f>Peak!AD168</f>
        <v>654.12455073352146</v>
      </c>
      <c r="AE166" s="18">
        <f>Peak!AE168</f>
        <v>1780.92328465844</v>
      </c>
      <c r="AF166" s="16">
        <f>Peak!AF168</f>
        <v>1</v>
      </c>
      <c r="AG166" s="73">
        <f>Peak!AG168</f>
        <v>1.1665000000000001</v>
      </c>
      <c r="AH166" s="16">
        <f>Peak!AH168</f>
        <v>3.9623078028353156</v>
      </c>
      <c r="AI166" s="16">
        <f>Peak!AI168</f>
        <v>4.0850040709824222</v>
      </c>
      <c r="AJ166" s="16">
        <f>Peak!AJ168</f>
        <v>2.4399542510000001</v>
      </c>
      <c r="AK166" s="16">
        <f>Peak!AK168</f>
        <v>7.2000000000000008E-2</v>
      </c>
      <c r="AL166" s="4"/>
    </row>
    <row r="167" spans="1:38" x14ac:dyDescent="0.2">
      <c r="A167" s="1">
        <f t="shared" si="17"/>
        <v>41345.886000000202</v>
      </c>
      <c r="B167" s="16">
        <f t="shared" si="15"/>
        <v>1.1665000000000001</v>
      </c>
      <c r="C167" s="17">
        <f t="shared" si="12"/>
        <v>11.718659000000002</v>
      </c>
      <c r="D167" s="16">
        <f t="shared" si="16"/>
        <v>1.1357513442878602</v>
      </c>
      <c r="E167" s="16">
        <f t="shared" si="13"/>
        <v>8.0168786727282555</v>
      </c>
      <c r="F167" s="16">
        <f t="shared" si="14"/>
        <v>0.64408159143643295</v>
      </c>
      <c r="G167" s="19">
        <f>IF(IS!$C$2="Peak","-",SUM(C167:F167))</f>
        <v>21.51537060845255</v>
      </c>
      <c r="H167" s="203">
        <v>130.92490215329627</v>
      </c>
      <c r="I167" s="203">
        <v>87.001019970655065</v>
      </c>
      <c r="J167" s="203">
        <v>79.422978509404174</v>
      </c>
      <c r="K167" s="203">
        <v>74.163895660650496</v>
      </c>
      <c r="L167" s="203">
        <v>68.901190838586842</v>
      </c>
      <c r="M167" s="203">
        <v>68.407416647255786</v>
      </c>
      <c r="N167" s="203">
        <v>65.035602548860965</v>
      </c>
      <c r="O167" s="203">
        <v>52.668081081010861</v>
      </c>
      <c r="P167" s="203">
        <v>47.86419868144867</v>
      </c>
      <c r="Q167" s="203">
        <v>46.526266527805305</v>
      </c>
      <c r="R167" s="203">
        <v>43.466590296662119</v>
      </c>
      <c r="S167" s="203">
        <v>41.748134265386497</v>
      </c>
      <c r="T167" s="203">
        <v>40.240618087042641</v>
      </c>
      <c r="U167" s="203">
        <v>39.600190275219298</v>
      </c>
      <c r="V167" s="203">
        <v>38.982926102938997</v>
      </c>
      <c r="W167" s="203">
        <v>38.827860690597319</v>
      </c>
      <c r="X167" s="203">
        <v>38.106203689253043</v>
      </c>
      <c r="Y167" s="203">
        <v>37.05582737238695</v>
      </c>
      <c r="Z167" s="203">
        <v>36.184842411621361</v>
      </c>
      <c r="AA167" s="203">
        <v>33.824241385890879</v>
      </c>
      <c r="AB167" s="16">
        <f>Peak!AB169</f>
        <v>1.1357513442878602</v>
      </c>
      <c r="AC167" s="16">
        <f>Peak!AC169</f>
        <v>0</v>
      </c>
      <c r="AD167" s="18">
        <f>Peak!AD169</f>
        <v>654.12455073352146</v>
      </c>
      <c r="AE167" s="18">
        <f>Peak!AE169</f>
        <v>1780.92328465844</v>
      </c>
      <c r="AF167" s="16">
        <f>Peak!AF169</f>
        <v>1</v>
      </c>
      <c r="AG167" s="73">
        <f>Peak!AG169</f>
        <v>1.1665000000000001</v>
      </c>
      <c r="AH167" s="16">
        <f>Peak!AH169</f>
        <v>3.8956814599587575</v>
      </c>
      <c r="AI167" s="16">
        <f>Peak!AI169</f>
        <v>3.9322936384223315</v>
      </c>
      <c r="AJ167" s="16">
        <f>Peak!AJ169</f>
        <v>2.4399542510000001</v>
      </c>
      <c r="AK167" s="16">
        <f>Peak!AK169</f>
        <v>7.2000000000000008E-2</v>
      </c>
      <c r="AL167" s="4"/>
    </row>
    <row r="168" spans="1:38" x14ac:dyDescent="0.2">
      <c r="A168" s="1">
        <f t="shared" si="17"/>
        <v>41376.303000000204</v>
      </c>
      <c r="B168" s="16">
        <f t="shared" si="15"/>
        <v>1.1665000000000001</v>
      </c>
      <c r="C168" s="17">
        <f t="shared" si="12"/>
        <v>11.718659000000002</v>
      </c>
      <c r="D168" s="16">
        <f t="shared" si="16"/>
        <v>1.1376442631950066</v>
      </c>
      <c r="E168" s="16">
        <f t="shared" si="13"/>
        <v>8.0168786727282555</v>
      </c>
      <c r="F168" s="16">
        <f t="shared" si="14"/>
        <v>0.64408159143643295</v>
      </c>
      <c r="G168" s="19">
        <f>IF(IS!$C$2="Peak","-",SUM(C168:F168))</f>
        <v>21.517263527359695</v>
      </c>
      <c r="H168" s="203">
        <v>75.291892039941132</v>
      </c>
      <c r="I168" s="203">
        <v>70.581250141746182</v>
      </c>
      <c r="J168" s="203">
        <v>68.31126073704695</v>
      </c>
      <c r="K168" s="203">
        <v>65.225737772520759</v>
      </c>
      <c r="L168" s="203">
        <v>61.404912834763252</v>
      </c>
      <c r="M168" s="203">
        <v>58.620357969240253</v>
      </c>
      <c r="N168" s="203">
        <v>58.361511152154229</v>
      </c>
      <c r="O168" s="203">
        <v>53.672410899136089</v>
      </c>
      <c r="P168" s="203">
        <v>45.608147886351745</v>
      </c>
      <c r="Q168" s="203">
        <v>41.769217538050952</v>
      </c>
      <c r="R168" s="203">
        <v>41.115368010847888</v>
      </c>
      <c r="S168" s="203">
        <v>39.39818458834656</v>
      </c>
      <c r="T168" s="203">
        <v>38.338946631017656</v>
      </c>
      <c r="U168" s="203">
        <v>37.379865102629466</v>
      </c>
      <c r="V168" s="203">
        <v>36.371999511171218</v>
      </c>
      <c r="W168" s="203">
        <v>35.456565317216636</v>
      </c>
      <c r="X168" s="203">
        <v>34.112064138170624</v>
      </c>
      <c r="Y168" s="203">
        <v>33.50577852834283</v>
      </c>
      <c r="Z168" s="203">
        <v>32.802783894527714</v>
      </c>
      <c r="AA168" s="203">
        <v>30.719553812868668</v>
      </c>
      <c r="AB168" s="16">
        <f>Peak!AB170</f>
        <v>1.1376442631950066</v>
      </c>
      <c r="AC168" s="16">
        <f>Peak!AC170</f>
        <v>0</v>
      </c>
      <c r="AD168" s="18">
        <f>Peak!AD170</f>
        <v>654.12455073352146</v>
      </c>
      <c r="AE168" s="18">
        <f>Peak!AE170</f>
        <v>1780.92328465844</v>
      </c>
      <c r="AF168" s="16">
        <f>Peak!AF170</f>
        <v>1</v>
      </c>
      <c r="AG168" s="73">
        <f>Peak!AG170</f>
        <v>1.1665000000000001</v>
      </c>
      <c r="AH168" s="16">
        <f>Peak!AH170</f>
        <v>3.7036408246086778</v>
      </c>
      <c r="AI168" s="16">
        <f>Peak!AI170</f>
        <v>3.7795832058622412</v>
      </c>
      <c r="AJ168" s="16">
        <f>Peak!AJ170</f>
        <v>2.4399542510000001</v>
      </c>
      <c r="AK168" s="16">
        <f>Peak!AK170</f>
        <v>7.2000000000000008E-2</v>
      </c>
      <c r="AL168" s="4"/>
    </row>
    <row r="169" spans="1:38" x14ac:dyDescent="0.2">
      <c r="A169" s="1">
        <f t="shared" si="17"/>
        <v>41406.720000000205</v>
      </c>
      <c r="B169" s="16">
        <f t="shared" si="15"/>
        <v>1.1665000000000001</v>
      </c>
      <c r="C169" s="17">
        <f t="shared" si="12"/>
        <v>11.718659000000002</v>
      </c>
      <c r="D169" s="16">
        <f t="shared" si="16"/>
        <v>1.1395403369669983</v>
      </c>
      <c r="E169" s="16">
        <f t="shared" si="13"/>
        <v>8.0168786727282555</v>
      </c>
      <c r="F169" s="16">
        <f t="shared" si="14"/>
        <v>0.64408159143643295</v>
      </c>
      <c r="G169" s="19">
        <f>IF(IS!$C$2="Peak","-",SUM(C169:F169))</f>
        <v>21.51915960113169</v>
      </c>
      <c r="H169" s="203">
        <v>132.28228071017253</v>
      </c>
      <c r="I169" s="203">
        <v>80.18925154711323</v>
      </c>
      <c r="J169" s="203">
        <v>66.638000116404868</v>
      </c>
      <c r="K169" s="203">
        <v>63.279614137145018</v>
      </c>
      <c r="L169" s="203">
        <v>55.732111064533548</v>
      </c>
      <c r="M169" s="203">
        <v>52.009475870491571</v>
      </c>
      <c r="N169" s="203">
        <v>49.268575495557343</v>
      </c>
      <c r="O169" s="203">
        <v>48.4844852037332</v>
      </c>
      <c r="P169" s="203">
        <v>45.571894278449413</v>
      </c>
      <c r="Q169" s="203">
        <v>43.995092651676458</v>
      </c>
      <c r="R169" s="203">
        <v>42.051786628095577</v>
      </c>
      <c r="S169" s="203">
        <v>40.851203685406084</v>
      </c>
      <c r="T169" s="203">
        <v>38.839610399867674</v>
      </c>
      <c r="U169" s="203">
        <v>36.112850101280848</v>
      </c>
      <c r="V169" s="203">
        <v>34.878241701971405</v>
      </c>
      <c r="W169" s="203">
        <v>33.387547805886221</v>
      </c>
      <c r="X169" s="203">
        <v>32.892617618123992</v>
      </c>
      <c r="Y169" s="203">
        <v>32.327800895859752</v>
      </c>
      <c r="Z169" s="203">
        <v>31.867461279521343</v>
      </c>
      <c r="AA169" s="203">
        <v>31.172742701152334</v>
      </c>
      <c r="AB169" s="16">
        <f>Peak!AB171</f>
        <v>1.1395403369669983</v>
      </c>
      <c r="AC169" s="16">
        <f>Peak!AC171</f>
        <v>0</v>
      </c>
      <c r="AD169" s="18">
        <f>Peak!AD171</f>
        <v>654.12455073352146</v>
      </c>
      <c r="AE169" s="18">
        <f>Peak!AE171</f>
        <v>1780.92328465844</v>
      </c>
      <c r="AF169" s="16">
        <f>Peak!AF171</f>
        <v>1</v>
      </c>
      <c r="AG169" s="73">
        <f>Peak!AG171</f>
        <v>1.1665000000000001</v>
      </c>
      <c r="AH169" s="16">
        <f>Peak!AH171</f>
        <v>3.899600656598555</v>
      </c>
      <c r="AI169" s="16">
        <f>Peak!AI171</f>
        <v>3.6268727733021504</v>
      </c>
      <c r="AJ169" s="16">
        <f>Peak!AJ171</f>
        <v>2.4399542510000001</v>
      </c>
      <c r="AK169" s="16">
        <f>Peak!AK171</f>
        <v>7.2000000000000008E-2</v>
      </c>
      <c r="AL169" s="4"/>
    </row>
    <row r="170" spans="1:38" x14ac:dyDescent="0.2">
      <c r="A170" s="1">
        <f t="shared" si="17"/>
        <v>41437.137000000206</v>
      </c>
      <c r="B170" s="16">
        <f t="shared" si="15"/>
        <v>1.1665000000000001</v>
      </c>
      <c r="C170" s="17">
        <f t="shared" si="12"/>
        <v>11.718659000000002</v>
      </c>
      <c r="D170" s="16">
        <f t="shared" si="16"/>
        <v>1.1414395708619434</v>
      </c>
      <c r="E170" s="16">
        <f t="shared" si="13"/>
        <v>8.0168786727282555</v>
      </c>
      <c r="F170" s="16">
        <f t="shared" si="14"/>
        <v>0.64408159143643295</v>
      </c>
      <c r="G170" s="19">
        <f>IF(IS!$C$2="Peak","-",SUM(C170:F170))</f>
        <v>21.521058835026633</v>
      </c>
      <c r="H170" s="203">
        <v>168.09606373165417</v>
      </c>
      <c r="I170" s="203">
        <v>154.25327328371779</v>
      </c>
      <c r="J170" s="203">
        <v>138.54527631722073</v>
      </c>
      <c r="K170" s="203">
        <v>102.56348084116306</v>
      </c>
      <c r="L170" s="203">
        <v>83.793337279215194</v>
      </c>
      <c r="M170" s="203">
        <v>75.589130310194093</v>
      </c>
      <c r="N170" s="203">
        <v>69.084408718717128</v>
      </c>
      <c r="O170" s="203">
        <v>55.660713317052632</v>
      </c>
      <c r="P170" s="203">
        <v>48.915293425598101</v>
      </c>
      <c r="Q170" s="203">
        <v>38.376569606544521</v>
      </c>
      <c r="R170" s="203">
        <v>36.130195808241524</v>
      </c>
      <c r="S170" s="203">
        <v>35.80654368949827</v>
      </c>
      <c r="T170" s="203">
        <v>35.806533408160618</v>
      </c>
      <c r="U170" s="203">
        <v>35.806533408160618</v>
      </c>
      <c r="V170" s="203">
        <v>35.806447837393513</v>
      </c>
      <c r="W170" s="203">
        <v>35.806124031889844</v>
      </c>
      <c r="X170" s="203">
        <v>35.806124031889844</v>
      </c>
      <c r="Y170" s="203">
        <v>35.799929648437782</v>
      </c>
      <c r="Z170" s="203">
        <v>34.661370336667538</v>
      </c>
      <c r="AA170" s="203">
        <v>30.61628090706964</v>
      </c>
      <c r="AB170" s="16">
        <f>Peak!AB172</f>
        <v>1.1414395708619434</v>
      </c>
      <c r="AC170" s="16">
        <f>Peak!AC172</f>
        <v>0</v>
      </c>
      <c r="AD170" s="18">
        <f>Peak!AD172</f>
        <v>654.12455073352146</v>
      </c>
      <c r="AE170" s="18">
        <f>Peak!AE172</f>
        <v>1780.92328465844</v>
      </c>
      <c r="AF170" s="16">
        <f>Peak!AF172</f>
        <v>1</v>
      </c>
      <c r="AG170" s="73">
        <f>Peak!AG172</f>
        <v>1.1665000000000001</v>
      </c>
      <c r="AH170" s="16">
        <f>Peak!AH172</f>
        <v>3.7153984145280705</v>
      </c>
      <c r="AI170" s="16">
        <f>Peak!AI172</f>
        <v>3.6268727733021504</v>
      </c>
      <c r="AJ170" s="16">
        <f>Peak!AJ172</f>
        <v>2.4399542510000001</v>
      </c>
      <c r="AK170" s="16">
        <f>Peak!AK172</f>
        <v>7.2000000000000008E-2</v>
      </c>
      <c r="AL170" s="4"/>
    </row>
    <row r="171" spans="1:38" x14ac:dyDescent="0.2">
      <c r="A171" s="1">
        <f t="shared" si="17"/>
        <v>41467.554000000207</v>
      </c>
      <c r="B171" s="16">
        <f t="shared" si="15"/>
        <v>1.1665000000000001</v>
      </c>
      <c r="C171" s="17">
        <f t="shared" si="12"/>
        <v>11.718659000000002</v>
      </c>
      <c r="D171" s="16">
        <f t="shared" si="16"/>
        <v>1.1433419701467133</v>
      </c>
      <c r="E171" s="16">
        <f t="shared" si="13"/>
        <v>8.0168786727282555</v>
      </c>
      <c r="F171" s="16">
        <f t="shared" si="14"/>
        <v>0.64408159143643295</v>
      </c>
      <c r="G171" s="19">
        <f>IF(IS!$C$2="Peak","-",SUM(C171:F171))</f>
        <v>21.522961234311403</v>
      </c>
      <c r="H171" s="203">
        <v>298.63661482082802</v>
      </c>
      <c r="I171" s="203">
        <v>237.3647255403433</v>
      </c>
      <c r="J171" s="203">
        <v>216.47180674722722</v>
      </c>
      <c r="K171" s="203">
        <v>192.95765691791664</v>
      </c>
      <c r="L171" s="203">
        <v>173.50174306456341</v>
      </c>
      <c r="M171" s="203">
        <v>155.96324396993808</v>
      </c>
      <c r="N171" s="203">
        <v>105.92085459967311</v>
      </c>
      <c r="O171" s="203">
        <v>59.739791665613723</v>
      </c>
      <c r="P171" s="203">
        <v>50.601360874670469</v>
      </c>
      <c r="Q171" s="203">
        <v>47.357554626350961</v>
      </c>
      <c r="R171" s="203">
        <v>43.902470740626875</v>
      </c>
      <c r="S171" s="203">
        <v>40.736164139721417</v>
      </c>
      <c r="T171" s="203">
        <v>36.7858350671236</v>
      </c>
      <c r="U171" s="203">
        <v>34.813319277347503</v>
      </c>
      <c r="V171" s="203">
        <v>34.448405095786448</v>
      </c>
      <c r="W171" s="203">
        <v>33.510514169990664</v>
      </c>
      <c r="X171" s="203">
        <v>32.069069954726736</v>
      </c>
      <c r="Y171" s="203">
        <v>30.273451704588176</v>
      </c>
      <c r="Z171" s="203">
        <v>28.537090388263181</v>
      </c>
      <c r="AA171" s="203">
        <v>26.411742303466482</v>
      </c>
      <c r="AB171" s="16">
        <f>Peak!AB173</f>
        <v>1.1433419701467133</v>
      </c>
      <c r="AC171" s="16">
        <f>Peak!AC173</f>
        <v>0</v>
      </c>
      <c r="AD171" s="18">
        <f>Peak!AD173</f>
        <v>654.12455073352146</v>
      </c>
      <c r="AE171" s="18">
        <f>Peak!AE173</f>
        <v>1780.92328465844</v>
      </c>
      <c r="AF171" s="16">
        <f>Peak!AF173</f>
        <v>1</v>
      </c>
      <c r="AG171" s="73">
        <f>Peak!AG173</f>
        <v>1.1665000000000001</v>
      </c>
      <c r="AH171" s="16">
        <f>Peak!AH173</f>
        <v>3.7036408246086778</v>
      </c>
      <c r="AI171" s="16">
        <f>Peak!AI173</f>
        <v>3.6268727733021504</v>
      </c>
      <c r="AJ171" s="16">
        <f>Peak!AJ173</f>
        <v>2.4399542510000001</v>
      </c>
      <c r="AK171" s="16">
        <f>Peak!AK173</f>
        <v>7.2000000000000008E-2</v>
      </c>
      <c r="AL171" s="4"/>
    </row>
    <row r="172" spans="1:38" x14ac:dyDescent="0.2">
      <c r="A172" s="1">
        <f t="shared" si="17"/>
        <v>41497.971000000209</v>
      </c>
      <c r="B172" s="16">
        <f t="shared" si="15"/>
        <v>1.1665000000000001</v>
      </c>
      <c r="C172" s="17">
        <f t="shared" si="12"/>
        <v>11.718659000000002</v>
      </c>
      <c r="D172" s="16">
        <f t="shared" si="16"/>
        <v>1.1452475400969579</v>
      </c>
      <c r="E172" s="16">
        <f t="shared" si="13"/>
        <v>8.0168786727282555</v>
      </c>
      <c r="F172" s="16">
        <f t="shared" si="14"/>
        <v>0.64408159143643295</v>
      </c>
      <c r="G172" s="19">
        <f>IF(IS!$C$2="Peak","-",SUM(C172:F172))</f>
        <v>21.524866804261649</v>
      </c>
      <c r="H172" s="203">
        <v>341.28113903947849</v>
      </c>
      <c r="I172" s="203">
        <v>241.3095177368422</v>
      </c>
      <c r="J172" s="203">
        <v>215.79056994617281</v>
      </c>
      <c r="K172" s="203">
        <v>187.89759172677657</v>
      </c>
      <c r="L172" s="203">
        <v>165.43996852887716</v>
      </c>
      <c r="M172" s="203">
        <v>140.65123220525521</v>
      </c>
      <c r="N172" s="203">
        <v>90.547253916649382</v>
      </c>
      <c r="O172" s="203">
        <v>74.404962587321734</v>
      </c>
      <c r="P172" s="203">
        <v>67.890385779976242</v>
      </c>
      <c r="Q172" s="203">
        <v>52.873303049155041</v>
      </c>
      <c r="R172" s="203">
        <v>45.251020360648653</v>
      </c>
      <c r="S172" s="203">
        <v>37.934796967229637</v>
      </c>
      <c r="T172" s="203">
        <v>35.762293025344732</v>
      </c>
      <c r="U172" s="203">
        <v>34.801937788912745</v>
      </c>
      <c r="V172" s="203">
        <v>34.58903599568589</v>
      </c>
      <c r="W172" s="203">
        <v>34.58903599568589</v>
      </c>
      <c r="X172" s="203">
        <v>34.58903599568589</v>
      </c>
      <c r="Y172" s="203">
        <v>34.58881150222421</v>
      </c>
      <c r="Z172" s="203">
        <v>34.588624897768895</v>
      </c>
      <c r="AA172" s="203">
        <v>31.887074446212232</v>
      </c>
      <c r="AB172" s="16">
        <f>Peak!AB174</f>
        <v>1.1452475400969579</v>
      </c>
      <c r="AC172" s="16">
        <f>Peak!AC174</f>
        <v>0</v>
      </c>
      <c r="AD172" s="18">
        <f>Peak!AD174</f>
        <v>654.12455073352146</v>
      </c>
      <c r="AE172" s="18">
        <f>Peak!AE174</f>
        <v>1780.92328465844</v>
      </c>
      <c r="AF172" s="16">
        <f>Peak!AF174</f>
        <v>1</v>
      </c>
      <c r="AG172" s="73">
        <f>Peak!AG174</f>
        <v>1.1665000000000001</v>
      </c>
      <c r="AH172" s="16">
        <f>Peak!AH174</f>
        <v>3.5116001892585986</v>
      </c>
      <c r="AI172" s="16">
        <f>Peak!AI174</f>
        <v>3.6268727733021504</v>
      </c>
      <c r="AJ172" s="16">
        <f>Peak!AJ174</f>
        <v>2.4399542510000001</v>
      </c>
      <c r="AK172" s="16">
        <f>Peak!AK174</f>
        <v>7.2000000000000008E-2</v>
      </c>
      <c r="AL172" s="4"/>
    </row>
    <row r="173" spans="1:38" x14ac:dyDescent="0.2">
      <c r="A173" s="1">
        <f t="shared" si="17"/>
        <v>41528.38800000021</v>
      </c>
      <c r="B173" s="16">
        <f t="shared" si="15"/>
        <v>1.1665000000000001</v>
      </c>
      <c r="C173" s="17">
        <f t="shared" si="12"/>
        <v>11.718659000000002</v>
      </c>
      <c r="D173" s="16">
        <f t="shared" si="16"/>
        <v>1.1471562859971196</v>
      </c>
      <c r="E173" s="16">
        <f t="shared" si="13"/>
        <v>8.0168786727282555</v>
      </c>
      <c r="F173" s="16">
        <f t="shared" si="14"/>
        <v>0.64408159143643295</v>
      </c>
      <c r="G173" s="19">
        <f>IF(IS!$C$2="Peak","-",SUM(C173:F173))</f>
        <v>21.526775550161808</v>
      </c>
      <c r="H173" s="203">
        <v>165.29192387135453</v>
      </c>
      <c r="I173" s="203">
        <v>152.62558254516222</v>
      </c>
      <c r="J173" s="203">
        <v>127.27208642200291</v>
      </c>
      <c r="K173" s="203">
        <v>92.37402080049192</v>
      </c>
      <c r="L173" s="203">
        <v>79.738950026255651</v>
      </c>
      <c r="M173" s="203">
        <v>73.896511230716229</v>
      </c>
      <c r="N173" s="203">
        <v>71.052869923052342</v>
      </c>
      <c r="O173" s="203">
        <v>51.148359208803654</v>
      </c>
      <c r="P173" s="203">
        <v>47.547184338088144</v>
      </c>
      <c r="Q173" s="203">
        <v>42.642986506523556</v>
      </c>
      <c r="R173" s="203">
        <v>37.14976886337832</v>
      </c>
      <c r="S173" s="203">
        <v>35.517309109508567</v>
      </c>
      <c r="T173" s="203">
        <v>35.456865361375577</v>
      </c>
      <c r="U173" s="203">
        <v>35.456849811220728</v>
      </c>
      <c r="V173" s="203">
        <v>35.456849811220728</v>
      </c>
      <c r="W173" s="203">
        <v>35.456849811220728</v>
      </c>
      <c r="X173" s="203">
        <v>35.456587918089824</v>
      </c>
      <c r="Y173" s="203">
        <v>35.456437849767354</v>
      </c>
      <c r="Z173" s="203">
        <v>35.456437849767354</v>
      </c>
      <c r="AA173" s="203">
        <v>33.499471519597883</v>
      </c>
      <c r="AB173" s="16">
        <f>Peak!AB175</f>
        <v>1.1471562859971196</v>
      </c>
      <c r="AC173" s="16">
        <f>Peak!AC175</f>
        <v>0</v>
      </c>
      <c r="AD173" s="18">
        <f>Peak!AD175</f>
        <v>654.12455073352146</v>
      </c>
      <c r="AE173" s="18">
        <f>Peak!AE175</f>
        <v>1780.92328465844</v>
      </c>
      <c r="AF173" s="16">
        <f>Peak!AF175</f>
        <v>1</v>
      </c>
      <c r="AG173" s="73">
        <f>Peak!AG175</f>
        <v>1.1665000000000001</v>
      </c>
      <c r="AH173" s="16">
        <f>Peak!AH175</f>
        <v>3.4998425993392059</v>
      </c>
      <c r="AI173" s="16">
        <f>Peak!AI175</f>
        <v>3.6268727733021504</v>
      </c>
      <c r="AJ173" s="16">
        <f>Peak!AJ175</f>
        <v>2.4399542510000001</v>
      </c>
      <c r="AK173" s="16">
        <f>Peak!AK175</f>
        <v>7.2000000000000008E-2</v>
      </c>
      <c r="AL173" s="4"/>
    </row>
    <row r="174" spans="1:38" x14ac:dyDescent="0.2">
      <c r="A174" s="1">
        <f t="shared" si="17"/>
        <v>41558.805000000211</v>
      </c>
      <c r="B174" s="16">
        <f t="shared" si="15"/>
        <v>1.1665000000000001</v>
      </c>
      <c r="C174" s="17">
        <f t="shared" si="12"/>
        <v>11.718659000000002</v>
      </c>
      <c r="D174" s="16">
        <f t="shared" si="16"/>
        <v>1.1490682131404482</v>
      </c>
      <c r="E174" s="16">
        <f t="shared" si="13"/>
        <v>8.0168786727282555</v>
      </c>
      <c r="F174" s="16">
        <f t="shared" si="14"/>
        <v>0.64408159143643295</v>
      </c>
      <c r="G174" s="19">
        <f>IF(IS!$C$2="Peak","-",SUM(C174:F174))</f>
        <v>21.528687477305141</v>
      </c>
      <c r="H174" s="203">
        <v>69.707755930463264</v>
      </c>
      <c r="I174" s="203">
        <v>67.379477696210571</v>
      </c>
      <c r="J174" s="203">
        <v>67.201604902022922</v>
      </c>
      <c r="K174" s="203">
        <v>67.017370820195964</v>
      </c>
      <c r="L174" s="203">
        <v>59.800665518553572</v>
      </c>
      <c r="M174" s="203">
        <v>51.156679375445066</v>
      </c>
      <c r="N174" s="203">
        <v>47.268389115259268</v>
      </c>
      <c r="O174" s="203">
        <v>46.633271929313544</v>
      </c>
      <c r="P174" s="203">
        <v>44.891850179937364</v>
      </c>
      <c r="Q174" s="203">
        <v>44.244981995692328</v>
      </c>
      <c r="R174" s="203">
        <v>43.655461967144852</v>
      </c>
      <c r="S174" s="203">
        <v>43.140512313031344</v>
      </c>
      <c r="T174" s="203">
        <v>42.38777402166869</v>
      </c>
      <c r="U174" s="203">
        <v>40.556111916073959</v>
      </c>
      <c r="V174" s="203">
        <v>38.426945019728265</v>
      </c>
      <c r="W174" s="203">
        <v>37.768700211907039</v>
      </c>
      <c r="X174" s="203">
        <v>35.470909991731773</v>
      </c>
      <c r="Y174" s="203">
        <v>35.05339076742203</v>
      </c>
      <c r="Z174" s="203">
        <v>34.345473747950088</v>
      </c>
      <c r="AA174" s="203">
        <v>33.409058290154995</v>
      </c>
      <c r="AB174" s="16">
        <f>Peak!AB176</f>
        <v>1.1490682131404482</v>
      </c>
      <c r="AC174" s="16">
        <f>Peak!AC176</f>
        <v>0</v>
      </c>
      <c r="AD174" s="18">
        <f>Peak!AD176</f>
        <v>654.12455073352146</v>
      </c>
      <c r="AE174" s="18">
        <f>Peak!AE176</f>
        <v>1780.92328465844</v>
      </c>
      <c r="AF174" s="16">
        <f>Peak!AF176</f>
        <v>1</v>
      </c>
      <c r="AG174" s="73">
        <f>Peak!AG176</f>
        <v>1.1665000000000001</v>
      </c>
      <c r="AH174" s="16">
        <f>Peak!AH176</f>
        <v>3.8760854767597697</v>
      </c>
      <c r="AI174" s="16">
        <f>Peak!AI176</f>
        <v>3.6268727733021504</v>
      </c>
      <c r="AJ174" s="16">
        <f>Peak!AJ176</f>
        <v>2.4399542510000001</v>
      </c>
      <c r="AK174" s="16">
        <f>Peak!AK176</f>
        <v>7.2000000000000008E-2</v>
      </c>
      <c r="AL174" s="4"/>
    </row>
    <row r="175" spans="1:38" x14ac:dyDescent="0.2">
      <c r="A175" s="1">
        <f t="shared" si="17"/>
        <v>41589.222000000213</v>
      </c>
      <c r="B175" s="16">
        <f t="shared" si="15"/>
        <v>1.1665000000000001</v>
      </c>
      <c r="C175" s="17">
        <f t="shared" si="12"/>
        <v>11.718659000000002</v>
      </c>
      <c r="D175" s="16">
        <f t="shared" si="16"/>
        <v>1.1509833268290157</v>
      </c>
      <c r="E175" s="16">
        <f t="shared" si="13"/>
        <v>8.0168786727282555</v>
      </c>
      <c r="F175" s="16">
        <f t="shared" si="14"/>
        <v>0.64408159143643295</v>
      </c>
      <c r="G175" s="19">
        <f>IF(IS!$C$2="Peak","-",SUM(C175:F175))</f>
        <v>21.530602590993706</v>
      </c>
      <c r="H175" s="203">
        <v>164.42422053051379</v>
      </c>
      <c r="I175" s="203">
        <v>156.80530225642536</v>
      </c>
      <c r="J175" s="203">
        <v>151.61086447207882</v>
      </c>
      <c r="K175" s="203">
        <v>119.15215539230744</v>
      </c>
      <c r="L175" s="203">
        <v>82.62861827296247</v>
      </c>
      <c r="M175" s="203">
        <v>71.559210620776767</v>
      </c>
      <c r="N175" s="203">
        <v>65.679738875689594</v>
      </c>
      <c r="O175" s="203">
        <v>60.764943268267302</v>
      </c>
      <c r="P175" s="203">
        <v>59.918662506005511</v>
      </c>
      <c r="Q175" s="203">
        <v>57.351860476603825</v>
      </c>
      <c r="R175" s="203">
        <v>45.472976570209973</v>
      </c>
      <c r="S175" s="203">
        <v>41.96038133873833</v>
      </c>
      <c r="T175" s="203">
        <v>37.381988066413626</v>
      </c>
      <c r="U175" s="203">
        <v>34.483564536988276</v>
      </c>
      <c r="V175" s="203">
        <v>34.23392387733773</v>
      </c>
      <c r="W175" s="203">
        <v>33.355438151268878</v>
      </c>
      <c r="X175" s="203">
        <v>32.309416020112664</v>
      </c>
      <c r="Y175" s="203">
        <v>31.441069779236518</v>
      </c>
      <c r="Z175" s="203">
        <v>30.77961066860659</v>
      </c>
      <c r="AA175" s="203">
        <v>30.383954935699744</v>
      </c>
      <c r="AB175" s="16">
        <f>Peak!AB177</f>
        <v>1.1509833268290157</v>
      </c>
      <c r="AC175" s="16">
        <f>Peak!AC177</f>
        <v>0</v>
      </c>
      <c r="AD175" s="18">
        <f>Peak!AD177</f>
        <v>654.12455073352146</v>
      </c>
      <c r="AE175" s="18">
        <f>Peak!AE177</f>
        <v>1780.92328465844</v>
      </c>
      <c r="AF175" s="16">
        <f>Peak!AF177</f>
        <v>1</v>
      </c>
      <c r="AG175" s="73">
        <f>Peak!AG177</f>
        <v>1.1665000000000001</v>
      </c>
      <c r="AH175" s="16">
        <f>Peak!AH177</f>
        <v>4.2444899609007392</v>
      </c>
      <c r="AI175" s="16">
        <f>Peak!AI177</f>
        <v>3.9322936384223315</v>
      </c>
      <c r="AJ175" s="16">
        <f>Peak!AJ177</f>
        <v>2.4399542510000001</v>
      </c>
      <c r="AK175" s="16">
        <f>Peak!AK177</f>
        <v>7.2000000000000008E-2</v>
      </c>
      <c r="AL175" s="4"/>
    </row>
    <row r="176" spans="1:38" x14ac:dyDescent="0.2">
      <c r="A176" s="1">
        <f t="shared" si="17"/>
        <v>41619.639000000214</v>
      </c>
      <c r="B176" s="16">
        <f t="shared" si="15"/>
        <v>1.1665000000000001</v>
      </c>
      <c r="C176" s="17">
        <f t="shared" si="12"/>
        <v>11.718659000000002</v>
      </c>
      <c r="D176" s="16">
        <f t="shared" si="16"/>
        <v>1.1529016323737309</v>
      </c>
      <c r="E176" s="16">
        <f t="shared" si="13"/>
        <v>8.0168786727282555</v>
      </c>
      <c r="F176" s="16">
        <f t="shared" si="14"/>
        <v>0.64408159143643295</v>
      </c>
      <c r="G176" s="19">
        <f>IF(IS!$C$2="Peak","-",SUM(C176:F176))</f>
        <v>21.532520896538422</v>
      </c>
      <c r="H176" s="203">
        <v>164.5969150961472</v>
      </c>
      <c r="I176" s="203">
        <v>157.440732637368</v>
      </c>
      <c r="J176" s="203">
        <v>152.39807989968685</v>
      </c>
      <c r="K176" s="203">
        <v>132.34605284718495</v>
      </c>
      <c r="L176" s="203">
        <v>92.971594203991302</v>
      </c>
      <c r="M176" s="203">
        <v>80.108800792317112</v>
      </c>
      <c r="N176" s="203">
        <v>74.478592059869044</v>
      </c>
      <c r="O176" s="203">
        <v>69.044299053463817</v>
      </c>
      <c r="P176" s="203">
        <v>67.220421680113006</v>
      </c>
      <c r="Q176" s="203">
        <v>66.541341363842875</v>
      </c>
      <c r="R176" s="203">
        <v>57.071778153213941</v>
      </c>
      <c r="S176" s="203">
        <v>46.932541836578842</v>
      </c>
      <c r="T176" s="203">
        <v>40.995905668131797</v>
      </c>
      <c r="U176" s="203">
        <v>38.184224896060272</v>
      </c>
      <c r="V176" s="203">
        <v>36.588651825876354</v>
      </c>
      <c r="W176" s="203">
        <v>34.152480555786255</v>
      </c>
      <c r="X176" s="203">
        <v>33.959912644761374</v>
      </c>
      <c r="Y176" s="203">
        <v>33.725476316269379</v>
      </c>
      <c r="Z176" s="203">
        <v>33.617276710837778</v>
      </c>
      <c r="AA176" s="203">
        <v>33.256738784879566</v>
      </c>
      <c r="AB176" s="16">
        <f>Peak!AB178</f>
        <v>1.1529016323737309</v>
      </c>
      <c r="AC176" s="16">
        <f>Peak!AC178</f>
        <v>0</v>
      </c>
      <c r="AD176" s="18">
        <f>Peak!AD178</f>
        <v>654.12455073352146</v>
      </c>
      <c r="AE176" s="18">
        <f>Peak!AE178</f>
        <v>1780.92328465844</v>
      </c>
      <c r="AF176" s="16">
        <f>Peak!AF178</f>
        <v>1</v>
      </c>
      <c r="AG176" s="73">
        <f>Peak!AG178</f>
        <v>1.1665000000000001</v>
      </c>
      <c r="AH176" s="16">
        <f>Peak!AH178</f>
        <v>4.5932984618427195</v>
      </c>
      <c r="AI176" s="16">
        <f>Peak!AI178</f>
        <v>4.1231816791224452</v>
      </c>
      <c r="AJ176" s="16">
        <f>Peak!AJ178</f>
        <v>2.4399542510000001</v>
      </c>
      <c r="AK176" s="16">
        <f>Peak!AK178</f>
        <v>7.2000000000000008E-2</v>
      </c>
      <c r="AL176" s="4"/>
    </row>
    <row r="177" spans="1:38" x14ac:dyDescent="0.2">
      <c r="A177" s="1">
        <f t="shared" si="17"/>
        <v>41650.056000000215</v>
      </c>
      <c r="B177" s="16">
        <f t="shared" si="15"/>
        <v>1.175</v>
      </c>
      <c r="C177" s="17">
        <f t="shared" si="12"/>
        <v>11.804050000000002</v>
      </c>
      <c r="D177" s="16">
        <f t="shared" si="16"/>
        <v>1.1548231350943539</v>
      </c>
      <c r="E177" s="16">
        <f t="shared" si="13"/>
        <v>8.9240369727591755</v>
      </c>
      <c r="F177" s="16">
        <f t="shared" si="14"/>
        <v>0.66711052168499285</v>
      </c>
      <c r="G177" s="19">
        <f>IF(IS!$C$2="Peak","-",SUM(C177:F177))</f>
        <v>22.550020629538526</v>
      </c>
      <c r="H177" s="203">
        <v>109.82603319045629</v>
      </c>
      <c r="I177" s="203">
        <v>104.55585066025624</v>
      </c>
      <c r="J177" s="203">
        <v>99.49484997094109</v>
      </c>
      <c r="K177" s="203">
        <v>93.043531442572487</v>
      </c>
      <c r="L177" s="203">
        <v>90.634097334046174</v>
      </c>
      <c r="M177" s="203">
        <v>88.806111929192056</v>
      </c>
      <c r="N177" s="203">
        <v>70.772696620415374</v>
      </c>
      <c r="O177" s="203">
        <v>60.172064529039503</v>
      </c>
      <c r="P177" s="203">
        <v>51.362452309756996</v>
      </c>
      <c r="Q177" s="203">
        <v>50.570927112483119</v>
      </c>
      <c r="R177" s="203">
        <v>46.125902751911049</v>
      </c>
      <c r="S177" s="203">
        <v>43.438926051239505</v>
      </c>
      <c r="T177" s="203">
        <v>43.220903713790392</v>
      </c>
      <c r="U177" s="203">
        <v>43.22090028516353</v>
      </c>
      <c r="V177" s="203">
        <v>43.22090028516353</v>
      </c>
      <c r="W177" s="203">
        <v>43.220814300246765</v>
      </c>
      <c r="X177" s="203">
        <v>43.220774638469095</v>
      </c>
      <c r="Y177" s="203">
        <v>43.220576691474839</v>
      </c>
      <c r="Z177" s="203">
        <v>43.092740469522781</v>
      </c>
      <c r="AA177" s="203">
        <v>39.884316048370962</v>
      </c>
      <c r="AB177" s="16">
        <f>Peak!AB179</f>
        <v>1.1548231350943539</v>
      </c>
      <c r="AC177" s="16">
        <f>Peak!AC179</f>
        <v>0</v>
      </c>
      <c r="AD177" s="18">
        <f>Peak!AD179</f>
        <v>728.14269915212174</v>
      </c>
      <c r="AE177" s="18">
        <f>Peak!AE179</f>
        <v>1844.5996241870525</v>
      </c>
      <c r="AF177" s="16">
        <f>Peak!AF179</f>
        <v>1</v>
      </c>
      <c r="AG177" s="73">
        <f>Peak!AG179</f>
        <v>1.175</v>
      </c>
      <c r="AH177" s="16">
        <f>Peak!AH179</f>
        <v>4.446069791556674</v>
      </c>
      <c r="AI177" s="16">
        <f>Peak!AI179</f>
        <v>4.1170667682255786</v>
      </c>
      <c r="AJ177" s="16">
        <f>Peak!AJ179</f>
        <v>2.4399542510000001</v>
      </c>
      <c r="AK177" s="16">
        <f>Peak!AK179</f>
        <v>7.2000000000000008E-2</v>
      </c>
      <c r="AL177" s="4"/>
    </row>
    <row r="178" spans="1:38" x14ac:dyDescent="0.2">
      <c r="A178" s="1">
        <f t="shared" si="17"/>
        <v>41680.473000000216</v>
      </c>
      <c r="B178" s="16">
        <f t="shared" si="15"/>
        <v>1.175</v>
      </c>
      <c r="C178" s="17">
        <f t="shared" si="12"/>
        <v>11.804050000000002</v>
      </c>
      <c r="D178" s="16">
        <f t="shared" si="16"/>
        <v>1.1567478403195111</v>
      </c>
      <c r="E178" s="16">
        <f t="shared" si="13"/>
        <v>8.9240369727591755</v>
      </c>
      <c r="F178" s="16">
        <f t="shared" si="14"/>
        <v>0.66711052168499285</v>
      </c>
      <c r="G178" s="19">
        <f>IF(IS!$C$2="Peak","-",SUM(C178:F178))</f>
        <v>22.551945334763683</v>
      </c>
      <c r="H178" s="203">
        <v>155.97591288110416</v>
      </c>
      <c r="I178" s="203">
        <v>150.63059767426657</v>
      </c>
      <c r="J178" s="203">
        <v>146.60912651878201</v>
      </c>
      <c r="K178" s="203">
        <v>115.78911540606396</v>
      </c>
      <c r="L178" s="203">
        <v>91.316282985969934</v>
      </c>
      <c r="M178" s="203">
        <v>83.743631408923036</v>
      </c>
      <c r="N178" s="203">
        <v>79.250971427648963</v>
      </c>
      <c r="O178" s="203">
        <v>77.489871835454224</v>
      </c>
      <c r="P178" s="203">
        <v>62.217889359486207</v>
      </c>
      <c r="Q178" s="203">
        <v>53.693400317281586</v>
      </c>
      <c r="R178" s="203">
        <v>45.866944944736034</v>
      </c>
      <c r="S178" s="203">
        <v>44.597726012365818</v>
      </c>
      <c r="T178" s="203">
        <v>42.017699872431947</v>
      </c>
      <c r="U178" s="203">
        <v>39.595811221774682</v>
      </c>
      <c r="V178" s="203">
        <v>39.025343732601563</v>
      </c>
      <c r="W178" s="203">
        <v>38.691477475644483</v>
      </c>
      <c r="X178" s="203">
        <v>38.604106601985123</v>
      </c>
      <c r="Y178" s="203">
        <v>38.317360727730978</v>
      </c>
      <c r="Z178" s="203">
        <v>38.2899914366552</v>
      </c>
      <c r="AA178" s="203">
        <v>36.819425087394443</v>
      </c>
      <c r="AB178" s="16">
        <f>Peak!AB180</f>
        <v>1.1567478403195111</v>
      </c>
      <c r="AC178" s="16">
        <f>Peak!AC180</f>
        <v>0</v>
      </c>
      <c r="AD178" s="18">
        <f>Peak!AD180</f>
        <v>728.14269915212174</v>
      </c>
      <c r="AE178" s="18">
        <f>Peak!AE180</f>
        <v>1844.5996241870525</v>
      </c>
      <c r="AF178" s="16">
        <f>Peak!AF180</f>
        <v>1</v>
      </c>
      <c r="AG178" s="73">
        <f>Peak!AG180</f>
        <v>1.175</v>
      </c>
      <c r="AH178" s="16">
        <f>Peak!AH180</f>
        <v>3.9849082972196785</v>
      </c>
      <c r="AI178" s="16">
        <f>Peak!AI180</f>
        <v>4.0789457796308977</v>
      </c>
      <c r="AJ178" s="16">
        <f>Peak!AJ180</f>
        <v>2.4399542510000001</v>
      </c>
      <c r="AK178" s="16">
        <f>Peak!AK180</f>
        <v>7.2000000000000008E-2</v>
      </c>
      <c r="AL178" s="4"/>
    </row>
    <row r="179" spans="1:38" x14ac:dyDescent="0.2">
      <c r="A179" s="1">
        <f t="shared" si="17"/>
        <v>41710.890000000218</v>
      </c>
      <c r="B179" s="16">
        <f t="shared" si="15"/>
        <v>1.175</v>
      </c>
      <c r="C179" s="17">
        <f t="shared" si="12"/>
        <v>11.804050000000002</v>
      </c>
      <c r="D179" s="16">
        <f t="shared" si="16"/>
        <v>1.1586757533867102</v>
      </c>
      <c r="E179" s="16">
        <f t="shared" si="13"/>
        <v>8.9240369727591755</v>
      </c>
      <c r="F179" s="16">
        <f t="shared" si="14"/>
        <v>0.66711052168499285</v>
      </c>
      <c r="G179" s="19">
        <f>IF(IS!$C$2="Peak","-",SUM(C179:F179))</f>
        <v>22.553873247830882</v>
      </c>
      <c r="H179" s="203">
        <v>100.7835717034397</v>
      </c>
      <c r="I179" s="203">
        <v>97.094478008528526</v>
      </c>
      <c r="J179" s="203">
        <v>89.832152978694111</v>
      </c>
      <c r="K179" s="203">
        <v>80.341722453617095</v>
      </c>
      <c r="L179" s="203">
        <v>76.885992287169131</v>
      </c>
      <c r="M179" s="203">
        <v>72.380059362528328</v>
      </c>
      <c r="N179" s="203">
        <v>70.66688585421565</v>
      </c>
      <c r="O179" s="203">
        <v>69.621927871848669</v>
      </c>
      <c r="P179" s="203">
        <v>53.169246310411403</v>
      </c>
      <c r="Q179" s="203">
        <v>48.562280484963694</v>
      </c>
      <c r="R179" s="203">
        <v>46.934293657209743</v>
      </c>
      <c r="S179" s="203">
        <v>44.260288718941133</v>
      </c>
      <c r="T179" s="203">
        <v>36.665910617272814</v>
      </c>
      <c r="U179" s="203">
        <v>34.681913205928495</v>
      </c>
      <c r="V179" s="203">
        <v>34.6075591352703</v>
      </c>
      <c r="W179" s="203">
        <v>34.6075591352703</v>
      </c>
      <c r="X179" s="203">
        <v>34.607361432596093</v>
      </c>
      <c r="Y179" s="203">
        <v>34.607294069303848</v>
      </c>
      <c r="Z179" s="203">
        <v>34.607174864594825</v>
      </c>
      <c r="AA179" s="203">
        <v>32.390098817633593</v>
      </c>
      <c r="AB179" s="16">
        <f>Peak!AB181</f>
        <v>1.1586757533867102</v>
      </c>
      <c r="AC179" s="16">
        <f>Peak!AC181</f>
        <v>0</v>
      </c>
      <c r="AD179" s="18">
        <f>Peak!AD181</f>
        <v>728.14269915212174</v>
      </c>
      <c r="AE179" s="18">
        <f>Peak!AE181</f>
        <v>1844.5996241870525</v>
      </c>
      <c r="AF179" s="16">
        <f>Peak!AF181</f>
        <v>1</v>
      </c>
      <c r="AG179" s="73">
        <f>Peak!AG181</f>
        <v>1.175</v>
      </c>
      <c r="AH179" s="16">
        <f>Peak!AH181</f>
        <v>3.9179019262476369</v>
      </c>
      <c r="AI179" s="16">
        <f>Peak!AI181</f>
        <v>3.9264618252521726</v>
      </c>
      <c r="AJ179" s="16">
        <f>Peak!AJ181</f>
        <v>2.4399542510000001</v>
      </c>
      <c r="AK179" s="16">
        <f>Peak!AK181</f>
        <v>7.2000000000000008E-2</v>
      </c>
      <c r="AL179" s="4"/>
    </row>
    <row r="180" spans="1:38" x14ac:dyDescent="0.2">
      <c r="A180" s="1">
        <f t="shared" si="17"/>
        <v>41741.307000000219</v>
      </c>
      <c r="B180" s="16">
        <f t="shared" si="15"/>
        <v>1.175</v>
      </c>
      <c r="C180" s="17">
        <f t="shared" si="12"/>
        <v>11.804050000000002</v>
      </c>
      <c r="D180" s="16">
        <f t="shared" si="16"/>
        <v>1.1606068796423548</v>
      </c>
      <c r="E180" s="16">
        <f t="shared" si="13"/>
        <v>8.9240369727591755</v>
      </c>
      <c r="F180" s="16">
        <f t="shared" si="14"/>
        <v>0.66711052168499285</v>
      </c>
      <c r="G180" s="19">
        <f>IF(IS!$C$2="Peak","-",SUM(C180:F180))</f>
        <v>22.555804374086524</v>
      </c>
      <c r="H180" s="203">
        <v>142.07362676675203</v>
      </c>
      <c r="I180" s="203">
        <v>98.360975711699552</v>
      </c>
      <c r="J180" s="203">
        <v>70.319777232616971</v>
      </c>
      <c r="K180" s="203">
        <v>65.120243952977333</v>
      </c>
      <c r="L180" s="203">
        <v>60.935432836931</v>
      </c>
      <c r="M180" s="203">
        <v>58.364003051848201</v>
      </c>
      <c r="N180" s="203">
        <v>57.806650721974549</v>
      </c>
      <c r="O180" s="203">
        <v>52.101750353612672</v>
      </c>
      <c r="P180" s="203">
        <v>46.306505491459703</v>
      </c>
      <c r="Q180" s="203">
        <v>42.429278156940057</v>
      </c>
      <c r="R180" s="203">
        <v>41.491762913935474</v>
      </c>
      <c r="S180" s="203">
        <v>40.666747207619892</v>
      </c>
      <c r="T180" s="203">
        <v>39.005825485383738</v>
      </c>
      <c r="U180" s="203">
        <v>37.112368148867489</v>
      </c>
      <c r="V180" s="203">
        <v>35.502270096843382</v>
      </c>
      <c r="W180" s="203">
        <v>34.104720456199352</v>
      </c>
      <c r="X180" s="203">
        <v>33.407551026966267</v>
      </c>
      <c r="Y180" s="203">
        <v>32.608050830092438</v>
      </c>
      <c r="Z180" s="203">
        <v>31.403925888818058</v>
      </c>
      <c r="AA180" s="203">
        <v>30.403183131075785</v>
      </c>
      <c r="AB180" s="16">
        <f>Peak!AB182</f>
        <v>1.1606068796423548</v>
      </c>
      <c r="AC180" s="16">
        <f>Peak!AC182</f>
        <v>0</v>
      </c>
      <c r="AD180" s="18">
        <f>Peak!AD182</f>
        <v>728.14269915212174</v>
      </c>
      <c r="AE180" s="18">
        <f>Peak!AE182</f>
        <v>1844.5996241870525</v>
      </c>
      <c r="AF180" s="16">
        <f>Peak!AF182</f>
        <v>1</v>
      </c>
      <c r="AG180" s="73">
        <f>Peak!AG182</f>
        <v>1.175</v>
      </c>
      <c r="AH180" s="16">
        <f>Peak!AH182</f>
        <v>3.7247659157988093</v>
      </c>
      <c r="AI180" s="16">
        <f>Peak!AI182</f>
        <v>3.773977870873447</v>
      </c>
      <c r="AJ180" s="16">
        <f>Peak!AJ182</f>
        <v>2.4399542510000001</v>
      </c>
      <c r="AK180" s="16">
        <f>Peak!AK182</f>
        <v>7.2000000000000008E-2</v>
      </c>
      <c r="AL180" s="4"/>
    </row>
    <row r="181" spans="1:38" x14ac:dyDescent="0.2">
      <c r="A181" s="1">
        <f t="shared" si="17"/>
        <v>41771.72400000022</v>
      </c>
      <c r="B181" s="16">
        <f t="shared" si="15"/>
        <v>1.175</v>
      </c>
      <c r="C181" s="17">
        <f t="shared" si="12"/>
        <v>11.804050000000002</v>
      </c>
      <c r="D181" s="16">
        <f t="shared" si="16"/>
        <v>1.1625412244417588</v>
      </c>
      <c r="E181" s="16">
        <f t="shared" si="13"/>
        <v>8.9240369727591755</v>
      </c>
      <c r="F181" s="16">
        <f t="shared" si="14"/>
        <v>0.66711052168499285</v>
      </c>
      <c r="G181" s="19">
        <f>IF(IS!$C$2="Peak","-",SUM(C181:F181))</f>
        <v>22.557738718885929</v>
      </c>
      <c r="H181" s="203">
        <v>116.391545867172</v>
      </c>
      <c r="I181" s="203">
        <v>88.586790578852842</v>
      </c>
      <c r="J181" s="203">
        <v>72.185090542950434</v>
      </c>
      <c r="K181" s="203">
        <v>65.911673362933627</v>
      </c>
      <c r="L181" s="203">
        <v>60.527687617362417</v>
      </c>
      <c r="M181" s="203">
        <v>59.566030937225534</v>
      </c>
      <c r="N181" s="203">
        <v>52.550818553457681</v>
      </c>
      <c r="O181" s="203">
        <v>46.518628896543298</v>
      </c>
      <c r="P181" s="203">
        <v>43.678376926315146</v>
      </c>
      <c r="Q181" s="203">
        <v>42.571403556606143</v>
      </c>
      <c r="R181" s="203">
        <v>41.96643088846092</v>
      </c>
      <c r="S181" s="203">
        <v>40.62919976256341</v>
      </c>
      <c r="T181" s="203">
        <v>38.472282050266692</v>
      </c>
      <c r="U181" s="203">
        <v>36.084595743072569</v>
      </c>
      <c r="V181" s="203">
        <v>34.677900700130586</v>
      </c>
      <c r="W181" s="203">
        <v>34.305942226550961</v>
      </c>
      <c r="X181" s="203">
        <v>34.095500406752549</v>
      </c>
      <c r="Y181" s="203">
        <v>33.581785556630081</v>
      </c>
      <c r="Z181" s="203">
        <v>33.159300431514325</v>
      </c>
      <c r="AA181" s="203">
        <v>32.339017426585848</v>
      </c>
      <c r="AB181" s="16">
        <f>Peak!AB183</f>
        <v>1.1625412244417588</v>
      </c>
      <c r="AC181" s="16">
        <f>Peak!AC183</f>
        <v>0</v>
      </c>
      <c r="AD181" s="18">
        <f>Peak!AD183</f>
        <v>728.14269915212174</v>
      </c>
      <c r="AE181" s="18">
        <f>Peak!AE183</f>
        <v>1844.5996241870525</v>
      </c>
      <c r="AF181" s="16">
        <f>Peak!AF183</f>
        <v>1</v>
      </c>
      <c r="AG181" s="73">
        <f>Peak!AG183</f>
        <v>1.175</v>
      </c>
      <c r="AH181" s="16">
        <f>Peak!AH183</f>
        <v>3.9218434774812865</v>
      </c>
      <c r="AI181" s="16">
        <f>Peak!AI183</f>
        <v>3.621493916494722</v>
      </c>
      <c r="AJ181" s="16">
        <f>Peak!AJ183</f>
        <v>2.4399542510000001</v>
      </c>
      <c r="AK181" s="16">
        <f>Peak!AK183</f>
        <v>7.2000000000000008E-2</v>
      </c>
      <c r="AL181" s="4"/>
    </row>
    <row r="182" spans="1:38" x14ac:dyDescent="0.2">
      <c r="A182" s="1">
        <f t="shared" si="17"/>
        <v>41802.141000000222</v>
      </c>
      <c r="B182" s="16">
        <f t="shared" si="15"/>
        <v>1.175</v>
      </c>
      <c r="C182" s="17">
        <f t="shared" si="12"/>
        <v>11.804050000000002</v>
      </c>
      <c r="D182" s="16">
        <f t="shared" si="16"/>
        <v>1.1644787931491618</v>
      </c>
      <c r="E182" s="16">
        <f t="shared" si="13"/>
        <v>8.9240369727591755</v>
      </c>
      <c r="F182" s="16">
        <f t="shared" si="14"/>
        <v>0.66711052168499285</v>
      </c>
      <c r="G182" s="19">
        <f>IF(IS!$C$2="Peak","-",SUM(C182:F182))</f>
        <v>22.55967628759333</v>
      </c>
      <c r="H182" s="203">
        <v>206.23707649838542</v>
      </c>
      <c r="I182" s="203">
        <v>188.85869398425933</v>
      </c>
      <c r="J182" s="203">
        <v>174.84067891896723</v>
      </c>
      <c r="K182" s="203">
        <v>158.31392023022937</v>
      </c>
      <c r="L182" s="203">
        <v>144.18539230917608</v>
      </c>
      <c r="M182" s="203">
        <v>77.003375088077604</v>
      </c>
      <c r="N182" s="203">
        <v>62.878192808756715</v>
      </c>
      <c r="O182" s="203">
        <v>59.130728188328121</v>
      </c>
      <c r="P182" s="203">
        <v>44.77314631049093</v>
      </c>
      <c r="Q182" s="203">
        <v>38.837745245494283</v>
      </c>
      <c r="R182" s="203">
        <v>35.336698911972483</v>
      </c>
      <c r="S182" s="203">
        <v>34.854694607791551</v>
      </c>
      <c r="T182" s="203">
        <v>33.764501059323095</v>
      </c>
      <c r="U182" s="203">
        <v>32.230903578979522</v>
      </c>
      <c r="V182" s="203">
        <v>30.876866273163035</v>
      </c>
      <c r="W182" s="203">
        <v>30.64384496909495</v>
      </c>
      <c r="X182" s="203">
        <v>30.643827954183006</v>
      </c>
      <c r="Y182" s="203">
        <v>30.643658471734796</v>
      </c>
      <c r="Z182" s="203">
        <v>30.643292591165704</v>
      </c>
      <c r="AA182" s="203">
        <v>29.934477062726177</v>
      </c>
      <c r="AB182" s="16">
        <f>Peak!AB184</f>
        <v>1.1644787931491618</v>
      </c>
      <c r="AC182" s="16">
        <f>Peak!AC184</f>
        <v>0</v>
      </c>
      <c r="AD182" s="18">
        <f>Peak!AD184</f>
        <v>728.14269915212174</v>
      </c>
      <c r="AE182" s="18">
        <f>Peak!AE184</f>
        <v>1844.5996241870525</v>
      </c>
      <c r="AF182" s="16">
        <f>Peak!AF184</f>
        <v>1</v>
      </c>
      <c r="AG182" s="73">
        <f>Peak!AG184</f>
        <v>1.175</v>
      </c>
      <c r="AH182" s="16">
        <f>Peak!AH184</f>
        <v>3.7365905694997581</v>
      </c>
      <c r="AI182" s="16">
        <f>Peak!AI184</f>
        <v>3.621493916494722</v>
      </c>
      <c r="AJ182" s="16">
        <f>Peak!AJ184</f>
        <v>2.4399542510000001</v>
      </c>
      <c r="AK182" s="16">
        <f>Peak!AK184</f>
        <v>7.2000000000000008E-2</v>
      </c>
      <c r="AL182" s="4"/>
    </row>
    <row r="183" spans="1:38" x14ac:dyDescent="0.2">
      <c r="A183" s="1">
        <f t="shared" si="17"/>
        <v>41832.558000000223</v>
      </c>
      <c r="B183" s="16">
        <f t="shared" si="15"/>
        <v>1.175</v>
      </c>
      <c r="C183" s="17">
        <f t="shared" si="12"/>
        <v>11.804050000000002</v>
      </c>
      <c r="D183" s="16">
        <f t="shared" si="16"/>
        <v>1.1664195911377437</v>
      </c>
      <c r="E183" s="16">
        <f t="shared" si="13"/>
        <v>8.9240369727591755</v>
      </c>
      <c r="F183" s="16">
        <f t="shared" si="14"/>
        <v>0.66711052168499285</v>
      </c>
      <c r="G183" s="19">
        <f>IF(IS!$C$2="Peak","-",SUM(C183:F183))</f>
        <v>22.561617085581915</v>
      </c>
      <c r="H183" s="203">
        <v>315.51242661623917</v>
      </c>
      <c r="I183" s="203">
        <v>235.67946877144249</v>
      </c>
      <c r="J183" s="203">
        <v>216.45438739760752</v>
      </c>
      <c r="K183" s="203">
        <v>195.04003375373162</v>
      </c>
      <c r="L183" s="203">
        <v>178.34605537547444</v>
      </c>
      <c r="M183" s="203">
        <v>161.3951677079678</v>
      </c>
      <c r="N183" s="203">
        <v>139.68141914734613</v>
      </c>
      <c r="O183" s="203">
        <v>52.648152712481235</v>
      </c>
      <c r="P183" s="203">
        <v>47.278212728380389</v>
      </c>
      <c r="Q183" s="203">
        <v>45.25248661023744</v>
      </c>
      <c r="R183" s="203">
        <v>42.54420223093377</v>
      </c>
      <c r="S183" s="203">
        <v>38.566379909972511</v>
      </c>
      <c r="T183" s="203">
        <v>35.773010827389207</v>
      </c>
      <c r="U183" s="203">
        <v>34.66203930699313</v>
      </c>
      <c r="V183" s="203">
        <v>33.562065261131934</v>
      </c>
      <c r="W183" s="203">
        <v>33.079838117527444</v>
      </c>
      <c r="X183" s="203">
        <v>32.361803539988387</v>
      </c>
      <c r="Y183" s="203">
        <v>31.833774404792109</v>
      </c>
      <c r="Z183" s="203">
        <v>30.497846655305089</v>
      </c>
      <c r="AA183" s="203">
        <v>27.821714105750882</v>
      </c>
      <c r="AB183" s="16">
        <f>Peak!AB185</f>
        <v>1.1664195911377437</v>
      </c>
      <c r="AC183" s="16">
        <f>Peak!AC185</f>
        <v>0</v>
      </c>
      <c r="AD183" s="18">
        <f>Peak!AD185</f>
        <v>728.14269915212174</v>
      </c>
      <c r="AE183" s="18">
        <f>Peak!AE185</f>
        <v>1844.5996241870525</v>
      </c>
      <c r="AF183" s="16">
        <f>Peak!AF185</f>
        <v>1</v>
      </c>
      <c r="AG183" s="73">
        <f>Peak!AG185</f>
        <v>1.175</v>
      </c>
      <c r="AH183" s="16">
        <f>Peak!AH185</f>
        <v>3.7247659157988093</v>
      </c>
      <c r="AI183" s="16">
        <f>Peak!AI185</f>
        <v>3.621493916494722</v>
      </c>
      <c r="AJ183" s="16">
        <f>Peak!AJ185</f>
        <v>2.4399542510000001</v>
      </c>
      <c r="AK183" s="16">
        <f>Peak!AK185</f>
        <v>7.2000000000000008E-2</v>
      </c>
      <c r="AL183" s="4"/>
    </row>
    <row r="184" spans="1:38" x14ac:dyDescent="0.2">
      <c r="A184" s="1">
        <f t="shared" si="17"/>
        <v>41862.975000000224</v>
      </c>
      <c r="B184" s="16">
        <f t="shared" si="15"/>
        <v>1.175</v>
      </c>
      <c r="C184" s="17">
        <f t="shared" si="12"/>
        <v>11.804050000000002</v>
      </c>
      <c r="D184" s="16">
        <f t="shared" si="16"/>
        <v>1.16836362378964</v>
      </c>
      <c r="E184" s="16">
        <f t="shared" si="13"/>
        <v>8.9240369727591755</v>
      </c>
      <c r="F184" s="16">
        <f t="shared" si="14"/>
        <v>0.66711052168499285</v>
      </c>
      <c r="G184" s="19">
        <f>IF(IS!$C$2="Peak","-",SUM(C184:F184))</f>
        <v>22.56356111823381</v>
      </c>
      <c r="H184" s="203">
        <v>323.76121366185509</v>
      </c>
      <c r="I184" s="203">
        <v>230.99318060147033</v>
      </c>
      <c r="J184" s="203">
        <v>208.410855759459</v>
      </c>
      <c r="K184" s="203">
        <v>183.49002919269304</v>
      </c>
      <c r="L184" s="203">
        <v>163.19707216132599</v>
      </c>
      <c r="M184" s="203">
        <v>144.27141004904854</v>
      </c>
      <c r="N184" s="203">
        <v>103.14657448475775</v>
      </c>
      <c r="O184" s="203">
        <v>92.399356789436496</v>
      </c>
      <c r="P184" s="203">
        <v>76.761990104837309</v>
      </c>
      <c r="Q184" s="203">
        <v>60.844838826560512</v>
      </c>
      <c r="R184" s="203">
        <v>52.696028061181217</v>
      </c>
      <c r="S184" s="203">
        <v>45.459716862602008</v>
      </c>
      <c r="T184" s="203">
        <v>44.16641373474512</v>
      </c>
      <c r="U184" s="203">
        <v>41.169911833901459</v>
      </c>
      <c r="V184" s="203">
        <v>39.324026289178036</v>
      </c>
      <c r="W184" s="203">
        <v>36.891862742635269</v>
      </c>
      <c r="X184" s="203">
        <v>34.808236037764068</v>
      </c>
      <c r="Y184" s="203">
        <v>33.590155817733191</v>
      </c>
      <c r="Z184" s="203">
        <v>30.712421241896728</v>
      </c>
      <c r="AA184" s="203">
        <v>28.799231271978051</v>
      </c>
      <c r="AB184" s="16">
        <f>Peak!AB186</f>
        <v>1.16836362378964</v>
      </c>
      <c r="AC184" s="16">
        <f>Peak!AC186</f>
        <v>0</v>
      </c>
      <c r="AD184" s="18">
        <f>Peak!AD186</f>
        <v>728.14269915212174</v>
      </c>
      <c r="AE184" s="18">
        <f>Peak!AE186</f>
        <v>1844.5996241870525</v>
      </c>
      <c r="AF184" s="16">
        <f>Peak!AF186</f>
        <v>1</v>
      </c>
      <c r="AG184" s="73">
        <f>Peak!AG186</f>
        <v>1.175</v>
      </c>
      <c r="AH184" s="16">
        <f>Peak!AH186</f>
        <v>3.5316299053499827</v>
      </c>
      <c r="AI184" s="16">
        <f>Peak!AI186</f>
        <v>3.621493916494722</v>
      </c>
      <c r="AJ184" s="16">
        <f>Peak!AJ186</f>
        <v>2.4399542510000001</v>
      </c>
      <c r="AK184" s="16">
        <f>Peak!AK186</f>
        <v>7.2000000000000008E-2</v>
      </c>
      <c r="AL184" s="4"/>
    </row>
    <row r="185" spans="1:38" x14ac:dyDescent="0.2">
      <c r="A185" s="1">
        <f t="shared" si="17"/>
        <v>41893.392000000225</v>
      </c>
      <c r="B185" s="16">
        <f t="shared" si="15"/>
        <v>1.175</v>
      </c>
      <c r="C185" s="17">
        <f t="shared" si="12"/>
        <v>11.804050000000002</v>
      </c>
      <c r="D185" s="16">
        <f t="shared" si="16"/>
        <v>1.1703108964959561</v>
      </c>
      <c r="E185" s="16">
        <f t="shared" si="13"/>
        <v>8.9240369727591755</v>
      </c>
      <c r="F185" s="16">
        <f t="shared" si="14"/>
        <v>0.66711052168499285</v>
      </c>
      <c r="G185" s="19">
        <f>IF(IS!$C$2="Peak","-",SUM(C185:F185))</f>
        <v>22.565508390940128</v>
      </c>
      <c r="H185" s="203">
        <v>199.59282375298287</v>
      </c>
      <c r="I185" s="203">
        <v>183.30873356705189</v>
      </c>
      <c r="J185" s="203">
        <v>170.29458219867857</v>
      </c>
      <c r="K185" s="203">
        <v>155.59726237203316</v>
      </c>
      <c r="L185" s="203">
        <v>123.12222295517969</v>
      </c>
      <c r="M185" s="203">
        <v>58.288024787661982</v>
      </c>
      <c r="N185" s="203">
        <v>51.0990133089145</v>
      </c>
      <c r="O185" s="203">
        <v>47.376652868345779</v>
      </c>
      <c r="P185" s="203">
        <v>46.329996515603938</v>
      </c>
      <c r="Q185" s="203">
        <v>42.10064764197061</v>
      </c>
      <c r="R185" s="203">
        <v>38.527135974224379</v>
      </c>
      <c r="S185" s="203">
        <v>36.300299201309166</v>
      </c>
      <c r="T185" s="203">
        <v>35.133626944028848</v>
      </c>
      <c r="U185" s="203">
        <v>34.440598363142861</v>
      </c>
      <c r="V185" s="203">
        <v>33.949663841587167</v>
      </c>
      <c r="W185" s="203">
        <v>33.54257332651072</v>
      </c>
      <c r="X185" s="203">
        <v>32.223809937946768</v>
      </c>
      <c r="Y185" s="203">
        <v>30.504174362945502</v>
      </c>
      <c r="Z185" s="203">
        <v>29.821875108395588</v>
      </c>
      <c r="AA185" s="203">
        <v>28.381901025716584</v>
      </c>
      <c r="AB185" s="16">
        <f>Peak!AB187</f>
        <v>1.1703108964959561</v>
      </c>
      <c r="AC185" s="16">
        <f>Peak!AC187</f>
        <v>0</v>
      </c>
      <c r="AD185" s="18">
        <f>Peak!AD187</f>
        <v>728.14269915212174</v>
      </c>
      <c r="AE185" s="18">
        <f>Peak!AE187</f>
        <v>1844.5996241870525</v>
      </c>
      <c r="AF185" s="16">
        <f>Peak!AF187</f>
        <v>1</v>
      </c>
      <c r="AG185" s="73">
        <f>Peak!AG187</f>
        <v>1.175</v>
      </c>
      <c r="AH185" s="16">
        <f>Peak!AH187</f>
        <v>3.5198052516490339</v>
      </c>
      <c r="AI185" s="16">
        <f>Peak!AI187</f>
        <v>3.621493916494722</v>
      </c>
      <c r="AJ185" s="16">
        <f>Peak!AJ187</f>
        <v>2.4399542510000001</v>
      </c>
      <c r="AK185" s="16">
        <f>Peak!AK187</f>
        <v>7.2000000000000008E-2</v>
      </c>
      <c r="AL185" s="4"/>
    </row>
    <row r="186" spans="1:38" x14ac:dyDescent="0.2">
      <c r="A186" s="1">
        <f t="shared" si="17"/>
        <v>41923.809000000227</v>
      </c>
      <c r="B186" s="16">
        <f t="shared" si="15"/>
        <v>1.175</v>
      </c>
      <c r="C186" s="17">
        <f t="shared" si="12"/>
        <v>11.804050000000002</v>
      </c>
      <c r="D186" s="16">
        <f t="shared" si="16"/>
        <v>1.1722614146567827</v>
      </c>
      <c r="E186" s="16">
        <f t="shared" si="13"/>
        <v>8.9240369727591755</v>
      </c>
      <c r="F186" s="16">
        <f t="shared" si="14"/>
        <v>0.66711052168499285</v>
      </c>
      <c r="G186" s="19">
        <f>IF(IS!$C$2="Peak","-",SUM(C186:F186))</f>
        <v>22.567458909100953</v>
      </c>
      <c r="H186" s="203">
        <v>66.097959540897435</v>
      </c>
      <c r="I186" s="203">
        <v>64.501524253662026</v>
      </c>
      <c r="J186" s="203">
        <v>58.224930892862247</v>
      </c>
      <c r="K186" s="203">
        <v>52.100866737618787</v>
      </c>
      <c r="L186" s="203">
        <v>50.89369375042557</v>
      </c>
      <c r="M186" s="203">
        <v>50.297789790894129</v>
      </c>
      <c r="N186" s="203">
        <v>49.538384472079521</v>
      </c>
      <c r="O186" s="203">
        <v>49.029278986887235</v>
      </c>
      <c r="P186" s="203">
        <v>48.737829651845217</v>
      </c>
      <c r="Q186" s="203">
        <v>48.337233467308799</v>
      </c>
      <c r="R186" s="203">
        <v>47.832014745339983</v>
      </c>
      <c r="S186" s="203">
        <v>47.092275195138185</v>
      </c>
      <c r="T186" s="203">
        <v>46.38094283755246</v>
      </c>
      <c r="U186" s="203">
        <v>46.191581809250899</v>
      </c>
      <c r="V186" s="203">
        <v>45.430424678446236</v>
      </c>
      <c r="W186" s="203">
        <v>41.780645364639625</v>
      </c>
      <c r="X186" s="203">
        <v>40.090034923943492</v>
      </c>
      <c r="Y186" s="203">
        <v>38.321670068357925</v>
      </c>
      <c r="Z186" s="203">
        <v>37.599979893221835</v>
      </c>
      <c r="AA186" s="203">
        <v>35.998205883930424</v>
      </c>
      <c r="AB186" s="16">
        <f>Peak!AB188</f>
        <v>1.1722614146567827</v>
      </c>
      <c r="AC186" s="16">
        <f>Peak!AC188</f>
        <v>0</v>
      </c>
      <c r="AD186" s="18">
        <f>Peak!AD188</f>
        <v>728.14269915212174</v>
      </c>
      <c r="AE186" s="18">
        <f>Peak!AE188</f>
        <v>1844.5996241870525</v>
      </c>
      <c r="AF186" s="16">
        <f>Peak!AF188</f>
        <v>1</v>
      </c>
      <c r="AG186" s="73">
        <f>Peak!AG188</f>
        <v>1.175</v>
      </c>
      <c r="AH186" s="16">
        <f>Peak!AH188</f>
        <v>3.898194170079389</v>
      </c>
      <c r="AI186" s="16">
        <f>Peak!AI188</f>
        <v>3.621493916494722</v>
      </c>
      <c r="AJ186" s="16">
        <f>Peak!AJ188</f>
        <v>2.4399542510000001</v>
      </c>
      <c r="AK186" s="16">
        <f>Peak!AK188</f>
        <v>7.2000000000000008E-2</v>
      </c>
      <c r="AL186" s="4"/>
    </row>
    <row r="187" spans="1:38" x14ac:dyDescent="0.2">
      <c r="A187" s="1">
        <f t="shared" si="17"/>
        <v>41954.226000000228</v>
      </c>
      <c r="B187" s="16">
        <f t="shared" si="15"/>
        <v>1.175</v>
      </c>
      <c r="C187" s="17">
        <f t="shared" si="12"/>
        <v>11.804050000000002</v>
      </c>
      <c r="D187" s="16">
        <f t="shared" si="16"/>
        <v>1.1742151836812107</v>
      </c>
      <c r="E187" s="16">
        <f t="shared" si="13"/>
        <v>8.9240369727591755</v>
      </c>
      <c r="F187" s="16">
        <f t="shared" si="14"/>
        <v>0.66711052168499285</v>
      </c>
      <c r="G187" s="19">
        <f>IF(IS!$C$2="Peak","-",SUM(C187:F187))</f>
        <v>22.569412678125381</v>
      </c>
      <c r="H187" s="203">
        <v>148.86482618779189</v>
      </c>
      <c r="I187" s="203">
        <v>107.41031634640714</v>
      </c>
      <c r="J187" s="203">
        <v>89.037798568724114</v>
      </c>
      <c r="K187" s="203">
        <v>83.522321273113079</v>
      </c>
      <c r="L187" s="203">
        <v>77.68287176932121</v>
      </c>
      <c r="M187" s="203">
        <v>76.974124471892509</v>
      </c>
      <c r="N187" s="203">
        <v>73.802860757210254</v>
      </c>
      <c r="O187" s="203">
        <v>57.069518133530337</v>
      </c>
      <c r="P187" s="203">
        <v>51.614765140679324</v>
      </c>
      <c r="Q187" s="203">
        <v>44.44642013183558</v>
      </c>
      <c r="R187" s="203">
        <v>43.398327195523891</v>
      </c>
      <c r="S187" s="203">
        <v>42.241388729854421</v>
      </c>
      <c r="T187" s="203">
        <v>40.006880263506901</v>
      </c>
      <c r="U187" s="203">
        <v>38.433057705058829</v>
      </c>
      <c r="V187" s="203">
        <v>37.959054208100554</v>
      </c>
      <c r="W187" s="203">
        <v>37.947208320081707</v>
      </c>
      <c r="X187" s="203">
        <v>37.67793678325593</v>
      </c>
      <c r="Y187" s="203">
        <v>37.332657264638115</v>
      </c>
      <c r="Z187" s="203">
        <v>37.332657264638115</v>
      </c>
      <c r="AA187" s="203">
        <v>34.2918368354987</v>
      </c>
      <c r="AB187" s="16">
        <f>Peak!AB189</f>
        <v>1.1742151836812107</v>
      </c>
      <c r="AC187" s="16">
        <f>Peak!AC189</f>
        <v>0</v>
      </c>
      <c r="AD187" s="18">
        <f>Peak!AD189</f>
        <v>728.14269915212174</v>
      </c>
      <c r="AE187" s="18">
        <f>Peak!AE189</f>
        <v>1844.5996241870525</v>
      </c>
      <c r="AF187" s="16">
        <f>Peak!AF189</f>
        <v>1</v>
      </c>
      <c r="AG187" s="73">
        <f>Peak!AG189</f>
        <v>1.175</v>
      </c>
      <c r="AH187" s="16">
        <f>Peak!AH189</f>
        <v>4.2686999860424448</v>
      </c>
      <c r="AI187" s="16">
        <f>Peak!AI189</f>
        <v>3.9264618252521726</v>
      </c>
      <c r="AJ187" s="16">
        <f>Peak!AJ189</f>
        <v>2.4399542510000001</v>
      </c>
      <c r="AK187" s="16">
        <f>Peak!AK189</f>
        <v>7.2000000000000008E-2</v>
      </c>
      <c r="AL187" s="4"/>
    </row>
    <row r="188" spans="1:38" x14ac:dyDescent="0.2">
      <c r="A188" s="1">
        <f t="shared" si="17"/>
        <v>41984.643000000229</v>
      </c>
      <c r="B188" s="16">
        <f t="shared" si="15"/>
        <v>1.175</v>
      </c>
      <c r="C188" s="17">
        <f t="shared" si="12"/>
        <v>11.804050000000002</v>
      </c>
      <c r="D188" s="16">
        <f t="shared" si="16"/>
        <v>1.1761722089873461</v>
      </c>
      <c r="E188" s="16">
        <f t="shared" si="13"/>
        <v>8.9240369727591755</v>
      </c>
      <c r="F188" s="16">
        <f t="shared" si="14"/>
        <v>0.66711052168499285</v>
      </c>
      <c r="G188" s="19">
        <f>IF(IS!$C$2="Peak","-",SUM(C188:F188))</f>
        <v>22.571369703431518</v>
      </c>
      <c r="H188" s="203">
        <v>152.62290847950433</v>
      </c>
      <c r="I188" s="203">
        <v>149.21839596946182</v>
      </c>
      <c r="J188" s="203">
        <v>134.4230584151137</v>
      </c>
      <c r="K188" s="203">
        <v>101.76836705879228</v>
      </c>
      <c r="L188" s="203">
        <v>95.241261537934633</v>
      </c>
      <c r="M188" s="203">
        <v>88.262164633878996</v>
      </c>
      <c r="N188" s="203">
        <v>86.371807184600044</v>
      </c>
      <c r="O188" s="203">
        <v>79.883161172977836</v>
      </c>
      <c r="P188" s="203">
        <v>60.476465707758848</v>
      </c>
      <c r="Q188" s="203">
        <v>50.92610753477279</v>
      </c>
      <c r="R188" s="203">
        <v>47.318686837991216</v>
      </c>
      <c r="S188" s="203">
        <v>42.964530673870961</v>
      </c>
      <c r="T188" s="203">
        <v>42.964530673870961</v>
      </c>
      <c r="U188" s="203">
        <v>42.845842016519484</v>
      </c>
      <c r="V188" s="203">
        <v>42.615416512270542</v>
      </c>
      <c r="W188" s="203">
        <v>42.615416512270542</v>
      </c>
      <c r="X188" s="203">
        <v>42.615416512270542</v>
      </c>
      <c r="Y188" s="203">
        <v>42.414493944055614</v>
      </c>
      <c r="Z188" s="203">
        <v>41.79745192051216</v>
      </c>
      <c r="AA188" s="203">
        <v>41.435587346096796</v>
      </c>
      <c r="AB188" s="16">
        <f>Peak!AB190</f>
        <v>1.1761722089873461</v>
      </c>
      <c r="AC188" s="16">
        <f>Peak!AC190</f>
        <v>0</v>
      </c>
      <c r="AD188" s="18">
        <f>Peak!AD190</f>
        <v>728.14269915212174</v>
      </c>
      <c r="AE188" s="18">
        <f>Peak!AE190</f>
        <v>1844.5996241870525</v>
      </c>
      <c r="AF188" s="16">
        <f>Peak!AF190</f>
        <v>1</v>
      </c>
      <c r="AG188" s="73">
        <f>Peak!AG190</f>
        <v>1.175</v>
      </c>
      <c r="AH188" s="16">
        <f>Peak!AH190</f>
        <v>4.6194980458372532</v>
      </c>
      <c r="AI188" s="16">
        <f>Peak!AI190</f>
        <v>4.1170667682255786</v>
      </c>
      <c r="AJ188" s="16">
        <f>Peak!AJ190</f>
        <v>2.4399542510000001</v>
      </c>
      <c r="AK188" s="16">
        <f>Peak!AK190</f>
        <v>7.2000000000000008E-2</v>
      </c>
      <c r="AL188" s="4"/>
    </row>
    <row r="189" spans="1:38" x14ac:dyDescent="0.2">
      <c r="A189" s="1">
        <f t="shared" si="17"/>
        <v>42015.060000000231</v>
      </c>
      <c r="B189" s="16">
        <f t="shared" si="15"/>
        <v>1.1800999999999999</v>
      </c>
      <c r="C189" s="17">
        <f t="shared" si="12"/>
        <v>11.855284599999999</v>
      </c>
      <c r="D189" s="16">
        <f t="shared" si="16"/>
        <v>1.1781324960023249</v>
      </c>
      <c r="E189" s="16">
        <f t="shared" si="13"/>
        <v>9.8851068302206162</v>
      </c>
      <c r="F189" s="16">
        <f t="shared" si="14"/>
        <v>0.6808966149192337</v>
      </c>
      <c r="G189" s="19">
        <f>IF(IS!$C$2="Peak","-",SUM(C189:F189))</f>
        <v>23.599420541142173</v>
      </c>
      <c r="H189" s="203">
        <v>111.93226183302843</v>
      </c>
      <c r="I189" s="203">
        <v>103.21829734814199</v>
      </c>
      <c r="J189" s="203">
        <v>98.663601362089992</v>
      </c>
      <c r="K189" s="203">
        <v>91.423123935195662</v>
      </c>
      <c r="L189" s="203">
        <v>90.91208189617403</v>
      </c>
      <c r="M189" s="203">
        <v>83.095148002341517</v>
      </c>
      <c r="N189" s="203">
        <v>66.508355853374141</v>
      </c>
      <c r="O189" s="203">
        <v>65.840444119046197</v>
      </c>
      <c r="P189" s="203">
        <v>65.083069755351659</v>
      </c>
      <c r="Q189" s="203">
        <v>64.509972245371557</v>
      </c>
      <c r="R189" s="203">
        <v>62.596046650909578</v>
      </c>
      <c r="S189" s="203">
        <v>55.697796273847729</v>
      </c>
      <c r="T189" s="203">
        <v>49.175225281913413</v>
      </c>
      <c r="U189" s="203">
        <v>44.665963579169457</v>
      </c>
      <c r="V189" s="203">
        <v>44.347683628711934</v>
      </c>
      <c r="W189" s="203">
        <v>44.052457326105078</v>
      </c>
      <c r="X189" s="203">
        <v>43.608488764645323</v>
      </c>
      <c r="Y189" s="203">
        <v>43.608469046783092</v>
      </c>
      <c r="Z189" s="203">
        <v>43.608460187087651</v>
      </c>
      <c r="AA189" s="203">
        <v>43.581335497607277</v>
      </c>
      <c r="AB189" s="16">
        <f>Peak!AB191</f>
        <v>1.1781324960023249</v>
      </c>
      <c r="AC189" s="16">
        <f>Peak!AC191</f>
        <v>0</v>
      </c>
      <c r="AD189" s="18">
        <f>Peak!AD191</f>
        <v>806.55967593313017</v>
      </c>
      <c r="AE189" s="18">
        <f>Peak!AE191</f>
        <v>1882.7189785852679</v>
      </c>
      <c r="AF189" s="16">
        <f>Peak!AF191</f>
        <v>1</v>
      </c>
      <c r="AG189" s="73">
        <f>Peak!AG191</f>
        <v>1.1800999999999999</v>
      </c>
      <c r="AH189" s="16">
        <f>Peak!AH191</f>
        <v>4.8568850063716944</v>
      </c>
      <c r="AI189" s="16">
        <f>Peak!AI191</f>
        <v>4.5531551926412224</v>
      </c>
      <c r="AJ189" s="16">
        <f>Peak!AJ191</f>
        <v>2.4399542510000001</v>
      </c>
      <c r="AK189" s="16">
        <f>Peak!AK191</f>
        <v>7.2000000000000008E-2</v>
      </c>
      <c r="AL189" s="4"/>
    </row>
    <row r="190" spans="1:38" x14ac:dyDescent="0.2">
      <c r="A190" s="1">
        <f t="shared" si="17"/>
        <v>42045.477000000232</v>
      </c>
      <c r="B190" s="16">
        <f t="shared" si="15"/>
        <v>1.1800999999999999</v>
      </c>
      <c r="C190" s="17">
        <f t="shared" si="12"/>
        <v>11.855284599999999</v>
      </c>
      <c r="D190" s="16">
        <f t="shared" si="16"/>
        <v>1.1800960501623288</v>
      </c>
      <c r="E190" s="16">
        <f t="shared" si="13"/>
        <v>9.8851068302206162</v>
      </c>
      <c r="F190" s="16">
        <f t="shared" si="14"/>
        <v>0.6808966149192337</v>
      </c>
      <c r="G190" s="19">
        <f>IF(IS!$C$2="Peak","-",SUM(C190:F190))</f>
        <v>23.60138409530218</v>
      </c>
      <c r="H190" s="203">
        <v>150.37436330333634</v>
      </c>
      <c r="I190" s="203">
        <v>145.53692115261202</v>
      </c>
      <c r="J190" s="203">
        <v>127.97560286855087</v>
      </c>
      <c r="K190" s="203">
        <v>103.83409686887225</v>
      </c>
      <c r="L190" s="203">
        <v>95.837569689838489</v>
      </c>
      <c r="M190" s="203">
        <v>89.625363919320776</v>
      </c>
      <c r="N190" s="203">
        <v>84.495793728076336</v>
      </c>
      <c r="O190" s="203">
        <v>62.951308286622599</v>
      </c>
      <c r="P190" s="203">
        <v>52.268332376339188</v>
      </c>
      <c r="Q190" s="203">
        <v>49.622013965961273</v>
      </c>
      <c r="R190" s="203">
        <v>45.058212119151854</v>
      </c>
      <c r="S190" s="203">
        <v>43.604270944545057</v>
      </c>
      <c r="T190" s="203">
        <v>43.604270944545057</v>
      </c>
      <c r="U190" s="203">
        <v>43.251413320611768</v>
      </c>
      <c r="V190" s="203">
        <v>43.113201744831386</v>
      </c>
      <c r="W190" s="203">
        <v>42.879775754796924</v>
      </c>
      <c r="X190" s="203">
        <v>42.879738822635034</v>
      </c>
      <c r="Y190" s="203">
        <v>42.879706794513268</v>
      </c>
      <c r="Z190" s="203">
        <v>42.879517281958115</v>
      </c>
      <c r="AA190" s="203">
        <v>42.857946473673607</v>
      </c>
      <c r="AB190" s="16">
        <f>Peak!AB192</f>
        <v>1.1800960501623288</v>
      </c>
      <c r="AC190" s="16">
        <f>Peak!AC192</f>
        <v>0</v>
      </c>
      <c r="AD190" s="18">
        <f>Peak!AD192</f>
        <v>806.55967593313017</v>
      </c>
      <c r="AE190" s="18">
        <f>Peak!AE192</f>
        <v>1882.7189785852679</v>
      </c>
      <c r="AF190" s="16">
        <f>Peak!AF192</f>
        <v>1</v>
      </c>
      <c r="AG190" s="73">
        <f>Peak!AG192</f>
        <v>1.1800999999999999</v>
      </c>
      <c r="AH190" s="16">
        <f>Peak!AH192</f>
        <v>4.3531123594342045</v>
      </c>
      <c r="AI190" s="16">
        <f>Peak!AI192</f>
        <v>4.5109963482649142</v>
      </c>
      <c r="AJ190" s="16">
        <f>Peak!AJ192</f>
        <v>2.4399542510000001</v>
      </c>
      <c r="AK190" s="16">
        <f>Peak!AK192</f>
        <v>7.2000000000000008E-2</v>
      </c>
      <c r="AL190" s="4"/>
    </row>
    <row r="191" spans="1:38" x14ac:dyDescent="0.2">
      <c r="A191" s="1">
        <f t="shared" si="17"/>
        <v>42075.894000000233</v>
      </c>
      <c r="B191" s="16">
        <f t="shared" si="15"/>
        <v>1.1800999999999999</v>
      </c>
      <c r="C191" s="17">
        <f t="shared" si="12"/>
        <v>11.855284599999999</v>
      </c>
      <c r="D191" s="16">
        <f t="shared" si="16"/>
        <v>1.1820628769125994</v>
      </c>
      <c r="E191" s="16">
        <f t="shared" si="13"/>
        <v>9.8851068302206162</v>
      </c>
      <c r="F191" s="16">
        <f t="shared" si="14"/>
        <v>0.6808966149192337</v>
      </c>
      <c r="G191" s="19">
        <f>IF(IS!$C$2="Peak","-",SUM(C191:F191))</f>
        <v>23.603350922052449</v>
      </c>
      <c r="H191" s="203">
        <v>100.13312426541765</v>
      </c>
      <c r="I191" s="203">
        <v>96.396474737934412</v>
      </c>
      <c r="J191" s="203">
        <v>96.231057988736922</v>
      </c>
      <c r="K191" s="203">
        <v>94.621359697733027</v>
      </c>
      <c r="L191" s="203">
        <v>82.818961603687185</v>
      </c>
      <c r="M191" s="203">
        <v>65.731077548411378</v>
      </c>
      <c r="N191" s="203">
        <v>57.149043022496905</v>
      </c>
      <c r="O191" s="203">
        <v>53.656564260659692</v>
      </c>
      <c r="P191" s="203">
        <v>53.008814765541416</v>
      </c>
      <c r="Q191" s="203">
        <v>49.217090334084354</v>
      </c>
      <c r="R191" s="203">
        <v>46.956449843711425</v>
      </c>
      <c r="S191" s="203">
        <v>46.616920404783635</v>
      </c>
      <c r="T191" s="203">
        <v>46.448431764303109</v>
      </c>
      <c r="U191" s="203">
        <v>46.448431764303109</v>
      </c>
      <c r="V191" s="203">
        <v>46.4202646873037</v>
      </c>
      <c r="W191" s="203">
        <v>45.73634919974667</v>
      </c>
      <c r="X191" s="203">
        <v>45.667408327752369</v>
      </c>
      <c r="Y191" s="203">
        <v>45.667408327752369</v>
      </c>
      <c r="Z191" s="203">
        <v>45.667408327752369</v>
      </c>
      <c r="AA191" s="203">
        <v>45.080243060620731</v>
      </c>
      <c r="AB191" s="16">
        <f>Peak!AB193</f>
        <v>1.1820628769125994</v>
      </c>
      <c r="AC191" s="16">
        <f>Peak!AC193</f>
        <v>0</v>
      </c>
      <c r="AD191" s="18">
        <f>Peak!AD193</f>
        <v>806.55967593313017</v>
      </c>
      <c r="AE191" s="18">
        <f>Peak!AE193</f>
        <v>1882.7189785852679</v>
      </c>
      <c r="AF191" s="16">
        <f>Peak!AF193</f>
        <v>1</v>
      </c>
      <c r="AG191" s="73">
        <f>Peak!AG193</f>
        <v>1.1800999999999999</v>
      </c>
      <c r="AH191" s="16">
        <f>Peak!AH193</f>
        <v>4.2799146244091002</v>
      </c>
      <c r="AI191" s="16">
        <f>Peak!AI193</f>
        <v>4.3423609707596835</v>
      </c>
      <c r="AJ191" s="16">
        <f>Peak!AJ193</f>
        <v>2.4399542510000001</v>
      </c>
      <c r="AK191" s="16">
        <f>Peak!AK193</f>
        <v>7.2000000000000008E-2</v>
      </c>
      <c r="AL191" s="4"/>
    </row>
    <row r="192" spans="1:38" x14ac:dyDescent="0.2">
      <c r="A192" s="1">
        <f t="shared" si="17"/>
        <v>42106.311000000234</v>
      </c>
      <c r="B192" s="16">
        <f t="shared" si="15"/>
        <v>1.1800999999999999</v>
      </c>
      <c r="C192" s="17">
        <f t="shared" si="12"/>
        <v>11.855284599999999</v>
      </c>
      <c r="D192" s="16">
        <f t="shared" si="16"/>
        <v>1.1840329817074537</v>
      </c>
      <c r="E192" s="16">
        <f t="shared" si="13"/>
        <v>9.8851068302206162</v>
      </c>
      <c r="F192" s="16">
        <f t="shared" si="14"/>
        <v>0.6808966149192337</v>
      </c>
      <c r="G192" s="19">
        <f>IF(IS!$C$2="Peak","-",SUM(C192:F192))</f>
        <v>23.605321026847303</v>
      </c>
      <c r="H192" s="203">
        <v>77.282340511171881</v>
      </c>
      <c r="I192" s="203">
        <v>74.454734963792703</v>
      </c>
      <c r="J192" s="203">
        <v>71.670802658602469</v>
      </c>
      <c r="K192" s="203">
        <v>68.332897018206154</v>
      </c>
      <c r="L192" s="203">
        <v>63.800930277221255</v>
      </c>
      <c r="M192" s="203">
        <v>63.256572785208064</v>
      </c>
      <c r="N192" s="203">
        <v>59.370724419975396</v>
      </c>
      <c r="O192" s="203">
        <v>53.775130510404907</v>
      </c>
      <c r="P192" s="203">
        <v>50.980523256100575</v>
      </c>
      <c r="Q192" s="203">
        <v>49.446639646811541</v>
      </c>
      <c r="R192" s="203">
        <v>48.110836664732062</v>
      </c>
      <c r="S192" s="203">
        <v>46.325308707262636</v>
      </c>
      <c r="T192" s="203">
        <v>44.769121856718712</v>
      </c>
      <c r="U192" s="203">
        <v>42.483061077832282</v>
      </c>
      <c r="V192" s="203">
        <v>38.544709759154145</v>
      </c>
      <c r="W192" s="203">
        <v>37.259995791033553</v>
      </c>
      <c r="X192" s="203">
        <v>36.331070075161378</v>
      </c>
      <c r="Y192" s="203">
        <v>36.09286206234647</v>
      </c>
      <c r="Z192" s="203">
        <v>35.805724894405706</v>
      </c>
      <c r="AA192" s="203">
        <v>34.606480964200884</v>
      </c>
      <c r="AB192" s="16">
        <f>Peak!AB194</f>
        <v>1.1840329817074537</v>
      </c>
      <c r="AC192" s="16">
        <f>Peak!AC194</f>
        <v>0</v>
      </c>
      <c r="AD192" s="18">
        <f>Peak!AD194</f>
        <v>806.55967593313017</v>
      </c>
      <c r="AE192" s="18">
        <f>Peak!AE194</f>
        <v>1882.7189785852679</v>
      </c>
      <c r="AF192" s="16">
        <f>Peak!AF194</f>
        <v>1</v>
      </c>
      <c r="AG192" s="73">
        <f>Peak!AG194</f>
        <v>1.1800999999999999</v>
      </c>
      <c r="AH192" s="16">
        <f>Peak!AH194</f>
        <v>4.068932917572031</v>
      </c>
      <c r="AI192" s="16">
        <f>Peak!AI194</f>
        <v>4.1737255932544537</v>
      </c>
      <c r="AJ192" s="16">
        <f>Peak!AJ194</f>
        <v>2.4399542510000001</v>
      </c>
      <c r="AK192" s="16">
        <f>Peak!AK194</f>
        <v>7.2000000000000008E-2</v>
      </c>
      <c r="AL192" s="4"/>
    </row>
    <row r="193" spans="1:38" x14ac:dyDescent="0.2">
      <c r="A193" s="1">
        <f t="shared" si="17"/>
        <v>42136.728000000236</v>
      </c>
      <c r="B193" s="16">
        <f t="shared" si="15"/>
        <v>1.1800999999999999</v>
      </c>
      <c r="C193" s="17">
        <f t="shared" si="12"/>
        <v>11.855284599999999</v>
      </c>
      <c r="D193" s="16">
        <f t="shared" si="16"/>
        <v>1.1860063700102996</v>
      </c>
      <c r="E193" s="16">
        <f t="shared" si="13"/>
        <v>9.8851068302206162</v>
      </c>
      <c r="F193" s="16">
        <f t="shared" si="14"/>
        <v>0.6808966149192337</v>
      </c>
      <c r="G193" s="19">
        <f>IF(IS!$C$2="Peak","-",SUM(C193:F193))</f>
        <v>23.60729441515015</v>
      </c>
      <c r="H193" s="203">
        <v>166.16560831435271</v>
      </c>
      <c r="I193" s="203">
        <v>155.69376146428641</v>
      </c>
      <c r="J193" s="203">
        <v>149.55282637732628</v>
      </c>
      <c r="K193" s="203">
        <v>83.440217866533388</v>
      </c>
      <c r="L193" s="203">
        <v>68.663128732701949</v>
      </c>
      <c r="M193" s="203">
        <v>63.125265075641401</v>
      </c>
      <c r="N193" s="203">
        <v>62.145951210491617</v>
      </c>
      <c r="O193" s="203">
        <v>53.685672038528359</v>
      </c>
      <c r="P193" s="203">
        <v>44.985686473001081</v>
      </c>
      <c r="Q193" s="203">
        <v>44.031290076043263</v>
      </c>
      <c r="R193" s="203">
        <v>42.719384049103063</v>
      </c>
      <c r="S193" s="203">
        <v>41.537799661707417</v>
      </c>
      <c r="T193" s="203">
        <v>39.860414206811328</v>
      </c>
      <c r="U193" s="203">
        <v>37.669390218182166</v>
      </c>
      <c r="V193" s="203">
        <v>36.217853549707364</v>
      </c>
      <c r="W193" s="203">
        <v>35.61959600776764</v>
      </c>
      <c r="X193" s="203">
        <v>34.770195993720407</v>
      </c>
      <c r="Y193" s="203">
        <v>32.339520577679529</v>
      </c>
      <c r="Z193" s="203">
        <v>31.597715794391796</v>
      </c>
      <c r="AA193" s="203">
        <v>31.231141583091883</v>
      </c>
      <c r="AB193" s="16">
        <f>Peak!AB195</f>
        <v>1.1860063700102996</v>
      </c>
      <c r="AC193" s="16">
        <f>Peak!AC195</f>
        <v>0</v>
      </c>
      <c r="AD193" s="18">
        <f>Peak!AD195</f>
        <v>806.55967593313017</v>
      </c>
      <c r="AE193" s="18">
        <f>Peak!AE195</f>
        <v>1882.7189785852679</v>
      </c>
      <c r="AF193" s="16">
        <f>Peak!AF195</f>
        <v>1</v>
      </c>
      <c r="AG193" s="73">
        <f>Peak!AG195</f>
        <v>1.1800999999999999</v>
      </c>
      <c r="AH193" s="16">
        <f>Peak!AH195</f>
        <v>4.2842203735282238</v>
      </c>
      <c r="AI193" s="16">
        <f>Peak!AI195</f>
        <v>4.005090215749223</v>
      </c>
      <c r="AJ193" s="16">
        <f>Peak!AJ195</f>
        <v>2.4399542510000001</v>
      </c>
      <c r="AK193" s="16">
        <f>Peak!AK195</f>
        <v>7.2000000000000008E-2</v>
      </c>
      <c r="AL193" s="4"/>
    </row>
    <row r="194" spans="1:38" x14ac:dyDescent="0.2">
      <c r="A194" s="1">
        <f t="shared" si="17"/>
        <v>42167.145000000237</v>
      </c>
      <c r="B194" s="16">
        <f t="shared" si="15"/>
        <v>1.1800999999999999</v>
      </c>
      <c r="C194" s="17">
        <f t="shared" si="12"/>
        <v>11.855284599999999</v>
      </c>
      <c r="D194" s="16">
        <f t="shared" si="16"/>
        <v>1.1879830472936501</v>
      </c>
      <c r="E194" s="16">
        <f t="shared" si="13"/>
        <v>9.8851068302206162</v>
      </c>
      <c r="F194" s="16">
        <f t="shared" si="14"/>
        <v>0.6808966149192337</v>
      </c>
      <c r="G194" s="19">
        <f>IF(IS!$C$2="Peak","-",SUM(C194:F194))</f>
        <v>23.609271092433502</v>
      </c>
      <c r="H194" s="203">
        <v>193.03010379065501</v>
      </c>
      <c r="I194" s="203">
        <v>178.07227204157724</v>
      </c>
      <c r="J194" s="203">
        <v>165.43524610344434</v>
      </c>
      <c r="K194" s="203">
        <v>152.27326166666947</v>
      </c>
      <c r="L194" s="203">
        <v>122.32468874581056</v>
      </c>
      <c r="M194" s="203">
        <v>89.07991890029399</v>
      </c>
      <c r="N194" s="203">
        <v>68.451134976030048</v>
      </c>
      <c r="O194" s="203">
        <v>61.753004704110687</v>
      </c>
      <c r="P194" s="203">
        <v>59.894296205883151</v>
      </c>
      <c r="Q194" s="203">
        <v>51.822113400085108</v>
      </c>
      <c r="R194" s="203">
        <v>47.185244841887382</v>
      </c>
      <c r="S194" s="203">
        <v>41.979098347552402</v>
      </c>
      <c r="T194" s="203">
        <v>38.260560456471488</v>
      </c>
      <c r="U194" s="203">
        <v>36.538105232519897</v>
      </c>
      <c r="V194" s="203">
        <v>35.233740324737241</v>
      </c>
      <c r="W194" s="203">
        <v>33.9466905810513</v>
      </c>
      <c r="X194" s="203">
        <v>32.172879112619071</v>
      </c>
      <c r="Y194" s="203">
        <v>30.679252676788138</v>
      </c>
      <c r="Z194" s="203">
        <v>30.535058037067991</v>
      </c>
      <c r="AA194" s="203">
        <v>28.099223244744675</v>
      </c>
      <c r="AB194" s="16">
        <f>Peak!AB196</f>
        <v>1.1879830472936501</v>
      </c>
      <c r="AC194" s="16">
        <f>Peak!AC196</f>
        <v>0</v>
      </c>
      <c r="AD194" s="18">
        <f>Peak!AD196</f>
        <v>806.55967593313017</v>
      </c>
      <c r="AE194" s="18">
        <f>Peak!AE196</f>
        <v>1882.7189785852679</v>
      </c>
      <c r="AF194" s="16">
        <f>Peak!AF196</f>
        <v>1</v>
      </c>
      <c r="AG194" s="73">
        <f>Peak!AG196</f>
        <v>1.1800999999999999</v>
      </c>
      <c r="AH194" s="16">
        <f>Peak!AH196</f>
        <v>4.0818501649294028</v>
      </c>
      <c r="AI194" s="16">
        <f>Peak!AI196</f>
        <v>4.005090215749223</v>
      </c>
      <c r="AJ194" s="16">
        <f>Peak!AJ196</f>
        <v>2.4399542510000001</v>
      </c>
      <c r="AK194" s="16">
        <f>Peak!AK196</f>
        <v>7.2000000000000008E-2</v>
      </c>
      <c r="AL194" s="4"/>
    </row>
    <row r="195" spans="1:38" x14ac:dyDescent="0.2">
      <c r="A195" s="1">
        <f t="shared" si="17"/>
        <v>42197.562000000238</v>
      </c>
      <c r="B195" s="16">
        <f t="shared" si="15"/>
        <v>1.1800999999999999</v>
      </c>
      <c r="C195" s="17">
        <f t="shared" si="12"/>
        <v>11.855284599999999</v>
      </c>
      <c r="D195" s="16">
        <f t="shared" si="16"/>
        <v>1.1899630190391395</v>
      </c>
      <c r="E195" s="16">
        <f t="shared" si="13"/>
        <v>9.8851068302206162</v>
      </c>
      <c r="F195" s="16">
        <f t="shared" si="14"/>
        <v>0.6808966149192337</v>
      </c>
      <c r="G195" s="19">
        <f>IF(IS!$C$2="Peak","-",SUM(C195:F195))</f>
        <v>23.611251064178987</v>
      </c>
      <c r="H195" s="203">
        <v>323.6976984259407</v>
      </c>
      <c r="I195" s="203">
        <v>237.36640972119503</v>
      </c>
      <c r="J195" s="203">
        <v>214.71537026531846</v>
      </c>
      <c r="K195" s="203">
        <v>195.01716422155536</v>
      </c>
      <c r="L195" s="203">
        <v>178.44034076288179</v>
      </c>
      <c r="M195" s="203">
        <v>161.91302356766391</v>
      </c>
      <c r="N195" s="203">
        <v>148.31225670055807</v>
      </c>
      <c r="O195" s="203">
        <v>76.185430812381952</v>
      </c>
      <c r="P195" s="203">
        <v>59.379773134017661</v>
      </c>
      <c r="Q195" s="203">
        <v>53.53335417493399</v>
      </c>
      <c r="R195" s="203">
        <v>49.2476547817257</v>
      </c>
      <c r="S195" s="203">
        <v>39.446744359708738</v>
      </c>
      <c r="T195" s="203">
        <v>38.398099830965549</v>
      </c>
      <c r="U195" s="203">
        <v>37.1386735758526</v>
      </c>
      <c r="V195" s="203">
        <v>35.83671533148754</v>
      </c>
      <c r="W195" s="203">
        <v>34.231179858786831</v>
      </c>
      <c r="X195" s="203">
        <v>32.260967616558446</v>
      </c>
      <c r="Y195" s="203">
        <v>30.956288166343295</v>
      </c>
      <c r="Z195" s="203">
        <v>28.620290117514035</v>
      </c>
      <c r="AA195" s="203">
        <v>27.11760291078766</v>
      </c>
      <c r="AB195" s="16">
        <f>Peak!AB197</f>
        <v>1.1899630190391395</v>
      </c>
      <c r="AC195" s="16">
        <f>Peak!AC197</f>
        <v>0</v>
      </c>
      <c r="AD195" s="18">
        <f>Peak!AD197</f>
        <v>806.55967593313017</v>
      </c>
      <c r="AE195" s="18">
        <f>Peak!AE197</f>
        <v>1882.7189785852679</v>
      </c>
      <c r="AF195" s="16">
        <f>Peak!AF197</f>
        <v>1</v>
      </c>
      <c r="AG195" s="73">
        <f>Peak!AG197</f>
        <v>1.1800999999999999</v>
      </c>
      <c r="AH195" s="16">
        <f>Peak!AH197</f>
        <v>4.068932917572031</v>
      </c>
      <c r="AI195" s="16">
        <f>Peak!AI197</f>
        <v>4.005090215749223</v>
      </c>
      <c r="AJ195" s="16">
        <f>Peak!AJ197</f>
        <v>2.4399542510000001</v>
      </c>
      <c r="AK195" s="16">
        <f>Peak!AK197</f>
        <v>7.2000000000000008E-2</v>
      </c>
      <c r="AL195" s="4"/>
    </row>
    <row r="196" spans="1:38" x14ac:dyDescent="0.2">
      <c r="A196" s="1">
        <f t="shared" si="17"/>
        <v>42227.979000000239</v>
      </c>
      <c r="B196" s="16">
        <f t="shared" si="15"/>
        <v>1.1800999999999999</v>
      </c>
      <c r="C196" s="17">
        <f t="shared" si="12"/>
        <v>11.855284599999999</v>
      </c>
      <c r="D196" s="16">
        <f t="shared" si="16"/>
        <v>1.191946290737538</v>
      </c>
      <c r="E196" s="16">
        <f t="shared" si="13"/>
        <v>9.8851068302206162</v>
      </c>
      <c r="F196" s="16">
        <f t="shared" si="14"/>
        <v>0.6808966149192337</v>
      </c>
      <c r="G196" s="19">
        <f>IF(IS!$C$2="Peak","-",SUM(C196:F196))</f>
        <v>23.613234335877387</v>
      </c>
      <c r="H196" s="203">
        <v>329.42661047463639</v>
      </c>
      <c r="I196" s="203">
        <v>232.76734441193207</v>
      </c>
      <c r="J196" s="203">
        <v>210.0541900213193</v>
      </c>
      <c r="K196" s="203">
        <v>187.54203086288743</v>
      </c>
      <c r="L196" s="203">
        <v>169.23864604761667</v>
      </c>
      <c r="M196" s="203">
        <v>152.74266210307169</v>
      </c>
      <c r="N196" s="203">
        <v>100.29037812738979</v>
      </c>
      <c r="O196" s="203">
        <v>84.41564436222545</v>
      </c>
      <c r="P196" s="203">
        <v>57.773962297264916</v>
      </c>
      <c r="Q196" s="203">
        <v>49.317396925991019</v>
      </c>
      <c r="R196" s="203">
        <v>46.560379872813193</v>
      </c>
      <c r="S196" s="203">
        <v>43.713250152026923</v>
      </c>
      <c r="T196" s="203">
        <v>43.116857274179871</v>
      </c>
      <c r="U196" s="203">
        <v>42.844803271758451</v>
      </c>
      <c r="V196" s="203">
        <v>42.844803271758451</v>
      </c>
      <c r="W196" s="203">
        <v>42.844803271758451</v>
      </c>
      <c r="X196" s="203">
        <v>42.389851077235065</v>
      </c>
      <c r="Y196" s="203">
        <v>42.134941224464242</v>
      </c>
      <c r="Z196" s="203">
        <v>42.134882069788617</v>
      </c>
      <c r="AA196" s="203">
        <v>40.836320434434889</v>
      </c>
      <c r="AB196" s="16">
        <f>Peak!AB198</f>
        <v>1.191946290737538</v>
      </c>
      <c r="AC196" s="16">
        <f>Peak!AC198</f>
        <v>0</v>
      </c>
      <c r="AD196" s="18">
        <f>Peak!AD198</f>
        <v>806.55967593313017</v>
      </c>
      <c r="AE196" s="18">
        <f>Peak!AE198</f>
        <v>1882.7189785852679</v>
      </c>
      <c r="AF196" s="16">
        <f>Peak!AF198</f>
        <v>1</v>
      </c>
      <c r="AG196" s="73">
        <f>Peak!AG198</f>
        <v>1.1800999999999999</v>
      </c>
      <c r="AH196" s="16">
        <f>Peak!AH198</f>
        <v>3.8579512107349632</v>
      </c>
      <c r="AI196" s="16">
        <f>Peak!AI198</f>
        <v>4.005090215749223</v>
      </c>
      <c r="AJ196" s="16">
        <f>Peak!AJ198</f>
        <v>2.4399542510000001</v>
      </c>
      <c r="AK196" s="16">
        <f>Peak!AK198</f>
        <v>7.2000000000000008E-2</v>
      </c>
      <c r="AL196" s="4"/>
    </row>
    <row r="197" spans="1:38" x14ac:dyDescent="0.2">
      <c r="A197" s="1">
        <f t="shared" si="17"/>
        <v>42258.396000000241</v>
      </c>
      <c r="B197" s="16">
        <f t="shared" si="15"/>
        <v>1.1800999999999999</v>
      </c>
      <c r="C197" s="17">
        <f t="shared" si="12"/>
        <v>11.855284599999999</v>
      </c>
      <c r="D197" s="16">
        <f t="shared" si="16"/>
        <v>1.1939328678887673</v>
      </c>
      <c r="E197" s="16">
        <f t="shared" si="13"/>
        <v>9.8851068302206162</v>
      </c>
      <c r="F197" s="16">
        <f t="shared" si="14"/>
        <v>0.6808966149192337</v>
      </c>
      <c r="G197" s="19">
        <f>IF(IS!$C$2="Peak","-",SUM(C197:F197))</f>
        <v>23.615220913028615</v>
      </c>
      <c r="H197" s="203">
        <v>152.87369570685161</v>
      </c>
      <c r="I197" s="203">
        <v>134.41131845920481</v>
      </c>
      <c r="J197" s="203">
        <v>103.51536629488585</v>
      </c>
      <c r="K197" s="203">
        <v>94.266992859290781</v>
      </c>
      <c r="L197" s="203">
        <v>82.978360950099841</v>
      </c>
      <c r="M197" s="203">
        <v>59.266426657879059</v>
      </c>
      <c r="N197" s="203">
        <v>52.104018716577805</v>
      </c>
      <c r="O197" s="203">
        <v>48.349487966188903</v>
      </c>
      <c r="P197" s="203">
        <v>46.147662764151278</v>
      </c>
      <c r="Q197" s="203">
        <v>45.796901492895415</v>
      </c>
      <c r="R197" s="203">
        <v>45.437859777275882</v>
      </c>
      <c r="S197" s="203">
        <v>45.437859777275882</v>
      </c>
      <c r="T197" s="203">
        <v>45.437859777275882</v>
      </c>
      <c r="U197" s="203">
        <v>45.399730037553134</v>
      </c>
      <c r="V197" s="203">
        <v>44.84182053649333</v>
      </c>
      <c r="W197" s="203">
        <v>44.67721668215485</v>
      </c>
      <c r="X197" s="203">
        <v>44.677211234074484</v>
      </c>
      <c r="Y197" s="203">
        <v>44.677072815745646</v>
      </c>
      <c r="Z197" s="203">
        <v>44.67706572896698</v>
      </c>
      <c r="AA197" s="203">
        <v>43.676048255595639</v>
      </c>
      <c r="AB197" s="16">
        <f>Peak!AB199</f>
        <v>1.1939328678887673</v>
      </c>
      <c r="AC197" s="16">
        <f>Peak!AC199</f>
        <v>0</v>
      </c>
      <c r="AD197" s="18">
        <f>Peak!AD199</f>
        <v>806.55967593313017</v>
      </c>
      <c r="AE197" s="18">
        <f>Peak!AE199</f>
        <v>1882.7189785852679</v>
      </c>
      <c r="AF197" s="16">
        <f>Peak!AF199</f>
        <v>1</v>
      </c>
      <c r="AG197" s="73">
        <f>Peak!AG199</f>
        <v>1.1800999999999999</v>
      </c>
      <c r="AH197" s="16">
        <f>Peak!AH199</f>
        <v>3.8450339633775918</v>
      </c>
      <c r="AI197" s="16">
        <f>Peak!AI199</f>
        <v>4.005090215749223</v>
      </c>
      <c r="AJ197" s="16">
        <f>Peak!AJ199</f>
        <v>2.4399542510000001</v>
      </c>
      <c r="AK197" s="16">
        <f>Peak!AK199</f>
        <v>7.2000000000000008E-2</v>
      </c>
      <c r="AL197" s="4"/>
    </row>
    <row r="198" spans="1:38" x14ac:dyDescent="0.2">
      <c r="A198" s="1">
        <f t="shared" si="17"/>
        <v>42288.813000000242</v>
      </c>
      <c r="B198" s="16">
        <f t="shared" si="15"/>
        <v>1.1800999999999999</v>
      </c>
      <c r="C198" s="17">
        <f t="shared" si="12"/>
        <v>11.855284599999999</v>
      </c>
      <c r="D198" s="16">
        <f t="shared" si="16"/>
        <v>1.1959227560019152</v>
      </c>
      <c r="E198" s="16">
        <f t="shared" si="13"/>
        <v>9.8851068302206162</v>
      </c>
      <c r="F198" s="16">
        <f t="shared" si="14"/>
        <v>0.6808966149192337</v>
      </c>
      <c r="G198" s="19">
        <f>IF(IS!$C$2="Peak","-",SUM(C198:F198))</f>
        <v>23.617210801141766</v>
      </c>
      <c r="H198" s="203">
        <v>149.27952951040905</v>
      </c>
      <c r="I198" s="203">
        <v>143.29374751230054</v>
      </c>
      <c r="J198" s="203">
        <v>105.95878367961009</v>
      </c>
      <c r="K198" s="203">
        <v>89.639348682929622</v>
      </c>
      <c r="L198" s="203">
        <v>82.561158906594429</v>
      </c>
      <c r="M198" s="203">
        <v>81.969222727745702</v>
      </c>
      <c r="N198" s="203">
        <v>69.913721166388001</v>
      </c>
      <c r="O198" s="203">
        <v>56.063895203936205</v>
      </c>
      <c r="P198" s="203">
        <v>46.578108668961796</v>
      </c>
      <c r="Q198" s="203">
        <v>46.032325906078093</v>
      </c>
      <c r="R198" s="203">
        <v>41.210914657702673</v>
      </c>
      <c r="S198" s="203">
        <v>39.639832010491816</v>
      </c>
      <c r="T198" s="203">
        <v>39.639832010491816</v>
      </c>
      <c r="U198" s="203">
        <v>39.639658351668267</v>
      </c>
      <c r="V198" s="203">
        <v>39.6390965972613</v>
      </c>
      <c r="W198" s="203">
        <v>39.6390965972613</v>
      </c>
      <c r="X198" s="203">
        <v>39.6390965972613</v>
      </c>
      <c r="Y198" s="203">
        <v>39.6390965972613</v>
      </c>
      <c r="Z198" s="203">
        <v>38.233324578063176</v>
      </c>
      <c r="AA198" s="203">
        <v>33.808184962603249</v>
      </c>
      <c r="AB198" s="16">
        <f>Peak!AB200</f>
        <v>1.1959227560019152</v>
      </c>
      <c r="AC198" s="16">
        <f>Peak!AC200</f>
        <v>0</v>
      </c>
      <c r="AD198" s="18">
        <f>Peak!AD200</f>
        <v>806.55967593313017</v>
      </c>
      <c r="AE198" s="18">
        <f>Peak!AE200</f>
        <v>1882.7189785852679</v>
      </c>
      <c r="AF198" s="16">
        <f>Peak!AF200</f>
        <v>1</v>
      </c>
      <c r="AG198" s="73">
        <f>Peak!AG200</f>
        <v>1.1800999999999999</v>
      </c>
      <c r="AH198" s="16">
        <f>Peak!AH200</f>
        <v>4.2583858788134803</v>
      </c>
      <c r="AI198" s="16">
        <f>Peak!AI200</f>
        <v>4.005090215749223</v>
      </c>
      <c r="AJ198" s="16">
        <f>Peak!AJ200</f>
        <v>2.4399542510000001</v>
      </c>
      <c r="AK198" s="16">
        <f>Peak!AK200</f>
        <v>7.2000000000000008E-2</v>
      </c>
      <c r="AL198" s="4"/>
    </row>
    <row r="199" spans="1:38" x14ac:dyDescent="0.2">
      <c r="A199" s="1">
        <f t="shared" si="17"/>
        <v>42319.230000000243</v>
      </c>
      <c r="B199" s="16">
        <f t="shared" si="15"/>
        <v>1.1800999999999999</v>
      </c>
      <c r="C199" s="17">
        <f t="shared" si="12"/>
        <v>11.855284599999999</v>
      </c>
      <c r="D199" s="16">
        <f t="shared" si="16"/>
        <v>1.1979159605952518</v>
      </c>
      <c r="E199" s="16">
        <f t="shared" si="13"/>
        <v>9.8851068302206162</v>
      </c>
      <c r="F199" s="16">
        <f t="shared" si="14"/>
        <v>0.6808966149192337</v>
      </c>
      <c r="G199" s="19">
        <f>IF(IS!$C$2="Peak","-",SUM(C199:F199))</f>
        <v>23.619204005735099</v>
      </c>
      <c r="H199" s="203">
        <v>105.97240129332765</v>
      </c>
      <c r="I199" s="203">
        <v>101.36841584941581</v>
      </c>
      <c r="J199" s="203">
        <v>97.956555900083828</v>
      </c>
      <c r="K199" s="203">
        <v>92.677255139738719</v>
      </c>
      <c r="L199" s="203">
        <v>91.780293614065343</v>
      </c>
      <c r="M199" s="203">
        <v>89.414986671302671</v>
      </c>
      <c r="N199" s="203">
        <v>68.600338491839977</v>
      </c>
      <c r="O199" s="203">
        <v>61.741221777219607</v>
      </c>
      <c r="P199" s="203">
        <v>56.794869678319024</v>
      </c>
      <c r="Q199" s="203">
        <v>56.273511698761595</v>
      </c>
      <c r="R199" s="203">
        <v>51.581081049814244</v>
      </c>
      <c r="S199" s="203">
        <v>48.834461454869938</v>
      </c>
      <c r="T199" s="203">
        <v>47.298624555477595</v>
      </c>
      <c r="U199" s="203">
        <v>45.283488357582392</v>
      </c>
      <c r="V199" s="203">
        <v>44.617693334078261</v>
      </c>
      <c r="W199" s="203">
        <v>44.617693334078261</v>
      </c>
      <c r="X199" s="203">
        <v>44.617693334078261</v>
      </c>
      <c r="Y199" s="203">
        <v>44.617693334078261</v>
      </c>
      <c r="Z199" s="203">
        <v>44.617693334078261</v>
      </c>
      <c r="AA199" s="203">
        <v>44.172136887998576</v>
      </c>
      <c r="AB199" s="16">
        <f>Peak!AB201</f>
        <v>1.1979159605952518</v>
      </c>
      <c r="AC199" s="16">
        <f>Peak!AC201</f>
        <v>0</v>
      </c>
      <c r="AD199" s="18">
        <f>Peak!AD201</f>
        <v>806.55967593313017</v>
      </c>
      <c r="AE199" s="18">
        <f>Peak!AE201</f>
        <v>1882.7189785852679</v>
      </c>
      <c r="AF199" s="16">
        <f>Peak!AF201</f>
        <v>1</v>
      </c>
      <c r="AG199" s="73">
        <f>Peak!AG201</f>
        <v>1.1800999999999999</v>
      </c>
      <c r="AH199" s="16">
        <f>Peak!AH201</f>
        <v>4.6631262960111215</v>
      </c>
      <c r="AI199" s="16">
        <f>Peak!AI201</f>
        <v>4.3423609707596835</v>
      </c>
      <c r="AJ199" s="16">
        <f>Peak!AJ201</f>
        <v>2.4399542510000001</v>
      </c>
      <c r="AK199" s="16">
        <f>Peak!AK201</f>
        <v>7.2000000000000008E-2</v>
      </c>
      <c r="AL199" s="4"/>
    </row>
    <row r="200" spans="1:38" x14ac:dyDescent="0.2">
      <c r="A200" s="1">
        <f t="shared" si="17"/>
        <v>42349.647000000245</v>
      </c>
      <c r="B200" s="16">
        <f t="shared" si="15"/>
        <v>1.1800999999999999</v>
      </c>
      <c r="C200" s="17">
        <f t="shared" si="12"/>
        <v>11.855284599999999</v>
      </c>
      <c r="D200" s="16">
        <f t="shared" si="16"/>
        <v>1.1999124871962439</v>
      </c>
      <c r="E200" s="16">
        <f t="shared" si="13"/>
        <v>9.8851068302206162</v>
      </c>
      <c r="F200" s="16">
        <f t="shared" si="14"/>
        <v>0.6808966149192337</v>
      </c>
      <c r="G200" s="19">
        <f>IF(IS!$C$2="Peak","-",SUM(C200:F200))</f>
        <v>23.621200532336093</v>
      </c>
      <c r="H200" s="203">
        <v>112.52244706353581</v>
      </c>
      <c r="I200" s="203">
        <v>105.84176122143603</v>
      </c>
      <c r="J200" s="203">
        <v>103.7438520677875</v>
      </c>
      <c r="K200" s="203">
        <v>97.673076524202799</v>
      </c>
      <c r="L200" s="203">
        <v>95.688659952352751</v>
      </c>
      <c r="M200" s="203">
        <v>95.061582515874278</v>
      </c>
      <c r="N200" s="203">
        <v>78.938638668910201</v>
      </c>
      <c r="O200" s="203">
        <v>65.29155915206006</v>
      </c>
      <c r="P200" s="203">
        <v>61.396313875134965</v>
      </c>
      <c r="Q200" s="203">
        <v>60.493981141644738</v>
      </c>
      <c r="R200" s="203">
        <v>56.325858430516313</v>
      </c>
      <c r="S200" s="203">
        <v>51.517172197587229</v>
      </c>
      <c r="T200" s="203">
        <v>49.650039648766864</v>
      </c>
      <c r="U200" s="203">
        <v>47.711657704620144</v>
      </c>
      <c r="V200" s="203">
        <v>46.341513755244307</v>
      </c>
      <c r="W200" s="203">
        <v>46.339391784963659</v>
      </c>
      <c r="X200" s="203">
        <v>46.339391784963659</v>
      </c>
      <c r="Y200" s="203">
        <v>46.339391784963659</v>
      </c>
      <c r="Z200" s="203">
        <v>46.339391784963659</v>
      </c>
      <c r="AA200" s="203">
        <v>46.034217144582982</v>
      </c>
      <c r="AB200" s="16">
        <f>Peak!AB202</f>
        <v>1.1999124871962439</v>
      </c>
      <c r="AC200" s="16">
        <f>Peak!AC202</f>
        <v>0</v>
      </c>
      <c r="AD200" s="18">
        <f>Peak!AD202</f>
        <v>806.55967593313017</v>
      </c>
      <c r="AE200" s="18">
        <f>Peak!AE202</f>
        <v>1882.7189785852679</v>
      </c>
      <c r="AF200" s="16">
        <f>Peak!AF202</f>
        <v>1</v>
      </c>
      <c r="AG200" s="73">
        <f>Peak!AG202</f>
        <v>1.1800999999999999</v>
      </c>
      <c r="AH200" s="16">
        <f>Peak!AH202</f>
        <v>5.0463379676131437</v>
      </c>
      <c r="AI200" s="16">
        <f>Peak!AI202</f>
        <v>4.5531551926412224</v>
      </c>
      <c r="AJ200" s="16">
        <f>Peak!AJ202</f>
        <v>2.4399542510000001</v>
      </c>
      <c r="AK200" s="16">
        <f>Peak!AK202</f>
        <v>7.2000000000000008E-2</v>
      </c>
      <c r="AL200" s="4"/>
    </row>
    <row r="201" spans="1:38" x14ac:dyDescent="0.2">
      <c r="A201" s="1">
        <f t="shared" si="17"/>
        <v>42380.064000000246</v>
      </c>
      <c r="B201" s="16">
        <f t="shared" si="15"/>
        <v>1.1894</v>
      </c>
      <c r="C201" s="17">
        <f t="shared" ref="C201:C248" si="18">(B201*$B$1*1000)/1000000</f>
        <v>11.9487124</v>
      </c>
      <c r="D201" s="16">
        <f t="shared" si="16"/>
        <v>1.2019123413415711</v>
      </c>
      <c r="E201" s="16">
        <f t="shared" ref="E201:E248" si="19">(($AJ201*$B$1*AD201*1000)/2000)/1000000</f>
        <v>10.853835143267576</v>
      </c>
      <c r="F201" s="16">
        <f t="shared" ref="F201:F248" si="20">AF201*(($AK201*$B$1*AE201*1000)/2000)/1000000</f>
        <v>0.72306436644082983</v>
      </c>
      <c r="G201" s="19">
        <f>IF(IS!$C$2="Peak","-",SUM(C201:F201))</f>
        <v>24.727524251049978</v>
      </c>
      <c r="H201" s="203">
        <v>113.70047050481307</v>
      </c>
      <c r="I201" s="203">
        <v>105.39802270195474</v>
      </c>
      <c r="J201" s="203">
        <v>98.710555397649188</v>
      </c>
      <c r="K201" s="203">
        <v>93.35890612354423</v>
      </c>
      <c r="L201" s="203">
        <v>89.023441644186931</v>
      </c>
      <c r="M201" s="203">
        <v>87.792218173406198</v>
      </c>
      <c r="N201" s="203">
        <v>72.767973991290091</v>
      </c>
      <c r="O201" s="203">
        <v>60.970968470645701</v>
      </c>
      <c r="P201" s="203">
        <v>57.76307902430284</v>
      </c>
      <c r="Q201" s="203">
        <v>54.583881624827477</v>
      </c>
      <c r="R201" s="203">
        <v>54.221387718349391</v>
      </c>
      <c r="S201" s="203">
        <v>53.026313912040322</v>
      </c>
      <c r="T201" s="203">
        <v>51.060722597472093</v>
      </c>
      <c r="U201" s="203">
        <v>48.686497378298824</v>
      </c>
      <c r="V201" s="203">
        <v>45.092517094221968</v>
      </c>
      <c r="W201" s="203">
        <v>43.347648603815387</v>
      </c>
      <c r="X201" s="203">
        <v>43.347648603815387</v>
      </c>
      <c r="Y201" s="203">
        <v>43.347648603815387</v>
      </c>
      <c r="Z201" s="203">
        <v>43.347648603815387</v>
      </c>
      <c r="AA201" s="203">
        <v>42.279134505508416</v>
      </c>
      <c r="AB201" s="16">
        <f>Peak!AB203</f>
        <v>1.2019123413415711</v>
      </c>
      <c r="AC201" s="16">
        <f>Peak!AC203</f>
        <v>0</v>
      </c>
      <c r="AD201" s="18">
        <f>Peak!AD203</f>
        <v>885.60153229928596</v>
      </c>
      <c r="AE201" s="18">
        <f>Peak!AE203</f>
        <v>1999.3152787201918</v>
      </c>
      <c r="AF201" s="16">
        <f>Peak!AF203</f>
        <v>1</v>
      </c>
      <c r="AG201" s="73">
        <f>Peak!AG203</f>
        <v>1.1894</v>
      </c>
      <c r="AH201" s="16">
        <f>Peak!AH203</f>
        <v>5.0755463401030143</v>
      </c>
      <c r="AI201" s="16">
        <f>Peak!AI203</f>
        <v>4.7353537478480909</v>
      </c>
      <c r="AJ201" s="16">
        <f>Peak!AJ203</f>
        <v>2.4399542510000001</v>
      </c>
      <c r="AK201" s="16">
        <f>Peak!AK203</f>
        <v>7.2000000000000008E-2</v>
      </c>
      <c r="AL201" s="4"/>
    </row>
    <row r="202" spans="1:38" x14ac:dyDescent="0.2">
      <c r="A202" s="1">
        <f t="shared" si="17"/>
        <v>42410.481000000247</v>
      </c>
      <c r="B202" s="16">
        <f t="shared" ref="B202:B248" si="21">IF($B$7="Coal",AG202,IF($B$7="Gas",AH202,IF($B$7="Oil",AI202,0)))</f>
        <v>1.1894</v>
      </c>
      <c r="C202" s="17">
        <f t="shared" si="18"/>
        <v>11.9487124</v>
      </c>
      <c r="D202" s="16">
        <f t="shared" ref="D202:D248" si="22">AB202+AC202</f>
        <v>1.2039155285771403</v>
      </c>
      <c r="E202" s="16">
        <f t="shared" si="19"/>
        <v>10.853835143267576</v>
      </c>
      <c r="F202" s="16">
        <f t="shared" si="20"/>
        <v>0.72306436644082983</v>
      </c>
      <c r="G202" s="19">
        <f>IF(IS!$C$2="Peak","-",SUM(C202:F202))</f>
        <v>24.729527438285544</v>
      </c>
      <c r="H202" s="203">
        <v>152.28454613479084</v>
      </c>
      <c r="I202" s="203">
        <v>147.99903550397974</v>
      </c>
      <c r="J202" s="203">
        <v>132.87633401601724</v>
      </c>
      <c r="K202" s="203">
        <v>105.20846299350377</v>
      </c>
      <c r="L202" s="203">
        <v>96.740177105018091</v>
      </c>
      <c r="M202" s="203">
        <v>89.500017447019545</v>
      </c>
      <c r="N202" s="203">
        <v>86.391956568653626</v>
      </c>
      <c r="O202" s="203">
        <v>82.972134581646174</v>
      </c>
      <c r="P202" s="203">
        <v>64.682912219099634</v>
      </c>
      <c r="Q202" s="203">
        <v>55.854235234662916</v>
      </c>
      <c r="R202" s="203">
        <v>48.409043503281929</v>
      </c>
      <c r="S202" s="203">
        <v>47.236566246562759</v>
      </c>
      <c r="T202" s="203">
        <v>43.0809250270135</v>
      </c>
      <c r="U202" s="203">
        <v>41.730593247665468</v>
      </c>
      <c r="V202" s="203">
        <v>41.53268768223829</v>
      </c>
      <c r="W202" s="203">
        <v>41.532684700111254</v>
      </c>
      <c r="X202" s="203">
        <v>41.532563783917404</v>
      </c>
      <c r="Y202" s="203">
        <v>41.532489671423669</v>
      </c>
      <c r="Z202" s="203">
        <v>41.433763298251989</v>
      </c>
      <c r="AA202" s="203">
        <v>38.742550572429558</v>
      </c>
      <c r="AB202" s="16">
        <f>Peak!AB204</f>
        <v>1.2039155285771403</v>
      </c>
      <c r="AC202" s="16">
        <f>Peak!AC204</f>
        <v>0</v>
      </c>
      <c r="AD202" s="18">
        <f>Peak!AD204</f>
        <v>885.60153229928596</v>
      </c>
      <c r="AE202" s="18">
        <f>Peak!AE204</f>
        <v>1999.3152787201918</v>
      </c>
      <c r="AF202" s="16">
        <f>Peak!AF204</f>
        <v>1</v>
      </c>
      <c r="AG202" s="73">
        <f>Peak!AG204</f>
        <v>1.1894</v>
      </c>
      <c r="AH202" s="16">
        <f>Peak!AH204</f>
        <v>4.5490933952519033</v>
      </c>
      <c r="AI202" s="16">
        <f>Peak!AI204</f>
        <v>4.6915078798124608</v>
      </c>
      <c r="AJ202" s="16">
        <f>Peak!AJ204</f>
        <v>2.4399542510000001</v>
      </c>
      <c r="AK202" s="16">
        <f>Peak!AK204</f>
        <v>7.2000000000000008E-2</v>
      </c>
      <c r="AL202" s="4"/>
    </row>
    <row r="203" spans="1:38" x14ac:dyDescent="0.2">
      <c r="A203" s="1">
        <f t="shared" ref="A203:A248" si="23">A202+30.417</f>
        <v>42440.898000000248</v>
      </c>
      <c r="B203" s="16">
        <f t="shared" si="21"/>
        <v>1.1894</v>
      </c>
      <c r="C203" s="17">
        <f t="shared" si="18"/>
        <v>11.9487124</v>
      </c>
      <c r="D203" s="16">
        <f t="shared" si="22"/>
        <v>1.2059220544581022</v>
      </c>
      <c r="E203" s="16">
        <f t="shared" si="19"/>
        <v>10.853835143267576</v>
      </c>
      <c r="F203" s="16">
        <f t="shared" si="20"/>
        <v>0.72306436644082983</v>
      </c>
      <c r="G203" s="19">
        <f>IF(IS!$C$2="Peak","-",SUM(C203:F203))</f>
        <v>24.731533964166509</v>
      </c>
      <c r="H203" s="203">
        <v>94.44802124734916</v>
      </c>
      <c r="I203" s="203">
        <v>92.353844461455907</v>
      </c>
      <c r="J203" s="203">
        <v>88.049382591425797</v>
      </c>
      <c r="K203" s="203">
        <v>83.944331450780197</v>
      </c>
      <c r="L203" s="203">
        <v>83.444602745642698</v>
      </c>
      <c r="M203" s="203">
        <v>80.637140777172931</v>
      </c>
      <c r="N203" s="203">
        <v>67.474253173596793</v>
      </c>
      <c r="O203" s="203">
        <v>57.661153763531424</v>
      </c>
      <c r="P203" s="203">
        <v>56.001186214683869</v>
      </c>
      <c r="Q203" s="203">
        <v>52.77296013351117</v>
      </c>
      <c r="R203" s="203">
        <v>50.432960180243882</v>
      </c>
      <c r="S203" s="203">
        <v>48.607412740651114</v>
      </c>
      <c r="T203" s="203">
        <v>47.636779283283076</v>
      </c>
      <c r="U203" s="203">
        <v>47.445923013266452</v>
      </c>
      <c r="V203" s="203">
        <v>47.152651585905694</v>
      </c>
      <c r="W203" s="203">
        <v>45.668156051601422</v>
      </c>
      <c r="X203" s="203">
        <v>44.026720783147752</v>
      </c>
      <c r="Y203" s="203">
        <v>42.797004283430468</v>
      </c>
      <c r="Z203" s="203">
        <v>40.998628569330414</v>
      </c>
      <c r="AA203" s="203">
        <v>40.882363241619387</v>
      </c>
      <c r="AB203" s="16">
        <f>Peak!AB205</f>
        <v>1.2059220544581022</v>
      </c>
      <c r="AC203" s="16">
        <f>Peak!AC205</f>
        <v>0</v>
      </c>
      <c r="AD203" s="18">
        <f>Peak!AD205</f>
        <v>885.60153229928596</v>
      </c>
      <c r="AE203" s="18">
        <f>Peak!AE205</f>
        <v>1999.3152787201918</v>
      </c>
      <c r="AF203" s="16">
        <f>Peak!AF205</f>
        <v>1</v>
      </c>
      <c r="AG203" s="73">
        <f>Peak!AG205</f>
        <v>1.1894</v>
      </c>
      <c r="AH203" s="16">
        <f>Peak!AH205</f>
        <v>4.4726002323248197</v>
      </c>
      <c r="AI203" s="16">
        <f>Peak!AI205</f>
        <v>4.5161244076699383</v>
      </c>
      <c r="AJ203" s="16">
        <f>Peak!AJ205</f>
        <v>2.4399542510000001</v>
      </c>
      <c r="AK203" s="16">
        <f>Peak!AK205</f>
        <v>7.2000000000000008E-2</v>
      </c>
      <c r="AL203" s="4"/>
    </row>
    <row r="204" spans="1:38" x14ac:dyDescent="0.2">
      <c r="A204" s="1">
        <f t="shared" si="23"/>
        <v>42471.31500000025</v>
      </c>
      <c r="B204" s="16">
        <f t="shared" si="21"/>
        <v>1.1894</v>
      </c>
      <c r="C204" s="17">
        <f t="shared" si="18"/>
        <v>11.9487124</v>
      </c>
      <c r="D204" s="16">
        <f t="shared" si="22"/>
        <v>1.2079319245488658</v>
      </c>
      <c r="E204" s="16">
        <f t="shared" si="19"/>
        <v>10.853835143267576</v>
      </c>
      <c r="F204" s="16">
        <f t="shared" si="20"/>
        <v>0.72306436644082983</v>
      </c>
      <c r="G204" s="19">
        <f>IF(IS!$C$2="Peak","-",SUM(C204:F204))</f>
        <v>24.733543834257272</v>
      </c>
      <c r="H204" s="203">
        <v>123.44273432907684</v>
      </c>
      <c r="I204" s="203">
        <v>96.03420075860619</v>
      </c>
      <c r="J204" s="203">
        <v>89.391527026767704</v>
      </c>
      <c r="K204" s="203">
        <v>84.711135646892444</v>
      </c>
      <c r="L204" s="203">
        <v>84.41391471740323</v>
      </c>
      <c r="M204" s="203">
        <v>66.890024932942879</v>
      </c>
      <c r="N204" s="203">
        <v>53.583213353511539</v>
      </c>
      <c r="O204" s="203">
        <v>47.433039498465369</v>
      </c>
      <c r="P204" s="203">
        <v>45.740872927851719</v>
      </c>
      <c r="Q204" s="203">
        <v>40.934061221092506</v>
      </c>
      <c r="R204" s="203">
        <v>40.746312912266035</v>
      </c>
      <c r="S204" s="203">
        <v>40.746312912266035</v>
      </c>
      <c r="T204" s="203">
        <v>40.746294178599022</v>
      </c>
      <c r="U204" s="203">
        <v>40.745632701431425</v>
      </c>
      <c r="V204" s="203">
        <v>40.745568254168468</v>
      </c>
      <c r="W204" s="203">
        <v>40.745568254168468</v>
      </c>
      <c r="X204" s="203">
        <v>40.745568254168468</v>
      </c>
      <c r="Y204" s="203">
        <v>40.278733675441977</v>
      </c>
      <c r="Z204" s="203">
        <v>38.379382438319517</v>
      </c>
      <c r="AA204" s="203">
        <v>36.104342652063011</v>
      </c>
      <c r="AB204" s="16">
        <f>Peak!AB206</f>
        <v>1.2079319245488658</v>
      </c>
      <c r="AC204" s="16">
        <f>Peak!AC206</f>
        <v>0</v>
      </c>
      <c r="AD204" s="18">
        <f>Peak!AD206</f>
        <v>885.60153229928596</v>
      </c>
      <c r="AE204" s="18">
        <f>Peak!AE206</f>
        <v>1999.3152787201918</v>
      </c>
      <c r="AF204" s="16">
        <f>Peak!AF206</f>
        <v>1</v>
      </c>
      <c r="AG204" s="73">
        <f>Peak!AG206</f>
        <v>1.1894</v>
      </c>
      <c r="AH204" s="16">
        <f>Peak!AH206</f>
        <v>4.2521199391820463</v>
      </c>
      <c r="AI204" s="16">
        <f>Peak!AI206</f>
        <v>4.3407409355274167</v>
      </c>
      <c r="AJ204" s="16">
        <f>Peak!AJ206</f>
        <v>2.4399542510000001</v>
      </c>
      <c r="AK204" s="16">
        <f>Peak!AK206</f>
        <v>7.2000000000000008E-2</v>
      </c>
      <c r="AL204" s="4"/>
    </row>
    <row r="205" spans="1:38" x14ac:dyDescent="0.2">
      <c r="A205" s="1">
        <f t="shared" si="23"/>
        <v>42501.732000000251</v>
      </c>
      <c r="B205" s="16">
        <f t="shared" si="21"/>
        <v>1.1894</v>
      </c>
      <c r="C205" s="17">
        <f t="shared" si="18"/>
        <v>11.9487124</v>
      </c>
      <c r="D205" s="16">
        <f t="shared" si="22"/>
        <v>1.209945144423114</v>
      </c>
      <c r="E205" s="16">
        <f t="shared" si="19"/>
        <v>10.853835143267576</v>
      </c>
      <c r="F205" s="16">
        <f t="shared" si="20"/>
        <v>0.72306436644082983</v>
      </c>
      <c r="G205" s="19">
        <f>IF(IS!$C$2="Peak","-",SUM(C205:F205))</f>
        <v>24.735557054131519</v>
      </c>
      <c r="H205" s="203">
        <v>84.467094938003484</v>
      </c>
      <c r="I205" s="203">
        <v>67.64437311357915</v>
      </c>
      <c r="J205" s="203">
        <v>61.509477530528258</v>
      </c>
      <c r="K205" s="203">
        <v>59.069595519817497</v>
      </c>
      <c r="L205" s="203">
        <v>57.368812229621867</v>
      </c>
      <c r="M205" s="203">
        <v>57.060892032964411</v>
      </c>
      <c r="N205" s="203">
        <v>55.569428792421448</v>
      </c>
      <c r="O205" s="203">
        <v>53.631566502423809</v>
      </c>
      <c r="P205" s="203">
        <v>52.320861274459496</v>
      </c>
      <c r="Q205" s="203">
        <v>51.928020428016659</v>
      </c>
      <c r="R205" s="203">
        <v>50.59117755508705</v>
      </c>
      <c r="S205" s="203">
        <v>48.570593993420331</v>
      </c>
      <c r="T205" s="203">
        <v>44.732396942612873</v>
      </c>
      <c r="U205" s="203">
        <v>41.952939514945385</v>
      </c>
      <c r="V205" s="203">
        <v>41.116290286231347</v>
      </c>
      <c r="W205" s="203">
        <v>38.398184683607255</v>
      </c>
      <c r="X205" s="203">
        <v>37.36101871278585</v>
      </c>
      <c r="Y205" s="203">
        <v>36.84837611472674</v>
      </c>
      <c r="Z205" s="203">
        <v>36.091258426722007</v>
      </c>
      <c r="AA205" s="203">
        <v>35.095027930219068</v>
      </c>
      <c r="AB205" s="16">
        <f>Peak!AB207</f>
        <v>1.209945144423114</v>
      </c>
      <c r="AC205" s="16">
        <f>Peak!AC207</f>
        <v>0</v>
      </c>
      <c r="AD205" s="18">
        <f>Peak!AD207</f>
        <v>885.60153229928596</v>
      </c>
      <c r="AE205" s="18">
        <f>Peak!AE207</f>
        <v>1999.3152787201918</v>
      </c>
      <c r="AF205" s="16">
        <f>Peak!AF207</f>
        <v>1</v>
      </c>
      <c r="AG205" s="73">
        <f>Peak!AG207</f>
        <v>1.1894</v>
      </c>
      <c r="AH205" s="16">
        <f>Peak!AH207</f>
        <v>4.4770998301440601</v>
      </c>
      <c r="AI205" s="16">
        <f>Peak!AI207</f>
        <v>4.1653574633848942</v>
      </c>
      <c r="AJ205" s="16">
        <f>Peak!AJ207</f>
        <v>2.4399542510000001</v>
      </c>
      <c r="AK205" s="16">
        <f>Peak!AK207</f>
        <v>7.2000000000000008E-2</v>
      </c>
      <c r="AL205" s="4"/>
    </row>
    <row r="206" spans="1:38" x14ac:dyDescent="0.2">
      <c r="A206" s="1">
        <f t="shared" si="23"/>
        <v>42532.149000000252</v>
      </c>
      <c r="B206" s="16">
        <f t="shared" si="21"/>
        <v>1.1894</v>
      </c>
      <c r="C206" s="17">
        <f t="shared" si="18"/>
        <v>11.9487124</v>
      </c>
      <c r="D206" s="16">
        <f t="shared" si="22"/>
        <v>1.2119617196638193</v>
      </c>
      <c r="E206" s="16">
        <f t="shared" si="19"/>
        <v>10.853835143267576</v>
      </c>
      <c r="F206" s="16">
        <f t="shared" si="20"/>
        <v>0.72306436644082983</v>
      </c>
      <c r="G206" s="19">
        <f>IF(IS!$C$2="Peak","-",SUM(C206:F206))</f>
        <v>24.737573629372225</v>
      </c>
      <c r="H206" s="203">
        <v>193.3874371834182</v>
      </c>
      <c r="I206" s="203">
        <v>179.98139439160084</v>
      </c>
      <c r="J206" s="203">
        <v>168.45653011533076</v>
      </c>
      <c r="K206" s="203">
        <v>155.28112888546079</v>
      </c>
      <c r="L206" s="203">
        <v>146.7828247506873</v>
      </c>
      <c r="M206" s="203">
        <v>84.764339473702634</v>
      </c>
      <c r="N206" s="203">
        <v>75.678646876914144</v>
      </c>
      <c r="O206" s="203">
        <v>55.584233009887676</v>
      </c>
      <c r="P206" s="203">
        <v>45.216871881507942</v>
      </c>
      <c r="Q206" s="203">
        <v>42.298825534210614</v>
      </c>
      <c r="R206" s="203">
        <v>38.663149410710759</v>
      </c>
      <c r="S206" s="203">
        <v>37.137158145592601</v>
      </c>
      <c r="T206" s="203">
        <v>37.009594336396248</v>
      </c>
      <c r="U206" s="203">
        <v>37.009575652626069</v>
      </c>
      <c r="V206" s="203">
        <v>37.008864401844349</v>
      </c>
      <c r="W206" s="203">
        <v>37.00884655876677</v>
      </c>
      <c r="X206" s="203">
        <v>37.00884655876677</v>
      </c>
      <c r="Y206" s="203">
        <v>36.966435273418107</v>
      </c>
      <c r="Z206" s="203">
        <v>36.521779955664059</v>
      </c>
      <c r="AA206" s="203">
        <v>33.000921403300659</v>
      </c>
      <c r="AB206" s="16">
        <f>Peak!AB208</f>
        <v>1.2119617196638193</v>
      </c>
      <c r="AC206" s="16">
        <f>Peak!AC208</f>
        <v>0</v>
      </c>
      <c r="AD206" s="18">
        <f>Peak!AD208</f>
        <v>885.60153229928596</v>
      </c>
      <c r="AE206" s="18">
        <f>Peak!AE208</f>
        <v>1999.3152787201918</v>
      </c>
      <c r="AF206" s="16">
        <f>Peak!AF208</f>
        <v>1</v>
      </c>
      <c r="AG206" s="73">
        <f>Peak!AG208</f>
        <v>1.1894</v>
      </c>
      <c r="AH206" s="16">
        <f>Peak!AH208</f>
        <v>4.2656187326397674</v>
      </c>
      <c r="AI206" s="16">
        <f>Peak!AI208</f>
        <v>4.1653574633848942</v>
      </c>
      <c r="AJ206" s="16">
        <f>Peak!AJ208</f>
        <v>2.4399542510000001</v>
      </c>
      <c r="AK206" s="16">
        <f>Peak!AK208</f>
        <v>7.2000000000000008E-2</v>
      </c>
      <c r="AL206" s="4"/>
    </row>
    <row r="207" spans="1:38" x14ac:dyDescent="0.2">
      <c r="A207" s="1">
        <f t="shared" si="23"/>
        <v>42562.566000000254</v>
      </c>
      <c r="B207" s="16">
        <f t="shared" si="21"/>
        <v>1.1894</v>
      </c>
      <c r="C207" s="17">
        <f t="shared" si="18"/>
        <v>11.9487124</v>
      </c>
      <c r="D207" s="16">
        <f t="shared" si="22"/>
        <v>1.213981655863259</v>
      </c>
      <c r="E207" s="16">
        <f t="shared" si="19"/>
        <v>10.853835143267576</v>
      </c>
      <c r="F207" s="16">
        <f t="shared" si="20"/>
        <v>0.72306436644082983</v>
      </c>
      <c r="G207" s="19">
        <f>IF(IS!$C$2="Peak","-",SUM(C207:F207))</f>
        <v>24.739593565571667</v>
      </c>
      <c r="H207" s="203">
        <v>202.90387912423154</v>
      </c>
      <c r="I207" s="203">
        <v>185.9026303095236</v>
      </c>
      <c r="J207" s="203">
        <v>173.4731472272579</v>
      </c>
      <c r="K207" s="203">
        <v>158.78780434260236</v>
      </c>
      <c r="L207" s="203">
        <v>149.27202004922205</v>
      </c>
      <c r="M207" s="203">
        <v>107.17567601626351</v>
      </c>
      <c r="N207" s="203">
        <v>80.065201526539511</v>
      </c>
      <c r="O207" s="203">
        <v>76.38851890787771</v>
      </c>
      <c r="P207" s="203">
        <v>61.373795207843088</v>
      </c>
      <c r="Q207" s="203">
        <v>57.662877713580109</v>
      </c>
      <c r="R207" s="203">
        <v>56.136502930412995</v>
      </c>
      <c r="S207" s="203">
        <v>55.66246003386793</v>
      </c>
      <c r="T207" s="203">
        <v>54.888702262151085</v>
      </c>
      <c r="U207" s="203">
        <v>54.298460722294635</v>
      </c>
      <c r="V207" s="203">
        <v>53.786024192391785</v>
      </c>
      <c r="W207" s="203">
        <v>51.449719217971236</v>
      </c>
      <c r="X207" s="203">
        <v>46.889188602804936</v>
      </c>
      <c r="Y207" s="203">
        <v>43.88093022503336</v>
      </c>
      <c r="Z207" s="203">
        <v>41.73397562411553</v>
      </c>
      <c r="AA207" s="203">
        <v>38.237024630181878</v>
      </c>
      <c r="AB207" s="16">
        <f>Peak!AB209</f>
        <v>1.213981655863259</v>
      </c>
      <c r="AC207" s="16">
        <f>Peak!AC209</f>
        <v>0</v>
      </c>
      <c r="AD207" s="18">
        <f>Peak!AD209</f>
        <v>885.60153229928596</v>
      </c>
      <c r="AE207" s="18">
        <f>Peak!AE209</f>
        <v>1999.3152787201918</v>
      </c>
      <c r="AF207" s="16">
        <f>Peak!AF209</f>
        <v>1</v>
      </c>
      <c r="AG207" s="73">
        <f>Peak!AG209</f>
        <v>1.1894</v>
      </c>
      <c r="AH207" s="16">
        <f>Peak!AH209</f>
        <v>4.2521199391820463</v>
      </c>
      <c r="AI207" s="16">
        <f>Peak!AI209</f>
        <v>4.1653574633848942</v>
      </c>
      <c r="AJ207" s="16">
        <f>Peak!AJ209</f>
        <v>2.4399542510000001</v>
      </c>
      <c r="AK207" s="16">
        <f>Peak!AK209</f>
        <v>7.2000000000000008E-2</v>
      </c>
      <c r="AL207" s="4"/>
    </row>
    <row r="208" spans="1:38" x14ac:dyDescent="0.2">
      <c r="A208" s="1">
        <f t="shared" si="23"/>
        <v>42592.983000000255</v>
      </c>
      <c r="B208" s="16">
        <f t="shared" si="21"/>
        <v>1.1894</v>
      </c>
      <c r="C208" s="17">
        <f t="shared" si="18"/>
        <v>11.9487124</v>
      </c>
      <c r="D208" s="16">
        <f t="shared" si="22"/>
        <v>1.2160049586230313</v>
      </c>
      <c r="E208" s="16">
        <f t="shared" si="19"/>
        <v>10.853835143267576</v>
      </c>
      <c r="F208" s="16">
        <f t="shared" si="20"/>
        <v>0.72306436644082983</v>
      </c>
      <c r="G208" s="19">
        <f>IF(IS!$C$2="Peak","-",SUM(C208:F208))</f>
        <v>24.741616868331437</v>
      </c>
      <c r="H208" s="203">
        <v>284.65740683805501</v>
      </c>
      <c r="I208" s="203">
        <v>214.06775853797294</v>
      </c>
      <c r="J208" s="203">
        <v>196.55168836945757</v>
      </c>
      <c r="K208" s="203">
        <v>177.22503286472829</v>
      </c>
      <c r="L208" s="203">
        <v>161.78142948217436</v>
      </c>
      <c r="M208" s="203">
        <v>147.78284842281295</v>
      </c>
      <c r="N208" s="203">
        <v>106.03941597526499</v>
      </c>
      <c r="O208" s="203">
        <v>89.621825917146978</v>
      </c>
      <c r="P208" s="203">
        <v>74.77332315740891</v>
      </c>
      <c r="Q208" s="203">
        <v>52.858398648004126</v>
      </c>
      <c r="R208" s="203">
        <v>44.097886670443785</v>
      </c>
      <c r="S208" s="203">
        <v>42.761098913264199</v>
      </c>
      <c r="T208" s="203">
        <v>42.761051179555395</v>
      </c>
      <c r="U208" s="203">
        <v>42.761031984846731</v>
      </c>
      <c r="V208" s="203">
        <v>42.760839841932068</v>
      </c>
      <c r="W208" s="203">
        <v>42.76074251545262</v>
      </c>
      <c r="X208" s="203">
        <v>42.506239279150208</v>
      </c>
      <c r="Y208" s="203">
        <v>38.88934832358553</v>
      </c>
      <c r="Z208" s="203">
        <v>36.856552065140093</v>
      </c>
      <c r="AA208" s="203">
        <v>30.950707130364695</v>
      </c>
      <c r="AB208" s="16">
        <f>Peak!AB210</f>
        <v>1.2160049586230313</v>
      </c>
      <c r="AC208" s="16">
        <f>Peak!AC210</f>
        <v>0</v>
      </c>
      <c r="AD208" s="18">
        <f>Peak!AD210</f>
        <v>885.60153229928596</v>
      </c>
      <c r="AE208" s="18">
        <f>Peak!AE210</f>
        <v>1999.3152787201918</v>
      </c>
      <c r="AF208" s="16">
        <f>Peak!AF210</f>
        <v>1</v>
      </c>
      <c r="AG208" s="73">
        <f>Peak!AG210</f>
        <v>1.1894</v>
      </c>
      <c r="AH208" s="16">
        <f>Peak!AH210</f>
        <v>4.0316396460392738</v>
      </c>
      <c r="AI208" s="16">
        <f>Peak!AI210</f>
        <v>4.1653574633848942</v>
      </c>
      <c r="AJ208" s="16">
        <f>Peak!AJ210</f>
        <v>2.4399542510000001</v>
      </c>
      <c r="AK208" s="16">
        <f>Peak!AK210</f>
        <v>7.2000000000000008E-2</v>
      </c>
      <c r="AL208" s="4"/>
    </row>
    <row r="209" spans="1:38" x14ac:dyDescent="0.2">
      <c r="A209" s="1">
        <f t="shared" si="23"/>
        <v>42623.400000000256</v>
      </c>
      <c r="B209" s="16">
        <f t="shared" si="21"/>
        <v>1.1894</v>
      </c>
      <c r="C209" s="17">
        <f t="shared" si="18"/>
        <v>11.9487124</v>
      </c>
      <c r="D209" s="16">
        <f t="shared" si="22"/>
        <v>1.2180316335540697</v>
      </c>
      <c r="E209" s="16">
        <f t="shared" si="19"/>
        <v>10.853835143267576</v>
      </c>
      <c r="F209" s="16">
        <f t="shared" si="20"/>
        <v>0.72306436644082983</v>
      </c>
      <c r="G209" s="19">
        <f>IF(IS!$C$2="Peak","-",SUM(C209:F209))</f>
        <v>24.743643543262476</v>
      </c>
      <c r="H209" s="203">
        <v>177.14419420706861</v>
      </c>
      <c r="I209" s="203">
        <v>165.02974701208271</v>
      </c>
      <c r="J209" s="203">
        <v>155.57787401245974</v>
      </c>
      <c r="K209" s="203">
        <v>147.34889888989949</v>
      </c>
      <c r="L209" s="203">
        <v>106.05099428469259</v>
      </c>
      <c r="M209" s="203">
        <v>70.33227042379076</v>
      </c>
      <c r="N209" s="203">
        <v>62.058979135768695</v>
      </c>
      <c r="O209" s="203">
        <v>60.422995023075586</v>
      </c>
      <c r="P209" s="203">
        <v>51.520577322739506</v>
      </c>
      <c r="Q209" s="203">
        <v>45.283234897351882</v>
      </c>
      <c r="R209" s="203">
        <v>43.443843808952607</v>
      </c>
      <c r="S209" s="203">
        <v>42.2580336422266</v>
      </c>
      <c r="T209" s="203">
        <v>39.959679207244626</v>
      </c>
      <c r="U209" s="203">
        <v>37.878889445876077</v>
      </c>
      <c r="V209" s="203">
        <v>35.172461383167288</v>
      </c>
      <c r="W209" s="203">
        <v>33.554483265456788</v>
      </c>
      <c r="X209" s="203">
        <v>31.883138827797779</v>
      </c>
      <c r="Y209" s="203">
        <v>31.307175970279935</v>
      </c>
      <c r="Z209" s="203">
        <v>30.664691455479755</v>
      </c>
      <c r="AA209" s="203">
        <v>30.468923252001385</v>
      </c>
      <c r="AB209" s="16">
        <f>Peak!AB211</f>
        <v>1.2180316335540697</v>
      </c>
      <c r="AC209" s="16">
        <f>Peak!AC211</f>
        <v>0</v>
      </c>
      <c r="AD209" s="18">
        <f>Peak!AD211</f>
        <v>885.60153229928596</v>
      </c>
      <c r="AE209" s="18">
        <f>Peak!AE211</f>
        <v>1999.3152787201918</v>
      </c>
      <c r="AF209" s="16">
        <f>Peak!AF211</f>
        <v>1</v>
      </c>
      <c r="AG209" s="73">
        <f>Peak!AG211</f>
        <v>1.1894</v>
      </c>
      <c r="AH209" s="16">
        <f>Peak!AH211</f>
        <v>4.0181408525815527</v>
      </c>
      <c r="AI209" s="16">
        <f>Peak!AI211</f>
        <v>4.1653574633848942</v>
      </c>
      <c r="AJ209" s="16">
        <f>Peak!AJ211</f>
        <v>2.4399542510000001</v>
      </c>
      <c r="AK209" s="16">
        <f>Peak!AK211</f>
        <v>7.2000000000000008E-2</v>
      </c>
      <c r="AL209" s="4"/>
    </row>
    <row r="210" spans="1:38" x14ac:dyDescent="0.2">
      <c r="A210" s="1">
        <f t="shared" si="23"/>
        <v>42653.817000000257</v>
      </c>
      <c r="B210" s="16">
        <f t="shared" si="21"/>
        <v>1.1894</v>
      </c>
      <c r="C210" s="17">
        <f t="shared" si="18"/>
        <v>11.9487124</v>
      </c>
      <c r="D210" s="16">
        <f t="shared" si="22"/>
        <v>1.22006168627666</v>
      </c>
      <c r="E210" s="16">
        <f t="shared" si="19"/>
        <v>10.853835143267576</v>
      </c>
      <c r="F210" s="16">
        <f t="shared" si="20"/>
        <v>0.72306436644082983</v>
      </c>
      <c r="G210" s="19">
        <f>IF(IS!$C$2="Peak","-",SUM(C210:F210))</f>
        <v>24.745673595985068</v>
      </c>
      <c r="H210" s="203">
        <v>90.092792266445599</v>
      </c>
      <c r="I210" s="203">
        <v>84.754453706076987</v>
      </c>
      <c r="J210" s="203">
        <v>82.022860740087324</v>
      </c>
      <c r="K210" s="203">
        <v>76.853914996445297</v>
      </c>
      <c r="L210" s="203">
        <v>74.489457410685006</v>
      </c>
      <c r="M210" s="203">
        <v>74.06689906203016</v>
      </c>
      <c r="N210" s="203">
        <v>64.911728566047444</v>
      </c>
      <c r="O210" s="203">
        <v>52.586002389529078</v>
      </c>
      <c r="P210" s="203">
        <v>50.987781038934379</v>
      </c>
      <c r="Q210" s="203">
        <v>46.403075512006339</v>
      </c>
      <c r="R210" s="203">
        <v>45.17332313548431</v>
      </c>
      <c r="S210" s="203">
        <v>44.047918164275998</v>
      </c>
      <c r="T210" s="203">
        <v>42.827968477798052</v>
      </c>
      <c r="U210" s="203">
        <v>42.061043952365338</v>
      </c>
      <c r="V210" s="203">
        <v>41.546881045990702</v>
      </c>
      <c r="W210" s="203">
        <v>39.554824943584535</v>
      </c>
      <c r="X210" s="203">
        <v>37.439453940563908</v>
      </c>
      <c r="Y210" s="203">
        <v>36.908840901310256</v>
      </c>
      <c r="Z210" s="203">
        <v>36.859159897036683</v>
      </c>
      <c r="AA210" s="203">
        <v>36.109642206274522</v>
      </c>
      <c r="AB210" s="16">
        <f>Peak!AB212</f>
        <v>1.22006168627666</v>
      </c>
      <c r="AC210" s="16">
        <f>Peak!AC212</f>
        <v>0</v>
      </c>
      <c r="AD210" s="18">
        <f>Peak!AD212</f>
        <v>885.60153229928596</v>
      </c>
      <c r="AE210" s="18">
        <f>Peak!AE212</f>
        <v>1999.3152787201918</v>
      </c>
      <c r="AF210" s="16">
        <f>Peak!AF212</f>
        <v>1</v>
      </c>
      <c r="AG210" s="73">
        <f>Peak!AG212</f>
        <v>1.1894</v>
      </c>
      <c r="AH210" s="16">
        <f>Peak!AH212</f>
        <v>4.4501022432286179</v>
      </c>
      <c r="AI210" s="16">
        <f>Peak!AI212</f>
        <v>4.1653574633848942</v>
      </c>
      <c r="AJ210" s="16">
        <f>Peak!AJ212</f>
        <v>2.4399542510000001</v>
      </c>
      <c r="AK210" s="16">
        <f>Peak!AK212</f>
        <v>7.2000000000000008E-2</v>
      </c>
      <c r="AL210" s="4"/>
    </row>
    <row r="211" spans="1:38" x14ac:dyDescent="0.2">
      <c r="A211" s="1">
        <f t="shared" si="23"/>
        <v>42684.234000000259</v>
      </c>
      <c r="B211" s="16">
        <f t="shared" si="21"/>
        <v>1.1894</v>
      </c>
      <c r="C211" s="17">
        <f t="shared" si="18"/>
        <v>11.9487124</v>
      </c>
      <c r="D211" s="16">
        <f t="shared" si="22"/>
        <v>1.2220951224204546</v>
      </c>
      <c r="E211" s="16">
        <f t="shared" si="19"/>
        <v>10.853835143267576</v>
      </c>
      <c r="F211" s="16">
        <f t="shared" si="20"/>
        <v>0.72306436644082983</v>
      </c>
      <c r="G211" s="19">
        <f>IF(IS!$C$2="Peak","-",SUM(C211:F211))</f>
        <v>24.747707032128858</v>
      </c>
      <c r="H211" s="203">
        <v>154.08395727901848</v>
      </c>
      <c r="I211" s="203">
        <v>150.28955743883816</v>
      </c>
      <c r="J211" s="203">
        <v>145.11927631452286</v>
      </c>
      <c r="K211" s="203">
        <v>100.44735109318991</v>
      </c>
      <c r="L211" s="203">
        <v>90.7158749985322</v>
      </c>
      <c r="M211" s="203">
        <v>88.827923713628905</v>
      </c>
      <c r="N211" s="203">
        <v>76.856791458551683</v>
      </c>
      <c r="O211" s="203">
        <v>59.937946768740645</v>
      </c>
      <c r="P211" s="203">
        <v>49.762070392021073</v>
      </c>
      <c r="Q211" s="203">
        <v>48.868718214022962</v>
      </c>
      <c r="R211" s="203">
        <v>42.935252560628015</v>
      </c>
      <c r="S211" s="203">
        <v>42.645925400386197</v>
      </c>
      <c r="T211" s="203">
        <v>42.645925400386197</v>
      </c>
      <c r="U211" s="203">
        <v>42.645878313152402</v>
      </c>
      <c r="V211" s="203">
        <v>42.645169766632904</v>
      </c>
      <c r="W211" s="203">
        <v>42.645169766632904</v>
      </c>
      <c r="X211" s="203">
        <v>42.645169766632904</v>
      </c>
      <c r="Y211" s="203">
        <v>42.645169766632904</v>
      </c>
      <c r="Z211" s="203">
        <v>39.641064148749294</v>
      </c>
      <c r="AA211" s="203">
        <v>35.610161650957068</v>
      </c>
      <c r="AB211" s="16">
        <f>Peak!AB213</f>
        <v>1.2220951224204546</v>
      </c>
      <c r="AC211" s="16">
        <f>Peak!AC213</f>
        <v>0</v>
      </c>
      <c r="AD211" s="18">
        <f>Peak!AD213</f>
        <v>885.60153229928596</v>
      </c>
      <c r="AE211" s="18">
        <f>Peak!AE213</f>
        <v>1999.3152787201918</v>
      </c>
      <c r="AF211" s="16">
        <f>Peak!AF213</f>
        <v>1</v>
      </c>
      <c r="AG211" s="73">
        <f>Peak!AG213</f>
        <v>1.1894</v>
      </c>
      <c r="AH211" s="16">
        <f>Peak!AH213</f>
        <v>4.8730644382372024</v>
      </c>
      <c r="AI211" s="16">
        <f>Peak!AI213</f>
        <v>4.5161244076699383</v>
      </c>
      <c r="AJ211" s="16">
        <f>Peak!AJ213</f>
        <v>2.4399542510000001</v>
      </c>
      <c r="AK211" s="16">
        <f>Peak!AK213</f>
        <v>7.2000000000000008E-2</v>
      </c>
      <c r="AL211" s="4"/>
    </row>
    <row r="212" spans="1:38" x14ac:dyDescent="0.2">
      <c r="A212" s="1">
        <f t="shared" si="23"/>
        <v>42714.65100000026</v>
      </c>
      <c r="B212" s="16">
        <f t="shared" si="21"/>
        <v>1.1894</v>
      </c>
      <c r="C212" s="17">
        <f t="shared" si="18"/>
        <v>11.9487124</v>
      </c>
      <c r="D212" s="16">
        <f t="shared" si="22"/>
        <v>1.2241319476244887</v>
      </c>
      <c r="E212" s="16">
        <f t="shared" si="19"/>
        <v>10.853835143267576</v>
      </c>
      <c r="F212" s="16">
        <f t="shared" si="20"/>
        <v>0.72306436644082983</v>
      </c>
      <c r="G212" s="19">
        <f>IF(IS!$C$2="Peak","-",SUM(C212:F212))</f>
        <v>24.749743857332895</v>
      </c>
      <c r="H212" s="203">
        <v>123.91791628360446</v>
      </c>
      <c r="I212" s="203">
        <v>119.48810100937283</v>
      </c>
      <c r="J212" s="203">
        <v>112.32089165398376</v>
      </c>
      <c r="K212" s="203">
        <v>110.805351646527</v>
      </c>
      <c r="L212" s="203">
        <v>109.34038570838879</v>
      </c>
      <c r="M212" s="203">
        <v>93.191074417714077</v>
      </c>
      <c r="N212" s="203">
        <v>73.4935904049063</v>
      </c>
      <c r="O212" s="203">
        <v>61.477581052389326</v>
      </c>
      <c r="P212" s="203">
        <v>60.49308318011127</v>
      </c>
      <c r="Q212" s="203">
        <v>53.311293841879667</v>
      </c>
      <c r="R212" s="203">
        <v>52.149828903672379</v>
      </c>
      <c r="S212" s="203">
        <v>52.149828903672379</v>
      </c>
      <c r="T212" s="203">
        <v>52.149828903672379</v>
      </c>
      <c r="U212" s="203">
        <v>52.149828903672379</v>
      </c>
      <c r="V212" s="203">
        <v>52.149828903672379</v>
      </c>
      <c r="W212" s="203">
        <v>52.149780680674354</v>
      </c>
      <c r="X212" s="203">
        <v>52.149223663447074</v>
      </c>
      <c r="Y212" s="203">
        <v>52.148459707063616</v>
      </c>
      <c r="Z212" s="203">
        <v>52.148459707063616</v>
      </c>
      <c r="AA212" s="203">
        <v>47.304983566361777</v>
      </c>
      <c r="AB212" s="16">
        <f>Peak!AB214</f>
        <v>1.2241319476244887</v>
      </c>
      <c r="AC212" s="16">
        <f>Peak!AC214</f>
        <v>0</v>
      </c>
      <c r="AD212" s="18">
        <f>Peak!AD214</f>
        <v>885.60153229928596</v>
      </c>
      <c r="AE212" s="18">
        <f>Peak!AE214</f>
        <v>1999.3152787201918</v>
      </c>
      <c r="AF212" s="16">
        <f>Peak!AF214</f>
        <v>1</v>
      </c>
      <c r="AG212" s="73">
        <f>Peak!AG214</f>
        <v>1.1894</v>
      </c>
      <c r="AH212" s="16">
        <f>Peak!AH214</f>
        <v>5.2735286441495859</v>
      </c>
      <c r="AI212" s="16">
        <f>Peak!AI214</f>
        <v>4.7353537478480909</v>
      </c>
      <c r="AJ212" s="16">
        <f>Peak!AJ214</f>
        <v>2.4399542510000001</v>
      </c>
      <c r="AK212" s="16">
        <f>Peak!AK214</f>
        <v>7.2000000000000008E-2</v>
      </c>
      <c r="AL212" s="4"/>
    </row>
    <row r="213" spans="1:38" x14ac:dyDescent="0.2">
      <c r="A213" s="1">
        <f t="shared" si="23"/>
        <v>42745.068000000261</v>
      </c>
      <c r="B213" s="16">
        <f t="shared" si="21"/>
        <v>1.1993</v>
      </c>
      <c r="C213" s="17">
        <f t="shared" si="18"/>
        <v>12.0481678</v>
      </c>
      <c r="D213" s="16">
        <f t="shared" si="22"/>
        <v>1.2261721675371962</v>
      </c>
      <c r="E213" s="16">
        <f t="shared" si="19"/>
        <v>10.663363878289642</v>
      </c>
      <c r="F213" s="16">
        <f t="shared" si="20"/>
        <v>0.67975549824285586</v>
      </c>
      <c r="G213" s="19">
        <f>IF(IS!$C$2="Peak","-",SUM(C213:F213))</f>
        <v>24.617459344069694</v>
      </c>
      <c r="H213" s="203">
        <v>122.40409161104397</v>
      </c>
      <c r="I213" s="203">
        <v>115.92685277401458</v>
      </c>
      <c r="J213" s="203">
        <v>111.68854002796596</v>
      </c>
      <c r="K213" s="203">
        <v>104.40821548528888</v>
      </c>
      <c r="L213" s="203">
        <v>103.89649194148869</v>
      </c>
      <c r="M213" s="203">
        <v>95.994488245823234</v>
      </c>
      <c r="N213" s="203">
        <v>71.002632388235227</v>
      </c>
      <c r="O213" s="203">
        <v>58.468764117268073</v>
      </c>
      <c r="P213" s="203">
        <v>55.83853634011556</v>
      </c>
      <c r="Q213" s="203">
        <v>49.904919722192879</v>
      </c>
      <c r="R213" s="203">
        <v>49.904919722192879</v>
      </c>
      <c r="S213" s="203">
        <v>49.904919722192879</v>
      </c>
      <c r="T213" s="203">
        <v>49.772056585918506</v>
      </c>
      <c r="U213" s="203">
        <v>49.105480623066995</v>
      </c>
      <c r="V213" s="203">
        <v>49.057675550260043</v>
      </c>
      <c r="W213" s="203">
        <v>49.057675550260043</v>
      </c>
      <c r="X213" s="203">
        <v>49.057407616315814</v>
      </c>
      <c r="Y213" s="203">
        <v>49.05727450121524</v>
      </c>
      <c r="Z213" s="203">
        <v>48.96525684742339</v>
      </c>
      <c r="AA213" s="203">
        <v>40.058696300019903</v>
      </c>
      <c r="AB213" s="16">
        <f>Peak!AB215</f>
        <v>1.2261721675371962</v>
      </c>
      <c r="AC213" s="16">
        <f>Peak!AC215</f>
        <v>0</v>
      </c>
      <c r="AD213" s="18">
        <f>Peak!AD215</f>
        <v>870.0603303281033</v>
      </c>
      <c r="AE213" s="18">
        <f>Peak!AE215</f>
        <v>1879.5637242099006</v>
      </c>
      <c r="AF213" s="16">
        <f>Peak!AF215</f>
        <v>1</v>
      </c>
      <c r="AG213" s="73">
        <f>Peak!AG215</f>
        <v>1.1993</v>
      </c>
      <c r="AH213" s="16">
        <f>Peak!AH215</f>
        <v>5.2427545426260203</v>
      </c>
      <c r="AI213" s="16">
        <f>Peak!AI215</f>
        <v>4.8829106839621765</v>
      </c>
      <c r="AJ213" s="16">
        <f>Peak!AJ215</f>
        <v>2.4399542510000001</v>
      </c>
      <c r="AK213" s="16">
        <f>Peak!AK215</f>
        <v>7.2000000000000008E-2</v>
      </c>
      <c r="AL213" s="4"/>
    </row>
    <row r="214" spans="1:38" x14ac:dyDescent="0.2">
      <c r="A214" s="1">
        <f t="shared" si="23"/>
        <v>42775.485000000263</v>
      </c>
      <c r="B214" s="16">
        <f t="shared" si="21"/>
        <v>1.1993</v>
      </c>
      <c r="C214" s="17">
        <f t="shared" si="18"/>
        <v>12.0481678</v>
      </c>
      <c r="D214" s="16">
        <f t="shared" si="22"/>
        <v>1.2282157878164248</v>
      </c>
      <c r="E214" s="16">
        <f t="shared" si="19"/>
        <v>10.663363878289642</v>
      </c>
      <c r="F214" s="16">
        <f t="shared" si="20"/>
        <v>0.67975549824285586</v>
      </c>
      <c r="G214" s="19">
        <f>IF(IS!$C$2="Peak","-",SUM(C214:F214))</f>
        <v>24.619502964348921</v>
      </c>
      <c r="H214" s="203">
        <v>146.84494019442008</v>
      </c>
      <c r="I214" s="203">
        <v>137.11560418693233</v>
      </c>
      <c r="J214" s="203">
        <v>119.92042322785156</v>
      </c>
      <c r="K214" s="203">
        <v>107.58711849285291</v>
      </c>
      <c r="L214" s="203">
        <v>100.39561704195141</v>
      </c>
      <c r="M214" s="203">
        <v>99.442256695480097</v>
      </c>
      <c r="N214" s="203">
        <v>85.498573232630889</v>
      </c>
      <c r="O214" s="203">
        <v>77.782578739588899</v>
      </c>
      <c r="P214" s="203">
        <v>66.704721998454289</v>
      </c>
      <c r="Q214" s="203">
        <v>50.831284192794975</v>
      </c>
      <c r="R214" s="203">
        <v>47.299935998982946</v>
      </c>
      <c r="S214" s="203">
        <v>47.291275842623797</v>
      </c>
      <c r="T214" s="203">
        <v>47.291275124289463</v>
      </c>
      <c r="U214" s="203">
        <v>47.291270363438336</v>
      </c>
      <c r="V214" s="203">
        <v>47.291261581020848</v>
      </c>
      <c r="W214" s="203">
        <v>47.291260780782068</v>
      </c>
      <c r="X214" s="203">
        <v>47.291248036541347</v>
      </c>
      <c r="Y214" s="203">
        <v>47.291248036541347</v>
      </c>
      <c r="Z214" s="203">
        <v>45.412558850865153</v>
      </c>
      <c r="AA214" s="203">
        <v>41.612991514335235</v>
      </c>
      <c r="AB214" s="16">
        <f>Peak!AB216</f>
        <v>1.2282157878164248</v>
      </c>
      <c r="AC214" s="16">
        <f>Peak!AC216</f>
        <v>0</v>
      </c>
      <c r="AD214" s="18">
        <f>Peak!AD216</f>
        <v>870.0603303281033</v>
      </c>
      <c r="AE214" s="18">
        <f>Peak!AE216</f>
        <v>1879.5637242099006</v>
      </c>
      <c r="AF214" s="16">
        <f>Peak!AF216</f>
        <v>1</v>
      </c>
      <c r="AG214" s="73">
        <f>Peak!AG216</f>
        <v>1.1993</v>
      </c>
      <c r="AH214" s="16">
        <f>Peak!AH216</f>
        <v>4.6989581937898111</v>
      </c>
      <c r="AI214" s="16">
        <f>Peak!AI216</f>
        <v>4.8376985479995636</v>
      </c>
      <c r="AJ214" s="16">
        <f>Peak!AJ216</f>
        <v>2.4399542510000001</v>
      </c>
      <c r="AK214" s="16">
        <f>Peak!AK216</f>
        <v>7.2000000000000008E-2</v>
      </c>
      <c r="AL214" s="4"/>
    </row>
    <row r="215" spans="1:38" x14ac:dyDescent="0.2">
      <c r="A215" s="1">
        <f t="shared" si="23"/>
        <v>42805.902000000264</v>
      </c>
      <c r="B215" s="16">
        <f t="shared" si="21"/>
        <v>1.1993</v>
      </c>
      <c r="C215" s="17">
        <f t="shared" si="18"/>
        <v>12.0481678</v>
      </c>
      <c r="D215" s="16">
        <f t="shared" si="22"/>
        <v>1.2302628141294523</v>
      </c>
      <c r="E215" s="16">
        <f t="shared" si="19"/>
        <v>10.663363878289642</v>
      </c>
      <c r="F215" s="16">
        <f t="shared" si="20"/>
        <v>0.67975549824285586</v>
      </c>
      <c r="G215" s="19">
        <f>IF(IS!$C$2="Peak","-",SUM(C215:F215))</f>
        <v>24.621549990661947</v>
      </c>
      <c r="H215" s="203">
        <v>106.54765768351039</v>
      </c>
      <c r="I215" s="203">
        <v>98.902465115547983</v>
      </c>
      <c r="J215" s="203">
        <v>94.50663087833324</v>
      </c>
      <c r="K215" s="203">
        <v>88.72485977696941</v>
      </c>
      <c r="L215" s="203">
        <v>88.360121581082467</v>
      </c>
      <c r="M215" s="203">
        <v>81.374679432161642</v>
      </c>
      <c r="N215" s="203">
        <v>61.986865912623216</v>
      </c>
      <c r="O215" s="203">
        <v>57.355037032676549</v>
      </c>
      <c r="P215" s="203">
        <v>50.628071478304705</v>
      </c>
      <c r="Q215" s="203">
        <v>49.523403309093311</v>
      </c>
      <c r="R215" s="203">
        <v>48.688301745874156</v>
      </c>
      <c r="S215" s="203">
        <v>47.052279237427598</v>
      </c>
      <c r="T215" s="203">
        <v>45.369751476594715</v>
      </c>
      <c r="U215" s="203">
        <v>43.727879301771353</v>
      </c>
      <c r="V215" s="203">
        <v>42.67973958511449</v>
      </c>
      <c r="W215" s="203">
        <v>42.444275175162204</v>
      </c>
      <c r="X215" s="203">
        <v>42.44422435235623</v>
      </c>
      <c r="Y215" s="203">
        <v>42.444139830265861</v>
      </c>
      <c r="Z215" s="203">
        <v>42.444005010398158</v>
      </c>
      <c r="AA215" s="203">
        <v>42.116612531981495</v>
      </c>
      <c r="AB215" s="16">
        <f>Peak!AB217</f>
        <v>1.2302628141294523</v>
      </c>
      <c r="AC215" s="16">
        <f>Peak!AC217</f>
        <v>0</v>
      </c>
      <c r="AD215" s="18">
        <f>Peak!AD217</f>
        <v>870.0603303281033</v>
      </c>
      <c r="AE215" s="18">
        <f>Peak!AE217</f>
        <v>1879.5637242099006</v>
      </c>
      <c r="AF215" s="16">
        <f>Peak!AF217</f>
        <v>1</v>
      </c>
      <c r="AG215" s="73">
        <f>Peak!AG217</f>
        <v>1.1993</v>
      </c>
      <c r="AH215" s="16">
        <f>Peak!AH217</f>
        <v>4.6199450490871143</v>
      </c>
      <c r="AI215" s="16">
        <f>Peak!AI217</f>
        <v>4.6568500041491125</v>
      </c>
      <c r="AJ215" s="16">
        <f>Peak!AJ217</f>
        <v>2.4399542510000001</v>
      </c>
      <c r="AK215" s="16">
        <f>Peak!AK217</f>
        <v>7.2000000000000008E-2</v>
      </c>
      <c r="AL215" s="4"/>
    </row>
    <row r="216" spans="1:38" x14ac:dyDescent="0.2">
      <c r="A216" s="1">
        <f t="shared" si="23"/>
        <v>42836.319000000265</v>
      </c>
      <c r="B216" s="16">
        <f t="shared" si="21"/>
        <v>1.1993</v>
      </c>
      <c r="C216" s="17">
        <f t="shared" si="18"/>
        <v>12.0481678</v>
      </c>
      <c r="D216" s="16">
        <f t="shared" si="22"/>
        <v>1.2323132521530014</v>
      </c>
      <c r="E216" s="16">
        <f t="shared" si="19"/>
        <v>10.663363878289642</v>
      </c>
      <c r="F216" s="16">
        <f t="shared" si="20"/>
        <v>0.67975549824285586</v>
      </c>
      <c r="G216" s="19">
        <f>IF(IS!$C$2="Peak","-",SUM(C216:F216))</f>
        <v>24.623600428685499</v>
      </c>
      <c r="H216" s="203">
        <v>106.83512527222308</v>
      </c>
      <c r="I216" s="203">
        <v>93.06570106218949</v>
      </c>
      <c r="J216" s="203">
        <v>86.935972670100242</v>
      </c>
      <c r="K216" s="203">
        <v>84.332997704193531</v>
      </c>
      <c r="L216" s="203">
        <v>83.740267794722882</v>
      </c>
      <c r="M216" s="203">
        <v>62.424727507939679</v>
      </c>
      <c r="N216" s="203">
        <v>50.56232893513458</v>
      </c>
      <c r="O216" s="203">
        <v>47.310932108903216</v>
      </c>
      <c r="P216" s="203">
        <v>43.249868772901223</v>
      </c>
      <c r="Q216" s="203">
        <v>40.742446100753966</v>
      </c>
      <c r="R216" s="203">
        <v>40.742446100753966</v>
      </c>
      <c r="S216" s="203">
        <v>40.742446100753966</v>
      </c>
      <c r="T216" s="203">
        <v>40.742260591689273</v>
      </c>
      <c r="U216" s="203">
        <v>40.741682602817427</v>
      </c>
      <c r="V216" s="203">
        <v>40.741682602817427</v>
      </c>
      <c r="W216" s="203">
        <v>40.741682602817427</v>
      </c>
      <c r="X216" s="203">
        <v>40.741682602817427</v>
      </c>
      <c r="Y216" s="203">
        <v>39.669440739872748</v>
      </c>
      <c r="Z216" s="203">
        <v>37.221854930481449</v>
      </c>
      <c r="AA216" s="203">
        <v>33.488757736133095</v>
      </c>
      <c r="AB216" s="16">
        <f>Peak!AB218</f>
        <v>1.2323132521530014</v>
      </c>
      <c r="AC216" s="16">
        <f>Peak!AC218</f>
        <v>0</v>
      </c>
      <c r="AD216" s="18">
        <f>Peak!AD218</f>
        <v>870.0603303281033</v>
      </c>
      <c r="AE216" s="18">
        <f>Peak!AE218</f>
        <v>1879.5637242099006</v>
      </c>
      <c r="AF216" s="16">
        <f>Peak!AF218</f>
        <v>1</v>
      </c>
      <c r="AG216" s="73">
        <f>Peak!AG218</f>
        <v>1.1993</v>
      </c>
      <c r="AH216" s="16">
        <f>Peak!AH218</f>
        <v>4.3922012790616929</v>
      </c>
      <c r="AI216" s="16">
        <f>Peak!AI218</f>
        <v>4.4760014602986615</v>
      </c>
      <c r="AJ216" s="16">
        <f>Peak!AJ218</f>
        <v>2.4399542510000001</v>
      </c>
      <c r="AK216" s="16">
        <f>Peak!AK218</f>
        <v>7.2000000000000008E-2</v>
      </c>
      <c r="AL216" s="4"/>
    </row>
    <row r="217" spans="1:38" x14ac:dyDescent="0.2">
      <c r="A217" s="1">
        <f t="shared" si="23"/>
        <v>42866.736000000266</v>
      </c>
      <c r="B217" s="16">
        <f t="shared" si="21"/>
        <v>1.1993</v>
      </c>
      <c r="C217" s="17">
        <f t="shared" si="18"/>
        <v>12.0481678</v>
      </c>
      <c r="D217" s="16">
        <f t="shared" si="22"/>
        <v>1.2343671075732565</v>
      </c>
      <c r="E217" s="16">
        <f t="shared" si="19"/>
        <v>10.663363878289642</v>
      </c>
      <c r="F217" s="16">
        <f t="shared" si="20"/>
        <v>0.67975549824285586</v>
      </c>
      <c r="G217" s="19">
        <f>IF(IS!$C$2="Peak","-",SUM(C217:F217))</f>
        <v>24.625654284105753</v>
      </c>
      <c r="H217" s="203">
        <v>143.61212491007498</v>
      </c>
      <c r="I217" s="203">
        <v>112.11515177041331</v>
      </c>
      <c r="J217" s="203">
        <v>94.133299321609471</v>
      </c>
      <c r="K217" s="203">
        <v>83.480119004208632</v>
      </c>
      <c r="L217" s="203">
        <v>75.982190825246917</v>
      </c>
      <c r="M217" s="203">
        <v>73.474137218015287</v>
      </c>
      <c r="N217" s="203">
        <v>56.581894735994183</v>
      </c>
      <c r="O217" s="203">
        <v>48.25408727734434</v>
      </c>
      <c r="P217" s="203">
        <v>42.550164945295101</v>
      </c>
      <c r="Q217" s="203">
        <v>41.604506955558449</v>
      </c>
      <c r="R217" s="203">
        <v>41.071065442119639</v>
      </c>
      <c r="S217" s="203">
        <v>39.490600082270412</v>
      </c>
      <c r="T217" s="203">
        <v>38.471859772856206</v>
      </c>
      <c r="U217" s="203">
        <v>36.628836586009918</v>
      </c>
      <c r="V217" s="203">
        <v>36.252146557026983</v>
      </c>
      <c r="W217" s="203">
        <v>35.982025942566011</v>
      </c>
      <c r="X217" s="203">
        <v>35.981712983095036</v>
      </c>
      <c r="Y217" s="203">
        <v>35.981687786574724</v>
      </c>
      <c r="Z217" s="203">
        <v>35.981687786574732</v>
      </c>
      <c r="AA217" s="203">
        <v>35.202382417315526</v>
      </c>
      <c r="AB217" s="16">
        <f>Peak!AB219</f>
        <v>1.2343671075732565</v>
      </c>
      <c r="AC217" s="16">
        <f>Peak!AC219</f>
        <v>0</v>
      </c>
      <c r="AD217" s="18">
        <f>Peak!AD219</f>
        <v>870.0603303281033</v>
      </c>
      <c r="AE217" s="18">
        <f>Peak!AE219</f>
        <v>1879.5637242099006</v>
      </c>
      <c r="AF217" s="16">
        <f>Peak!AF219</f>
        <v>1</v>
      </c>
      <c r="AG217" s="73">
        <f>Peak!AG219</f>
        <v>1.1993</v>
      </c>
      <c r="AH217" s="16">
        <f>Peak!AH219</f>
        <v>4.6245928811284491</v>
      </c>
      <c r="AI217" s="16">
        <f>Peak!AI219</f>
        <v>4.2951529164482105</v>
      </c>
      <c r="AJ217" s="16">
        <f>Peak!AJ219</f>
        <v>2.4399542510000001</v>
      </c>
      <c r="AK217" s="16">
        <f>Peak!AK219</f>
        <v>7.2000000000000008E-2</v>
      </c>
      <c r="AL217" s="4"/>
    </row>
    <row r="218" spans="1:38" x14ac:dyDescent="0.2">
      <c r="A218" s="1">
        <f t="shared" si="23"/>
        <v>42897.153000000268</v>
      </c>
      <c r="B218" s="16">
        <f t="shared" si="21"/>
        <v>1.1993</v>
      </c>
      <c r="C218" s="17">
        <f t="shared" si="18"/>
        <v>12.0481678</v>
      </c>
      <c r="D218" s="16">
        <f t="shared" si="22"/>
        <v>1.2364243860858786</v>
      </c>
      <c r="E218" s="16">
        <f t="shared" si="19"/>
        <v>10.663363878289642</v>
      </c>
      <c r="F218" s="16">
        <f t="shared" si="20"/>
        <v>0.67975549824285586</v>
      </c>
      <c r="G218" s="19">
        <f>IF(IS!$C$2="Peak","-",SUM(C218:F218))</f>
        <v>24.627711562618376</v>
      </c>
      <c r="H218" s="203">
        <v>154.23637346489789</v>
      </c>
      <c r="I218" s="203">
        <v>148.51302241087308</v>
      </c>
      <c r="J218" s="203">
        <v>101.46909808161431</v>
      </c>
      <c r="K218" s="203">
        <v>80.075012295327397</v>
      </c>
      <c r="L218" s="203">
        <v>77.581098681797954</v>
      </c>
      <c r="M218" s="203">
        <v>72.698838987937577</v>
      </c>
      <c r="N218" s="203">
        <v>70.12371630130113</v>
      </c>
      <c r="O218" s="203">
        <v>64.61159505180477</v>
      </c>
      <c r="P218" s="203">
        <v>59.063536060621189</v>
      </c>
      <c r="Q218" s="203">
        <v>55.308458031195983</v>
      </c>
      <c r="R218" s="203">
        <v>51.091402892334337</v>
      </c>
      <c r="S218" s="203">
        <v>46.284963325944076</v>
      </c>
      <c r="T218" s="203">
        <v>40.993410907864799</v>
      </c>
      <c r="U218" s="203">
        <v>39.917272762118564</v>
      </c>
      <c r="V218" s="203">
        <v>39.332181600860117</v>
      </c>
      <c r="W218" s="203">
        <v>38.921832642542213</v>
      </c>
      <c r="X218" s="203">
        <v>38.644697601530432</v>
      </c>
      <c r="Y218" s="203">
        <v>38.147314073980773</v>
      </c>
      <c r="Z218" s="203">
        <v>37.490900259089898</v>
      </c>
      <c r="AA218" s="203">
        <v>36.255922022251411</v>
      </c>
      <c r="AB218" s="16">
        <f>Peak!AB220</f>
        <v>1.2364243860858786</v>
      </c>
      <c r="AC218" s="16">
        <f>Peak!AC220</f>
        <v>0</v>
      </c>
      <c r="AD218" s="18">
        <f>Peak!AD220</f>
        <v>870.0603303281033</v>
      </c>
      <c r="AE218" s="18">
        <f>Peak!AE220</f>
        <v>1879.5637242099006</v>
      </c>
      <c r="AF218" s="16">
        <f>Peak!AF220</f>
        <v>1</v>
      </c>
      <c r="AG218" s="73">
        <f>Peak!AG220</f>
        <v>1.1993</v>
      </c>
      <c r="AH218" s="16">
        <f>Peak!AH220</f>
        <v>4.4061447751856981</v>
      </c>
      <c r="AI218" s="16">
        <f>Peak!AI220</f>
        <v>4.2951529164482105</v>
      </c>
      <c r="AJ218" s="16">
        <f>Peak!AJ220</f>
        <v>2.4399542510000001</v>
      </c>
      <c r="AK218" s="16">
        <f>Peak!AK220</f>
        <v>7.2000000000000008E-2</v>
      </c>
      <c r="AL218" s="4"/>
    </row>
    <row r="219" spans="1:38" x14ac:dyDescent="0.2">
      <c r="A219" s="1">
        <f t="shared" si="23"/>
        <v>42927.570000000269</v>
      </c>
      <c r="B219" s="16">
        <f t="shared" si="21"/>
        <v>1.1993</v>
      </c>
      <c r="C219" s="17">
        <f t="shared" si="18"/>
        <v>12.0481678</v>
      </c>
      <c r="D219" s="16">
        <f t="shared" si="22"/>
        <v>1.2384850933960216</v>
      </c>
      <c r="E219" s="16">
        <f t="shared" si="19"/>
        <v>10.663363878289642</v>
      </c>
      <c r="F219" s="16">
        <f t="shared" si="20"/>
        <v>0.67975549824285586</v>
      </c>
      <c r="G219" s="19">
        <f>IF(IS!$C$2="Peak","-",SUM(C219:F219))</f>
        <v>24.62977226992852</v>
      </c>
      <c r="H219" s="203">
        <v>303.20553745222827</v>
      </c>
      <c r="I219" s="203">
        <v>228.1508617983709</v>
      </c>
      <c r="J219" s="203">
        <v>205.27969233316432</v>
      </c>
      <c r="K219" s="203">
        <v>188.87218876912021</v>
      </c>
      <c r="L219" s="203">
        <v>174.85330163370594</v>
      </c>
      <c r="M219" s="203">
        <v>161.00730628427058</v>
      </c>
      <c r="N219" s="203">
        <v>149.51627426233802</v>
      </c>
      <c r="O219" s="203">
        <v>76.118642471708</v>
      </c>
      <c r="P219" s="203">
        <v>49.374430914916331</v>
      </c>
      <c r="Q219" s="203">
        <v>46.038776818473487</v>
      </c>
      <c r="R219" s="203">
        <v>43.153986425800227</v>
      </c>
      <c r="S219" s="203">
        <v>41.815576958819925</v>
      </c>
      <c r="T219" s="203">
        <v>40.860359378936309</v>
      </c>
      <c r="U219" s="203">
        <v>40.438105822345051</v>
      </c>
      <c r="V219" s="203">
        <v>39.227204146215897</v>
      </c>
      <c r="W219" s="203">
        <v>37.536743175701808</v>
      </c>
      <c r="X219" s="203">
        <v>35.897401983009118</v>
      </c>
      <c r="Y219" s="203">
        <v>34.96437699284607</v>
      </c>
      <c r="Z219" s="203">
        <v>32.718542422465376</v>
      </c>
      <c r="AA219" s="203">
        <v>30.510381026595578</v>
      </c>
      <c r="AB219" s="16">
        <f>Peak!AB221</f>
        <v>1.2384850933960216</v>
      </c>
      <c r="AC219" s="16">
        <f>Peak!AC221</f>
        <v>0</v>
      </c>
      <c r="AD219" s="18">
        <f>Peak!AD221</f>
        <v>870.0603303281033</v>
      </c>
      <c r="AE219" s="18">
        <f>Peak!AE221</f>
        <v>1879.5637242099006</v>
      </c>
      <c r="AF219" s="16">
        <f>Peak!AF221</f>
        <v>1</v>
      </c>
      <c r="AG219" s="73">
        <f>Peak!AG221</f>
        <v>1.1993</v>
      </c>
      <c r="AH219" s="16">
        <f>Peak!AH221</f>
        <v>4.3922012790616929</v>
      </c>
      <c r="AI219" s="16">
        <f>Peak!AI221</f>
        <v>4.2951529164482105</v>
      </c>
      <c r="AJ219" s="16">
        <f>Peak!AJ221</f>
        <v>2.4399542510000001</v>
      </c>
      <c r="AK219" s="16">
        <f>Peak!AK221</f>
        <v>7.2000000000000008E-2</v>
      </c>
      <c r="AL219" s="4"/>
    </row>
    <row r="220" spans="1:38" x14ac:dyDescent="0.2">
      <c r="A220" s="1">
        <f t="shared" si="23"/>
        <v>42957.98700000027</v>
      </c>
      <c r="B220" s="16">
        <f t="shared" si="21"/>
        <v>1.1993</v>
      </c>
      <c r="C220" s="17">
        <f t="shared" si="18"/>
        <v>12.0481678</v>
      </c>
      <c r="D220" s="16">
        <f t="shared" si="22"/>
        <v>1.2405492352183485</v>
      </c>
      <c r="E220" s="16">
        <f t="shared" si="19"/>
        <v>10.663363878289642</v>
      </c>
      <c r="F220" s="16">
        <f t="shared" si="20"/>
        <v>0.67975549824285586</v>
      </c>
      <c r="G220" s="19">
        <f>IF(IS!$C$2="Peak","-",SUM(C220:F220))</f>
        <v>24.631836411750847</v>
      </c>
      <c r="H220" s="203">
        <v>375.18709453406075</v>
      </c>
      <c r="I220" s="203">
        <v>266.26899374787848</v>
      </c>
      <c r="J220" s="203">
        <v>212.62789341828534</v>
      </c>
      <c r="K220" s="203">
        <v>192.28570573345041</v>
      </c>
      <c r="L220" s="203">
        <v>175.49093347658882</v>
      </c>
      <c r="M220" s="203">
        <v>158.64022118584529</v>
      </c>
      <c r="N220" s="203">
        <v>128.49289627969875</v>
      </c>
      <c r="O220" s="203">
        <v>78.263453268919136</v>
      </c>
      <c r="P220" s="203">
        <v>72.592900321517362</v>
      </c>
      <c r="Q220" s="203">
        <v>54.464858771194862</v>
      </c>
      <c r="R220" s="203">
        <v>43.977896885726622</v>
      </c>
      <c r="S220" s="203">
        <v>41.734880155201026</v>
      </c>
      <c r="T220" s="203">
        <v>40.644447518612381</v>
      </c>
      <c r="U220" s="203">
        <v>38.018927964753992</v>
      </c>
      <c r="V220" s="203">
        <v>36.642395465071793</v>
      </c>
      <c r="W220" s="203">
        <v>36.57617240111378</v>
      </c>
      <c r="X220" s="203">
        <v>36.44138435785343</v>
      </c>
      <c r="Y220" s="203">
        <v>35.990758535055292</v>
      </c>
      <c r="Z220" s="203">
        <v>35.990758535055292</v>
      </c>
      <c r="AA220" s="203">
        <v>32.500159018463521</v>
      </c>
      <c r="AB220" s="16">
        <f>Peak!AB222</f>
        <v>1.2405492352183485</v>
      </c>
      <c r="AC220" s="16">
        <f>Peak!AC222</f>
        <v>0</v>
      </c>
      <c r="AD220" s="18">
        <f>Peak!AD222</f>
        <v>870.0603303281033</v>
      </c>
      <c r="AE220" s="18">
        <f>Peak!AE222</f>
        <v>1879.5637242099006</v>
      </c>
      <c r="AF220" s="16">
        <f>Peak!AF222</f>
        <v>1</v>
      </c>
      <c r="AG220" s="73">
        <f>Peak!AG222</f>
        <v>1.1993</v>
      </c>
      <c r="AH220" s="16">
        <f>Peak!AH222</f>
        <v>4.1644575090362723</v>
      </c>
      <c r="AI220" s="16">
        <f>Peak!AI222</f>
        <v>4.2951529164482105</v>
      </c>
      <c r="AJ220" s="16">
        <f>Peak!AJ222</f>
        <v>2.4399542510000001</v>
      </c>
      <c r="AK220" s="16">
        <f>Peak!AK222</f>
        <v>7.2000000000000008E-2</v>
      </c>
      <c r="AL220" s="4"/>
    </row>
    <row r="221" spans="1:38" x14ac:dyDescent="0.2">
      <c r="A221" s="1">
        <f t="shared" si="23"/>
        <v>42988.404000000271</v>
      </c>
      <c r="B221" s="16">
        <f t="shared" si="21"/>
        <v>1.1993</v>
      </c>
      <c r="C221" s="17">
        <f t="shared" si="18"/>
        <v>12.0481678</v>
      </c>
      <c r="D221" s="16">
        <f t="shared" si="22"/>
        <v>1.2426168172770458</v>
      </c>
      <c r="E221" s="16">
        <f t="shared" si="19"/>
        <v>10.663363878289642</v>
      </c>
      <c r="F221" s="16">
        <f t="shared" si="20"/>
        <v>0.67975549824285586</v>
      </c>
      <c r="G221" s="19">
        <f>IF(IS!$C$2="Peak","-",SUM(C221:F221))</f>
        <v>24.633903993809543</v>
      </c>
      <c r="H221" s="203">
        <v>181.42181192692868</v>
      </c>
      <c r="I221" s="203">
        <v>170.42621905238803</v>
      </c>
      <c r="J221" s="203">
        <v>160.69532674081137</v>
      </c>
      <c r="K221" s="203">
        <v>150.65683723499851</v>
      </c>
      <c r="L221" s="203">
        <v>112.9276336392481</v>
      </c>
      <c r="M221" s="203">
        <v>81.32196192746099</v>
      </c>
      <c r="N221" s="203">
        <v>76.285548390879427</v>
      </c>
      <c r="O221" s="203">
        <v>54.570667059886667</v>
      </c>
      <c r="P221" s="203">
        <v>44.772365696622437</v>
      </c>
      <c r="Q221" s="203">
        <v>42.72474907839964</v>
      </c>
      <c r="R221" s="203">
        <v>38.57342587099955</v>
      </c>
      <c r="S221" s="203">
        <v>38.155862354031889</v>
      </c>
      <c r="T221" s="203">
        <v>38.155862354031889</v>
      </c>
      <c r="U221" s="203">
        <v>38.155617205302228</v>
      </c>
      <c r="V221" s="203">
        <v>38.155090960230204</v>
      </c>
      <c r="W221" s="203">
        <v>38.155090960230204</v>
      </c>
      <c r="X221" s="203">
        <v>38.155090960230204</v>
      </c>
      <c r="Y221" s="203">
        <v>38.022787000646389</v>
      </c>
      <c r="Z221" s="203">
        <v>35.685652527276844</v>
      </c>
      <c r="AA221" s="203">
        <v>31.77616190198674</v>
      </c>
      <c r="AB221" s="16">
        <f>Peak!AB223</f>
        <v>1.2426168172770458</v>
      </c>
      <c r="AC221" s="16">
        <f>Peak!AC223</f>
        <v>0</v>
      </c>
      <c r="AD221" s="18">
        <f>Peak!AD223</f>
        <v>870.0603303281033</v>
      </c>
      <c r="AE221" s="18">
        <f>Peak!AE223</f>
        <v>1879.5637242099006</v>
      </c>
      <c r="AF221" s="16">
        <f>Peak!AF223</f>
        <v>1</v>
      </c>
      <c r="AG221" s="73">
        <f>Peak!AG223</f>
        <v>1.1993</v>
      </c>
      <c r="AH221" s="16">
        <f>Peak!AH223</f>
        <v>4.1505140129122662</v>
      </c>
      <c r="AI221" s="16">
        <f>Peak!AI223</f>
        <v>4.2951529164482105</v>
      </c>
      <c r="AJ221" s="16">
        <f>Peak!AJ223</f>
        <v>2.4399542510000001</v>
      </c>
      <c r="AK221" s="16">
        <f>Peak!AK223</f>
        <v>7.2000000000000008E-2</v>
      </c>
      <c r="AL221" s="4"/>
    </row>
    <row r="222" spans="1:38" x14ac:dyDescent="0.2">
      <c r="A222" s="1">
        <f t="shared" si="23"/>
        <v>43018.821000000273</v>
      </c>
      <c r="B222" s="16">
        <f t="shared" si="21"/>
        <v>1.1993</v>
      </c>
      <c r="C222" s="17">
        <f t="shared" si="18"/>
        <v>12.0481678</v>
      </c>
      <c r="D222" s="16">
        <f t="shared" si="22"/>
        <v>1.244687845305841</v>
      </c>
      <c r="E222" s="16">
        <f t="shared" si="19"/>
        <v>10.663363878289642</v>
      </c>
      <c r="F222" s="16">
        <f t="shared" si="20"/>
        <v>0.67975549824285586</v>
      </c>
      <c r="G222" s="19">
        <f>IF(IS!$C$2="Peak","-",SUM(C222:F222))</f>
        <v>24.635975021838338</v>
      </c>
      <c r="H222" s="203">
        <v>108.45012809152263</v>
      </c>
      <c r="I222" s="203">
        <v>86.631152751516865</v>
      </c>
      <c r="J222" s="203">
        <v>80.661777414273814</v>
      </c>
      <c r="K222" s="203">
        <v>75.437072388041287</v>
      </c>
      <c r="L222" s="203">
        <v>70.941278374996443</v>
      </c>
      <c r="M222" s="203">
        <v>67.467352146939518</v>
      </c>
      <c r="N222" s="203">
        <v>66.996452808747307</v>
      </c>
      <c r="O222" s="203">
        <v>61.37303575220907</v>
      </c>
      <c r="P222" s="203">
        <v>54.415576956513704</v>
      </c>
      <c r="Q222" s="203">
        <v>50.77373816109602</v>
      </c>
      <c r="R222" s="203">
        <v>49.018132608026683</v>
      </c>
      <c r="S222" s="203">
        <v>47.782967530887454</v>
      </c>
      <c r="T222" s="203">
        <v>47.377223195107455</v>
      </c>
      <c r="U222" s="203">
        <v>46.349289479213091</v>
      </c>
      <c r="V222" s="203">
        <v>43.523422745106437</v>
      </c>
      <c r="W222" s="203">
        <v>38.695214514524586</v>
      </c>
      <c r="X222" s="203">
        <v>37.199581328396974</v>
      </c>
      <c r="Y222" s="203">
        <v>34.463018368431293</v>
      </c>
      <c r="Z222" s="203">
        <v>33.228812300963028</v>
      </c>
      <c r="AA222" s="203">
        <v>33.14090686575166</v>
      </c>
      <c r="AB222" s="16">
        <f>Peak!AB224</f>
        <v>1.244687845305841</v>
      </c>
      <c r="AC222" s="16">
        <f>Peak!AC224</f>
        <v>0</v>
      </c>
      <c r="AD222" s="18">
        <f>Peak!AD224</f>
        <v>870.0603303281033</v>
      </c>
      <c r="AE222" s="18">
        <f>Peak!AE224</f>
        <v>1879.5637242099006</v>
      </c>
      <c r="AF222" s="16">
        <f>Peak!AF224</f>
        <v>1</v>
      </c>
      <c r="AG222" s="73">
        <f>Peak!AG224</f>
        <v>1.1993</v>
      </c>
      <c r="AH222" s="16">
        <f>Peak!AH224</f>
        <v>4.5967058888804386</v>
      </c>
      <c r="AI222" s="16">
        <f>Peak!AI224</f>
        <v>4.2951529164482105</v>
      </c>
      <c r="AJ222" s="16">
        <f>Peak!AJ224</f>
        <v>2.4399542510000001</v>
      </c>
      <c r="AK222" s="16">
        <f>Peak!AK224</f>
        <v>7.2000000000000008E-2</v>
      </c>
      <c r="AL222" s="4"/>
    </row>
    <row r="223" spans="1:38" x14ac:dyDescent="0.2">
      <c r="A223" s="1">
        <f t="shared" si="23"/>
        <v>43049.238000000274</v>
      </c>
      <c r="B223" s="16">
        <f t="shared" si="21"/>
        <v>1.1993</v>
      </c>
      <c r="C223" s="17">
        <f t="shared" si="18"/>
        <v>12.0481678</v>
      </c>
      <c r="D223" s="16">
        <f t="shared" si="22"/>
        <v>1.2467623250480175</v>
      </c>
      <c r="E223" s="16">
        <f t="shared" si="19"/>
        <v>10.663363878289642</v>
      </c>
      <c r="F223" s="16">
        <f t="shared" si="20"/>
        <v>0.67975549824285586</v>
      </c>
      <c r="G223" s="19">
        <f>IF(IS!$C$2="Peak","-",SUM(C223:F223))</f>
        <v>24.638049501580515</v>
      </c>
      <c r="H223" s="203">
        <v>153.08412541559318</v>
      </c>
      <c r="I223" s="203">
        <v>149.68598177030674</v>
      </c>
      <c r="J223" s="203">
        <v>141.10301337423564</v>
      </c>
      <c r="K223" s="203">
        <v>95.288870347275477</v>
      </c>
      <c r="L223" s="203">
        <v>86.678284823176824</v>
      </c>
      <c r="M223" s="203">
        <v>82.797094058183973</v>
      </c>
      <c r="N223" s="203">
        <v>78.336811764041755</v>
      </c>
      <c r="O223" s="203">
        <v>60.136150895001705</v>
      </c>
      <c r="P223" s="203">
        <v>55.902950064329623</v>
      </c>
      <c r="Q223" s="203">
        <v>49.237494496554859</v>
      </c>
      <c r="R223" s="203">
        <v>46.58298495547777</v>
      </c>
      <c r="S223" s="203">
        <v>46.202671821169538</v>
      </c>
      <c r="T223" s="203">
        <v>44.659791386540959</v>
      </c>
      <c r="U223" s="203">
        <v>43.46287086066436</v>
      </c>
      <c r="V223" s="203">
        <v>42.33085220042198</v>
      </c>
      <c r="W223" s="203">
        <v>41.215456851100335</v>
      </c>
      <c r="X223" s="203">
        <v>40.134473787114658</v>
      </c>
      <c r="Y223" s="203">
        <v>39.989228465102698</v>
      </c>
      <c r="Z223" s="203">
        <v>39.989147801098873</v>
      </c>
      <c r="AA223" s="203">
        <v>39.97964834772381</v>
      </c>
      <c r="AB223" s="16">
        <f>Peak!AB225</f>
        <v>1.2467623250480175</v>
      </c>
      <c r="AC223" s="16">
        <f>Peak!AC225</f>
        <v>0</v>
      </c>
      <c r="AD223" s="18">
        <f>Peak!AD225</f>
        <v>870.0603303281033</v>
      </c>
      <c r="AE223" s="18">
        <f>Peak!AE225</f>
        <v>1879.5637242099006</v>
      </c>
      <c r="AF223" s="16">
        <f>Peak!AF225</f>
        <v>1</v>
      </c>
      <c r="AG223" s="73">
        <f>Peak!AG225</f>
        <v>1.1993</v>
      </c>
      <c r="AH223" s="16">
        <f>Peak!AH225</f>
        <v>5.0336021007659397</v>
      </c>
      <c r="AI223" s="16">
        <f>Peak!AI225</f>
        <v>4.6568500041491125</v>
      </c>
      <c r="AJ223" s="16">
        <f>Peak!AJ225</f>
        <v>2.4399542510000001</v>
      </c>
      <c r="AK223" s="16">
        <f>Peak!AK225</f>
        <v>7.2000000000000008E-2</v>
      </c>
      <c r="AL223" s="4"/>
    </row>
    <row r="224" spans="1:38" x14ac:dyDescent="0.2">
      <c r="A224" s="1">
        <f t="shared" si="23"/>
        <v>43079.655000000275</v>
      </c>
      <c r="B224" s="16">
        <f t="shared" si="21"/>
        <v>1.1993</v>
      </c>
      <c r="C224" s="17">
        <f t="shared" si="18"/>
        <v>12.0481678</v>
      </c>
      <c r="D224" s="16">
        <f t="shared" si="22"/>
        <v>1.248840262256431</v>
      </c>
      <c r="E224" s="16">
        <f t="shared" si="19"/>
        <v>10.663363878289642</v>
      </c>
      <c r="F224" s="16">
        <f t="shared" si="20"/>
        <v>0.67975549824285586</v>
      </c>
      <c r="G224" s="19">
        <f>IF(IS!$C$2="Peak","-",SUM(C224:F224))</f>
        <v>24.64012743878893</v>
      </c>
      <c r="H224" s="203">
        <v>103.00940111835831</v>
      </c>
      <c r="I224" s="203">
        <v>102.82162016511715</v>
      </c>
      <c r="J224" s="203">
        <v>92.788730921699013</v>
      </c>
      <c r="K224" s="203">
        <v>79.888556999072804</v>
      </c>
      <c r="L224" s="203">
        <v>77.568431029238425</v>
      </c>
      <c r="M224" s="203">
        <v>75.543936443386016</v>
      </c>
      <c r="N224" s="203">
        <v>74.370359724652346</v>
      </c>
      <c r="O224" s="203">
        <v>73.593989963812476</v>
      </c>
      <c r="P224" s="203">
        <v>73.214790002275734</v>
      </c>
      <c r="Q224" s="203">
        <v>72.469952596933211</v>
      </c>
      <c r="R224" s="203">
        <v>70.775734757599579</v>
      </c>
      <c r="S224" s="203">
        <v>70.521868063935699</v>
      </c>
      <c r="T224" s="203">
        <v>70.064721980497623</v>
      </c>
      <c r="U224" s="203">
        <v>63.762943913794402</v>
      </c>
      <c r="V224" s="203">
        <v>58.193340641400233</v>
      </c>
      <c r="W224" s="203">
        <v>55.595183175992752</v>
      </c>
      <c r="X224" s="203">
        <v>51.573278155202281</v>
      </c>
      <c r="Y224" s="203">
        <v>48.645373007414499</v>
      </c>
      <c r="Z224" s="203">
        <v>48.64534268971375</v>
      </c>
      <c r="AA224" s="203">
        <v>48.643960202848433</v>
      </c>
      <c r="AB224" s="16">
        <f>Peak!AB226</f>
        <v>1.248840262256431</v>
      </c>
      <c r="AC224" s="16">
        <f>Peak!AC226</f>
        <v>0</v>
      </c>
      <c r="AD224" s="18">
        <f>Peak!AD226</f>
        <v>870.0603303281033</v>
      </c>
      <c r="AE224" s="18">
        <f>Peak!AE226</f>
        <v>1879.5637242099006</v>
      </c>
      <c r="AF224" s="16">
        <f>Peak!AF226</f>
        <v>1</v>
      </c>
      <c r="AG224" s="73">
        <f>Peak!AG226</f>
        <v>1.1993</v>
      </c>
      <c r="AH224" s="16">
        <f>Peak!AH226</f>
        <v>5.447259152444766</v>
      </c>
      <c r="AI224" s="16">
        <f>Peak!AI226</f>
        <v>4.8829106839621765</v>
      </c>
      <c r="AJ224" s="16">
        <f>Peak!AJ226</f>
        <v>2.4399542510000001</v>
      </c>
      <c r="AK224" s="16">
        <f>Peak!AK226</f>
        <v>7.2000000000000008E-2</v>
      </c>
      <c r="AL224" s="4"/>
    </row>
    <row r="225" spans="1:38" x14ac:dyDescent="0.2">
      <c r="A225" s="1">
        <f t="shared" si="23"/>
        <v>43110.072000000277</v>
      </c>
      <c r="B225" s="16">
        <f t="shared" si="21"/>
        <v>1.2073</v>
      </c>
      <c r="C225" s="17">
        <f t="shared" si="18"/>
        <v>12.128535799999998</v>
      </c>
      <c r="D225" s="16">
        <f t="shared" si="22"/>
        <v>1.2509216626935251</v>
      </c>
      <c r="E225" s="16">
        <f t="shared" si="19"/>
        <v>9.1230845527446558</v>
      </c>
      <c r="F225" s="16">
        <f t="shared" si="20"/>
        <v>0.74866709941717169</v>
      </c>
      <c r="G225" s="19">
        <f>IF(IS!$C$2="Peak","-",SUM(C225:F225))</f>
        <v>23.251209114855353</v>
      </c>
      <c r="H225" s="203">
        <v>130.35656114131973</v>
      </c>
      <c r="I225" s="203">
        <v>121.5530334095738</v>
      </c>
      <c r="J225" s="203">
        <v>116.66528564389148</v>
      </c>
      <c r="K225" s="203">
        <v>109.03251171718107</v>
      </c>
      <c r="L225" s="203">
        <v>108.10743917823686</v>
      </c>
      <c r="M225" s="203">
        <v>100.21137662075088</v>
      </c>
      <c r="N225" s="203">
        <v>73.995369374017628</v>
      </c>
      <c r="O225" s="203">
        <v>61.900050827962239</v>
      </c>
      <c r="P225" s="203">
        <v>59.842441155095358</v>
      </c>
      <c r="Q225" s="203">
        <v>53.693719146082671</v>
      </c>
      <c r="R225" s="203">
        <v>51.984473133182043</v>
      </c>
      <c r="S225" s="203">
        <v>51.515736874612131</v>
      </c>
      <c r="T225" s="203">
        <v>51.369267643509438</v>
      </c>
      <c r="U225" s="203">
        <v>50.942775419508926</v>
      </c>
      <c r="V225" s="203">
        <v>50.92879987982765</v>
      </c>
      <c r="W225" s="203">
        <v>50.92879987982765</v>
      </c>
      <c r="X225" s="203">
        <v>50.92879987982765</v>
      </c>
      <c r="Y225" s="203">
        <v>50.92879987982765</v>
      </c>
      <c r="Z225" s="203">
        <v>50.928543088512114</v>
      </c>
      <c r="AA225" s="203">
        <v>49.233168121070776</v>
      </c>
      <c r="AB225" s="16">
        <f>Peak!AB227</f>
        <v>1.2509216626935251</v>
      </c>
      <c r="AC225" s="16">
        <f>Peak!AC227</f>
        <v>0</v>
      </c>
      <c r="AD225" s="18">
        <f>Peak!AD227</f>
        <v>744.38367199801439</v>
      </c>
      <c r="AE225" s="18">
        <f>Peak!AE227</f>
        <v>2070.1083333808137</v>
      </c>
      <c r="AF225" s="16">
        <f>Peak!AF227</f>
        <v>1</v>
      </c>
      <c r="AG225" s="73">
        <f>Peak!AG227</f>
        <v>1.2073</v>
      </c>
      <c r="AH225" s="16">
        <f>Peak!AH227</f>
        <v>5.5373744438241399</v>
      </c>
      <c r="AI225" s="16">
        <f>Peak!AI227</f>
        <v>5.1779571431111169</v>
      </c>
      <c r="AJ225" s="16">
        <f>Peak!AJ227</f>
        <v>2.4399542510000001</v>
      </c>
      <c r="AK225" s="16">
        <f>Peak!AK227</f>
        <v>7.2000000000000008E-2</v>
      </c>
      <c r="AL225" s="4"/>
    </row>
    <row r="226" spans="1:38" x14ac:dyDescent="0.2">
      <c r="A226" s="1">
        <f t="shared" si="23"/>
        <v>43140.489000000278</v>
      </c>
      <c r="B226" s="16">
        <f t="shared" si="21"/>
        <v>1.2073</v>
      </c>
      <c r="C226" s="17">
        <f t="shared" si="18"/>
        <v>12.128535799999998</v>
      </c>
      <c r="D226" s="16">
        <f t="shared" si="22"/>
        <v>1.2530065321313477</v>
      </c>
      <c r="E226" s="16">
        <f t="shared" si="19"/>
        <v>9.1230845527446558</v>
      </c>
      <c r="F226" s="16">
        <f t="shared" si="20"/>
        <v>0.74866709941717169</v>
      </c>
      <c r="G226" s="19">
        <f>IF(IS!$C$2="Peak","-",SUM(C226:F226))</f>
        <v>23.253293984293176</v>
      </c>
      <c r="H226" s="203">
        <v>144.50432345261297</v>
      </c>
      <c r="I226" s="203">
        <v>125.59741738669693</v>
      </c>
      <c r="J226" s="203">
        <v>120.74234753308158</v>
      </c>
      <c r="K226" s="203">
        <v>113.08175712643848</v>
      </c>
      <c r="L226" s="203">
        <v>111.92764613250827</v>
      </c>
      <c r="M226" s="203">
        <v>90.177866618439296</v>
      </c>
      <c r="N226" s="203">
        <v>79.040248706073655</v>
      </c>
      <c r="O226" s="203">
        <v>72.600116339637594</v>
      </c>
      <c r="P226" s="203">
        <v>63.304648068282731</v>
      </c>
      <c r="Q226" s="203">
        <v>59.065346478922208</v>
      </c>
      <c r="R226" s="203">
        <v>56.570497908014964</v>
      </c>
      <c r="S226" s="203">
        <v>54.553383536597515</v>
      </c>
      <c r="T226" s="203">
        <v>53.594412445186968</v>
      </c>
      <c r="U226" s="203">
        <v>52.98615567227953</v>
      </c>
      <c r="V226" s="203">
        <v>52.98615567227953</v>
      </c>
      <c r="W226" s="203">
        <v>52.98615567227953</v>
      </c>
      <c r="X226" s="203">
        <v>52.98615567227953</v>
      </c>
      <c r="Y226" s="203">
        <v>52.98615567227953</v>
      </c>
      <c r="Z226" s="203">
        <v>52.906842163594575</v>
      </c>
      <c r="AA226" s="203">
        <v>52.501397953054074</v>
      </c>
      <c r="AB226" s="16">
        <f>Peak!AB228</f>
        <v>1.2530065321313477</v>
      </c>
      <c r="AC226" s="16">
        <f>Peak!AC228</f>
        <v>0</v>
      </c>
      <c r="AD226" s="18">
        <f>Peak!AD228</f>
        <v>744.38367199801439</v>
      </c>
      <c r="AE226" s="18">
        <f>Peak!AE228</f>
        <v>2070.1083333808137</v>
      </c>
      <c r="AF226" s="16">
        <f>Peak!AF228</f>
        <v>1</v>
      </c>
      <c r="AG226" s="73">
        <f>Peak!AG228</f>
        <v>1.2073</v>
      </c>
      <c r="AH226" s="16">
        <f>Peak!AH228</f>
        <v>4.963019115874296</v>
      </c>
      <c r="AI226" s="16">
        <f>Peak!AI228</f>
        <v>5.1300130954897174</v>
      </c>
      <c r="AJ226" s="16">
        <f>Peak!AJ228</f>
        <v>2.4399542510000001</v>
      </c>
      <c r="AK226" s="16">
        <f>Peak!AK228</f>
        <v>7.2000000000000008E-2</v>
      </c>
      <c r="AL226" s="4"/>
    </row>
    <row r="227" spans="1:38" x14ac:dyDescent="0.2">
      <c r="A227" s="1">
        <f t="shared" si="23"/>
        <v>43170.906000000279</v>
      </c>
      <c r="B227" s="16">
        <f t="shared" si="21"/>
        <v>1.2073</v>
      </c>
      <c r="C227" s="17">
        <f t="shared" si="18"/>
        <v>12.128535799999998</v>
      </c>
      <c r="D227" s="16">
        <f t="shared" si="22"/>
        <v>1.2550948763515666</v>
      </c>
      <c r="E227" s="16">
        <f t="shared" si="19"/>
        <v>9.1230845527446558</v>
      </c>
      <c r="F227" s="16">
        <f t="shared" si="20"/>
        <v>0.74866709941717169</v>
      </c>
      <c r="G227" s="19">
        <f>IF(IS!$C$2="Peak","-",SUM(C227:F227))</f>
        <v>23.255382328513395</v>
      </c>
      <c r="H227" s="203">
        <v>128.60171094760108</v>
      </c>
      <c r="I227" s="203">
        <v>97.628269069113841</v>
      </c>
      <c r="J227" s="203">
        <v>93.023777674966283</v>
      </c>
      <c r="K227" s="203">
        <v>87.275619703019728</v>
      </c>
      <c r="L227" s="203">
        <v>81.74660030528743</v>
      </c>
      <c r="M227" s="203">
        <v>81.129085739380827</v>
      </c>
      <c r="N227" s="203">
        <v>73.774999730889334</v>
      </c>
      <c r="O227" s="203">
        <v>60.554466892047387</v>
      </c>
      <c r="P227" s="203">
        <v>56.495420795432395</v>
      </c>
      <c r="Q227" s="203">
        <v>55.09987672355664</v>
      </c>
      <c r="R227" s="203">
        <v>51.662405018479895</v>
      </c>
      <c r="S227" s="203">
        <v>49.91754320613763</v>
      </c>
      <c r="T227" s="203">
        <v>48.77082232276608</v>
      </c>
      <c r="U227" s="203">
        <v>47.641003965067412</v>
      </c>
      <c r="V227" s="203">
        <v>45.902878051504686</v>
      </c>
      <c r="W227" s="203">
        <v>45.460009359827765</v>
      </c>
      <c r="X227" s="203">
        <v>44.027111739349849</v>
      </c>
      <c r="Y227" s="203">
        <v>42.676719392487932</v>
      </c>
      <c r="Z227" s="203">
        <v>40.257283972439929</v>
      </c>
      <c r="AA227" s="203">
        <v>39.426995057586439</v>
      </c>
      <c r="AB227" s="16">
        <f>Peak!AB229</f>
        <v>1.2550948763515666</v>
      </c>
      <c r="AC227" s="16">
        <f>Peak!AC229</f>
        <v>0</v>
      </c>
      <c r="AD227" s="18">
        <f>Peak!AD229</f>
        <v>744.38367199801439</v>
      </c>
      <c r="AE227" s="18">
        <f>Peak!AE229</f>
        <v>2070.1083333808137</v>
      </c>
      <c r="AF227" s="16">
        <f>Peak!AF229</f>
        <v>1</v>
      </c>
      <c r="AG227" s="73">
        <f>Peak!AG229</f>
        <v>1.2073</v>
      </c>
      <c r="AH227" s="16">
        <f>Peak!AH229</f>
        <v>4.8795657776251735</v>
      </c>
      <c r="AI227" s="16">
        <f>Peak!AI229</f>
        <v>4.9382369050041204</v>
      </c>
      <c r="AJ227" s="16">
        <f>Peak!AJ229</f>
        <v>2.4399542510000001</v>
      </c>
      <c r="AK227" s="16">
        <f>Peak!AK229</f>
        <v>7.2000000000000008E-2</v>
      </c>
      <c r="AL227" s="4"/>
    </row>
    <row r="228" spans="1:38" x14ac:dyDescent="0.2">
      <c r="A228" s="1">
        <f t="shared" si="23"/>
        <v>43201.32300000028</v>
      </c>
      <c r="B228" s="16">
        <f t="shared" si="21"/>
        <v>1.2073</v>
      </c>
      <c r="C228" s="17">
        <f t="shared" si="18"/>
        <v>12.128535799999998</v>
      </c>
      <c r="D228" s="16">
        <f t="shared" si="22"/>
        <v>1.2571867011454858</v>
      </c>
      <c r="E228" s="16">
        <f t="shared" si="19"/>
        <v>9.1230845527446558</v>
      </c>
      <c r="F228" s="16">
        <f t="shared" si="20"/>
        <v>0.74866709941717169</v>
      </c>
      <c r="G228" s="19">
        <f>IF(IS!$C$2="Peak","-",SUM(C228:F228))</f>
        <v>23.25747415330731</v>
      </c>
      <c r="H228" s="203">
        <v>97.960233746275236</v>
      </c>
      <c r="I228" s="203">
        <v>90.54709123813015</v>
      </c>
      <c r="J228" s="203">
        <v>85.615596326749852</v>
      </c>
      <c r="K228" s="203">
        <v>80.599721304619138</v>
      </c>
      <c r="L228" s="203">
        <v>75.326331313684975</v>
      </c>
      <c r="M228" s="203">
        <v>74.836439065917787</v>
      </c>
      <c r="N228" s="203">
        <v>66.937295472114769</v>
      </c>
      <c r="O228" s="203">
        <v>52.386871426625618</v>
      </c>
      <c r="P228" s="203">
        <v>48.082348560916429</v>
      </c>
      <c r="Q228" s="203">
        <v>42.866281578156659</v>
      </c>
      <c r="R228" s="203">
        <v>42.325759852220649</v>
      </c>
      <c r="S228" s="203">
        <v>41.288406426513532</v>
      </c>
      <c r="T228" s="203">
        <v>39.793103378439184</v>
      </c>
      <c r="U228" s="203">
        <v>38.397904891873743</v>
      </c>
      <c r="V228" s="203">
        <v>37.159338582638206</v>
      </c>
      <c r="W228" s="203">
        <v>36.665409608793375</v>
      </c>
      <c r="X228" s="203">
        <v>36.665394172349281</v>
      </c>
      <c r="Y228" s="203">
        <v>36.665394172349281</v>
      </c>
      <c r="Z228" s="203">
        <v>36.665394172349281</v>
      </c>
      <c r="AA228" s="203">
        <v>36.362149778937479</v>
      </c>
      <c r="AB228" s="16">
        <f>Peak!AB230</f>
        <v>1.2571867011454858</v>
      </c>
      <c r="AC228" s="16">
        <f>Peak!AC230</f>
        <v>0</v>
      </c>
      <c r="AD228" s="18">
        <f>Peak!AD230</f>
        <v>744.38367199801439</v>
      </c>
      <c r="AE228" s="18">
        <f>Peak!AE230</f>
        <v>2070.1083333808137</v>
      </c>
      <c r="AF228" s="16">
        <f>Peak!AF230</f>
        <v>1</v>
      </c>
      <c r="AG228" s="73">
        <f>Peak!AG230</f>
        <v>1.2073</v>
      </c>
      <c r="AH228" s="16">
        <f>Peak!AH230</f>
        <v>4.6390238026718196</v>
      </c>
      <c r="AI228" s="16">
        <f>Peak!AI230</f>
        <v>4.7464607145185234</v>
      </c>
      <c r="AJ228" s="16">
        <f>Peak!AJ230</f>
        <v>2.4399542510000001</v>
      </c>
      <c r="AK228" s="16">
        <f>Peak!AK230</f>
        <v>7.2000000000000008E-2</v>
      </c>
      <c r="AL228" s="4"/>
    </row>
    <row r="229" spans="1:38" x14ac:dyDescent="0.2">
      <c r="A229" s="1">
        <f t="shared" si="23"/>
        <v>43231.740000000282</v>
      </c>
      <c r="B229" s="16">
        <f t="shared" si="21"/>
        <v>1.2073</v>
      </c>
      <c r="C229" s="17">
        <f t="shared" si="18"/>
        <v>12.128535799999998</v>
      </c>
      <c r="D229" s="16">
        <f t="shared" si="22"/>
        <v>1.2592820123140616</v>
      </c>
      <c r="E229" s="16">
        <f t="shared" si="19"/>
        <v>9.1230845527446558</v>
      </c>
      <c r="F229" s="16">
        <f t="shared" si="20"/>
        <v>0.74866709941717169</v>
      </c>
      <c r="G229" s="19">
        <f>IF(IS!$C$2="Peak","-",SUM(C229:F229))</f>
        <v>23.259569464475888</v>
      </c>
      <c r="H229" s="203">
        <v>154.56093433585573</v>
      </c>
      <c r="I229" s="203">
        <v>149.18759056089729</v>
      </c>
      <c r="J229" s="203">
        <v>106.03582558519319</v>
      </c>
      <c r="K229" s="203">
        <v>74.69590358251186</v>
      </c>
      <c r="L229" s="203">
        <v>69.183640193392023</v>
      </c>
      <c r="M229" s="203">
        <v>66.252638801749683</v>
      </c>
      <c r="N229" s="203">
        <v>52.735050764470301</v>
      </c>
      <c r="O229" s="203">
        <v>48.636679102029305</v>
      </c>
      <c r="P229" s="203">
        <v>46.668364415867309</v>
      </c>
      <c r="Q229" s="203">
        <v>45.103517656885515</v>
      </c>
      <c r="R229" s="203">
        <v>43.585097226980992</v>
      </c>
      <c r="S229" s="203">
        <v>42.44351474728137</v>
      </c>
      <c r="T229" s="203">
        <v>40.635173192298986</v>
      </c>
      <c r="U229" s="203">
        <v>39.248369931466357</v>
      </c>
      <c r="V229" s="203">
        <v>38.43080553220021</v>
      </c>
      <c r="W229" s="203">
        <v>34.393882871442628</v>
      </c>
      <c r="X229" s="203">
        <v>34.021417253986648</v>
      </c>
      <c r="Y229" s="203">
        <v>34.021382128488057</v>
      </c>
      <c r="Z229" s="203">
        <v>34.021332849830586</v>
      </c>
      <c r="AA229" s="203">
        <v>34.007861441706062</v>
      </c>
      <c r="AB229" s="16">
        <f>Peak!AB231</f>
        <v>1.2592820123140616</v>
      </c>
      <c r="AC229" s="16">
        <f>Peak!AC231</f>
        <v>0</v>
      </c>
      <c r="AD229" s="18">
        <f>Peak!AD231</f>
        <v>744.38367199801439</v>
      </c>
      <c r="AE229" s="18">
        <f>Peak!AE231</f>
        <v>2070.1083333808137</v>
      </c>
      <c r="AF229" s="16">
        <f>Peak!AF231</f>
        <v>1</v>
      </c>
      <c r="AG229" s="73">
        <f>Peak!AG231</f>
        <v>1.2073</v>
      </c>
      <c r="AH229" s="16">
        <f>Peak!AH231</f>
        <v>4.8844747975221807</v>
      </c>
      <c r="AI229" s="16">
        <f>Peak!AI231</f>
        <v>4.5546845240329263</v>
      </c>
      <c r="AJ229" s="16">
        <f>Peak!AJ231</f>
        <v>2.4399542510000001</v>
      </c>
      <c r="AK229" s="16">
        <f>Peak!AK231</f>
        <v>7.2000000000000008E-2</v>
      </c>
      <c r="AL229" s="4"/>
    </row>
    <row r="230" spans="1:38" x14ac:dyDescent="0.2">
      <c r="A230" s="1">
        <f t="shared" si="23"/>
        <v>43262.157000000283</v>
      </c>
      <c r="B230" s="16">
        <f t="shared" si="21"/>
        <v>1.2073</v>
      </c>
      <c r="C230" s="17">
        <f t="shared" si="18"/>
        <v>12.128535799999998</v>
      </c>
      <c r="D230" s="16">
        <f t="shared" si="22"/>
        <v>1.2613808156679185</v>
      </c>
      <c r="E230" s="16">
        <f t="shared" si="19"/>
        <v>9.1230845527446558</v>
      </c>
      <c r="F230" s="16">
        <f t="shared" si="20"/>
        <v>0.74866709941717169</v>
      </c>
      <c r="G230" s="19">
        <f>IF(IS!$C$2="Peak","-",SUM(C230:F230))</f>
        <v>23.261668267829744</v>
      </c>
      <c r="H230" s="203">
        <v>190.46198003428688</v>
      </c>
      <c r="I230" s="203">
        <v>177.83699198381677</v>
      </c>
      <c r="J230" s="203">
        <v>167.24340409845644</v>
      </c>
      <c r="K230" s="203">
        <v>154.70297433033258</v>
      </c>
      <c r="L230" s="203">
        <v>141.37115098973882</v>
      </c>
      <c r="M230" s="203">
        <v>85.496495612273904</v>
      </c>
      <c r="N230" s="203">
        <v>72.538374986835137</v>
      </c>
      <c r="O230" s="203">
        <v>68.782232775994132</v>
      </c>
      <c r="P230" s="203">
        <v>58.094403671225407</v>
      </c>
      <c r="Q230" s="203">
        <v>47.493830379356083</v>
      </c>
      <c r="R230" s="203">
        <v>42.100642599643351</v>
      </c>
      <c r="S230" s="203">
        <v>39.739012337480943</v>
      </c>
      <c r="T230" s="203">
        <v>39.027195051274013</v>
      </c>
      <c r="U230" s="203">
        <v>38.181501214035094</v>
      </c>
      <c r="V230" s="203">
        <v>36.736913936445887</v>
      </c>
      <c r="W230" s="203">
        <v>35.023584865069246</v>
      </c>
      <c r="X230" s="203">
        <v>34.022726554882873</v>
      </c>
      <c r="Y230" s="203">
        <v>34.022715741854825</v>
      </c>
      <c r="Z230" s="203">
        <v>34.022715741854825</v>
      </c>
      <c r="AA230" s="203">
        <v>32.760380817471372</v>
      </c>
      <c r="AB230" s="16">
        <f>Peak!AB232</f>
        <v>1.2613808156679185</v>
      </c>
      <c r="AC230" s="16">
        <f>Peak!AC232</f>
        <v>0</v>
      </c>
      <c r="AD230" s="18">
        <f>Peak!AD232</f>
        <v>744.38367199801439</v>
      </c>
      <c r="AE230" s="18">
        <f>Peak!AE232</f>
        <v>2070.1083333808137</v>
      </c>
      <c r="AF230" s="16">
        <f>Peak!AF232</f>
        <v>1</v>
      </c>
      <c r="AG230" s="73">
        <f>Peak!AG232</f>
        <v>1.2073</v>
      </c>
      <c r="AH230" s="16">
        <f>Peak!AH232</f>
        <v>4.6537508623628412</v>
      </c>
      <c r="AI230" s="16">
        <f>Peak!AI232</f>
        <v>4.5546845240329263</v>
      </c>
      <c r="AJ230" s="16">
        <f>Peak!AJ232</f>
        <v>2.4399542510000001</v>
      </c>
      <c r="AK230" s="16">
        <f>Peak!AK232</f>
        <v>7.2000000000000008E-2</v>
      </c>
      <c r="AL230" s="4"/>
    </row>
    <row r="231" spans="1:38" x14ac:dyDescent="0.2">
      <c r="A231" s="1">
        <f t="shared" si="23"/>
        <v>43292.574000000284</v>
      </c>
      <c r="B231" s="16">
        <f t="shared" si="21"/>
        <v>1.2073</v>
      </c>
      <c r="C231" s="17">
        <f t="shared" si="18"/>
        <v>12.128535799999998</v>
      </c>
      <c r="D231" s="16">
        <f t="shared" si="22"/>
        <v>1.263483117027365</v>
      </c>
      <c r="E231" s="16">
        <f t="shared" si="19"/>
        <v>9.1230845527446558</v>
      </c>
      <c r="F231" s="16">
        <f t="shared" si="20"/>
        <v>0.74866709941717169</v>
      </c>
      <c r="G231" s="19">
        <f>IF(IS!$C$2="Peak","-",SUM(C231:F231))</f>
        <v>23.263770569189191</v>
      </c>
      <c r="H231" s="203">
        <v>251.26508011419332</v>
      </c>
      <c r="I231" s="203">
        <v>209.30475650784865</v>
      </c>
      <c r="J231" s="203">
        <v>196.3422979121525</v>
      </c>
      <c r="K231" s="203">
        <v>180.6848766668582</v>
      </c>
      <c r="L231" s="203">
        <v>167.63420880393898</v>
      </c>
      <c r="M231" s="203">
        <v>154.82789138519922</v>
      </c>
      <c r="N231" s="203">
        <v>129.19188048558595</v>
      </c>
      <c r="O231" s="203">
        <v>85.64993706708141</v>
      </c>
      <c r="P231" s="203">
        <v>81.346949238966573</v>
      </c>
      <c r="Q231" s="203">
        <v>58.452824199238179</v>
      </c>
      <c r="R231" s="203">
        <v>46.714263027828665</v>
      </c>
      <c r="S231" s="203">
        <v>43.326003847645673</v>
      </c>
      <c r="T231" s="203">
        <v>39.785248786288413</v>
      </c>
      <c r="U231" s="203">
        <v>39.748755215903593</v>
      </c>
      <c r="V231" s="203">
        <v>39.748588480575407</v>
      </c>
      <c r="W231" s="203">
        <v>39.74796774614682</v>
      </c>
      <c r="X231" s="203">
        <v>39.74796774614682</v>
      </c>
      <c r="Y231" s="203">
        <v>39.74796774614682</v>
      </c>
      <c r="Z231" s="203">
        <v>38.180135730350131</v>
      </c>
      <c r="AA231" s="203">
        <v>32.703231041532987</v>
      </c>
      <c r="AB231" s="16">
        <f>Peak!AB233</f>
        <v>1.263483117027365</v>
      </c>
      <c r="AC231" s="16">
        <f>Peak!AC233</f>
        <v>0</v>
      </c>
      <c r="AD231" s="18">
        <f>Peak!AD233</f>
        <v>744.38367199801439</v>
      </c>
      <c r="AE231" s="18">
        <f>Peak!AE233</f>
        <v>2070.1083333808137</v>
      </c>
      <c r="AF231" s="16">
        <f>Peak!AF233</f>
        <v>1</v>
      </c>
      <c r="AG231" s="73">
        <f>Peak!AG233</f>
        <v>1.2073</v>
      </c>
      <c r="AH231" s="16">
        <f>Peak!AH233</f>
        <v>4.6390238026718196</v>
      </c>
      <c r="AI231" s="16">
        <f>Peak!AI233</f>
        <v>4.5546845240329263</v>
      </c>
      <c r="AJ231" s="16">
        <f>Peak!AJ233</f>
        <v>2.4399542510000001</v>
      </c>
      <c r="AK231" s="16">
        <f>Peak!AK233</f>
        <v>7.2000000000000008E-2</v>
      </c>
      <c r="AL231" s="4"/>
    </row>
    <row r="232" spans="1:38" x14ac:dyDescent="0.2">
      <c r="A232" s="1">
        <f t="shared" si="23"/>
        <v>43322.991000000286</v>
      </c>
      <c r="B232" s="16">
        <f t="shared" si="21"/>
        <v>1.2073</v>
      </c>
      <c r="C232" s="17">
        <f t="shared" si="18"/>
        <v>12.128535799999998</v>
      </c>
      <c r="D232" s="16">
        <f t="shared" si="22"/>
        <v>1.2655889222224106</v>
      </c>
      <c r="E232" s="16">
        <f t="shared" si="19"/>
        <v>9.1230845527446558</v>
      </c>
      <c r="F232" s="16">
        <f t="shared" si="20"/>
        <v>0.74866709941717169</v>
      </c>
      <c r="G232" s="19">
        <f>IF(IS!$C$2="Peak","-",SUM(C232:F232))</f>
        <v>23.265876374384238</v>
      </c>
      <c r="H232" s="203">
        <v>547.35455166888539</v>
      </c>
      <c r="I232" s="203">
        <v>381.97770419914502</v>
      </c>
      <c r="J232" s="203">
        <v>289.47110844986298</v>
      </c>
      <c r="K232" s="203">
        <v>216.15376409313103</v>
      </c>
      <c r="L232" s="203">
        <v>193.57001334159119</v>
      </c>
      <c r="M232" s="203">
        <v>175.16247052196644</v>
      </c>
      <c r="N232" s="203">
        <v>157.15753261665199</v>
      </c>
      <c r="O232" s="203">
        <v>123.07482372412896</v>
      </c>
      <c r="P232" s="203">
        <v>44.236942097775241</v>
      </c>
      <c r="Q232" s="203">
        <v>54.464858771194862</v>
      </c>
      <c r="R232" s="203">
        <v>43.977896885726622</v>
      </c>
      <c r="S232" s="203">
        <v>41.734880155201026</v>
      </c>
      <c r="T232" s="203">
        <v>40.644447518612381</v>
      </c>
      <c r="U232" s="203">
        <v>38.018927964753992</v>
      </c>
      <c r="V232" s="203">
        <v>36.642395465071793</v>
      </c>
      <c r="W232" s="203">
        <v>36.57617240111378</v>
      </c>
      <c r="X232" s="203">
        <v>36.44138435785343</v>
      </c>
      <c r="Y232" s="203">
        <v>35.990758535055292</v>
      </c>
      <c r="Z232" s="203">
        <v>35.990758535055292</v>
      </c>
      <c r="AA232" s="203">
        <v>32.500159018463521</v>
      </c>
      <c r="AB232" s="16">
        <f>Peak!AB234</f>
        <v>1.2655889222224106</v>
      </c>
      <c r="AC232" s="16">
        <f>Peak!AC234</f>
        <v>0</v>
      </c>
      <c r="AD232" s="18">
        <f>Peak!AD234</f>
        <v>744.38367199801439</v>
      </c>
      <c r="AE232" s="18">
        <f>Peak!AE234</f>
        <v>2070.1083333808137</v>
      </c>
      <c r="AF232" s="16">
        <f>Peak!AF234</f>
        <v>1</v>
      </c>
      <c r="AG232" s="73">
        <f>Peak!AG234</f>
        <v>1.2073</v>
      </c>
      <c r="AH232" s="16">
        <f>Peak!AH234</f>
        <v>4.3984818277184665</v>
      </c>
      <c r="AI232" s="16">
        <f>Peak!AI234</f>
        <v>4.5546845240329263</v>
      </c>
      <c r="AJ232" s="16">
        <f>Peak!AJ234</f>
        <v>2.4399542510000001</v>
      </c>
      <c r="AK232" s="16">
        <f>Peak!AK234</f>
        <v>7.2000000000000008E-2</v>
      </c>
      <c r="AL232" s="4"/>
    </row>
    <row r="233" spans="1:38" x14ac:dyDescent="0.2">
      <c r="A233" s="1">
        <f t="shared" si="23"/>
        <v>43353.408000000287</v>
      </c>
      <c r="B233" s="16">
        <f t="shared" si="21"/>
        <v>1.2073</v>
      </c>
      <c r="C233" s="17">
        <f t="shared" si="18"/>
        <v>12.128535799999998</v>
      </c>
      <c r="D233" s="16">
        <f t="shared" si="22"/>
        <v>1.2676982370927814</v>
      </c>
      <c r="E233" s="16">
        <f t="shared" si="19"/>
        <v>9.1230845527446558</v>
      </c>
      <c r="F233" s="16">
        <f t="shared" si="20"/>
        <v>0.74866709941717169</v>
      </c>
      <c r="G233" s="19">
        <f>IF(IS!$C$2="Peak","-",SUM(C233:F233))</f>
        <v>23.267985689254608</v>
      </c>
      <c r="H233" s="203">
        <v>153.44154943465892</v>
      </c>
      <c r="I233" s="203">
        <v>144.3905465998433</v>
      </c>
      <c r="J233" s="203">
        <v>114.16558908449875</v>
      </c>
      <c r="K233" s="203">
        <v>103.02093811740077</v>
      </c>
      <c r="L233" s="203">
        <v>89.113499450232368</v>
      </c>
      <c r="M233" s="203">
        <v>63.119894899924326</v>
      </c>
      <c r="N233" s="203">
        <v>53.743510316799572</v>
      </c>
      <c r="O233" s="203">
        <v>49.883395373602418</v>
      </c>
      <c r="P233" s="203">
        <v>48.861147620190643</v>
      </c>
      <c r="Q233" s="203">
        <v>48.773340888398508</v>
      </c>
      <c r="R233" s="203">
        <v>48.773340888398508</v>
      </c>
      <c r="S233" s="203">
        <v>48.773192467472803</v>
      </c>
      <c r="T233" s="203">
        <v>48.77295676295455</v>
      </c>
      <c r="U233" s="203">
        <v>48.77286563137703</v>
      </c>
      <c r="V233" s="203">
        <v>48.77269395877569</v>
      </c>
      <c r="W233" s="203">
        <v>48.772605149956874</v>
      </c>
      <c r="X233" s="203">
        <v>48.115962479463334</v>
      </c>
      <c r="Y233" s="203">
        <v>45.336979592267639</v>
      </c>
      <c r="Z233" s="203">
        <v>42.28479159142163</v>
      </c>
      <c r="AA233" s="203">
        <v>35.599574802588208</v>
      </c>
      <c r="AB233" s="16">
        <f>Peak!AB235</f>
        <v>1.2676982370927814</v>
      </c>
      <c r="AC233" s="16">
        <f>Peak!AC235</f>
        <v>0</v>
      </c>
      <c r="AD233" s="18">
        <f>Peak!AD235</f>
        <v>744.38367199801439</v>
      </c>
      <c r="AE233" s="18">
        <f>Peak!AE235</f>
        <v>2070.1083333808137</v>
      </c>
      <c r="AF233" s="16">
        <f>Peak!AF235</f>
        <v>1</v>
      </c>
      <c r="AG233" s="73">
        <f>Peak!AG235</f>
        <v>1.2073</v>
      </c>
      <c r="AH233" s="16">
        <f>Peak!AH235</f>
        <v>4.3837547680274449</v>
      </c>
      <c r="AI233" s="16">
        <f>Peak!AI235</f>
        <v>4.5546845240329263</v>
      </c>
      <c r="AJ233" s="16">
        <f>Peak!AJ235</f>
        <v>2.4399542510000001</v>
      </c>
      <c r="AK233" s="16">
        <f>Peak!AK235</f>
        <v>7.2000000000000008E-2</v>
      </c>
      <c r="AL233" s="4"/>
    </row>
    <row r="234" spans="1:38" x14ac:dyDescent="0.2">
      <c r="A234" s="1">
        <f t="shared" si="23"/>
        <v>43383.825000000288</v>
      </c>
      <c r="B234" s="16">
        <f t="shared" si="21"/>
        <v>1.2073</v>
      </c>
      <c r="C234" s="17">
        <f t="shared" si="18"/>
        <v>12.128535799999998</v>
      </c>
      <c r="D234" s="16">
        <f t="shared" si="22"/>
        <v>1.2698110674879362</v>
      </c>
      <c r="E234" s="16">
        <f t="shared" si="19"/>
        <v>9.1230845527446558</v>
      </c>
      <c r="F234" s="16">
        <f t="shared" si="20"/>
        <v>0.74866709941717169</v>
      </c>
      <c r="G234" s="19">
        <f>IF(IS!$C$2="Peak","-",SUM(C234:F234))</f>
        <v>23.270098519649761</v>
      </c>
      <c r="H234" s="203">
        <v>95.496885599087932</v>
      </c>
      <c r="I234" s="203">
        <v>92.529313925096233</v>
      </c>
      <c r="J234" s="203">
        <v>88.688158207560761</v>
      </c>
      <c r="K234" s="203">
        <v>83.177712668994175</v>
      </c>
      <c r="L234" s="203">
        <v>79.281761933101507</v>
      </c>
      <c r="M234" s="203">
        <v>78.695910123974599</v>
      </c>
      <c r="N234" s="203">
        <v>67.571734712735775</v>
      </c>
      <c r="O234" s="203">
        <v>55.413179826784429</v>
      </c>
      <c r="P234" s="203">
        <v>53.427749066973753</v>
      </c>
      <c r="Q234" s="203">
        <v>49.224554927868581</v>
      </c>
      <c r="R234" s="203">
        <v>46.489333474023326</v>
      </c>
      <c r="S234" s="203">
        <v>45.246922922934104</v>
      </c>
      <c r="T234" s="203">
        <v>44.617389702107133</v>
      </c>
      <c r="U234" s="203">
        <v>43.964421968303739</v>
      </c>
      <c r="V234" s="203">
        <v>41.967099018420683</v>
      </c>
      <c r="W234" s="203">
        <v>39.844855112648801</v>
      </c>
      <c r="X234" s="203">
        <v>38.628831710601901</v>
      </c>
      <c r="Y234" s="203">
        <v>38.540975894365232</v>
      </c>
      <c r="Z234" s="203">
        <v>38.540975894365232</v>
      </c>
      <c r="AA234" s="203">
        <v>38.531199810056826</v>
      </c>
      <c r="AB234" s="16">
        <f>Peak!AB236</f>
        <v>1.2698110674879362</v>
      </c>
      <c r="AC234" s="16">
        <f>Peak!AC236</f>
        <v>0</v>
      </c>
      <c r="AD234" s="18">
        <f>Peak!AD236</f>
        <v>744.38367199801439</v>
      </c>
      <c r="AE234" s="18">
        <f>Peak!AE236</f>
        <v>2070.1083333808137</v>
      </c>
      <c r="AF234" s="16">
        <f>Peak!AF236</f>
        <v>1</v>
      </c>
      <c r="AG234" s="73">
        <f>Peak!AG236</f>
        <v>1.2073</v>
      </c>
      <c r="AH234" s="16">
        <f>Peak!AH236</f>
        <v>4.8550206781401375</v>
      </c>
      <c r="AI234" s="16">
        <f>Peak!AI236</f>
        <v>4.5546845240329263</v>
      </c>
      <c r="AJ234" s="16">
        <f>Peak!AJ236</f>
        <v>2.4399542510000001</v>
      </c>
      <c r="AK234" s="16">
        <f>Peak!AK236</f>
        <v>7.2000000000000008E-2</v>
      </c>
      <c r="AL234" s="4"/>
    </row>
    <row r="235" spans="1:38" x14ac:dyDescent="0.2">
      <c r="A235" s="1">
        <f t="shared" si="23"/>
        <v>43414.242000000289</v>
      </c>
      <c r="B235" s="16">
        <f t="shared" si="21"/>
        <v>1.2073</v>
      </c>
      <c r="C235" s="17">
        <f t="shared" si="18"/>
        <v>12.128535799999998</v>
      </c>
      <c r="D235" s="16">
        <f t="shared" si="22"/>
        <v>1.2719274192670829</v>
      </c>
      <c r="E235" s="16">
        <f t="shared" si="19"/>
        <v>9.1230845527446558</v>
      </c>
      <c r="F235" s="16">
        <f t="shared" si="20"/>
        <v>0.74866709941717169</v>
      </c>
      <c r="G235" s="19">
        <f>IF(IS!$C$2="Peak","-",SUM(C235:F235))</f>
        <v>23.272214871428911</v>
      </c>
      <c r="H235" s="203">
        <v>166.23681335783019</v>
      </c>
      <c r="I235" s="203">
        <v>160.55945288990023</v>
      </c>
      <c r="J235" s="203">
        <v>154.48151256924922</v>
      </c>
      <c r="K235" s="203">
        <v>149.40157264949744</v>
      </c>
      <c r="L235" s="203">
        <v>120.89130668629343</v>
      </c>
      <c r="M235" s="203">
        <v>83.544438884465961</v>
      </c>
      <c r="N235" s="203">
        <v>77.888916902585407</v>
      </c>
      <c r="O235" s="203">
        <v>70.535529547722177</v>
      </c>
      <c r="P235" s="203">
        <v>65.689290021591901</v>
      </c>
      <c r="Q235" s="203">
        <v>64.033439952728827</v>
      </c>
      <c r="R235" s="203">
        <v>62.428851612203708</v>
      </c>
      <c r="S235" s="203">
        <v>53.474914834361172</v>
      </c>
      <c r="T235" s="203">
        <v>49.757070990605669</v>
      </c>
      <c r="U235" s="203">
        <v>47.536163375601447</v>
      </c>
      <c r="V235" s="203">
        <v>45.609768589057595</v>
      </c>
      <c r="W235" s="203">
        <v>45.023786217793081</v>
      </c>
      <c r="X235" s="203">
        <v>42.159621814912825</v>
      </c>
      <c r="Y235" s="203">
        <v>36.99435646400709</v>
      </c>
      <c r="Z235" s="203">
        <v>31.81281346866076</v>
      </c>
      <c r="AA235" s="203">
        <v>31.807323143124815</v>
      </c>
      <c r="AB235" s="16">
        <f>Peak!AB237</f>
        <v>1.2719274192670829</v>
      </c>
      <c r="AC235" s="16">
        <f>Peak!AC237</f>
        <v>0</v>
      </c>
      <c r="AD235" s="18">
        <f>Peak!AD237</f>
        <v>744.38367199801439</v>
      </c>
      <c r="AE235" s="18">
        <f>Peak!AE237</f>
        <v>2070.1083333808137</v>
      </c>
      <c r="AF235" s="16">
        <f>Peak!AF237</f>
        <v>1</v>
      </c>
      <c r="AG235" s="73">
        <f>Peak!AG237</f>
        <v>1.2073</v>
      </c>
      <c r="AH235" s="16">
        <f>Peak!AH237</f>
        <v>5.3164685484588157</v>
      </c>
      <c r="AI235" s="16">
        <f>Peak!AI237</f>
        <v>4.9382369050041204</v>
      </c>
      <c r="AJ235" s="16">
        <f>Peak!AJ237</f>
        <v>2.4399542510000001</v>
      </c>
      <c r="AK235" s="16">
        <f>Peak!AK237</f>
        <v>7.2000000000000008E-2</v>
      </c>
      <c r="AL235" s="4"/>
    </row>
    <row r="236" spans="1:38" x14ac:dyDescent="0.2">
      <c r="A236" s="1">
        <f t="shared" si="23"/>
        <v>43444.659000000291</v>
      </c>
      <c r="B236" s="16">
        <f t="shared" si="21"/>
        <v>1.2073</v>
      </c>
      <c r="C236" s="17">
        <f t="shared" si="18"/>
        <v>12.128535799999998</v>
      </c>
      <c r="D236" s="16">
        <f t="shared" si="22"/>
        <v>1.2740472982991946</v>
      </c>
      <c r="E236" s="16">
        <f t="shared" si="19"/>
        <v>9.1230845527446558</v>
      </c>
      <c r="F236" s="16">
        <f t="shared" si="20"/>
        <v>0.74866709941717169</v>
      </c>
      <c r="G236" s="19">
        <f>IF(IS!$C$2="Peak","-",SUM(C236:F236))</f>
        <v>23.274334750461019</v>
      </c>
      <c r="H236" s="203">
        <v>151.04369132112106</v>
      </c>
      <c r="I236" s="203">
        <v>148.5812975547116</v>
      </c>
      <c r="J236" s="203">
        <v>144.27390571682957</v>
      </c>
      <c r="K236" s="203">
        <v>120.91213586290553</v>
      </c>
      <c r="L236" s="203">
        <v>111.12941825695933</v>
      </c>
      <c r="M236" s="203">
        <v>102.28291601237146</v>
      </c>
      <c r="N236" s="203">
        <v>100.5060107060596</v>
      </c>
      <c r="O236" s="203">
        <v>92.35387902350196</v>
      </c>
      <c r="P236" s="203">
        <v>69.675134247295034</v>
      </c>
      <c r="Q236" s="203">
        <v>59.260474325009</v>
      </c>
      <c r="R236" s="203">
        <v>55.758368039816766</v>
      </c>
      <c r="S236" s="203">
        <v>48.219645209232084</v>
      </c>
      <c r="T236" s="203">
        <v>47.860773652621994</v>
      </c>
      <c r="U236" s="203">
        <v>47.860747803638574</v>
      </c>
      <c r="V236" s="203">
        <v>47.860716942902229</v>
      </c>
      <c r="W236" s="203">
        <v>47.860716942902229</v>
      </c>
      <c r="X236" s="203">
        <v>47.860672942377832</v>
      </c>
      <c r="Y236" s="203">
        <v>47.860646027209526</v>
      </c>
      <c r="Z236" s="203">
        <v>47.860622649443847</v>
      </c>
      <c r="AA236" s="203">
        <v>46.637786154712472</v>
      </c>
      <c r="AB236" s="16">
        <f>Peak!AB238</f>
        <v>1.2740472982991946</v>
      </c>
      <c r="AC236" s="16">
        <f>Peak!AC238</f>
        <v>0</v>
      </c>
      <c r="AD236" s="18">
        <f>Peak!AD238</f>
        <v>744.38367199801439</v>
      </c>
      <c r="AE236" s="18">
        <f>Peak!AE238</f>
        <v>2070.1083333808137</v>
      </c>
      <c r="AF236" s="16">
        <f>Peak!AF238</f>
        <v>1</v>
      </c>
      <c r="AG236" s="73">
        <f>Peak!AG238</f>
        <v>1.2073</v>
      </c>
      <c r="AH236" s="16">
        <f>Peak!AH238</f>
        <v>5.7533713192924578</v>
      </c>
      <c r="AI236" s="16">
        <f>Peak!AI238</f>
        <v>5.1779571431111169</v>
      </c>
      <c r="AJ236" s="16">
        <f>Peak!AJ238</f>
        <v>2.4399542510000001</v>
      </c>
      <c r="AK236" s="16">
        <f>Peak!AK238</f>
        <v>7.2000000000000008E-2</v>
      </c>
      <c r="AL236" s="4"/>
    </row>
    <row r="237" spans="1:38" x14ac:dyDescent="0.2">
      <c r="A237" s="1">
        <f t="shared" si="23"/>
        <v>43475.076000000292</v>
      </c>
      <c r="B237" s="16">
        <f t="shared" si="21"/>
        <v>1.2136</v>
      </c>
      <c r="C237" s="17">
        <f t="shared" si="18"/>
        <v>12.1918256</v>
      </c>
      <c r="D237" s="16">
        <f t="shared" si="22"/>
        <v>1.2761707104630267</v>
      </c>
      <c r="E237" s="16">
        <f t="shared" si="19"/>
        <v>9.458955503686898</v>
      </c>
      <c r="F237" s="16">
        <f t="shared" si="20"/>
        <v>0.40761221732930991</v>
      </c>
      <c r="G237" s="19">
        <f>IF(IS!$C$2="Peak","-",SUM(C237:F237))</f>
        <v>23.334564031479232</v>
      </c>
      <c r="H237" s="203">
        <v>137.48007501945068</v>
      </c>
      <c r="I237" s="203">
        <v>130.65223220901746</v>
      </c>
      <c r="J237" s="203">
        <v>124.51407791382694</v>
      </c>
      <c r="K237" s="203">
        <v>116.14200761440092</v>
      </c>
      <c r="L237" s="203">
        <v>114.9234947725854</v>
      </c>
      <c r="M237" s="203">
        <v>105.03443554248383</v>
      </c>
      <c r="N237" s="203">
        <v>76.523757736492996</v>
      </c>
      <c r="O237" s="203">
        <v>63.625863878712209</v>
      </c>
      <c r="P237" s="203">
        <v>57.685027782976796</v>
      </c>
      <c r="Q237" s="203">
        <v>54.210654473474726</v>
      </c>
      <c r="R237" s="203">
        <v>54.210654473474726</v>
      </c>
      <c r="S237" s="203">
        <v>54.210654473474726</v>
      </c>
      <c r="T237" s="203">
        <v>54.210654473474726</v>
      </c>
      <c r="U237" s="203">
        <v>54.210654473474726</v>
      </c>
      <c r="V237" s="203">
        <v>54.210654473474726</v>
      </c>
      <c r="W237" s="203">
        <v>54.210633084894596</v>
      </c>
      <c r="X237" s="203">
        <v>54.210599340452724</v>
      </c>
      <c r="Y237" s="203">
        <v>54.210412904687082</v>
      </c>
      <c r="Z237" s="203">
        <v>54.209980291793656</v>
      </c>
      <c r="AA237" s="203">
        <v>49.774685118622486</v>
      </c>
      <c r="AB237" s="16">
        <f>Peak!AB239</f>
        <v>1.2761707104630267</v>
      </c>
      <c r="AC237" s="16">
        <f>Peak!AC239</f>
        <v>0</v>
      </c>
      <c r="AD237" s="18">
        <f>Peak!AD239</f>
        <v>771.78853165204816</v>
      </c>
      <c r="AE237" s="18">
        <f>Peak!AE239</f>
        <v>1127.0716297512272</v>
      </c>
      <c r="AF237" s="16">
        <f>Peak!AF239</f>
        <v>1</v>
      </c>
      <c r="AG237" s="73">
        <f>Peak!AG239</f>
        <v>1.2136</v>
      </c>
      <c r="AH237" s="16">
        <f>Peak!AH239</f>
        <v>5.587976144885058</v>
      </c>
      <c r="AI237" s="16">
        <f>Peak!AI239</f>
        <v>5.2508532996416486</v>
      </c>
      <c r="AJ237" s="16">
        <f>Peak!AJ239</f>
        <v>2.4399542510000001</v>
      </c>
      <c r="AK237" s="16">
        <f>Peak!AK239</f>
        <v>7.2000000000000008E-2</v>
      </c>
      <c r="AL237" s="4"/>
    </row>
    <row r="238" spans="1:38" x14ac:dyDescent="0.2">
      <c r="A238" s="1">
        <f t="shared" si="23"/>
        <v>43505.493000000293</v>
      </c>
      <c r="B238" s="16">
        <f t="shared" si="21"/>
        <v>1.2136</v>
      </c>
      <c r="C238" s="17">
        <f t="shared" si="18"/>
        <v>12.1918256</v>
      </c>
      <c r="D238" s="16">
        <f t="shared" si="22"/>
        <v>1.2782976616471318</v>
      </c>
      <c r="E238" s="16">
        <f t="shared" si="19"/>
        <v>9.458955503686898</v>
      </c>
      <c r="F238" s="16">
        <f t="shared" si="20"/>
        <v>0.40761221732930991</v>
      </c>
      <c r="G238" s="19">
        <f>IF(IS!$C$2="Peak","-",SUM(C238:F238))</f>
        <v>23.336690982663338</v>
      </c>
      <c r="H238" s="203">
        <v>156.12832920678761</v>
      </c>
      <c r="I238" s="203">
        <v>150.95206229097647</v>
      </c>
      <c r="J238" s="203">
        <v>147.53833205828712</v>
      </c>
      <c r="K238" s="203">
        <v>122.40270524195691</v>
      </c>
      <c r="L238" s="203">
        <v>112.19288682794236</v>
      </c>
      <c r="M238" s="203">
        <v>105.4579153826638</v>
      </c>
      <c r="N238" s="203">
        <v>101.58376702167581</v>
      </c>
      <c r="O238" s="203">
        <v>78.430458132173243</v>
      </c>
      <c r="P238" s="203">
        <v>65.445326513214724</v>
      </c>
      <c r="Q238" s="203">
        <v>58.531521959164721</v>
      </c>
      <c r="R238" s="203">
        <v>55.85766013302559</v>
      </c>
      <c r="S238" s="203">
        <v>50.529702706200887</v>
      </c>
      <c r="T238" s="203">
        <v>50.052066491333612</v>
      </c>
      <c r="U238" s="203">
        <v>50.052066491333612</v>
      </c>
      <c r="V238" s="203">
        <v>50.052066491333612</v>
      </c>
      <c r="W238" s="203">
        <v>50.052066491333612</v>
      </c>
      <c r="X238" s="203">
        <v>50.051990813240117</v>
      </c>
      <c r="Y238" s="203">
        <v>50.050990043506154</v>
      </c>
      <c r="Z238" s="203">
        <v>50.050621858952475</v>
      </c>
      <c r="AA238" s="203">
        <v>48.62597920878698</v>
      </c>
      <c r="AB238" s="16">
        <f>Peak!AB240</f>
        <v>1.2782976616471318</v>
      </c>
      <c r="AC238" s="16">
        <f>Peak!AC240</f>
        <v>0</v>
      </c>
      <c r="AD238" s="18">
        <f>Peak!AD240</f>
        <v>771.78853165204816</v>
      </c>
      <c r="AE238" s="18">
        <f>Peak!AE240</f>
        <v>1127.0716297512272</v>
      </c>
      <c r="AF238" s="16">
        <f>Peak!AF240</f>
        <v>1</v>
      </c>
      <c r="AG238" s="73">
        <f>Peak!AG240</f>
        <v>1.2136</v>
      </c>
      <c r="AH238" s="16">
        <f>Peak!AH240</f>
        <v>5.0083722362400653</v>
      </c>
      <c r="AI238" s="16">
        <f>Peak!AI240</f>
        <v>5.2022342876079302</v>
      </c>
      <c r="AJ238" s="16">
        <f>Peak!AJ240</f>
        <v>2.4399542510000001</v>
      </c>
      <c r="AK238" s="16">
        <f>Peak!AK240</f>
        <v>7.2000000000000008E-2</v>
      </c>
      <c r="AL238" s="4"/>
    </row>
    <row r="239" spans="1:38" x14ac:dyDescent="0.2">
      <c r="A239" s="1">
        <f t="shared" si="23"/>
        <v>43535.910000000295</v>
      </c>
      <c r="B239" s="16">
        <f t="shared" si="21"/>
        <v>1.2136</v>
      </c>
      <c r="C239" s="17">
        <f t="shared" si="18"/>
        <v>12.1918256</v>
      </c>
      <c r="D239" s="16">
        <f t="shared" si="22"/>
        <v>1.2804281577498771</v>
      </c>
      <c r="E239" s="16">
        <f t="shared" si="19"/>
        <v>9.458955503686898</v>
      </c>
      <c r="F239" s="16">
        <f t="shared" si="20"/>
        <v>0.40761221732930991</v>
      </c>
      <c r="G239" s="19">
        <f>IF(IS!$C$2="Peak","-",SUM(C239:F239))</f>
        <v>23.338821478766086</v>
      </c>
      <c r="H239" s="203">
        <v>96.005147487974583</v>
      </c>
      <c r="I239" s="203">
        <v>92.965213391514382</v>
      </c>
      <c r="J239" s="203">
        <v>92.913888305059686</v>
      </c>
      <c r="K239" s="203">
        <v>92.376859891509952</v>
      </c>
      <c r="L239" s="203">
        <v>92.155424950353932</v>
      </c>
      <c r="M239" s="203">
        <v>83.272522074718935</v>
      </c>
      <c r="N239" s="203">
        <v>74.087319680632049</v>
      </c>
      <c r="O239" s="203">
        <v>69.801459024033392</v>
      </c>
      <c r="P239" s="203">
        <v>66.192570303711506</v>
      </c>
      <c r="Q239" s="203">
        <v>63.791828506592744</v>
      </c>
      <c r="R239" s="203">
        <v>60.759614986982356</v>
      </c>
      <c r="S239" s="203">
        <v>52.01111739733836</v>
      </c>
      <c r="T239" s="203">
        <v>47.174444262956165</v>
      </c>
      <c r="U239" s="203">
        <v>44.534463871293823</v>
      </c>
      <c r="V239" s="203">
        <v>43.969068915549734</v>
      </c>
      <c r="W239" s="203">
        <v>43.969068915549734</v>
      </c>
      <c r="X239" s="203">
        <v>43.969068915549734</v>
      </c>
      <c r="Y239" s="203">
        <v>43.96903147650923</v>
      </c>
      <c r="Z239" s="203">
        <v>43.969026136759005</v>
      </c>
      <c r="AA239" s="203">
        <v>43.967873584197932</v>
      </c>
      <c r="AB239" s="16">
        <f>Peak!AB241</f>
        <v>1.2804281577498771</v>
      </c>
      <c r="AC239" s="16">
        <f>Peak!AC241</f>
        <v>0</v>
      </c>
      <c r="AD239" s="18">
        <f>Peak!AD241</f>
        <v>771.78853165204816</v>
      </c>
      <c r="AE239" s="18">
        <f>Peak!AE241</f>
        <v>1127.0716297512272</v>
      </c>
      <c r="AF239" s="16">
        <f>Peak!AF241</f>
        <v>1</v>
      </c>
      <c r="AG239" s="73">
        <f>Peak!AG241</f>
        <v>1.2136</v>
      </c>
      <c r="AH239" s="16">
        <f>Peak!AH241</f>
        <v>4.9241562837019046</v>
      </c>
      <c r="AI239" s="16">
        <f>Peak!AI241</f>
        <v>5.0077582394730538</v>
      </c>
      <c r="AJ239" s="16">
        <f>Peak!AJ241</f>
        <v>2.4399542510000001</v>
      </c>
      <c r="AK239" s="16">
        <f>Peak!AK241</f>
        <v>7.2000000000000008E-2</v>
      </c>
      <c r="AL239" s="4"/>
    </row>
    <row r="240" spans="1:38" x14ac:dyDescent="0.2">
      <c r="A240" s="1">
        <f t="shared" si="23"/>
        <v>43566.327000000296</v>
      </c>
      <c r="B240" s="16">
        <f t="shared" si="21"/>
        <v>1.2136</v>
      </c>
      <c r="C240" s="17">
        <f t="shared" si="18"/>
        <v>12.1918256</v>
      </c>
      <c r="D240" s="16">
        <f t="shared" si="22"/>
        <v>1.2825622046794602</v>
      </c>
      <c r="E240" s="16">
        <f t="shared" si="19"/>
        <v>9.458955503686898</v>
      </c>
      <c r="F240" s="16">
        <f t="shared" si="20"/>
        <v>0.40761221732930991</v>
      </c>
      <c r="G240" s="19">
        <f>IF(IS!$C$2="Peak","-",SUM(C240:F240))</f>
        <v>23.340955525695666</v>
      </c>
      <c r="H240" s="203">
        <v>152.65151441529184</v>
      </c>
      <c r="I240" s="203">
        <v>149.33531242019586</v>
      </c>
      <c r="J240" s="203">
        <v>133.1300796544013</v>
      </c>
      <c r="K240" s="203">
        <v>109.80369603495345</v>
      </c>
      <c r="L240" s="203">
        <v>88.509517580272231</v>
      </c>
      <c r="M240" s="203">
        <v>67.093983242367088</v>
      </c>
      <c r="N240" s="203">
        <v>62.292566491595345</v>
      </c>
      <c r="O240" s="203">
        <v>59.57805284686269</v>
      </c>
      <c r="P240" s="203">
        <v>59.312766174952209</v>
      </c>
      <c r="Q240" s="203">
        <v>54.052132081022918</v>
      </c>
      <c r="R240" s="203">
        <v>49.417010625461437</v>
      </c>
      <c r="S240" s="203">
        <v>46.745304940842921</v>
      </c>
      <c r="T240" s="203">
        <v>44.875432217551186</v>
      </c>
      <c r="U240" s="203">
        <v>42.887952034704306</v>
      </c>
      <c r="V240" s="203">
        <v>42.27907123702569</v>
      </c>
      <c r="W240" s="203">
        <v>40.284743805692237</v>
      </c>
      <c r="X240" s="203">
        <v>35.166417761755419</v>
      </c>
      <c r="Y240" s="203">
        <v>30.434435664484294</v>
      </c>
      <c r="Z240" s="203">
        <v>30.0351802498495</v>
      </c>
      <c r="AA240" s="203">
        <v>30.029437349840965</v>
      </c>
      <c r="AB240" s="16">
        <f>Peak!AB242</f>
        <v>1.2825622046794602</v>
      </c>
      <c r="AC240" s="16">
        <f>Peak!AC242</f>
        <v>0</v>
      </c>
      <c r="AD240" s="18">
        <f>Peak!AD242</f>
        <v>771.78853165204816</v>
      </c>
      <c r="AE240" s="18">
        <f>Peak!AE242</f>
        <v>1127.0716297512272</v>
      </c>
      <c r="AF240" s="16">
        <f>Peak!AF242</f>
        <v>1</v>
      </c>
      <c r="AG240" s="73">
        <f>Peak!AG242</f>
        <v>1.2136</v>
      </c>
      <c r="AH240" s="16">
        <f>Peak!AH242</f>
        <v>4.6814161852095566</v>
      </c>
      <c r="AI240" s="16">
        <f>Peak!AI242</f>
        <v>4.8132821913381774</v>
      </c>
      <c r="AJ240" s="16">
        <f>Peak!AJ242</f>
        <v>2.4399542510000001</v>
      </c>
      <c r="AK240" s="16">
        <f>Peak!AK242</f>
        <v>7.2000000000000008E-2</v>
      </c>
      <c r="AL240" s="4"/>
    </row>
    <row r="241" spans="1:38" x14ac:dyDescent="0.2">
      <c r="A241" s="1">
        <f t="shared" si="23"/>
        <v>43596.744000000297</v>
      </c>
      <c r="B241" s="16">
        <f t="shared" si="21"/>
        <v>1.2136</v>
      </c>
      <c r="C241" s="17">
        <f t="shared" si="18"/>
        <v>12.1918256</v>
      </c>
      <c r="D241" s="16">
        <f t="shared" si="22"/>
        <v>1.2846998083539261</v>
      </c>
      <c r="E241" s="16">
        <f t="shared" si="19"/>
        <v>9.458955503686898</v>
      </c>
      <c r="F241" s="16">
        <f t="shared" si="20"/>
        <v>0.40761221732930991</v>
      </c>
      <c r="G241" s="19">
        <f>IF(IS!$C$2="Peak","-",SUM(C241:F241))</f>
        <v>23.343093129370132</v>
      </c>
      <c r="H241" s="203">
        <v>89.722873273484112</v>
      </c>
      <c r="I241" s="203">
        <v>83.453561867762602</v>
      </c>
      <c r="J241" s="203">
        <v>82.699011082607583</v>
      </c>
      <c r="K241" s="203">
        <v>78.093990767871134</v>
      </c>
      <c r="L241" s="203">
        <v>67.038374575983681</v>
      </c>
      <c r="M241" s="203">
        <v>59.777231699215086</v>
      </c>
      <c r="N241" s="203">
        <v>57.224085889836843</v>
      </c>
      <c r="O241" s="203">
        <v>55.807645881681594</v>
      </c>
      <c r="P241" s="203">
        <v>54.14660420714479</v>
      </c>
      <c r="Q241" s="203">
        <v>52.201597844644134</v>
      </c>
      <c r="R241" s="203">
        <v>49.986535224176365</v>
      </c>
      <c r="S241" s="203">
        <v>46.80773740881628</v>
      </c>
      <c r="T241" s="203">
        <v>46.451939456707393</v>
      </c>
      <c r="U241" s="203">
        <v>44.343300393932637</v>
      </c>
      <c r="V241" s="203">
        <v>41.516630714157458</v>
      </c>
      <c r="W241" s="203">
        <v>40.57070794854527</v>
      </c>
      <c r="X241" s="203">
        <v>40.29987449409127</v>
      </c>
      <c r="Y241" s="203">
        <v>40.171790880366892</v>
      </c>
      <c r="Z241" s="203">
        <v>40.171790880366892</v>
      </c>
      <c r="AA241" s="203">
        <v>40.16375245225889</v>
      </c>
      <c r="AB241" s="16">
        <f>Peak!AB243</f>
        <v>1.2846998083539261</v>
      </c>
      <c r="AC241" s="16">
        <f>Peak!AC243</f>
        <v>0</v>
      </c>
      <c r="AD241" s="18">
        <f>Peak!AD243</f>
        <v>771.78853165204816</v>
      </c>
      <c r="AE241" s="18">
        <f>Peak!AE243</f>
        <v>1127.0716297512272</v>
      </c>
      <c r="AF241" s="16">
        <f>Peak!AF243</f>
        <v>1</v>
      </c>
      <c r="AG241" s="73">
        <f>Peak!AG243</f>
        <v>1.2136</v>
      </c>
      <c r="AH241" s="16">
        <f>Peak!AH243</f>
        <v>4.9291101632629726</v>
      </c>
      <c r="AI241" s="16">
        <f>Peak!AI243</f>
        <v>4.6188061432033019</v>
      </c>
      <c r="AJ241" s="16">
        <f>Peak!AJ243</f>
        <v>2.4399542510000001</v>
      </c>
      <c r="AK241" s="16">
        <f>Peak!AK243</f>
        <v>7.2000000000000008E-2</v>
      </c>
      <c r="AL241" s="4"/>
    </row>
    <row r="242" spans="1:38" x14ac:dyDescent="0.2">
      <c r="A242" s="1">
        <f t="shared" si="23"/>
        <v>43627.161000000298</v>
      </c>
      <c r="B242" s="16">
        <f t="shared" si="21"/>
        <v>1.2136</v>
      </c>
      <c r="C242" s="17">
        <f t="shared" si="18"/>
        <v>12.1918256</v>
      </c>
      <c r="D242" s="16">
        <f t="shared" si="22"/>
        <v>1.2868409747011826</v>
      </c>
      <c r="E242" s="16">
        <f t="shared" si="19"/>
        <v>9.458955503686898</v>
      </c>
      <c r="F242" s="16">
        <f t="shared" si="20"/>
        <v>0.40761221732930991</v>
      </c>
      <c r="G242" s="19">
        <f>IF(IS!$C$2="Peak","-",SUM(C242:F242))</f>
        <v>23.34523429571739</v>
      </c>
      <c r="H242" s="203">
        <v>177.42149864509923</v>
      </c>
      <c r="I242" s="203">
        <v>165.94495242045633</v>
      </c>
      <c r="J242" s="203">
        <v>156.1955955047442</v>
      </c>
      <c r="K242" s="203">
        <v>141.61392138128627</v>
      </c>
      <c r="L242" s="203">
        <v>89.243634437871947</v>
      </c>
      <c r="M242" s="203">
        <v>84.151932916179987</v>
      </c>
      <c r="N242" s="203">
        <v>77.266142445846</v>
      </c>
      <c r="O242" s="203">
        <v>73.345045263803144</v>
      </c>
      <c r="P242" s="203">
        <v>67.417380584849013</v>
      </c>
      <c r="Q242" s="203">
        <v>60.026125212760959</v>
      </c>
      <c r="R242" s="203">
        <v>53.154236218168442</v>
      </c>
      <c r="S242" s="203">
        <v>46.145140144797821</v>
      </c>
      <c r="T242" s="203">
        <v>42.928271786537472</v>
      </c>
      <c r="U242" s="203">
        <v>41.781555615435991</v>
      </c>
      <c r="V242" s="203">
        <v>41.160460215243326</v>
      </c>
      <c r="W242" s="203">
        <v>40.612865513796564</v>
      </c>
      <c r="X242" s="203">
        <v>40.276236519560356</v>
      </c>
      <c r="Y242" s="203">
        <v>39.84848235820867</v>
      </c>
      <c r="Z242" s="203">
        <v>39.492529962457027</v>
      </c>
      <c r="AA242" s="203">
        <v>38.440511016249289</v>
      </c>
      <c r="AB242" s="16">
        <f>Peak!AB244</f>
        <v>1.2868409747011826</v>
      </c>
      <c r="AC242" s="16">
        <f>Peak!AC244</f>
        <v>0</v>
      </c>
      <c r="AD242" s="18">
        <f>Peak!AD244</f>
        <v>771.78853165204816</v>
      </c>
      <c r="AE242" s="18">
        <f>Peak!AE244</f>
        <v>1127.0716297512272</v>
      </c>
      <c r="AF242" s="16">
        <f>Peak!AF244</f>
        <v>1</v>
      </c>
      <c r="AG242" s="73">
        <f>Peak!AG244</f>
        <v>1.2136</v>
      </c>
      <c r="AH242" s="16">
        <f>Peak!AH244</f>
        <v>4.6962778238927614</v>
      </c>
      <c r="AI242" s="16">
        <f>Peak!AI244</f>
        <v>4.6188061432033019</v>
      </c>
      <c r="AJ242" s="16">
        <f>Peak!AJ244</f>
        <v>2.4399542510000001</v>
      </c>
      <c r="AK242" s="16">
        <f>Peak!AK244</f>
        <v>7.2000000000000008E-2</v>
      </c>
      <c r="AL242" s="4"/>
    </row>
    <row r="243" spans="1:38" x14ac:dyDescent="0.2">
      <c r="A243" s="1">
        <f t="shared" si="23"/>
        <v>43657.5780000003</v>
      </c>
      <c r="B243" s="16">
        <f t="shared" si="21"/>
        <v>1.2136</v>
      </c>
      <c r="C243" s="17">
        <f t="shared" si="18"/>
        <v>12.1918256</v>
      </c>
      <c r="D243" s="16">
        <f t="shared" si="22"/>
        <v>1.288985709659018</v>
      </c>
      <c r="E243" s="16">
        <f t="shared" si="19"/>
        <v>9.458955503686898</v>
      </c>
      <c r="F243" s="16">
        <f t="shared" si="20"/>
        <v>0.40761221732930991</v>
      </c>
      <c r="G243" s="19">
        <f>IF(IS!$C$2="Peak","-",SUM(C243:F243))</f>
        <v>23.347379030675224</v>
      </c>
      <c r="H243" s="203">
        <v>291.20815794885021</v>
      </c>
      <c r="I243" s="203">
        <v>219.11837943984582</v>
      </c>
      <c r="J243" s="203">
        <v>202.55112622194957</v>
      </c>
      <c r="K243" s="203">
        <v>186.45655927112952</v>
      </c>
      <c r="L243" s="203">
        <v>172.73045948922046</v>
      </c>
      <c r="M243" s="203">
        <v>158.94780560374622</v>
      </c>
      <c r="N243" s="203">
        <v>146.94670180902426</v>
      </c>
      <c r="O243" s="203">
        <v>95.09740127266663</v>
      </c>
      <c r="P243" s="203">
        <v>81.082160637327007</v>
      </c>
      <c r="Q243" s="203">
        <v>73.184356333703505</v>
      </c>
      <c r="R243" s="203">
        <v>64.540800816084158</v>
      </c>
      <c r="S243" s="203">
        <v>48.9959220763091</v>
      </c>
      <c r="T243" s="203">
        <v>41.986302793920238</v>
      </c>
      <c r="U243" s="203">
        <v>41.018016198778241</v>
      </c>
      <c r="V243" s="203">
        <v>39.739763527119365</v>
      </c>
      <c r="W243" s="203">
        <v>37.92162234517577</v>
      </c>
      <c r="X243" s="203">
        <v>36.584895408344259</v>
      </c>
      <c r="Y243" s="203">
        <v>36.061607850512829</v>
      </c>
      <c r="Z243" s="203">
        <v>35.923370535701331</v>
      </c>
      <c r="AA243" s="203">
        <v>35.665653833632646</v>
      </c>
      <c r="AB243" s="16">
        <f>Peak!AB245</f>
        <v>1.288985709659018</v>
      </c>
      <c r="AC243" s="16">
        <f>Peak!AC245</f>
        <v>0</v>
      </c>
      <c r="AD243" s="18">
        <f>Peak!AD245</f>
        <v>771.78853165204816</v>
      </c>
      <c r="AE243" s="18">
        <f>Peak!AE245</f>
        <v>1127.0716297512272</v>
      </c>
      <c r="AF243" s="16">
        <f>Peak!AF245</f>
        <v>1</v>
      </c>
      <c r="AG243" s="73">
        <f>Peak!AG245</f>
        <v>1.2136</v>
      </c>
      <c r="AH243" s="16">
        <f>Peak!AH245</f>
        <v>4.6814161852095566</v>
      </c>
      <c r="AI243" s="16">
        <f>Peak!AI245</f>
        <v>4.6188061432033019</v>
      </c>
      <c r="AJ243" s="16">
        <f>Peak!AJ245</f>
        <v>2.4399542510000001</v>
      </c>
      <c r="AK243" s="16">
        <f>Peak!AK245</f>
        <v>7.2000000000000008E-2</v>
      </c>
      <c r="AL243" s="4"/>
    </row>
    <row r="244" spans="1:38" x14ac:dyDescent="0.2">
      <c r="A244" s="1">
        <f t="shared" si="23"/>
        <v>43687.995000000301</v>
      </c>
      <c r="B244" s="16">
        <f t="shared" si="21"/>
        <v>1.2136</v>
      </c>
      <c r="C244" s="17">
        <f t="shared" si="18"/>
        <v>12.1918256</v>
      </c>
      <c r="D244" s="16">
        <f t="shared" si="22"/>
        <v>1.2911340191751164</v>
      </c>
      <c r="E244" s="16">
        <f t="shared" si="19"/>
        <v>9.458955503686898</v>
      </c>
      <c r="F244" s="16">
        <f t="shared" si="20"/>
        <v>0.40761221732930991</v>
      </c>
      <c r="G244" s="19">
        <f>IF(IS!$C$2="Peak","-",SUM(C244:F244))</f>
        <v>23.349527340191322</v>
      </c>
      <c r="H244" s="203">
        <v>290.54329184832949</v>
      </c>
      <c r="I244" s="203">
        <v>211.70225101992577</v>
      </c>
      <c r="J244" s="203">
        <v>195.40835581143116</v>
      </c>
      <c r="K244" s="203">
        <v>176.94090533883349</v>
      </c>
      <c r="L244" s="203">
        <v>162.38243440232893</v>
      </c>
      <c r="M244" s="203">
        <v>149.75522206175418</v>
      </c>
      <c r="N244" s="203">
        <v>116.22598476522433</v>
      </c>
      <c r="O244" s="203">
        <v>100.41785928853767</v>
      </c>
      <c r="P244" s="203">
        <v>89.356263133984442</v>
      </c>
      <c r="Q244" s="203">
        <v>64.571914377159388</v>
      </c>
      <c r="R244" s="203">
        <v>55.162264325413176</v>
      </c>
      <c r="S244" s="203">
        <v>51.208871968441215</v>
      </c>
      <c r="T244" s="203">
        <v>48.708806774000138</v>
      </c>
      <c r="U244" s="203">
        <v>48.367449167776918</v>
      </c>
      <c r="V244" s="203">
        <v>48.367449167776918</v>
      </c>
      <c r="W244" s="203">
        <v>47.520324230988862</v>
      </c>
      <c r="X244" s="203">
        <v>47.157382531424858</v>
      </c>
      <c r="Y244" s="203">
        <v>47.157302175642016</v>
      </c>
      <c r="Z244" s="203">
        <v>47.157282962078334</v>
      </c>
      <c r="AA244" s="203">
        <v>38.711454953507911</v>
      </c>
      <c r="AB244" s="16">
        <f>Peak!AB246</f>
        <v>1.2911340191751164</v>
      </c>
      <c r="AC244" s="16">
        <f>Peak!AC246</f>
        <v>0</v>
      </c>
      <c r="AD244" s="18">
        <f>Peak!AD246</f>
        <v>771.78853165204816</v>
      </c>
      <c r="AE244" s="18">
        <f>Peak!AE246</f>
        <v>1127.0716297512272</v>
      </c>
      <c r="AF244" s="16">
        <f>Peak!AF246</f>
        <v>1</v>
      </c>
      <c r="AG244" s="73">
        <f>Peak!AG246</f>
        <v>1.2136</v>
      </c>
      <c r="AH244" s="16">
        <f>Peak!AH246</f>
        <v>4.4386760867172095</v>
      </c>
      <c r="AI244" s="16">
        <f>Peak!AI246</f>
        <v>4.6188061432033019</v>
      </c>
      <c r="AJ244" s="16">
        <f>Peak!AJ246</f>
        <v>2.4399542510000001</v>
      </c>
      <c r="AK244" s="16">
        <f>Peak!AK246</f>
        <v>7.2000000000000008E-2</v>
      </c>
      <c r="AL244" s="4"/>
    </row>
    <row r="245" spans="1:38" x14ac:dyDescent="0.2">
      <c r="A245" s="1">
        <f t="shared" si="23"/>
        <v>43718.412000000302</v>
      </c>
      <c r="B245" s="16">
        <f t="shared" si="21"/>
        <v>1.2136</v>
      </c>
      <c r="C245" s="17">
        <f t="shared" si="18"/>
        <v>12.1918256</v>
      </c>
      <c r="D245" s="16">
        <f t="shared" si="22"/>
        <v>1.293285909207075</v>
      </c>
      <c r="E245" s="16">
        <f t="shared" si="19"/>
        <v>9.458955503686898</v>
      </c>
      <c r="F245" s="16">
        <f t="shared" si="20"/>
        <v>0.40761221732930991</v>
      </c>
      <c r="G245" s="19">
        <f>IF(IS!$C$2="Peak","-",SUM(C245:F245))</f>
        <v>23.351679230223283</v>
      </c>
      <c r="H245" s="203">
        <v>165.1543008163159</v>
      </c>
      <c r="I245" s="203">
        <v>154.49925736954691</v>
      </c>
      <c r="J245" s="203">
        <v>148.63714327578472</v>
      </c>
      <c r="K245" s="203">
        <v>115.80203521973215</v>
      </c>
      <c r="L245" s="203">
        <v>95.511635432012412</v>
      </c>
      <c r="M245" s="203">
        <v>88.113104405066409</v>
      </c>
      <c r="N245" s="203">
        <v>75.348463473319981</v>
      </c>
      <c r="O245" s="203">
        <v>58.06334983048847</v>
      </c>
      <c r="P245" s="203">
        <v>53.628522074507501</v>
      </c>
      <c r="Q245" s="203">
        <v>49.156357369937226</v>
      </c>
      <c r="R245" s="203">
        <v>44.801889106886954</v>
      </c>
      <c r="S245" s="203">
        <v>43.495009673221141</v>
      </c>
      <c r="T245" s="203">
        <v>42.742895098736106</v>
      </c>
      <c r="U245" s="203">
        <v>42.408359309111503</v>
      </c>
      <c r="V245" s="203">
        <v>42.335614935221145</v>
      </c>
      <c r="W245" s="203">
        <v>42.335606339853847</v>
      </c>
      <c r="X245" s="203">
        <v>42.335606339853847</v>
      </c>
      <c r="Y245" s="203">
        <v>42.335309125754712</v>
      </c>
      <c r="Z245" s="203">
        <v>42.335244936486333</v>
      </c>
      <c r="AA245" s="203">
        <v>40.163551675968165</v>
      </c>
      <c r="AB245" s="16">
        <f>Peak!AB247</f>
        <v>1.293285909207075</v>
      </c>
      <c r="AC245" s="16">
        <f>Peak!AC247</f>
        <v>0</v>
      </c>
      <c r="AD245" s="18">
        <f>Peak!AD247</f>
        <v>771.78853165204816</v>
      </c>
      <c r="AE245" s="18">
        <f>Peak!AE247</f>
        <v>1127.0716297512272</v>
      </c>
      <c r="AF245" s="16">
        <f>Peak!AF247</f>
        <v>1</v>
      </c>
      <c r="AG245" s="73">
        <f>Peak!AG247</f>
        <v>1.2136</v>
      </c>
      <c r="AH245" s="16">
        <f>Peak!AH247</f>
        <v>4.4238144480340047</v>
      </c>
      <c r="AI245" s="16">
        <f>Peak!AI247</f>
        <v>4.6188061432033019</v>
      </c>
      <c r="AJ245" s="16">
        <f>Peak!AJ247</f>
        <v>2.4399542510000001</v>
      </c>
      <c r="AK245" s="16">
        <f>Peak!AK247</f>
        <v>7.2000000000000008E-2</v>
      </c>
      <c r="AL245" s="4"/>
    </row>
    <row r="246" spans="1:38" x14ac:dyDescent="0.2">
      <c r="A246" s="1">
        <f t="shared" si="23"/>
        <v>43748.829000000303</v>
      </c>
      <c r="B246" s="16">
        <f t="shared" si="21"/>
        <v>1.2136</v>
      </c>
      <c r="C246" s="17">
        <f t="shared" si="18"/>
        <v>12.1918256</v>
      </c>
      <c r="D246" s="16">
        <f t="shared" si="22"/>
        <v>1.2954413857224201</v>
      </c>
      <c r="E246" s="16">
        <f t="shared" si="19"/>
        <v>9.458955503686898</v>
      </c>
      <c r="F246" s="16">
        <f t="shared" si="20"/>
        <v>0.40761221732930991</v>
      </c>
      <c r="G246" s="19">
        <f>IF(IS!$C$2="Peak","-",SUM(C246:F246))</f>
        <v>23.353834706738624</v>
      </c>
      <c r="H246" s="203">
        <v>129.0285531767841</v>
      </c>
      <c r="I246" s="203">
        <v>106.28808225961535</v>
      </c>
      <c r="J246" s="203">
        <v>100.31453045313569</v>
      </c>
      <c r="K246" s="203">
        <v>93.34793520849874</v>
      </c>
      <c r="L246" s="203">
        <v>89.631933326847715</v>
      </c>
      <c r="M246" s="203">
        <v>89.334118702428327</v>
      </c>
      <c r="N246" s="203">
        <v>70.835629073069043</v>
      </c>
      <c r="O246" s="203">
        <v>60.73081858497229</v>
      </c>
      <c r="P246" s="203">
        <v>50.798566753100275</v>
      </c>
      <c r="Q246" s="203">
        <v>50.137031107652113</v>
      </c>
      <c r="R246" s="203">
        <v>47.983376013797837</v>
      </c>
      <c r="S246" s="203">
        <v>44.349616509217974</v>
      </c>
      <c r="T246" s="203">
        <v>44.349518929684322</v>
      </c>
      <c r="U246" s="203">
        <v>44.349518929684322</v>
      </c>
      <c r="V246" s="203">
        <v>44.349518929684322</v>
      </c>
      <c r="W246" s="203">
        <v>44.349518929684322</v>
      </c>
      <c r="X246" s="203">
        <v>42.500022870280034</v>
      </c>
      <c r="Y246" s="203">
        <v>40.380173057319283</v>
      </c>
      <c r="Z246" s="203">
        <v>38.86843045053898</v>
      </c>
      <c r="AA246" s="203">
        <v>34.17423087644103</v>
      </c>
      <c r="AB246" s="16">
        <f>Peak!AB248</f>
        <v>1.2954413857224201</v>
      </c>
      <c r="AC246" s="16">
        <f>Peak!AC248</f>
        <v>0</v>
      </c>
      <c r="AD246" s="18">
        <f>Peak!AD248</f>
        <v>771.78853165204816</v>
      </c>
      <c r="AE246" s="18">
        <f>Peak!AE248</f>
        <v>1127.0716297512272</v>
      </c>
      <c r="AF246" s="16">
        <f>Peak!AF248</f>
        <v>1</v>
      </c>
      <c r="AG246" s="73">
        <f>Peak!AG248</f>
        <v>1.2136</v>
      </c>
      <c r="AH246" s="16">
        <f>Peak!AH248</f>
        <v>4.899386885896563</v>
      </c>
      <c r="AI246" s="16">
        <f>Peak!AI248</f>
        <v>4.6188061432033019</v>
      </c>
      <c r="AJ246" s="16">
        <f>Peak!AJ248</f>
        <v>2.4399542510000001</v>
      </c>
      <c r="AK246" s="16">
        <f>Peak!AK248</f>
        <v>7.2000000000000008E-2</v>
      </c>
      <c r="AL246" s="4"/>
    </row>
    <row r="247" spans="1:38" x14ac:dyDescent="0.2">
      <c r="A247" s="1">
        <f t="shared" si="23"/>
        <v>43779.246000000305</v>
      </c>
      <c r="B247" s="16">
        <f t="shared" si="21"/>
        <v>1.2136</v>
      </c>
      <c r="C247" s="17">
        <f t="shared" si="18"/>
        <v>12.1918256</v>
      </c>
      <c r="D247" s="16">
        <f t="shared" si="22"/>
        <v>1.2976004546986242</v>
      </c>
      <c r="E247" s="16">
        <f t="shared" si="19"/>
        <v>9.458955503686898</v>
      </c>
      <c r="F247" s="16">
        <f t="shared" si="20"/>
        <v>0.40761221732930991</v>
      </c>
      <c r="G247" s="19">
        <f>IF(IS!$C$2="Peak","-",SUM(C247:F247))</f>
        <v>23.355993775714829</v>
      </c>
      <c r="H247" s="203">
        <v>122.97138042716911</v>
      </c>
      <c r="I247" s="203">
        <v>108.2254063033826</v>
      </c>
      <c r="J247" s="203">
        <v>104.41867889940234</v>
      </c>
      <c r="K247" s="203">
        <v>97.786459048206297</v>
      </c>
      <c r="L247" s="203">
        <v>97.134568734071649</v>
      </c>
      <c r="M247" s="203">
        <v>86.733857627457084</v>
      </c>
      <c r="N247" s="203">
        <v>71.272252074300255</v>
      </c>
      <c r="O247" s="203">
        <v>67.202703218923901</v>
      </c>
      <c r="P247" s="203">
        <v>60.822195630833917</v>
      </c>
      <c r="Q247" s="203">
        <v>50.492920469078406</v>
      </c>
      <c r="R247" s="203">
        <v>47.259942705656883</v>
      </c>
      <c r="S247" s="203">
        <v>46.80341979697441</v>
      </c>
      <c r="T247" s="203">
        <v>46.42032181968024</v>
      </c>
      <c r="U247" s="203">
        <v>46.416780709259228</v>
      </c>
      <c r="V247" s="203">
        <v>46.416773383165285</v>
      </c>
      <c r="W247" s="203">
        <v>46.416773383165285</v>
      </c>
      <c r="X247" s="203">
        <v>46.416499931437663</v>
      </c>
      <c r="Y247" s="203">
        <v>46.416410489400839</v>
      </c>
      <c r="Z247" s="203">
        <v>46.416410489400839</v>
      </c>
      <c r="AA247" s="203">
        <v>44.340616272354879</v>
      </c>
      <c r="AB247" s="16">
        <f>Peak!AB249</f>
        <v>1.2976004546986242</v>
      </c>
      <c r="AC247" s="16">
        <f>Peak!AC249</f>
        <v>0</v>
      </c>
      <c r="AD247" s="18">
        <f>Peak!AD249</f>
        <v>771.78853165204816</v>
      </c>
      <c r="AE247" s="18">
        <f>Peak!AE249</f>
        <v>1127.0716297512272</v>
      </c>
      <c r="AF247" s="16">
        <f>Peak!AF249</f>
        <v>1</v>
      </c>
      <c r="AG247" s="73">
        <f>Peak!AG249</f>
        <v>1.2136</v>
      </c>
      <c r="AH247" s="16">
        <f>Peak!AH249</f>
        <v>5.3650515646369836</v>
      </c>
      <c r="AI247" s="16">
        <f>Peak!AI249</f>
        <v>5.0077582394730538</v>
      </c>
      <c r="AJ247" s="16">
        <f>Peak!AJ249</f>
        <v>2.4399542510000001</v>
      </c>
      <c r="AK247" s="16">
        <f>Peak!AK249</f>
        <v>7.2000000000000008E-2</v>
      </c>
      <c r="AL247" s="4"/>
    </row>
    <row r="248" spans="1:38" x14ac:dyDescent="0.2">
      <c r="A248" s="1">
        <f t="shared" si="23"/>
        <v>43809.663000000306</v>
      </c>
      <c r="B248" s="16">
        <f t="shared" si="21"/>
        <v>1.2136</v>
      </c>
      <c r="C248" s="17">
        <f t="shared" si="18"/>
        <v>12.1918256</v>
      </c>
      <c r="D248" s="16">
        <f t="shared" si="22"/>
        <v>1.2997631221231218</v>
      </c>
      <c r="E248" s="16">
        <f t="shared" si="19"/>
        <v>9.458955503686898</v>
      </c>
      <c r="F248" s="16">
        <f t="shared" si="20"/>
        <v>0.40761221732930991</v>
      </c>
      <c r="G248" s="19">
        <f>IF(IS!$C$2="Peak","-",SUM(C248:F248))</f>
        <v>23.358156443139329</v>
      </c>
      <c r="H248" s="203">
        <v>138.83704668642693</v>
      </c>
      <c r="I248" s="203">
        <v>124.76332264847295</v>
      </c>
      <c r="J248" s="203">
        <v>121.11902735291233</v>
      </c>
      <c r="K248" s="203">
        <v>112.99283766398025</v>
      </c>
      <c r="L248" s="203">
        <v>111.98641992437314</v>
      </c>
      <c r="M248" s="203">
        <v>105.23187550746306</v>
      </c>
      <c r="N248" s="203">
        <v>75.84299420046186</v>
      </c>
      <c r="O248" s="203">
        <v>70.053927444621664</v>
      </c>
      <c r="P248" s="203">
        <v>68.054370224126544</v>
      </c>
      <c r="Q248" s="203">
        <v>54.253223215833216</v>
      </c>
      <c r="R248" s="203">
        <v>53.29239564850694</v>
      </c>
      <c r="S248" s="203">
        <v>52.856396033679879</v>
      </c>
      <c r="T248" s="203">
        <v>52.856392717201359</v>
      </c>
      <c r="U248" s="203">
        <v>52.856381504944785</v>
      </c>
      <c r="V248" s="203">
        <v>52.856381504944785</v>
      </c>
      <c r="W248" s="203">
        <v>52.856345776586537</v>
      </c>
      <c r="X248" s="203">
        <v>52.856017863678595</v>
      </c>
      <c r="Y248" s="203">
        <v>52.856017863678595</v>
      </c>
      <c r="Z248" s="203">
        <v>52.856017863678595</v>
      </c>
      <c r="AA248" s="203">
        <v>48.631135961362496</v>
      </c>
      <c r="AB248" s="16">
        <f>Peak!AB250</f>
        <v>1.2997631221231218</v>
      </c>
      <c r="AC248" s="16">
        <f>Peak!AC250</f>
        <v>0</v>
      </c>
      <c r="AD248" s="18">
        <f>Peak!AD250</f>
        <v>771.78853165204816</v>
      </c>
      <c r="AE248" s="18">
        <f>Peak!AE250</f>
        <v>1127.0716297512272</v>
      </c>
      <c r="AF248" s="16">
        <f>Peak!AF250</f>
        <v>1</v>
      </c>
      <c r="AG248" s="73">
        <f>Peak!AG250</f>
        <v>1.2136</v>
      </c>
      <c r="AH248" s="16">
        <f>Peak!AH250</f>
        <v>5.8059468455720635</v>
      </c>
      <c r="AI248" s="16">
        <f>Peak!AI250</f>
        <v>5.2508532996416486</v>
      </c>
      <c r="AJ248" s="16">
        <f>Peak!AJ250</f>
        <v>2.4399542510000001</v>
      </c>
      <c r="AK248" s="16">
        <f>Peak!AK250</f>
        <v>7.2000000000000008E-2</v>
      </c>
      <c r="AL248" s="4"/>
    </row>
  </sheetData>
  <mergeCells count="1">
    <mergeCell ref="AL6:AP6"/>
  </mergeCell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P250"/>
  <sheetViews>
    <sheetView workbookViewId="0"/>
  </sheetViews>
  <sheetFormatPr defaultRowHeight="12.75" x14ac:dyDescent="0.2"/>
  <cols>
    <col min="1" max="1" width="8.28515625" bestFit="1" customWidth="1"/>
    <col min="2" max="2" width="11.42578125" customWidth="1"/>
    <col min="7" max="7" width="9.140625" style="4"/>
    <col min="22" max="27" width="8.5703125" bestFit="1" customWidth="1"/>
    <col min="28" max="29" width="4.7109375" bestFit="1" customWidth="1"/>
    <col min="30" max="30" width="5" bestFit="1" customWidth="1"/>
    <col min="31" max="31" width="5.7109375" bestFit="1" customWidth="1"/>
    <col min="32" max="32" width="8.85546875" bestFit="1" customWidth="1"/>
    <col min="33" max="35" width="5" bestFit="1" customWidth="1"/>
    <col min="36" max="37" width="4.42578125" bestFit="1" customWidth="1"/>
    <col min="38" max="38" width="7.85546875" bestFit="1" customWidth="1"/>
    <col min="39" max="40" width="6.140625" bestFit="1" customWidth="1"/>
    <col min="41" max="41" width="5.42578125" bestFit="1" customWidth="1"/>
    <col min="42" max="42" width="7.5703125" bestFit="1" customWidth="1"/>
  </cols>
  <sheetData>
    <row r="1" spans="1:42" x14ac:dyDescent="0.2">
      <c r="A1" s="13" t="s">
        <v>160</v>
      </c>
      <c r="B1" s="8">
        <f>VLOOKUP($C$1,UnitData,9)</f>
        <v>10046</v>
      </c>
      <c r="C1" s="5">
        <f>IS!B1</f>
        <v>1</v>
      </c>
    </row>
    <row r="2" spans="1:42" x14ac:dyDescent="0.2">
      <c r="A2" s="13"/>
      <c r="B2" s="8"/>
      <c r="C2" s="5"/>
    </row>
    <row r="3" spans="1:42" x14ac:dyDescent="0.2">
      <c r="A3" s="13"/>
      <c r="B3" s="8"/>
      <c r="C3" s="5"/>
    </row>
    <row r="4" spans="1:42" x14ac:dyDescent="0.2">
      <c r="A4" s="13"/>
      <c r="B4" s="8"/>
      <c r="C4" s="5"/>
    </row>
    <row r="5" spans="1:42" x14ac:dyDescent="0.2">
      <c r="A5" s="13"/>
      <c r="B5" s="8"/>
      <c r="C5" s="5"/>
    </row>
    <row r="6" spans="1:42" x14ac:dyDescent="0.2">
      <c r="A6" s="13"/>
      <c r="B6" s="8"/>
      <c r="C6" s="5"/>
    </row>
    <row r="7" spans="1:42" ht="13.5" thickBot="1" x14ac:dyDescent="0.25">
      <c r="A7" s="13"/>
      <c r="B7" s="8"/>
      <c r="C7" s="5"/>
    </row>
    <row r="8" spans="1:42" ht="13.5" thickBot="1" x14ac:dyDescent="0.25">
      <c r="C8" s="3"/>
      <c r="D8" s="3"/>
      <c r="G8" s="3" t="s">
        <v>24</v>
      </c>
      <c r="H8" s="87" t="s">
        <v>139</v>
      </c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9"/>
      <c r="AB8" s="32" t="s">
        <v>158</v>
      </c>
      <c r="AC8" s="32" t="s">
        <v>159</v>
      </c>
      <c r="AD8" s="3" t="s">
        <v>22</v>
      </c>
      <c r="AE8" s="3" t="s">
        <v>23</v>
      </c>
      <c r="AF8" s="3" t="s">
        <v>23</v>
      </c>
      <c r="AG8" s="3" t="s">
        <v>101</v>
      </c>
      <c r="AH8" s="3" t="s">
        <v>103</v>
      </c>
      <c r="AI8" s="3" t="s">
        <v>102</v>
      </c>
      <c r="AJ8" s="3" t="s">
        <v>22</v>
      </c>
      <c r="AK8" s="3" t="s">
        <v>23</v>
      </c>
      <c r="AL8" s="482" t="s">
        <v>143</v>
      </c>
      <c r="AM8" s="482"/>
      <c r="AN8" s="482"/>
      <c r="AO8" s="482"/>
      <c r="AP8" s="482"/>
    </row>
    <row r="9" spans="1:42" ht="13.5" thickBot="1" x14ac:dyDescent="0.25">
      <c r="B9" s="207" t="str">
        <f>VLOOKUP($C$1,UnitData,13)</f>
        <v>Coal</v>
      </c>
      <c r="C9" s="3" t="s">
        <v>20</v>
      </c>
      <c r="D9" s="3" t="s">
        <v>21</v>
      </c>
      <c r="E9" s="3" t="s">
        <v>22</v>
      </c>
      <c r="F9" s="3" t="s">
        <v>23</v>
      </c>
      <c r="G9" s="3" t="s">
        <v>25</v>
      </c>
      <c r="H9" s="90" t="s">
        <v>0</v>
      </c>
      <c r="I9" s="90" t="s">
        <v>1</v>
      </c>
      <c r="J9" s="90" t="s">
        <v>2</v>
      </c>
      <c r="K9" s="90" t="s">
        <v>3</v>
      </c>
      <c r="L9" s="90" t="s">
        <v>4</v>
      </c>
      <c r="M9" s="90" t="s">
        <v>5</v>
      </c>
      <c r="N9" s="90" t="s">
        <v>6</v>
      </c>
      <c r="O9" s="90" t="s">
        <v>7</v>
      </c>
      <c r="P9" s="90" t="s">
        <v>8</v>
      </c>
      <c r="Q9" s="90" t="s">
        <v>9</v>
      </c>
      <c r="R9" s="90" t="s">
        <v>10</v>
      </c>
      <c r="S9" s="90" t="s">
        <v>11</v>
      </c>
      <c r="T9" s="90" t="s">
        <v>12</v>
      </c>
      <c r="U9" s="90" t="s">
        <v>13</v>
      </c>
      <c r="V9" s="90" t="s">
        <v>14</v>
      </c>
      <c r="W9" s="90" t="s">
        <v>15</v>
      </c>
      <c r="X9" s="90" t="s">
        <v>16</v>
      </c>
      <c r="Y9" s="90" t="s">
        <v>17</v>
      </c>
      <c r="Z9" s="90" t="s">
        <v>18</v>
      </c>
      <c r="AA9" s="90" t="s">
        <v>19</v>
      </c>
      <c r="AB9" s="32" t="s">
        <v>21</v>
      </c>
      <c r="AC9" s="32" t="s">
        <v>21</v>
      </c>
      <c r="AD9" s="3" t="s">
        <v>47</v>
      </c>
      <c r="AE9" s="3" t="s">
        <v>47</v>
      </c>
      <c r="AF9" s="3" t="s">
        <v>111</v>
      </c>
      <c r="AG9" s="3" t="s">
        <v>47</v>
      </c>
      <c r="AH9" s="3" t="s">
        <v>47</v>
      </c>
      <c r="AI9" s="3" t="s">
        <v>47</v>
      </c>
      <c r="AJ9" s="3" t="s">
        <v>44</v>
      </c>
      <c r="AK9" s="3" t="s">
        <v>44</v>
      </c>
      <c r="AL9" s="35" t="s">
        <v>140</v>
      </c>
      <c r="AM9" s="35" t="s">
        <v>141</v>
      </c>
      <c r="AN9" s="35" t="s">
        <v>188</v>
      </c>
      <c r="AO9" s="35" t="s">
        <v>189</v>
      </c>
      <c r="AP9" s="35" t="s">
        <v>217</v>
      </c>
    </row>
    <row r="10" spans="1:42" x14ac:dyDescent="0.2">
      <c r="H10" s="168">
        <v>5</v>
      </c>
      <c r="I10" s="169">
        <v>5</v>
      </c>
      <c r="J10" s="169">
        <v>10</v>
      </c>
      <c r="K10" s="169">
        <v>20</v>
      </c>
      <c r="L10" s="169">
        <v>20</v>
      </c>
      <c r="M10" s="169">
        <v>40</v>
      </c>
      <c r="N10" s="169">
        <v>40</v>
      </c>
      <c r="O10" s="169">
        <v>40</v>
      </c>
      <c r="P10" s="169">
        <v>40</v>
      </c>
      <c r="Q10" s="169">
        <v>40</v>
      </c>
      <c r="R10" s="169">
        <v>40</v>
      </c>
      <c r="S10" s="169">
        <v>40</v>
      </c>
      <c r="T10" s="169">
        <v>40</v>
      </c>
      <c r="U10" s="169">
        <v>40</v>
      </c>
      <c r="V10" s="169">
        <v>40</v>
      </c>
      <c r="W10" s="169">
        <v>40</v>
      </c>
      <c r="X10" s="169">
        <v>40</v>
      </c>
      <c r="Y10" s="169">
        <v>40</v>
      </c>
      <c r="Z10" s="169">
        <v>40</v>
      </c>
      <c r="AA10" s="169">
        <v>110</v>
      </c>
    </row>
    <row r="11" spans="1:42" x14ac:dyDescent="0.2">
      <c r="A11" s="1">
        <v>36540</v>
      </c>
      <c r="B11" s="16">
        <f>IF($B$9="Coal",AG11,IF($B$9="Gas",AH11,IF($B$9="Oil",AI11,0)))</f>
        <v>1.0566</v>
      </c>
      <c r="C11" s="17">
        <f t="shared" ref="C11:C74" si="0">(B11*$B$1*1000)/1000000</f>
        <v>10.614603599999999</v>
      </c>
      <c r="D11" s="16">
        <f>AB11+AC11</f>
        <v>0.873</v>
      </c>
      <c r="E11" s="16">
        <f t="shared" ref="E11:E74" si="1">(($AJ11*$B$1*AD11*1000)/2000)/1000000</f>
        <v>0</v>
      </c>
      <c r="F11" s="16">
        <f t="shared" ref="F11:F74" si="2">AF11*(($AK11*$B$1*AE11*1000)/2000)/1000000</f>
        <v>0</v>
      </c>
      <c r="G11" s="19" t="str">
        <f>IF('Peak Revenue'!$A$1="BL","-",SUM(C11:F11))</f>
        <v>-</v>
      </c>
      <c r="H11" s="242">
        <v>0</v>
      </c>
      <c r="I11" s="242">
        <v>0</v>
      </c>
      <c r="J11" s="242">
        <v>0</v>
      </c>
      <c r="K11" s="242">
        <v>0</v>
      </c>
      <c r="L11" s="242">
        <v>0</v>
      </c>
      <c r="M11" s="242">
        <v>0</v>
      </c>
      <c r="N11" s="242">
        <v>0</v>
      </c>
      <c r="O11" s="242">
        <v>0</v>
      </c>
      <c r="P11" s="242">
        <v>0</v>
      </c>
      <c r="Q11" s="242">
        <v>0</v>
      </c>
      <c r="R11" s="242">
        <v>0</v>
      </c>
      <c r="S11" s="242">
        <v>0</v>
      </c>
      <c r="T11" s="242">
        <v>0</v>
      </c>
      <c r="U11" s="242">
        <v>0</v>
      </c>
      <c r="V11" s="242">
        <v>0</v>
      </c>
      <c r="W11" s="242">
        <v>0</v>
      </c>
      <c r="X11" s="242">
        <v>0</v>
      </c>
      <c r="Y11" s="242">
        <v>0</v>
      </c>
      <c r="Z11" s="242">
        <v>0</v>
      </c>
      <c r="AA11" s="242">
        <v>0</v>
      </c>
      <c r="AB11" s="16">
        <f>VLOOKUP($C$1,UnitData,7)</f>
        <v>0.873</v>
      </c>
      <c r="AC11" s="16">
        <f>VLOOKUP($C$1,EnvVOM,3)</f>
        <v>0</v>
      </c>
      <c r="AD11" s="18">
        <f>Assumptions!B12</f>
        <v>181.15599510176347</v>
      </c>
      <c r="AE11" s="18">
        <f>Assumptions!C12</f>
        <v>0</v>
      </c>
      <c r="AF11" s="5">
        <v>0</v>
      </c>
      <c r="AG11" s="73">
        <f>VLOOKUP($C$1,Coal,3)</f>
        <v>1.0566</v>
      </c>
      <c r="AH11" s="16">
        <f>Assumptions!$E$12*Assumptions!H12</f>
        <v>3.25338889786042</v>
      </c>
      <c r="AI11" s="16">
        <f>Assumptions!$F$12*Assumptions!I12</f>
        <v>3.3724832787685379</v>
      </c>
      <c r="AJ11" s="16">
        <f>VLOOKUP($C$1,SO2Rate,3)</f>
        <v>0</v>
      </c>
      <c r="AK11" s="16">
        <f>VLOOKUP($C$1,NOxRate,3)</f>
        <v>0.48</v>
      </c>
      <c r="AL11" s="79">
        <f>VLOOKUP($C$1,UnitData,10)</f>
        <v>0.85084917568927876</v>
      </c>
      <c r="AM11" s="79">
        <f>VLOOKUP($C$1,UnitData,11)</f>
        <v>0.72684633246139141</v>
      </c>
      <c r="AN11" s="79">
        <f>VLOOKUP($C$1,UnitData,12)</f>
        <v>0.80370000000000008</v>
      </c>
      <c r="AO11" s="79">
        <f>AN11</f>
        <v>0.80370000000000008</v>
      </c>
      <c r="AP11" s="79">
        <f>AVERAGE(AL11:AO11)</f>
        <v>0.79627387703766761</v>
      </c>
    </row>
    <row r="12" spans="1:42" x14ac:dyDescent="0.2">
      <c r="A12" s="1">
        <f>A11+30.417</f>
        <v>36570.417000000001</v>
      </c>
      <c r="B12" s="16">
        <f t="shared" ref="B12:B75" si="3">IF($B$9="Coal",AG12,IF($B$9="Gas",AH12,IF($B$9="Oil",AI12,0)))</f>
        <v>1.0566</v>
      </c>
      <c r="C12" s="17">
        <f t="shared" si="0"/>
        <v>10.614603599999999</v>
      </c>
      <c r="D12" s="16">
        <f t="shared" ref="D12:D75" si="4">AB12+AC12</f>
        <v>0.87445499999999998</v>
      </c>
      <c r="E12" s="16">
        <f t="shared" si="1"/>
        <v>0</v>
      </c>
      <c r="F12" s="16">
        <f t="shared" si="2"/>
        <v>0</v>
      </c>
      <c r="G12" s="19" t="str">
        <f>IF('Peak Revenue'!$A$1="BL","-",SUM(C12:F12))</f>
        <v>-</v>
      </c>
      <c r="H12" s="242">
        <v>0</v>
      </c>
      <c r="I12" s="242">
        <v>0</v>
      </c>
      <c r="J12" s="242">
        <v>0</v>
      </c>
      <c r="K12" s="242">
        <v>0</v>
      </c>
      <c r="L12" s="242">
        <v>0</v>
      </c>
      <c r="M12" s="242">
        <v>0</v>
      </c>
      <c r="N12" s="242">
        <v>0</v>
      </c>
      <c r="O12" s="242">
        <v>0</v>
      </c>
      <c r="P12" s="242">
        <v>0</v>
      </c>
      <c r="Q12" s="242">
        <v>0</v>
      </c>
      <c r="R12" s="242">
        <v>0</v>
      </c>
      <c r="S12" s="242">
        <v>0</v>
      </c>
      <c r="T12" s="242">
        <v>0</v>
      </c>
      <c r="U12" s="242">
        <v>0</v>
      </c>
      <c r="V12" s="242">
        <v>0</v>
      </c>
      <c r="W12" s="242">
        <v>0</v>
      </c>
      <c r="X12" s="242">
        <v>0</v>
      </c>
      <c r="Y12" s="242">
        <v>0</v>
      </c>
      <c r="Z12" s="242">
        <v>0</v>
      </c>
      <c r="AA12" s="242">
        <v>0</v>
      </c>
      <c r="AB12" s="16">
        <f>AB11*(1+Assumptions!$L$13/12)</f>
        <v>0.87445499999999998</v>
      </c>
      <c r="AC12" s="16">
        <f>AC11</f>
        <v>0</v>
      </c>
      <c r="AD12" s="18">
        <f>AD11</f>
        <v>181.15599510176347</v>
      </c>
      <c r="AE12" s="18">
        <f>AE11</f>
        <v>0</v>
      </c>
      <c r="AF12" s="5">
        <v>0</v>
      </c>
      <c r="AG12" s="73">
        <f>AG11</f>
        <v>1.0566</v>
      </c>
      <c r="AH12" s="16">
        <f>Assumptions!$E$12*Assumptions!H13</f>
        <v>2.9159363260078761</v>
      </c>
      <c r="AI12" s="16">
        <f>Assumptions!$F$12*Assumptions!I13</f>
        <v>3.3412565817429032</v>
      </c>
      <c r="AJ12" s="16">
        <f>AJ11</f>
        <v>0</v>
      </c>
      <c r="AK12" s="16">
        <f>AK11</f>
        <v>0.48</v>
      </c>
    </row>
    <row r="13" spans="1:42" x14ac:dyDescent="0.2">
      <c r="A13" s="1">
        <f t="shared" ref="A13:A76" si="5">A12+30.417</f>
        <v>36600.834000000003</v>
      </c>
      <c r="B13" s="16">
        <f t="shared" si="3"/>
        <v>1.0566</v>
      </c>
      <c r="C13" s="17">
        <f t="shared" si="0"/>
        <v>10.614603599999999</v>
      </c>
      <c r="D13" s="16">
        <f t="shared" si="4"/>
        <v>0.87591242499999999</v>
      </c>
      <c r="E13" s="16">
        <f t="shared" si="1"/>
        <v>0</v>
      </c>
      <c r="F13" s="16">
        <f t="shared" si="2"/>
        <v>0</v>
      </c>
      <c r="G13" s="19" t="str">
        <f>IF('Peak Revenue'!$A$1="BL","-",SUM(C13:F13))</f>
        <v>-</v>
      </c>
      <c r="H13" s="242">
        <v>0</v>
      </c>
      <c r="I13" s="242">
        <v>0</v>
      </c>
      <c r="J13" s="242">
        <v>0</v>
      </c>
      <c r="K13" s="242">
        <v>0</v>
      </c>
      <c r="L13" s="242">
        <v>0</v>
      </c>
      <c r="M13" s="242">
        <v>0</v>
      </c>
      <c r="N13" s="242">
        <v>0</v>
      </c>
      <c r="O13" s="242">
        <v>0</v>
      </c>
      <c r="P13" s="242">
        <v>0</v>
      </c>
      <c r="Q13" s="242">
        <v>0</v>
      </c>
      <c r="R13" s="242">
        <v>0</v>
      </c>
      <c r="S13" s="242">
        <v>0</v>
      </c>
      <c r="T13" s="242">
        <v>0</v>
      </c>
      <c r="U13" s="242">
        <v>0</v>
      </c>
      <c r="V13" s="242">
        <v>0</v>
      </c>
      <c r="W13" s="242">
        <v>0</v>
      </c>
      <c r="X13" s="242">
        <v>0</v>
      </c>
      <c r="Y13" s="242">
        <v>0</v>
      </c>
      <c r="Z13" s="242">
        <v>0</v>
      </c>
      <c r="AA13" s="242">
        <v>0</v>
      </c>
      <c r="AB13" s="16">
        <f>AB12*(1+Assumptions!$L$13/12)</f>
        <v>0.87591242499999999</v>
      </c>
      <c r="AC13" s="16">
        <f t="shared" ref="AC13:AC22" si="6">AC12</f>
        <v>0</v>
      </c>
      <c r="AD13" s="18">
        <f t="shared" ref="AD13:AG22" si="7">AD12</f>
        <v>181.15599510176347</v>
      </c>
      <c r="AE13" s="18">
        <f t="shared" si="7"/>
        <v>0</v>
      </c>
      <c r="AF13" s="5">
        <v>0</v>
      </c>
      <c r="AG13" s="73">
        <f t="shared" si="7"/>
        <v>1.0566</v>
      </c>
      <c r="AH13" s="16">
        <f>Assumptions!$E$12*Assumptions!H14</f>
        <v>2.8669047557387035</v>
      </c>
      <c r="AI13" s="16">
        <f>Assumptions!$F$12*Assumptions!I14</f>
        <v>3.2163497936403647</v>
      </c>
      <c r="AJ13" s="16">
        <f t="shared" ref="AJ13:AK22" si="8">AJ12</f>
        <v>0</v>
      </c>
      <c r="AK13" s="16">
        <f t="shared" si="8"/>
        <v>0.48</v>
      </c>
    </row>
    <row r="14" spans="1:42" x14ac:dyDescent="0.2">
      <c r="A14" s="1">
        <f t="shared" si="5"/>
        <v>36631.251000000004</v>
      </c>
      <c r="B14" s="16">
        <f t="shared" si="3"/>
        <v>1.0566</v>
      </c>
      <c r="C14" s="17">
        <f t="shared" si="0"/>
        <v>10.614603599999999</v>
      </c>
      <c r="D14" s="16">
        <f t="shared" si="4"/>
        <v>0.8773722790416667</v>
      </c>
      <c r="E14" s="16">
        <f t="shared" si="1"/>
        <v>0</v>
      </c>
      <c r="F14" s="16">
        <f t="shared" si="2"/>
        <v>0</v>
      </c>
      <c r="G14" s="19" t="str">
        <f>IF('Peak Revenue'!$A$1="BL","-",SUM(C14:F14))</f>
        <v>-</v>
      </c>
      <c r="H14" s="242">
        <v>0</v>
      </c>
      <c r="I14" s="242">
        <v>0</v>
      </c>
      <c r="J14" s="242">
        <v>0</v>
      </c>
      <c r="K14" s="242">
        <v>0</v>
      </c>
      <c r="L14" s="242">
        <v>0</v>
      </c>
      <c r="M14" s="242">
        <v>0</v>
      </c>
      <c r="N14" s="242">
        <v>0</v>
      </c>
      <c r="O14" s="242">
        <v>0</v>
      </c>
      <c r="P14" s="242">
        <v>0</v>
      </c>
      <c r="Q14" s="242">
        <v>0</v>
      </c>
      <c r="R14" s="242">
        <v>0</v>
      </c>
      <c r="S14" s="242">
        <v>0</v>
      </c>
      <c r="T14" s="242">
        <v>0</v>
      </c>
      <c r="U14" s="242">
        <v>0</v>
      </c>
      <c r="V14" s="242">
        <v>0</v>
      </c>
      <c r="W14" s="242">
        <v>0</v>
      </c>
      <c r="X14" s="242">
        <v>0</v>
      </c>
      <c r="Y14" s="242">
        <v>0</v>
      </c>
      <c r="Z14" s="242">
        <v>0</v>
      </c>
      <c r="AA14" s="242">
        <v>0</v>
      </c>
      <c r="AB14" s="16">
        <f>AB13*(1+Assumptions!$L$13/12)</f>
        <v>0.8773722790416667</v>
      </c>
      <c r="AC14" s="16">
        <f t="shared" si="6"/>
        <v>0</v>
      </c>
      <c r="AD14" s="18">
        <f t="shared" si="7"/>
        <v>181.15599510176347</v>
      </c>
      <c r="AE14" s="18">
        <f t="shared" si="7"/>
        <v>0</v>
      </c>
      <c r="AF14" s="5">
        <v>0</v>
      </c>
      <c r="AG14" s="73">
        <f t="shared" si="7"/>
        <v>1.0566</v>
      </c>
      <c r="AH14" s="16">
        <f>Assumptions!$E$12*Assumptions!H15</f>
        <v>2.7255784649628518</v>
      </c>
      <c r="AI14" s="16">
        <f>Assumptions!$F$12*Assumptions!I15</f>
        <v>3.0914430055378261</v>
      </c>
      <c r="AJ14" s="16">
        <f t="shared" si="8"/>
        <v>0</v>
      </c>
      <c r="AK14" s="16">
        <f t="shared" si="8"/>
        <v>0.48</v>
      </c>
    </row>
    <row r="15" spans="1:42" x14ac:dyDescent="0.2">
      <c r="A15" s="1">
        <f t="shared" si="5"/>
        <v>36661.668000000005</v>
      </c>
      <c r="B15" s="16">
        <f t="shared" si="3"/>
        <v>1.0566</v>
      </c>
      <c r="C15" s="17">
        <f t="shared" si="0"/>
        <v>10.614603599999999</v>
      </c>
      <c r="D15" s="16">
        <f t="shared" si="4"/>
        <v>0.87883456617340283</v>
      </c>
      <c r="E15" s="16">
        <f t="shared" si="1"/>
        <v>0</v>
      </c>
      <c r="F15" s="16">
        <f t="shared" si="2"/>
        <v>0</v>
      </c>
      <c r="G15" s="19" t="str">
        <f>IF('Peak Revenue'!$A$1="BL","-",SUM(C15:F15))</f>
        <v>-</v>
      </c>
      <c r="H15" s="242">
        <v>0</v>
      </c>
      <c r="I15" s="242">
        <v>0</v>
      </c>
      <c r="J15" s="242">
        <v>0</v>
      </c>
      <c r="K15" s="242">
        <v>0</v>
      </c>
      <c r="L15" s="242">
        <v>0</v>
      </c>
      <c r="M15" s="242">
        <v>0</v>
      </c>
      <c r="N15" s="242">
        <v>0</v>
      </c>
      <c r="O15" s="242">
        <v>0</v>
      </c>
      <c r="P15" s="242">
        <v>0</v>
      </c>
      <c r="Q15" s="242">
        <v>0</v>
      </c>
      <c r="R15" s="242">
        <v>0</v>
      </c>
      <c r="S15" s="242">
        <v>0</v>
      </c>
      <c r="T15" s="242">
        <v>0</v>
      </c>
      <c r="U15" s="242">
        <v>0</v>
      </c>
      <c r="V15" s="242">
        <v>0</v>
      </c>
      <c r="W15" s="242">
        <v>0</v>
      </c>
      <c r="X15" s="242">
        <v>0</v>
      </c>
      <c r="Y15" s="242">
        <v>0</v>
      </c>
      <c r="Z15" s="242">
        <v>0</v>
      </c>
      <c r="AA15" s="242">
        <v>0</v>
      </c>
      <c r="AB15" s="16">
        <f>AB14*(1+Assumptions!$L$13/12)</f>
        <v>0.87883456617340283</v>
      </c>
      <c r="AC15" s="16">
        <f t="shared" si="6"/>
        <v>0</v>
      </c>
      <c r="AD15" s="18">
        <f t="shared" si="7"/>
        <v>181.15599510176347</v>
      </c>
      <c r="AE15" s="18">
        <f t="shared" si="7"/>
        <v>0</v>
      </c>
      <c r="AF15" s="5">
        <v>0</v>
      </c>
      <c r="AG15" s="73">
        <f t="shared" si="7"/>
        <v>1.0566</v>
      </c>
      <c r="AH15" s="16">
        <f>Assumptions!$E$12*Assumptions!H16</f>
        <v>2.8697889657545375</v>
      </c>
      <c r="AI15" s="16">
        <f>Assumptions!$F$12*Assumptions!I16</f>
        <v>2.9665362174352876</v>
      </c>
      <c r="AJ15" s="16">
        <f t="shared" si="8"/>
        <v>0</v>
      </c>
      <c r="AK15" s="16">
        <f t="shared" si="8"/>
        <v>0.48</v>
      </c>
    </row>
    <row r="16" spans="1:42" x14ac:dyDescent="0.2">
      <c r="A16" s="1">
        <f t="shared" si="5"/>
        <v>36692.085000000006</v>
      </c>
      <c r="B16" s="16">
        <f t="shared" si="3"/>
        <v>1.0566</v>
      </c>
      <c r="C16" s="17">
        <f t="shared" si="0"/>
        <v>10.614603599999999</v>
      </c>
      <c r="D16" s="16">
        <f t="shared" si="4"/>
        <v>0.88029929045035848</v>
      </c>
      <c r="E16" s="16">
        <f t="shared" si="1"/>
        <v>0</v>
      </c>
      <c r="F16" s="16">
        <f t="shared" si="2"/>
        <v>0</v>
      </c>
      <c r="G16" s="19" t="str">
        <f>IF('Peak Revenue'!$A$1="BL","-",SUM(C16:F16))</f>
        <v>-</v>
      </c>
      <c r="H16" s="242">
        <v>0</v>
      </c>
      <c r="I16" s="242">
        <v>0</v>
      </c>
      <c r="J16" s="242">
        <v>0</v>
      </c>
      <c r="K16" s="242">
        <v>0</v>
      </c>
      <c r="L16" s="242">
        <v>0</v>
      </c>
      <c r="M16" s="242">
        <v>0</v>
      </c>
      <c r="N16" s="242">
        <v>0</v>
      </c>
      <c r="O16" s="242">
        <v>0</v>
      </c>
      <c r="P16" s="242">
        <v>0</v>
      </c>
      <c r="Q16" s="242">
        <v>0</v>
      </c>
      <c r="R16" s="242">
        <v>0</v>
      </c>
      <c r="S16" s="242">
        <v>0</v>
      </c>
      <c r="T16" s="242">
        <v>0</v>
      </c>
      <c r="U16" s="242">
        <v>0</v>
      </c>
      <c r="V16" s="242">
        <v>0</v>
      </c>
      <c r="W16" s="242">
        <v>0</v>
      </c>
      <c r="X16" s="242">
        <v>0</v>
      </c>
      <c r="Y16" s="242">
        <v>0</v>
      </c>
      <c r="Z16" s="242">
        <v>0</v>
      </c>
      <c r="AA16" s="242">
        <v>0</v>
      </c>
      <c r="AB16" s="16">
        <f>AB15*(1+Assumptions!$L$13/12)</f>
        <v>0.88029929045035848</v>
      </c>
      <c r="AC16" s="16">
        <f t="shared" si="6"/>
        <v>0</v>
      </c>
      <c r="AD16" s="18">
        <f t="shared" si="7"/>
        <v>181.15599510176347</v>
      </c>
      <c r="AE16" s="18">
        <f t="shared" si="7"/>
        <v>0</v>
      </c>
      <c r="AF16" s="5">
        <v>0</v>
      </c>
      <c r="AG16" s="73">
        <f t="shared" si="7"/>
        <v>1.0566</v>
      </c>
      <c r="AH16" s="16">
        <f>Assumptions!$E$12*Assumptions!H17</f>
        <v>2.7342310950103532</v>
      </c>
      <c r="AI16" s="16">
        <f>Assumptions!$F$12*Assumptions!I17</f>
        <v>2.9665362174352876</v>
      </c>
      <c r="AJ16" s="16">
        <f t="shared" si="8"/>
        <v>0</v>
      </c>
      <c r="AK16" s="16">
        <f t="shared" si="8"/>
        <v>0.48</v>
      </c>
    </row>
    <row r="17" spans="1:37" x14ac:dyDescent="0.2">
      <c r="A17" s="1">
        <f t="shared" si="5"/>
        <v>36722.502000000008</v>
      </c>
      <c r="B17" s="16">
        <f t="shared" si="3"/>
        <v>1.0566</v>
      </c>
      <c r="C17" s="17">
        <f t="shared" si="0"/>
        <v>10.614603599999999</v>
      </c>
      <c r="D17" s="16">
        <f t="shared" si="4"/>
        <v>0.88176645593444247</v>
      </c>
      <c r="E17" s="16">
        <f t="shared" si="1"/>
        <v>0</v>
      </c>
      <c r="F17" s="16">
        <f t="shared" si="2"/>
        <v>0</v>
      </c>
      <c r="G17" s="19" t="str">
        <f>IF('Peak Revenue'!$A$1="BL","-",SUM(C17:F17))</f>
        <v>-</v>
      </c>
      <c r="H17" s="242">
        <v>0</v>
      </c>
      <c r="I17" s="242">
        <v>0</v>
      </c>
      <c r="J17" s="242">
        <v>0</v>
      </c>
      <c r="K17" s="242">
        <v>0</v>
      </c>
      <c r="L17" s="242">
        <v>0</v>
      </c>
      <c r="M17" s="242">
        <v>0</v>
      </c>
      <c r="N17" s="242">
        <v>0</v>
      </c>
      <c r="O17" s="242">
        <v>0</v>
      </c>
      <c r="P17" s="242">
        <v>0</v>
      </c>
      <c r="Q17" s="242">
        <v>0</v>
      </c>
      <c r="R17" s="242">
        <v>0</v>
      </c>
      <c r="S17" s="242">
        <v>0</v>
      </c>
      <c r="T17" s="242">
        <v>0</v>
      </c>
      <c r="U17" s="242">
        <v>0</v>
      </c>
      <c r="V17" s="242">
        <v>0</v>
      </c>
      <c r="W17" s="242">
        <v>0</v>
      </c>
      <c r="X17" s="242">
        <v>0</v>
      </c>
      <c r="Y17" s="242">
        <v>0</v>
      </c>
      <c r="Z17" s="242">
        <v>0</v>
      </c>
      <c r="AA17" s="242">
        <v>0</v>
      </c>
      <c r="AB17" s="16">
        <f>AB16*(1+Assumptions!$L$13/12)</f>
        <v>0.88176645593444247</v>
      </c>
      <c r="AC17" s="16">
        <f t="shared" si="6"/>
        <v>0</v>
      </c>
      <c r="AD17" s="18">
        <f t="shared" si="7"/>
        <v>181.15599510176347</v>
      </c>
      <c r="AE17" s="18">
        <f t="shared" si="7"/>
        <v>0</v>
      </c>
      <c r="AF17" s="5">
        <v>0</v>
      </c>
      <c r="AG17" s="73">
        <f t="shared" si="7"/>
        <v>1.0566</v>
      </c>
      <c r="AH17" s="16">
        <f>Assumptions!$E$12*Assumptions!H18</f>
        <v>2.7255784649628518</v>
      </c>
      <c r="AI17" s="16">
        <f>Assumptions!$F$12*Assumptions!I18</f>
        <v>2.9665362174352876</v>
      </c>
      <c r="AJ17" s="16">
        <f t="shared" si="8"/>
        <v>0</v>
      </c>
      <c r="AK17" s="16">
        <f t="shared" si="8"/>
        <v>0.48</v>
      </c>
    </row>
    <row r="18" spans="1:37" x14ac:dyDescent="0.2">
      <c r="A18" s="1">
        <f t="shared" si="5"/>
        <v>36752.919000000009</v>
      </c>
      <c r="B18" s="16">
        <f t="shared" si="3"/>
        <v>1.0566</v>
      </c>
      <c r="C18" s="17">
        <f t="shared" si="0"/>
        <v>10.614603599999999</v>
      </c>
      <c r="D18" s="16">
        <f t="shared" si="4"/>
        <v>0.88323606669433319</v>
      </c>
      <c r="E18" s="16">
        <f t="shared" si="1"/>
        <v>0</v>
      </c>
      <c r="F18" s="16">
        <f t="shared" si="2"/>
        <v>0</v>
      </c>
      <c r="G18" s="19" t="str">
        <f>IF('Peak Revenue'!$A$1="BL","-",SUM(C18:F18))</f>
        <v>-</v>
      </c>
      <c r="H18" s="242">
        <v>0</v>
      </c>
      <c r="I18" s="242">
        <v>0</v>
      </c>
      <c r="J18" s="242">
        <v>0</v>
      </c>
      <c r="K18" s="242">
        <v>0</v>
      </c>
      <c r="L18" s="242">
        <v>0</v>
      </c>
      <c r="M18" s="242">
        <v>0</v>
      </c>
      <c r="N18" s="242">
        <v>0</v>
      </c>
      <c r="O18" s="242">
        <v>0</v>
      </c>
      <c r="P18" s="242">
        <v>0</v>
      </c>
      <c r="Q18" s="242">
        <v>0</v>
      </c>
      <c r="R18" s="242">
        <v>0</v>
      </c>
      <c r="S18" s="242">
        <v>0</v>
      </c>
      <c r="T18" s="242">
        <v>0</v>
      </c>
      <c r="U18" s="242">
        <v>0</v>
      </c>
      <c r="V18" s="242">
        <v>0</v>
      </c>
      <c r="W18" s="242">
        <v>0</v>
      </c>
      <c r="X18" s="242">
        <v>0</v>
      </c>
      <c r="Y18" s="242">
        <v>0</v>
      </c>
      <c r="Z18" s="242">
        <v>0</v>
      </c>
      <c r="AA18" s="242">
        <v>0</v>
      </c>
      <c r="AB18" s="16">
        <f>AB17*(1+Assumptions!$L$13/12)</f>
        <v>0.88323606669433319</v>
      </c>
      <c r="AC18" s="16">
        <f t="shared" si="6"/>
        <v>0</v>
      </c>
      <c r="AD18" s="18">
        <f t="shared" si="7"/>
        <v>181.15599510176347</v>
      </c>
      <c r="AE18" s="18">
        <f t="shared" si="7"/>
        <v>0</v>
      </c>
      <c r="AF18" s="5">
        <v>0</v>
      </c>
      <c r="AG18" s="73">
        <f t="shared" si="7"/>
        <v>1.0566</v>
      </c>
      <c r="AH18" s="16">
        <f>Assumptions!$E$12*Assumptions!H19</f>
        <v>2.5842521741870006</v>
      </c>
      <c r="AI18" s="16">
        <f>Assumptions!$F$12*Assumptions!I19</f>
        <v>2.9665362174352876</v>
      </c>
      <c r="AJ18" s="16">
        <f t="shared" si="8"/>
        <v>0</v>
      </c>
      <c r="AK18" s="16">
        <f t="shared" si="8"/>
        <v>0.48</v>
      </c>
    </row>
    <row r="19" spans="1:37" x14ac:dyDescent="0.2">
      <c r="A19" s="1">
        <f t="shared" si="5"/>
        <v>36783.33600000001</v>
      </c>
      <c r="B19" s="16">
        <f t="shared" si="3"/>
        <v>1.0566</v>
      </c>
      <c r="C19" s="17">
        <f t="shared" si="0"/>
        <v>10.614603599999999</v>
      </c>
      <c r="D19" s="16">
        <f t="shared" si="4"/>
        <v>0.88470812680549049</v>
      </c>
      <c r="E19" s="16">
        <f t="shared" si="1"/>
        <v>0</v>
      </c>
      <c r="F19" s="16">
        <f t="shared" si="2"/>
        <v>0</v>
      </c>
      <c r="G19" s="19" t="str">
        <f>IF('Peak Revenue'!$A$1="BL","-",SUM(C19:F19))</f>
        <v>-</v>
      </c>
      <c r="H19" s="242">
        <v>0</v>
      </c>
      <c r="I19" s="242">
        <v>0</v>
      </c>
      <c r="J19" s="242">
        <v>0</v>
      </c>
      <c r="K19" s="242">
        <v>0</v>
      </c>
      <c r="L19" s="242">
        <v>0</v>
      </c>
      <c r="M19" s="242">
        <v>0</v>
      </c>
      <c r="N19" s="242">
        <v>0</v>
      </c>
      <c r="O19" s="242">
        <v>0</v>
      </c>
      <c r="P19" s="242">
        <v>0</v>
      </c>
      <c r="Q19" s="242">
        <v>0</v>
      </c>
      <c r="R19" s="242">
        <v>0</v>
      </c>
      <c r="S19" s="242">
        <v>0</v>
      </c>
      <c r="T19" s="242">
        <v>0</v>
      </c>
      <c r="U19" s="242">
        <v>0</v>
      </c>
      <c r="V19" s="242">
        <v>0</v>
      </c>
      <c r="W19" s="242">
        <v>0</v>
      </c>
      <c r="X19" s="242">
        <v>0</v>
      </c>
      <c r="Y19" s="242">
        <v>0</v>
      </c>
      <c r="Z19" s="242">
        <v>0</v>
      </c>
      <c r="AA19" s="242">
        <v>0</v>
      </c>
      <c r="AB19" s="16">
        <f>AB18*(1+Assumptions!$L$13/12)</f>
        <v>0.88470812680549049</v>
      </c>
      <c r="AC19" s="16">
        <f t="shared" si="6"/>
        <v>0</v>
      </c>
      <c r="AD19" s="18">
        <f t="shared" si="7"/>
        <v>181.15599510176347</v>
      </c>
      <c r="AE19" s="18">
        <f t="shared" si="7"/>
        <v>0</v>
      </c>
      <c r="AF19" s="5">
        <v>0</v>
      </c>
      <c r="AG19" s="73">
        <f t="shared" si="7"/>
        <v>1.0566</v>
      </c>
      <c r="AH19" s="16">
        <f>Assumptions!$E$12*Assumptions!H20</f>
        <v>2.5755995441394992</v>
      </c>
      <c r="AI19" s="16">
        <f>Assumptions!$F$12*Assumptions!I20</f>
        <v>2.9665362174352876</v>
      </c>
      <c r="AJ19" s="16">
        <f t="shared" si="8"/>
        <v>0</v>
      </c>
      <c r="AK19" s="16">
        <f t="shared" si="8"/>
        <v>0.48</v>
      </c>
    </row>
    <row r="20" spans="1:37" x14ac:dyDescent="0.2">
      <c r="A20" s="1">
        <f t="shared" si="5"/>
        <v>36813.753000000012</v>
      </c>
      <c r="B20" s="16">
        <f t="shared" si="3"/>
        <v>1.0566</v>
      </c>
      <c r="C20" s="17">
        <f t="shared" si="0"/>
        <v>10.614603599999999</v>
      </c>
      <c r="D20" s="16">
        <f t="shared" si="4"/>
        <v>0.88618264035016636</v>
      </c>
      <c r="E20" s="16">
        <f t="shared" si="1"/>
        <v>0</v>
      </c>
      <c r="F20" s="16">
        <f t="shared" si="2"/>
        <v>0</v>
      </c>
      <c r="G20" s="19" t="str">
        <f>IF('Peak Revenue'!$A$1="BL","-",SUM(C20:F20))</f>
        <v>-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0</v>
      </c>
      <c r="AB20" s="16">
        <f>AB19*(1+Assumptions!$L$13/12)</f>
        <v>0.88618264035016636</v>
      </c>
      <c r="AC20" s="16">
        <f t="shared" si="6"/>
        <v>0</v>
      </c>
      <c r="AD20" s="18">
        <f t="shared" si="7"/>
        <v>181.15599510176347</v>
      </c>
      <c r="AE20" s="18">
        <f t="shared" si="7"/>
        <v>0</v>
      </c>
      <c r="AF20" s="5">
        <v>0</v>
      </c>
      <c r="AG20" s="73">
        <f t="shared" si="7"/>
        <v>1.0566</v>
      </c>
      <c r="AH20" s="16">
        <f>Assumptions!$E$12*Assumptions!H21</f>
        <v>2.8524837056595351</v>
      </c>
      <c r="AI20" s="16">
        <f>Assumptions!$F$12*Assumptions!I21</f>
        <v>2.9665362174352876</v>
      </c>
      <c r="AJ20" s="16">
        <f t="shared" si="8"/>
        <v>0</v>
      </c>
      <c r="AK20" s="16">
        <f t="shared" si="8"/>
        <v>0.48</v>
      </c>
    </row>
    <row r="21" spans="1:37" x14ac:dyDescent="0.2">
      <c r="A21" s="1">
        <f t="shared" si="5"/>
        <v>36844.170000000013</v>
      </c>
      <c r="B21" s="16">
        <f t="shared" si="3"/>
        <v>1.0566</v>
      </c>
      <c r="C21" s="17">
        <f t="shared" si="0"/>
        <v>10.614603599999999</v>
      </c>
      <c r="D21" s="16">
        <f t="shared" si="4"/>
        <v>0.88765961141741667</v>
      </c>
      <c r="E21" s="16">
        <f t="shared" si="1"/>
        <v>0</v>
      </c>
      <c r="F21" s="16">
        <f t="shared" si="2"/>
        <v>0</v>
      </c>
      <c r="G21" s="19" t="str">
        <f>IF('Peak Revenue'!$A$1="BL","-",SUM(C21:F21))</f>
        <v>-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0</v>
      </c>
      <c r="O21" s="242">
        <v>0</v>
      </c>
      <c r="P21" s="242">
        <v>0</v>
      </c>
      <c r="Q21" s="242">
        <v>0</v>
      </c>
      <c r="R21" s="242">
        <v>0</v>
      </c>
      <c r="S21" s="242">
        <v>0</v>
      </c>
      <c r="T21" s="242">
        <v>0</v>
      </c>
      <c r="U21" s="242">
        <v>0</v>
      </c>
      <c r="V21" s="242">
        <v>0</v>
      </c>
      <c r="W21" s="242">
        <v>0</v>
      </c>
      <c r="X21" s="242">
        <v>0</v>
      </c>
      <c r="Y21" s="242">
        <v>0</v>
      </c>
      <c r="Z21" s="242">
        <v>0</v>
      </c>
      <c r="AA21" s="242">
        <v>0</v>
      </c>
      <c r="AB21" s="16">
        <f>AB20*(1+Assumptions!$L$13/12)</f>
        <v>0.88765961141741667</v>
      </c>
      <c r="AC21" s="16">
        <f t="shared" si="6"/>
        <v>0</v>
      </c>
      <c r="AD21" s="18">
        <f t="shared" si="7"/>
        <v>181.15599510176347</v>
      </c>
      <c r="AE21" s="18">
        <f t="shared" si="7"/>
        <v>0</v>
      </c>
      <c r="AF21" s="5">
        <v>0</v>
      </c>
      <c r="AG21" s="73">
        <f t="shared" si="7"/>
        <v>1.0566</v>
      </c>
      <c r="AH21" s="16">
        <f>Assumptions!$E$12*Assumptions!H22</f>
        <v>3.1235994471479032</v>
      </c>
      <c r="AI21" s="16">
        <f>Assumptions!$F$12*Assumptions!I22</f>
        <v>3.2163497936403647</v>
      </c>
      <c r="AJ21" s="16">
        <f t="shared" si="8"/>
        <v>0</v>
      </c>
      <c r="AK21" s="16">
        <f t="shared" si="8"/>
        <v>0.48</v>
      </c>
    </row>
    <row r="22" spans="1:37" x14ac:dyDescent="0.2">
      <c r="A22" s="1">
        <f t="shared" si="5"/>
        <v>36874.587000000014</v>
      </c>
      <c r="B22" s="16">
        <f t="shared" si="3"/>
        <v>1.0566</v>
      </c>
      <c r="C22" s="17">
        <f t="shared" si="0"/>
        <v>10.614603599999999</v>
      </c>
      <c r="D22" s="16">
        <f t="shared" si="4"/>
        <v>0.8891390441031124</v>
      </c>
      <c r="E22" s="16">
        <f t="shared" si="1"/>
        <v>0</v>
      </c>
      <c r="F22" s="16">
        <f t="shared" si="2"/>
        <v>0</v>
      </c>
      <c r="G22" s="19" t="str">
        <f>IF('Peak Revenue'!$A$1="BL","-",SUM(C22:F22))</f>
        <v>-</v>
      </c>
      <c r="H22" s="242">
        <v>0</v>
      </c>
      <c r="I22" s="242">
        <v>0</v>
      </c>
      <c r="J22" s="242">
        <v>0</v>
      </c>
      <c r="K22" s="242">
        <v>0</v>
      </c>
      <c r="L22" s="242">
        <v>0</v>
      </c>
      <c r="M22" s="242">
        <v>0</v>
      </c>
      <c r="N22" s="242">
        <v>0</v>
      </c>
      <c r="O22" s="242">
        <v>0</v>
      </c>
      <c r="P22" s="242">
        <v>0</v>
      </c>
      <c r="Q22" s="242">
        <v>0</v>
      </c>
      <c r="R22" s="242">
        <v>0</v>
      </c>
      <c r="S22" s="242">
        <v>0</v>
      </c>
      <c r="T22" s="242">
        <v>0</v>
      </c>
      <c r="U22" s="242">
        <v>0</v>
      </c>
      <c r="V22" s="242">
        <v>0</v>
      </c>
      <c r="W22" s="242">
        <v>0</v>
      </c>
      <c r="X22" s="242">
        <v>0</v>
      </c>
      <c r="Y22" s="242">
        <v>0</v>
      </c>
      <c r="Z22" s="242">
        <v>0</v>
      </c>
      <c r="AA22" s="242">
        <v>0</v>
      </c>
      <c r="AB22" s="16">
        <f>AB21*(1+Assumptions!$L$13/12)</f>
        <v>0.8891390441031124</v>
      </c>
      <c r="AC22" s="16">
        <f t="shared" si="6"/>
        <v>0</v>
      </c>
      <c r="AD22" s="18">
        <f t="shared" si="7"/>
        <v>181.15599510176347</v>
      </c>
      <c r="AE22" s="18">
        <f t="shared" si="7"/>
        <v>0</v>
      </c>
      <c r="AF22" s="5">
        <v>0</v>
      </c>
      <c r="AG22" s="73">
        <f t="shared" si="7"/>
        <v>1.0566</v>
      </c>
      <c r="AH22" s="16">
        <f>Assumptions!$E$12*Assumptions!H23</f>
        <v>3.3802941385571033</v>
      </c>
      <c r="AI22" s="16">
        <f>Assumptions!$F$12*Assumptions!I23</f>
        <v>3.3724832787685379</v>
      </c>
      <c r="AJ22" s="16">
        <f t="shared" si="8"/>
        <v>0</v>
      </c>
      <c r="AK22" s="16">
        <f t="shared" si="8"/>
        <v>0.48</v>
      </c>
    </row>
    <row r="23" spans="1:37" x14ac:dyDescent="0.2">
      <c r="A23" s="1">
        <f t="shared" si="5"/>
        <v>36905.004000000015</v>
      </c>
      <c r="B23" s="16">
        <f t="shared" si="3"/>
        <v>1.0351999999999999</v>
      </c>
      <c r="C23" s="17">
        <f t="shared" si="0"/>
        <v>10.3996192</v>
      </c>
      <c r="D23" s="16">
        <f t="shared" si="4"/>
        <v>0.89062094250995094</v>
      </c>
      <c r="E23" s="16">
        <f t="shared" si="1"/>
        <v>0</v>
      </c>
      <c r="F23" s="16">
        <f t="shared" si="2"/>
        <v>0</v>
      </c>
      <c r="G23" s="19" t="str">
        <f>IF('Peak Revenue'!$A$1="BL","-",SUM(C23:F23))</f>
        <v>-</v>
      </c>
      <c r="H23" s="203">
        <v>65.501020134313507</v>
      </c>
      <c r="I23" s="203">
        <v>64.363456962416578</v>
      </c>
      <c r="J23" s="203">
        <v>62.31143235544819</v>
      </c>
      <c r="K23" s="203">
        <v>59.052838541552134</v>
      </c>
      <c r="L23" s="203">
        <v>58.529148600926057</v>
      </c>
      <c r="M23" s="203">
        <v>58.103280282332435</v>
      </c>
      <c r="N23" s="203">
        <v>53.988811994486383</v>
      </c>
      <c r="O23" s="203">
        <v>43.800590339459546</v>
      </c>
      <c r="P23" s="203">
        <v>38.98349486767345</v>
      </c>
      <c r="Q23" s="203">
        <v>34.864574744794744</v>
      </c>
      <c r="R23" s="203">
        <v>32.461485065381254</v>
      </c>
      <c r="S23" s="203">
        <v>25.772736886107847</v>
      </c>
      <c r="T23" s="203">
        <v>24.569477510239587</v>
      </c>
      <c r="U23" s="203">
        <v>23.524415005524908</v>
      </c>
      <c r="V23" s="203">
        <v>22.359215127740995</v>
      </c>
      <c r="W23" s="203">
        <v>21.853382962339253</v>
      </c>
      <c r="X23" s="203">
        <v>21.423012257988713</v>
      </c>
      <c r="Y23" s="203">
        <v>21.22463895950138</v>
      </c>
      <c r="Z23" s="203">
        <v>21.016540244790146</v>
      </c>
      <c r="AA23" s="203">
        <v>20.591301131894838</v>
      </c>
      <c r="AB23" s="16">
        <f>AB22*(1+Assumptions!$L$13/12)</f>
        <v>0.89062094250995094</v>
      </c>
      <c r="AC23" s="16">
        <f>VLOOKUP($C$1,EnvVOM,4)</f>
        <v>0</v>
      </c>
      <c r="AD23" s="18">
        <f>Assumptions!B13</f>
        <v>198.92520866387423</v>
      </c>
      <c r="AE23" s="18">
        <f>Assumptions!C13</f>
        <v>0</v>
      </c>
      <c r="AF23" s="5">
        <v>0</v>
      </c>
      <c r="AG23" s="73">
        <f>VLOOKUP($C$1,Coal,4)</f>
        <v>1.0351999999999999</v>
      </c>
      <c r="AH23" s="16">
        <f>Assumptions!$E$13*Assumptions!H12</f>
        <v>4.5652300825677408</v>
      </c>
      <c r="AI23" s="16">
        <f>Assumptions!$F$13*Assumptions!I12</f>
        <v>4.2923414634146342</v>
      </c>
      <c r="AJ23" s="16">
        <f>VLOOKUP($C$1,SO2Rate,4)</f>
        <v>0</v>
      </c>
      <c r="AK23" s="16">
        <f>VLOOKUP($C$1,NOxRate,4)</f>
        <v>0.48</v>
      </c>
    </row>
    <row r="24" spans="1:37" x14ac:dyDescent="0.2">
      <c r="A24" s="1">
        <f t="shared" si="5"/>
        <v>36935.421000000017</v>
      </c>
      <c r="B24" s="16">
        <f t="shared" si="3"/>
        <v>1.0351999999999999</v>
      </c>
      <c r="C24" s="17">
        <f t="shared" si="0"/>
        <v>10.3996192</v>
      </c>
      <c r="D24" s="16">
        <f t="shared" si="4"/>
        <v>0.89210531074746757</v>
      </c>
      <c r="E24" s="16">
        <f t="shared" si="1"/>
        <v>0</v>
      </c>
      <c r="F24" s="16">
        <f t="shared" si="2"/>
        <v>0</v>
      </c>
      <c r="G24" s="19" t="str">
        <f>IF('Peak Revenue'!$A$1="BL","-",SUM(C24:F24))</f>
        <v>-</v>
      </c>
      <c r="H24" s="203">
        <v>72.295988221952058</v>
      </c>
      <c r="I24" s="203">
        <v>70.242502707494509</v>
      </c>
      <c r="J24" s="203">
        <v>66.965838193908269</v>
      </c>
      <c r="K24" s="203">
        <v>65.046722806725285</v>
      </c>
      <c r="L24" s="203">
        <v>64.88753629867206</v>
      </c>
      <c r="M24" s="203">
        <v>61.888452658919618</v>
      </c>
      <c r="N24" s="203">
        <v>52.601435090402354</v>
      </c>
      <c r="O24" s="203">
        <v>44.423387242126346</v>
      </c>
      <c r="P24" s="203">
        <v>36.984351754041498</v>
      </c>
      <c r="Q24" s="203">
        <v>35.441623714759068</v>
      </c>
      <c r="R24" s="203">
        <v>27.625153444356972</v>
      </c>
      <c r="S24" s="203">
        <v>25.726367811121531</v>
      </c>
      <c r="T24" s="203">
        <v>24.948078276206562</v>
      </c>
      <c r="U24" s="203">
        <v>23.69828870262149</v>
      </c>
      <c r="V24" s="203">
        <v>23.163200824176094</v>
      </c>
      <c r="W24" s="203">
        <v>22.739462318707826</v>
      </c>
      <c r="X24" s="203">
        <v>22.381535123989412</v>
      </c>
      <c r="Y24" s="203">
        <v>22.112401897106217</v>
      </c>
      <c r="Z24" s="203">
        <v>21.956058854064121</v>
      </c>
      <c r="AA24" s="203">
        <v>21.630872042519858</v>
      </c>
      <c r="AB24" s="16">
        <f>AB23*(1+Assumptions!$L$13/12)</f>
        <v>0.89210531074746757</v>
      </c>
      <c r="AC24" s="16">
        <f>AC23</f>
        <v>0</v>
      </c>
      <c r="AD24" s="18">
        <f>AD23</f>
        <v>198.92520866387423</v>
      </c>
      <c r="AE24" s="18">
        <f>AE23</f>
        <v>0</v>
      </c>
      <c r="AF24" s="5">
        <v>0</v>
      </c>
      <c r="AG24" s="73">
        <f>AG23</f>
        <v>1.0351999999999999</v>
      </c>
      <c r="AH24" s="16">
        <f>Assumptions!$E$13*Assumptions!H13</f>
        <v>4.091708877195023</v>
      </c>
      <c r="AI24" s="16">
        <f>Assumptions!$F$13*Assumptions!I13</f>
        <v>4.2525975609756097</v>
      </c>
      <c r="AJ24" s="16">
        <f>AJ23</f>
        <v>0</v>
      </c>
      <c r="AK24" s="16">
        <f>AK23</f>
        <v>0.48</v>
      </c>
    </row>
    <row r="25" spans="1:37" x14ac:dyDescent="0.2">
      <c r="A25" s="1">
        <f t="shared" si="5"/>
        <v>36965.838000000018</v>
      </c>
      <c r="B25" s="16">
        <f t="shared" si="3"/>
        <v>1.0351999999999999</v>
      </c>
      <c r="C25" s="17">
        <f t="shared" si="0"/>
        <v>10.3996192</v>
      </c>
      <c r="D25" s="16">
        <f t="shared" si="4"/>
        <v>0.89359215293204675</v>
      </c>
      <c r="E25" s="16">
        <f t="shared" si="1"/>
        <v>0</v>
      </c>
      <c r="F25" s="16">
        <f t="shared" si="2"/>
        <v>0</v>
      </c>
      <c r="G25" s="19" t="str">
        <f>IF('Peak Revenue'!$A$1="BL","-",SUM(C25:F25))</f>
        <v>-</v>
      </c>
      <c r="H25" s="203">
        <v>70.425563092427197</v>
      </c>
      <c r="I25" s="203">
        <v>68.486561366576538</v>
      </c>
      <c r="J25" s="203">
        <v>66.339650527427438</v>
      </c>
      <c r="K25" s="203">
        <v>64.031830692906027</v>
      </c>
      <c r="L25" s="203">
        <v>63.682223523190459</v>
      </c>
      <c r="M25" s="203">
        <v>62.551125273916092</v>
      </c>
      <c r="N25" s="203">
        <v>57.836212198451847</v>
      </c>
      <c r="O25" s="203">
        <v>46.648782252484338</v>
      </c>
      <c r="P25" s="203">
        <v>42.678867712958791</v>
      </c>
      <c r="Q25" s="203">
        <v>36.297185879034913</v>
      </c>
      <c r="R25" s="203">
        <v>36.102620449961968</v>
      </c>
      <c r="S25" s="203">
        <v>27.196746495005261</v>
      </c>
      <c r="T25" s="203">
        <v>24.169218736944146</v>
      </c>
      <c r="U25" s="203">
        <v>23.710998782054475</v>
      </c>
      <c r="V25" s="203">
        <v>22.675814380251552</v>
      </c>
      <c r="W25" s="203">
        <v>21.741752595314821</v>
      </c>
      <c r="X25" s="203">
        <v>21.36727689346494</v>
      </c>
      <c r="Y25" s="203">
        <v>20.950374293915701</v>
      </c>
      <c r="Z25" s="203">
        <v>20.653748138456013</v>
      </c>
      <c r="AA25" s="203">
        <v>20.21226605160593</v>
      </c>
      <c r="AB25" s="16">
        <f>AB24*(1+Assumptions!$L$13/12)</f>
        <v>0.89359215293204675</v>
      </c>
      <c r="AC25" s="16">
        <f t="shared" ref="AC25:AC34" si="9">AC24</f>
        <v>0</v>
      </c>
      <c r="AD25" s="18">
        <f t="shared" ref="AD25:AE34" si="10">AD24</f>
        <v>198.92520866387423</v>
      </c>
      <c r="AE25" s="18">
        <f t="shared" si="10"/>
        <v>0</v>
      </c>
      <c r="AF25" s="5">
        <v>0</v>
      </c>
      <c r="AG25" s="73">
        <f t="shared" ref="AG25:AG34" si="11">AG24</f>
        <v>1.0351999999999999</v>
      </c>
      <c r="AH25" s="16">
        <f>Assumptions!$E$13*Assumptions!H14</f>
        <v>4.0229066507733462</v>
      </c>
      <c r="AI25" s="16">
        <f>Assumptions!$F$13*Assumptions!I14</f>
        <v>4.0936219512195118</v>
      </c>
      <c r="AJ25" s="16">
        <f t="shared" ref="AJ25:AK34" si="12">AJ24</f>
        <v>0</v>
      </c>
      <c r="AK25" s="16">
        <f t="shared" si="12"/>
        <v>0.48</v>
      </c>
    </row>
    <row r="26" spans="1:37" x14ac:dyDescent="0.2">
      <c r="A26" s="1">
        <f t="shared" si="5"/>
        <v>36996.255000000019</v>
      </c>
      <c r="B26" s="16">
        <f t="shared" si="3"/>
        <v>1.0351999999999999</v>
      </c>
      <c r="C26" s="17">
        <f t="shared" si="0"/>
        <v>10.3996192</v>
      </c>
      <c r="D26" s="16">
        <f t="shared" si="4"/>
        <v>0.89508147318693354</v>
      </c>
      <c r="E26" s="16">
        <f t="shared" si="1"/>
        <v>0</v>
      </c>
      <c r="F26" s="16">
        <f t="shared" si="2"/>
        <v>0</v>
      </c>
      <c r="G26" s="19" t="str">
        <f>IF('Peak Revenue'!$A$1="BL","-",SUM(C26:F26))</f>
        <v>-</v>
      </c>
      <c r="H26" s="203">
        <v>69.341409252379094</v>
      </c>
      <c r="I26" s="203">
        <v>66.676579507074749</v>
      </c>
      <c r="J26" s="203">
        <v>65.643581736709365</v>
      </c>
      <c r="K26" s="203">
        <v>65.558319964368096</v>
      </c>
      <c r="L26" s="203">
        <v>64.611359324929992</v>
      </c>
      <c r="M26" s="203">
        <v>59.452327357320527</v>
      </c>
      <c r="N26" s="203">
        <v>47.283434245950716</v>
      </c>
      <c r="O26" s="203">
        <v>41.596389022628536</v>
      </c>
      <c r="P26" s="203">
        <v>37.297770647662986</v>
      </c>
      <c r="Q26" s="203">
        <v>31.848638200029484</v>
      </c>
      <c r="R26" s="203">
        <v>23.101740849368067</v>
      </c>
      <c r="S26" s="203">
        <v>22.521268083047559</v>
      </c>
      <c r="T26" s="203">
        <v>21.280319172819468</v>
      </c>
      <c r="U26" s="203">
        <v>20.331595265566694</v>
      </c>
      <c r="V26" s="203">
        <v>19.818380106086074</v>
      </c>
      <c r="W26" s="203">
        <v>19.460184909105102</v>
      </c>
      <c r="X26" s="203">
        <v>19.230994576497736</v>
      </c>
      <c r="Y26" s="203">
        <v>19.056240608552677</v>
      </c>
      <c r="Z26" s="203">
        <v>18.79711403696183</v>
      </c>
      <c r="AA26" s="203">
        <v>18.528378831198022</v>
      </c>
      <c r="AB26" s="16">
        <f>AB25*(1+Assumptions!$L$13/12)</f>
        <v>0.89508147318693354</v>
      </c>
      <c r="AC26" s="16">
        <f t="shared" si="9"/>
        <v>0</v>
      </c>
      <c r="AD26" s="18">
        <f t="shared" si="10"/>
        <v>198.92520866387423</v>
      </c>
      <c r="AE26" s="18">
        <f t="shared" si="10"/>
        <v>0</v>
      </c>
      <c r="AF26" s="5">
        <v>0</v>
      </c>
      <c r="AG26" s="73">
        <f t="shared" si="11"/>
        <v>1.0351999999999999</v>
      </c>
      <c r="AH26" s="16">
        <f>Assumptions!$E$13*Assumptions!H15</f>
        <v>3.8245943510873359</v>
      </c>
      <c r="AI26" s="16">
        <f>Assumptions!$F$13*Assumptions!I15</f>
        <v>3.9346463414634143</v>
      </c>
      <c r="AJ26" s="16">
        <f t="shared" si="12"/>
        <v>0</v>
      </c>
      <c r="AK26" s="16">
        <f t="shared" si="12"/>
        <v>0.48</v>
      </c>
    </row>
    <row r="27" spans="1:37" x14ac:dyDescent="0.2">
      <c r="A27" s="1">
        <f t="shared" si="5"/>
        <v>37026.67200000002</v>
      </c>
      <c r="B27" s="16">
        <f t="shared" si="3"/>
        <v>1.0351999999999999</v>
      </c>
      <c r="C27" s="17">
        <f t="shared" si="0"/>
        <v>10.3996192</v>
      </c>
      <c r="D27" s="16">
        <f t="shared" si="4"/>
        <v>0.89657327564224509</v>
      </c>
      <c r="E27" s="16">
        <f t="shared" si="1"/>
        <v>0</v>
      </c>
      <c r="F27" s="16">
        <f t="shared" si="2"/>
        <v>0</v>
      </c>
      <c r="G27" s="19" t="str">
        <f>IF('Peak Revenue'!$A$1="BL","-",SUM(C27:F27))</f>
        <v>-</v>
      </c>
      <c r="H27" s="203">
        <v>63.113980176149518</v>
      </c>
      <c r="I27" s="203">
        <v>55.550094531867522</v>
      </c>
      <c r="J27" s="203">
        <v>53.705110089514037</v>
      </c>
      <c r="K27" s="203">
        <v>51.38064803010365</v>
      </c>
      <c r="L27" s="203">
        <v>48.088606423289441</v>
      </c>
      <c r="M27" s="203">
        <v>46.893131568112253</v>
      </c>
      <c r="N27" s="203">
        <v>45.28896252568633</v>
      </c>
      <c r="O27" s="203">
        <v>35.956275073741111</v>
      </c>
      <c r="P27" s="203">
        <v>31.923351765201517</v>
      </c>
      <c r="Q27" s="203">
        <v>27.427728584671936</v>
      </c>
      <c r="R27" s="203">
        <v>27.244930278160442</v>
      </c>
      <c r="S27" s="203">
        <v>25.584730979585782</v>
      </c>
      <c r="T27" s="203">
        <v>24.923912894748437</v>
      </c>
      <c r="U27" s="203">
        <v>23.426721702750623</v>
      </c>
      <c r="V27" s="203">
        <v>22.781072945806645</v>
      </c>
      <c r="W27" s="203">
        <v>22.313655698607516</v>
      </c>
      <c r="X27" s="203">
        <v>22.046888979792563</v>
      </c>
      <c r="Y27" s="203">
        <v>21.783402420480456</v>
      </c>
      <c r="Z27" s="203">
        <v>21.624018718661056</v>
      </c>
      <c r="AA27" s="203">
        <v>21.281940712610112</v>
      </c>
      <c r="AB27" s="16">
        <f>AB26*(1+Assumptions!$L$13/12)</f>
        <v>0.89657327564224509</v>
      </c>
      <c r="AC27" s="16">
        <f t="shared" si="9"/>
        <v>0</v>
      </c>
      <c r="AD27" s="18">
        <f t="shared" si="10"/>
        <v>198.92520866387423</v>
      </c>
      <c r="AE27" s="18">
        <f t="shared" si="10"/>
        <v>0</v>
      </c>
      <c r="AF27" s="5">
        <v>0</v>
      </c>
      <c r="AG27" s="73">
        <f t="shared" si="11"/>
        <v>1.0351999999999999</v>
      </c>
      <c r="AH27" s="16">
        <f>Assumptions!$E$13*Assumptions!H16</f>
        <v>4.0269538405628564</v>
      </c>
      <c r="AI27" s="16">
        <f>Assumptions!$F$13*Assumptions!I16</f>
        <v>3.7756707317073168</v>
      </c>
      <c r="AJ27" s="16">
        <f t="shared" si="12"/>
        <v>0</v>
      </c>
      <c r="AK27" s="16">
        <f t="shared" si="12"/>
        <v>0.48</v>
      </c>
    </row>
    <row r="28" spans="1:37" x14ac:dyDescent="0.2">
      <c r="A28" s="1">
        <f t="shared" si="5"/>
        <v>37057.089000000022</v>
      </c>
      <c r="B28" s="16">
        <f t="shared" si="3"/>
        <v>1.0351999999999999</v>
      </c>
      <c r="C28" s="17">
        <f t="shared" si="0"/>
        <v>10.3996192</v>
      </c>
      <c r="D28" s="16">
        <f t="shared" si="4"/>
        <v>0.89806756443498226</v>
      </c>
      <c r="E28" s="16">
        <f t="shared" si="1"/>
        <v>0</v>
      </c>
      <c r="F28" s="16">
        <f t="shared" si="2"/>
        <v>0</v>
      </c>
      <c r="G28" s="19" t="str">
        <f>IF('Peak Revenue'!$A$1="BL","-",SUM(C28:F28))</f>
        <v>-</v>
      </c>
      <c r="H28" s="203">
        <v>168.69153762716547</v>
      </c>
      <c r="I28" s="203">
        <v>88.102812452760077</v>
      </c>
      <c r="J28" s="203">
        <v>78.34135830682095</v>
      </c>
      <c r="K28" s="203">
        <v>73.479978869463906</v>
      </c>
      <c r="L28" s="203">
        <v>68.167946757768192</v>
      </c>
      <c r="M28" s="203">
        <v>66.722172455234485</v>
      </c>
      <c r="N28" s="203">
        <v>55.038321392460766</v>
      </c>
      <c r="O28" s="203">
        <v>42.517707397507351</v>
      </c>
      <c r="P28" s="203">
        <v>37.264434463058357</v>
      </c>
      <c r="Q28" s="203">
        <v>27.442008292445486</v>
      </c>
      <c r="R28" s="203">
        <v>25.909471192294845</v>
      </c>
      <c r="S28" s="203">
        <v>24.012006192818582</v>
      </c>
      <c r="T28" s="203">
        <v>23.305382169285995</v>
      </c>
      <c r="U28" s="203">
        <v>22.561989437189091</v>
      </c>
      <c r="V28" s="203">
        <v>22.141255811626817</v>
      </c>
      <c r="W28" s="203">
        <v>21.875844685169092</v>
      </c>
      <c r="X28" s="203">
        <v>21.583010759058826</v>
      </c>
      <c r="Y28" s="203">
        <v>21.452267739528363</v>
      </c>
      <c r="Z28" s="203">
        <v>21.343121917136553</v>
      </c>
      <c r="AA28" s="203">
        <v>20.954189432857959</v>
      </c>
      <c r="AB28" s="16">
        <f>AB27*(1+Assumptions!$L$13/12)</f>
        <v>0.89806756443498226</v>
      </c>
      <c r="AC28" s="16">
        <f t="shared" si="9"/>
        <v>0</v>
      </c>
      <c r="AD28" s="18">
        <f t="shared" si="10"/>
        <v>198.92520866387423</v>
      </c>
      <c r="AE28" s="18">
        <f t="shared" si="10"/>
        <v>0</v>
      </c>
      <c r="AF28" s="5">
        <v>0</v>
      </c>
      <c r="AG28" s="73">
        <f t="shared" si="11"/>
        <v>1.0351999999999999</v>
      </c>
      <c r="AH28" s="16">
        <f>Assumptions!$E$13*Assumptions!H17</f>
        <v>3.8367359204558671</v>
      </c>
      <c r="AI28" s="16">
        <f>Assumptions!$F$13*Assumptions!I17</f>
        <v>3.7756707317073168</v>
      </c>
      <c r="AJ28" s="16">
        <f t="shared" si="12"/>
        <v>0</v>
      </c>
      <c r="AK28" s="16">
        <f t="shared" si="12"/>
        <v>0.48</v>
      </c>
    </row>
    <row r="29" spans="1:37" x14ac:dyDescent="0.2">
      <c r="A29" s="1">
        <f t="shared" si="5"/>
        <v>37087.506000000023</v>
      </c>
      <c r="B29" s="16">
        <f t="shared" si="3"/>
        <v>1.0351999999999999</v>
      </c>
      <c r="C29" s="17">
        <f t="shared" si="0"/>
        <v>10.3996192</v>
      </c>
      <c r="D29" s="16">
        <f t="shared" si="4"/>
        <v>0.89956434370904059</v>
      </c>
      <c r="E29" s="16">
        <f t="shared" si="1"/>
        <v>0</v>
      </c>
      <c r="F29" s="16">
        <f t="shared" si="2"/>
        <v>0</v>
      </c>
      <c r="G29" s="19" t="str">
        <f>IF('Peak Revenue'!$A$1="BL","-",SUM(C29:F29))</f>
        <v>-</v>
      </c>
      <c r="H29" s="203">
        <v>1335.6561520342393</v>
      </c>
      <c r="I29" s="203">
        <v>672.52635398981772</v>
      </c>
      <c r="J29" s="203">
        <v>399.31907723268876</v>
      </c>
      <c r="K29" s="203">
        <v>234.19997196902099</v>
      </c>
      <c r="L29" s="203">
        <v>74.294776679788711</v>
      </c>
      <c r="M29" s="203">
        <v>53.706988698813845</v>
      </c>
      <c r="N29" s="203">
        <v>49.532051821208221</v>
      </c>
      <c r="O29" s="203">
        <v>46.782884859243872</v>
      </c>
      <c r="P29" s="203">
        <v>45.61595145051939</v>
      </c>
      <c r="Q29" s="203">
        <v>37.583084166070854</v>
      </c>
      <c r="R29" s="203">
        <v>30.523600428078417</v>
      </c>
      <c r="S29" s="203">
        <v>27.242617564476443</v>
      </c>
      <c r="T29" s="203">
        <v>24.276755910388566</v>
      </c>
      <c r="U29" s="203">
        <v>23.111113092723869</v>
      </c>
      <c r="V29" s="203">
        <v>21.508336093960171</v>
      </c>
      <c r="W29" s="203">
        <v>20.86034277692378</v>
      </c>
      <c r="X29" s="203">
        <v>20.299474645503786</v>
      </c>
      <c r="Y29" s="203">
        <v>19.988995103129909</v>
      </c>
      <c r="Z29" s="203">
        <v>19.701044467192041</v>
      </c>
      <c r="AA29" s="203">
        <v>19.214950206110533</v>
      </c>
      <c r="AB29" s="16">
        <f>AB28*(1+Assumptions!$L$13/12)</f>
        <v>0.89956434370904059</v>
      </c>
      <c r="AC29" s="16">
        <f t="shared" si="9"/>
        <v>0</v>
      </c>
      <c r="AD29" s="18">
        <f t="shared" si="10"/>
        <v>198.92520866387423</v>
      </c>
      <c r="AE29" s="18">
        <f t="shared" si="10"/>
        <v>0</v>
      </c>
      <c r="AF29" s="5">
        <v>0</v>
      </c>
      <c r="AG29" s="73">
        <f t="shared" si="11"/>
        <v>1.0351999999999999</v>
      </c>
      <c r="AH29" s="16">
        <f>Assumptions!$E$13*Assumptions!H18</f>
        <v>3.8245943510873359</v>
      </c>
      <c r="AI29" s="16">
        <f>Assumptions!$F$13*Assumptions!I18</f>
        <v>3.7756707317073168</v>
      </c>
      <c r="AJ29" s="16">
        <f t="shared" si="12"/>
        <v>0</v>
      </c>
      <c r="AK29" s="16">
        <f t="shared" si="12"/>
        <v>0.48</v>
      </c>
    </row>
    <row r="30" spans="1:37" x14ac:dyDescent="0.2">
      <c r="A30" s="1">
        <f t="shared" si="5"/>
        <v>37117.923000000024</v>
      </c>
      <c r="B30" s="16">
        <f t="shared" si="3"/>
        <v>1.0351999999999999</v>
      </c>
      <c r="C30" s="17">
        <f t="shared" si="0"/>
        <v>10.3996192</v>
      </c>
      <c r="D30" s="16">
        <f t="shared" si="4"/>
        <v>0.90106361761522236</v>
      </c>
      <c r="E30" s="16">
        <f t="shared" si="1"/>
        <v>0</v>
      </c>
      <c r="F30" s="16">
        <f t="shared" si="2"/>
        <v>0</v>
      </c>
      <c r="G30" s="19" t="str">
        <f>IF('Peak Revenue'!$A$1="BL","-",SUM(C30:F30))</f>
        <v>-</v>
      </c>
      <c r="H30" s="203">
        <v>4372.2517708777741</v>
      </c>
      <c r="I30" s="203">
        <v>1648.175815853371</v>
      </c>
      <c r="J30" s="203">
        <v>879.77263027914069</v>
      </c>
      <c r="K30" s="203">
        <v>402.73852725793444</v>
      </c>
      <c r="L30" s="203">
        <v>223.54934456624324</v>
      </c>
      <c r="M30" s="203">
        <v>56.951450771268171</v>
      </c>
      <c r="N30" s="203">
        <v>45.125663762761519</v>
      </c>
      <c r="O30" s="203">
        <v>40.409858381824527</v>
      </c>
      <c r="P30" s="203">
        <v>38.480972012031614</v>
      </c>
      <c r="Q30" s="203">
        <v>29.936979013595952</v>
      </c>
      <c r="R30" s="203">
        <v>25.176980031670698</v>
      </c>
      <c r="S30" s="203">
        <v>23.644609197066746</v>
      </c>
      <c r="T30" s="203">
        <v>23.322002893919507</v>
      </c>
      <c r="U30" s="203">
        <v>21.97464640568943</v>
      </c>
      <c r="V30" s="203">
        <v>21.29852279200496</v>
      </c>
      <c r="W30" s="203">
        <v>20.793558011132198</v>
      </c>
      <c r="X30" s="203">
        <v>20.406328926481891</v>
      </c>
      <c r="Y30" s="203">
        <v>20.166472818756255</v>
      </c>
      <c r="Z30" s="203">
        <v>19.951638850896778</v>
      </c>
      <c r="AA30" s="203">
        <v>19.555253104908672</v>
      </c>
      <c r="AB30" s="16">
        <f>AB29*(1+Assumptions!$L$13/12)</f>
        <v>0.90106361761522236</v>
      </c>
      <c r="AC30" s="16">
        <f t="shared" si="9"/>
        <v>0</v>
      </c>
      <c r="AD30" s="18">
        <f t="shared" si="10"/>
        <v>198.92520866387423</v>
      </c>
      <c r="AE30" s="18">
        <f t="shared" si="10"/>
        <v>0</v>
      </c>
      <c r="AF30" s="5">
        <v>0</v>
      </c>
      <c r="AG30" s="73">
        <f t="shared" si="11"/>
        <v>1.0351999999999999</v>
      </c>
      <c r="AH30" s="16">
        <f>Assumptions!$E$13*Assumptions!H19</f>
        <v>3.6262820514013261</v>
      </c>
      <c r="AI30" s="16">
        <f>Assumptions!$F$13*Assumptions!I19</f>
        <v>3.7756707317073168</v>
      </c>
      <c r="AJ30" s="16">
        <f t="shared" si="12"/>
        <v>0</v>
      </c>
      <c r="AK30" s="16">
        <f t="shared" si="12"/>
        <v>0.48</v>
      </c>
    </row>
    <row r="31" spans="1:37" x14ac:dyDescent="0.2">
      <c r="A31" s="1">
        <f t="shared" si="5"/>
        <v>37148.340000000026</v>
      </c>
      <c r="B31" s="16">
        <f t="shared" si="3"/>
        <v>1.0351999999999999</v>
      </c>
      <c r="C31" s="17">
        <f t="shared" si="0"/>
        <v>10.3996192</v>
      </c>
      <c r="D31" s="16">
        <f t="shared" si="4"/>
        <v>0.90256539031124772</v>
      </c>
      <c r="E31" s="16">
        <f t="shared" si="1"/>
        <v>0</v>
      </c>
      <c r="F31" s="16">
        <f t="shared" si="2"/>
        <v>0</v>
      </c>
      <c r="G31" s="19" t="str">
        <f>IF('Peak Revenue'!$A$1="BL","-",SUM(C31:F31))</f>
        <v>-</v>
      </c>
      <c r="H31" s="203">
        <v>465.60281250659966</v>
      </c>
      <c r="I31" s="203">
        <v>264.92218756673026</v>
      </c>
      <c r="J31" s="203">
        <v>182.29261917776941</v>
      </c>
      <c r="K31" s="203">
        <v>73.277367932323301</v>
      </c>
      <c r="L31" s="203">
        <v>49.927519241861042</v>
      </c>
      <c r="M31" s="203">
        <v>43.469949397864795</v>
      </c>
      <c r="N31" s="203">
        <v>39.38618246280889</v>
      </c>
      <c r="O31" s="203">
        <v>38.682561608485571</v>
      </c>
      <c r="P31" s="203">
        <v>34.4203759889254</v>
      </c>
      <c r="Q31" s="203">
        <v>28.438971640100458</v>
      </c>
      <c r="R31" s="203">
        <v>25.732801544377697</v>
      </c>
      <c r="S31" s="203">
        <v>23.75827650719981</v>
      </c>
      <c r="T31" s="203">
        <v>23.11090646117167</v>
      </c>
      <c r="U31" s="203">
        <v>22.96463578254475</v>
      </c>
      <c r="V31" s="203">
        <v>22.162018735617814</v>
      </c>
      <c r="W31" s="203">
        <v>21.435707532171179</v>
      </c>
      <c r="X31" s="203">
        <v>21.038554356199811</v>
      </c>
      <c r="Y31" s="203">
        <v>20.813617536224982</v>
      </c>
      <c r="Z31" s="203">
        <v>20.518935901676812</v>
      </c>
      <c r="AA31" s="203">
        <v>20.027632150868584</v>
      </c>
      <c r="AB31" s="16">
        <f>AB30*(1+Assumptions!$L$13/12)</f>
        <v>0.90256539031124772</v>
      </c>
      <c r="AC31" s="16">
        <f t="shared" si="9"/>
        <v>0</v>
      </c>
      <c r="AD31" s="18">
        <f t="shared" si="10"/>
        <v>198.92520866387423</v>
      </c>
      <c r="AE31" s="18">
        <f t="shared" si="10"/>
        <v>0</v>
      </c>
      <c r="AF31" s="5">
        <v>0</v>
      </c>
      <c r="AG31" s="73">
        <f t="shared" si="11"/>
        <v>1.0351999999999999</v>
      </c>
      <c r="AH31" s="16">
        <f>Assumptions!$E$13*Assumptions!H20</f>
        <v>3.6141404820327949</v>
      </c>
      <c r="AI31" s="16">
        <f>Assumptions!$F$13*Assumptions!I20</f>
        <v>3.7756707317073168</v>
      </c>
      <c r="AJ31" s="16">
        <f t="shared" si="12"/>
        <v>0</v>
      </c>
      <c r="AK31" s="16">
        <f t="shared" si="12"/>
        <v>0.48</v>
      </c>
    </row>
    <row r="32" spans="1:37" x14ac:dyDescent="0.2">
      <c r="A32" s="1">
        <f t="shared" si="5"/>
        <v>37178.757000000027</v>
      </c>
      <c r="B32" s="16">
        <f t="shared" si="3"/>
        <v>1.0351999999999999</v>
      </c>
      <c r="C32" s="17">
        <f t="shared" si="0"/>
        <v>10.3996192</v>
      </c>
      <c r="D32" s="16">
        <f t="shared" si="4"/>
        <v>0.90406966596176652</v>
      </c>
      <c r="E32" s="16">
        <f t="shared" si="1"/>
        <v>0</v>
      </c>
      <c r="F32" s="16">
        <f t="shared" si="2"/>
        <v>0</v>
      </c>
      <c r="G32" s="19" t="str">
        <f>IF('Peak Revenue'!$A$1="BL","-",SUM(C32:F32))</f>
        <v>-</v>
      </c>
      <c r="H32" s="203">
        <v>61.304244711702268</v>
      </c>
      <c r="I32" s="203">
        <v>60.218941752759619</v>
      </c>
      <c r="J32" s="203">
        <v>59.015897399342535</v>
      </c>
      <c r="K32" s="203">
        <v>55.807856932456545</v>
      </c>
      <c r="L32" s="203">
        <v>54.33485218749022</v>
      </c>
      <c r="M32" s="203">
        <v>54.242482210254884</v>
      </c>
      <c r="N32" s="203">
        <v>52.549419796499777</v>
      </c>
      <c r="O32" s="203">
        <v>41.074234544984492</v>
      </c>
      <c r="P32" s="203">
        <v>38.319339367687121</v>
      </c>
      <c r="Q32" s="203">
        <v>38.292607429390529</v>
      </c>
      <c r="R32" s="203">
        <v>37.001524331233874</v>
      </c>
      <c r="S32" s="203">
        <v>26.981509794889423</v>
      </c>
      <c r="T32" s="203">
        <v>24.604901478062164</v>
      </c>
      <c r="U32" s="203">
        <v>24.047183729174446</v>
      </c>
      <c r="V32" s="203">
        <v>22.762760608057892</v>
      </c>
      <c r="W32" s="203">
        <v>22.02889337690258</v>
      </c>
      <c r="X32" s="203">
        <v>21.598624196738992</v>
      </c>
      <c r="Y32" s="203">
        <v>21.36519978865498</v>
      </c>
      <c r="Z32" s="203">
        <v>21.097694555038636</v>
      </c>
      <c r="AA32" s="203">
        <v>20.658143674031365</v>
      </c>
      <c r="AB32" s="16">
        <f>AB31*(1+Assumptions!$L$13/12)</f>
        <v>0.90406966596176652</v>
      </c>
      <c r="AC32" s="16">
        <f t="shared" si="9"/>
        <v>0</v>
      </c>
      <c r="AD32" s="18">
        <f t="shared" si="10"/>
        <v>198.92520866387423</v>
      </c>
      <c r="AE32" s="18">
        <f t="shared" si="10"/>
        <v>0</v>
      </c>
      <c r="AF32" s="5">
        <v>0</v>
      </c>
      <c r="AG32" s="73">
        <f t="shared" si="11"/>
        <v>1.0351999999999999</v>
      </c>
      <c r="AH32" s="16">
        <f>Assumptions!$E$13*Assumptions!H21</f>
        <v>4.0026707018257941</v>
      </c>
      <c r="AI32" s="16">
        <f>Assumptions!$F$13*Assumptions!I21</f>
        <v>3.7756707317073168</v>
      </c>
      <c r="AJ32" s="16">
        <f t="shared" si="12"/>
        <v>0</v>
      </c>
      <c r="AK32" s="16">
        <f t="shared" si="12"/>
        <v>0.48</v>
      </c>
    </row>
    <row r="33" spans="1:38" x14ac:dyDescent="0.2">
      <c r="A33" s="1">
        <f t="shared" si="5"/>
        <v>37209.174000000028</v>
      </c>
      <c r="B33" s="16">
        <f t="shared" si="3"/>
        <v>1.0351999999999999</v>
      </c>
      <c r="C33" s="17">
        <f t="shared" si="0"/>
        <v>10.3996192</v>
      </c>
      <c r="D33" s="16">
        <f t="shared" si="4"/>
        <v>0.90557644873836951</v>
      </c>
      <c r="E33" s="16">
        <f t="shared" si="1"/>
        <v>0</v>
      </c>
      <c r="F33" s="16">
        <f t="shared" si="2"/>
        <v>0</v>
      </c>
      <c r="G33" s="19" t="str">
        <f>IF('Peak Revenue'!$A$1="BL","-",SUM(C33:F33))</f>
        <v>-</v>
      </c>
      <c r="H33" s="203">
        <v>89.60176072929562</v>
      </c>
      <c r="I33" s="203">
        <v>79.163362953591374</v>
      </c>
      <c r="J33" s="203">
        <v>69.39661946896851</v>
      </c>
      <c r="K33" s="203">
        <v>59.201606426916179</v>
      </c>
      <c r="L33" s="203">
        <v>56.758926726818473</v>
      </c>
      <c r="M33" s="203">
        <v>53.201978385674771</v>
      </c>
      <c r="N33" s="203">
        <v>50.708012500067795</v>
      </c>
      <c r="O33" s="203">
        <v>50.608278829362895</v>
      </c>
      <c r="P33" s="203">
        <v>47.138703354391325</v>
      </c>
      <c r="Q33" s="203">
        <v>37.52064815583114</v>
      </c>
      <c r="R33" s="203">
        <v>34.042267416934884</v>
      </c>
      <c r="S33" s="203">
        <v>29.377606666702825</v>
      </c>
      <c r="T33" s="203">
        <v>28.967797583390592</v>
      </c>
      <c r="U33" s="203">
        <v>26.002366660937696</v>
      </c>
      <c r="V33" s="203">
        <v>25.090198182761082</v>
      </c>
      <c r="W33" s="203">
        <v>23.548692144616798</v>
      </c>
      <c r="X33" s="203">
        <v>22.847541013888545</v>
      </c>
      <c r="Y33" s="203">
        <v>22.30913680895582</v>
      </c>
      <c r="Z33" s="203">
        <v>21.879283063841946</v>
      </c>
      <c r="AA33" s="203">
        <v>21.345472763375472</v>
      </c>
      <c r="AB33" s="16">
        <f>AB32*(1+Assumptions!$L$13/12)</f>
        <v>0.90557644873836951</v>
      </c>
      <c r="AC33" s="16">
        <f t="shared" si="9"/>
        <v>0</v>
      </c>
      <c r="AD33" s="18">
        <f t="shared" si="10"/>
        <v>198.92520866387423</v>
      </c>
      <c r="AE33" s="18">
        <f t="shared" si="10"/>
        <v>0</v>
      </c>
      <c r="AF33" s="5">
        <v>0</v>
      </c>
      <c r="AG33" s="73">
        <f t="shared" si="11"/>
        <v>1.0351999999999999</v>
      </c>
      <c r="AH33" s="16">
        <f>Assumptions!$E$13*Assumptions!H22</f>
        <v>4.3831065420397719</v>
      </c>
      <c r="AI33" s="16">
        <f>Assumptions!$F$13*Assumptions!I22</f>
        <v>4.0936219512195118</v>
      </c>
      <c r="AJ33" s="16">
        <f t="shared" si="12"/>
        <v>0</v>
      </c>
      <c r="AK33" s="16">
        <f t="shared" si="12"/>
        <v>0.48</v>
      </c>
    </row>
    <row r="34" spans="1:38" x14ac:dyDescent="0.2">
      <c r="A34" s="1">
        <f t="shared" si="5"/>
        <v>37239.591000000029</v>
      </c>
      <c r="B34" s="16">
        <f t="shared" si="3"/>
        <v>1.0351999999999999</v>
      </c>
      <c r="C34" s="17">
        <f t="shared" si="0"/>
        <v>10.3996192</v>
      </c>
      <c r="D34" s="16">
        <f t="shared" si="4"/>
        <v>0.90708574281960019</v>
      </c>
      <c r="E34" s="16">
        <f t="shared" si="1"/>
        <v>0</v>
      </c>
      <c r="F34" s="16">
        <f t="shared" si="2"/>
        <v>0</v>
      </c>
      <c r="G34" s="19" t="str">
        <f>IF('Peak Revenue'!$A$1="BL","-",SUM(C34:F34))</f>
        <v>-</v>
      </c>
      <c r="H34" s="203">
        <v>93.278708978317795</v>
      </c>
      <c r="I34" s="203">
        <v>89.712457289696701</v>
      </c>
      <c r="J34" s="203">
        <v>86.809253395685715</v>
      </c>
      <c r="K34" s="203">
        <v>86.307265112837428</v>
      </c>
      <c r="L34" s="203">
        <v>86.290043585282731</v>
      </c>
      <c r="M34" s="203">
        <v>82.533956348267424</v>
      </c>
      <c r="N34" s="203">
        <v>65.729929849049867</v>
      </c>
      <c r="O34" s="203">
        <v>58.211508636939904</v>
      </c>
      <c r="P34" s="203">
        <v>55.419680468435587</v>
      </c>
      <c r="Q34" s="203">
        <v>55.333716237686232</v>
      </c>
      <c r="R34" s="203">
        <v>27.913033022208197</v>
      </c>
      <c r="S34" s="203">
        <v>24.926841444885437</v>
      </c>
      <c r="T34" s="203">
        <v>24.298916490687837</v>
      </c>
      <c r="U34" s="203">
        <v>23.426936536936545</v>
      </c>
      <c r="V34" s="203">
        <v>22.320481449553743</v>
      </c>
      <c r="W34" s="203">
        <v>21.858567203839108</v>
      </c>
      <c r="X34" s="203">
        <v>21.473608956298431</v>
      </c>
      <c r="Y34" s="203">
        <v>21.232941048445301</v>
      </c>
      <c r="Z34" s="203">
        <v>20.99232746115711</v>
      </c>
      <c r="AA34" s="203">
        <v>20.52235632462871</v>
      </c>
      <c r="AB34" s="16">
        <f>AB33*(1+Assumptions!$L$13/12)</f>
        <v>0.90708574281960019</v>
      </c>
      <c r="AC34" s="16">
        <f t="shared" si="9"/>
        <v>0</v>
      </c>
      <c r="AD34" s="18">
        <f t="shared" si="10"/>
        <v>198.92520866387423</v>
      </c>
      <c r="AE34" s="18">
        <f t="shared" si="10"/>
        <v>0</v>
      </c>
      <c r="AF34" s="5">
        <v>0</v>
      </c>
      <c r="AG34" s="73">
        <f t="shared" si="11"/>
        <v>1.0351999999999999</v>
      </c>
      <c r="AH34" s="16">
        <f>Assumptions!$E$13*Assumptions!H23</f>
        <v>4.7433064333061985</v>
      </c>
      <c r="AI34" s="16">
        <f>Assumptions!$F$13*Assumptions!I23</f>
        <v>4.2923414634146342</v>
      </c>
      <c r="AJ34" s="16">
        <f t="shared" si="12"/>
        <v>0</v>
      </c>
      <c r="AK34" s="16">
        <f t="shared" si="12"/>
        <v>0.48</v>
      </c>
    </row>
    <row r="35" spans="1:38" x14ac:dyDescent="0.2">
      <c r="A35" s="1">
        <f t="shared" si="5"/>
        <v>37270.008000000031</v>
      </c>
      <c r="B35" s="16">
        <f t="shared" si="3"/>
        <v>1.0327999999999999</v>
      </c>
      <c r="C35" s="17">
        <f t="shared" si="0"/>
        <v>10.375508799999999</v>
      </c>
      <c r="D35" s="16">
        <f t="shared" si="4"/>
        <v>0.90859755239096618</v>
      </c>
      <c r="E35" s="16">
        <f t="shared" si="1"/>
        <v>0</v>
      </c>
      <c r="F35" s="16">
        <f t="shared" si="2"/>
        <v>0</v>
      </c>
      <c r="G35" s="19" t="str">
        <f>IF('Peak Revenue'!$A$1="BL","-",SUM(C35:F35))</f>
        <v>-</v>
      </c>
      <c r="H35" s="203">
        <v>77.619688937682881</v>
      </c>
      <c r="I35" s="203">
        <v>75.711203786504399</v>
      </c>
      <c r="J35" s="203">
        <v>73.78410128803003</v>
      </c>
      <c r="K35" s="203">
        <v>69.692918356594618</v>
      </c>
      <c r="L35" s="203">
        <v>68.657800810470818</v>
      </c>
      <c r="M35" s="203">
        <v>68.299843104989094</v>
      </c>
      <c r="N35" s="203">
        <v>64.436204034381973</v>
      </c>
      <c r="O35" s="203">
        <v>52.580480235146702</v>
      </c>
      <c r="P35" s="203">
        <v>46.206641503579462</v>
      </c>
      <c r="Q35" s="203">
        <v>41.405894413389028</v>
      </c>
      <c r="R35" s="203">
        <v>37.880297087824729</v>
      </c>
      <c r="S35" s="203">
        <v>26.615622323594394</v>
      </c>
      <c r="T35" s="203">
        <v>24.797814763733417</v>
      </c>
      <c r="U35" s="203">
        <v>24.116929007254381</v>
      </c>
      <c r="V35" s="203">
        <v>22.794354166470747</v>
      </c>
      <c r="W35" s="203">
        <v>22.207132341659275</v>
      </c>
      <c r="X35" s="203">
        <v>21.861331403753546</v>
      </c>
      <c r="Y35" s="203">
        <v>21.528588324610666</v>
      </c>
      <c r="Z35" s="203">
        <v>21.301869470401293</v>
      </c>
      <c r="AA35" s="203">
        <v>20.847407529582057</v>
      </c>
      <c r="AB35" s="16">
        <f>AB34*(1+Assumptions!$L$13/12)</f>
        <v>0.90859755239096618</v>
      </c>
      <c r="AC35" s="16">
        <f>VLOOKUP($C$1,EnvVOM,5)</f>
        <v>0</v>
      </c>
      <c r="AD35" s="18">
        <f>Assumptions!B14</f>
        <v>218.80258102590736</v>
      </c>
      <c r="AE35" s="18">
        <f>Assumptions!C14</f>
        <v>0</v>
      </c>
      <c r="AF35" s="5">
        <v>0</v>
      </c>
      <c r="AG35" s="73">
        <f>VLOOKUP($C$1,Coal,5)</f>
        <v>1.0327999999999999</v>
      </c>
      <c r="AH35" s="16">
        <f>Assumptions!$E$14*Assumptions!H12</f>
        <v>4.1606975675827789</v>
      </c>
      <c r="AI35" s="16">
        <f>Assumptions!$F$14*Assumptions!I12</f>
        <v>3.9054604358353529</v>
      </c>
      <c r="AJ35" s="16">
        <f>VLOOKUP($C$1,SO2Rate,5)</f>
        <v>0</v>
      </c>
      <c r="AK35" s="16">
        <f>VLOOKUP($C$1,NOxRate,5)</f>
        <v>0.48</v>
      </c>
    </row>
    <row r="36" spans="1:38" x14ac:dyDescent="0.2">
      <c r="A36" s="1">
        <f t="shared" si="5"/>
        <v>37300.425000000032</v>
      </c>
      <c r="B36" s="16">
        <f t="shared" si="3"/>
        <v>1.0327999999999999</v>
      </c>
      <c r="C36" s="17">
        <f t="shared" si="0"/>
        <v>10.375508799999999</v>
      </c>
      <c r="D36" s="16">
        <f t="shared" si="4"/>
        <v>0.91011188164495116</v>
      </c>
      <c r="E36" s="16">
        <f t="shared" si="1"/>
        <v>0</v>
      </c>
      <c r="F36" s="16">
        <f t="shared" si="2"/>
        <v>0</v>
      </c>
      <c r="G36" s="19" t="str">
        <f>IF('Peak Revenue'!$A$1="BL","-",SUM(C36:F36))</f>
        <v>-</v>
      </c>
      <c r="H36" s="203">
        <v>187.53697382609306</v>
      </c>
      <c r="I36" s="203">
        <v>104.02247061300116</v>
      </c>
      <c r="J36" s="203">
        <v>86.059835618879717</v>
      </c>
      <c r="K36" s="203">
        <v>65.257061758178793</v>
      </c>
      <c r="L36" s="203">
        <v>55.481156323912892</v>
      </c>
      <c r="M36" s="203">
        <v>52.189227629941016</v>
      </c>
      <c r="N36" s="203">
        <v>48.314758359370956</v>
      </c>
      <c r="O36" s="203">
        <v>47.919360511893828</v>
      </c>
      <c r="P36" s="203">
        <v>45.394252149101554</v>
      </c>
      <c r="Q36" s="203">
        <v>36.118328093413211</v>
      </c>
      <c r="R36" s="203">
        <v>34.054617668247836</v>
      </c>
      <c r="S36" s="203">
        <v>28.965482260046556</v>
      </c>
      <c r="T36" s="203">
        <v>27.890325606343374</v>
      </c>
      <c r="U36" s="203">
        <v>27.187373053256131</v>
      </c>
      <c r="V36" s="203">
        <v>26.220341540765521</v>
      </c>
      <c r="W36" s="203">
        <v>24.779411712521686</v>
      </c>
      <c r="X36" s="203">
        <v>24.135924287314982</v>
      </c>
      <c r="Y36" s="203">
        <v>23.424666076124076</v>
      </c>
      <c r="Z36" s="203">
        <v>22.817911254663347</v>
      </c>
      <c r="AA36" s="203">
        <v>22.338050286879817</v>
      </c>
      <c r="AB36" s="16">
        <f>AB35*(1+Assumptions!$L$13/12)</f>
        <v>0.91011188164495116</v>
      </c>
      <c r="AC36" s="16">
        <f>AC35</f>
        <v>0</v>
      </c>
      <c r="AD36" s="18">
        <f>AD35</f>
        <v>218.80258102590736</v>
      </c>
      <c r="AE36" s="18">
        <f>AE35</f>
        <v>0</v>
      </c>
      <c r="AF36" s="5">
        <v>0</v>
      </c>
      <c r="AG36" s="73">
        <f>AG35</f>
        <v>1.0327999999999999</v>
      </c>
      <c r="AH36" s="16">
        <f>Assumptions!$E$14*Assumptions!H13</f>
        <v>3.7291358517962672</v>
      </c>
      <c r="AI36" s="16">
        <f>Assumptions!$F$14*Assumptions!I13</f>
        <v>3.8692987651331734</v>
      </c>
      <c r="AJ36" s="16">
        <f>AJ35</f>
        <v>0</v>
      </c>
      <c r="AK36" s="16">
        <f>AK35</f>
        <v>0.48</v>
      </c>
    </row>
    <row r="37" spans="1:38" x14ac:dyDescent="0.2">
      <c r="A37" s="1">
        <f t="shared" si="5"/>
        <v>37330.842000000033</v>
      </c>
      <c r="B37" s="16">
        <f t="shared" si="3"/>
        <v>1.0327999999999999</v>
      </c>
      <c r="C37" s="17">
        <f t="shared" si="0"/>
        <v>10.375508799999999</v>
      </c>
      <c r="D37" s="16">
        <f t="shared" si="4"/>
        <v>0.91162873478102613</v>
      </c>
      <c r="E37" s="16">
        <f t="shared" si="1"/>
        <v>0</v>
      </c>
      <c r="F37" s="16">
        <f t="shared" si="2"/>
        <v>0</v>
      </c>
      <c r="G37" s="19" t="str">
        <f>IF('Peak Revenue'!$A$1="BL","-",SUM(C37:F37))</f>
        <v>-</v>
      </c>
      <c r="H37" s="203">
        <v>74.472344708406197</v>
      </c>
      <c r="I37" s="203">
        <v>71.699674653338178</v>
      </c>
      <c r="J37" s="203">
        <v>70.515954849927567</v>
      </c>
      <c r="K37" s="203">
        <v>66.821077220360479</v>
      </c>
      <c r="L37" s="203">
        <v>64.914537002916092</v>
      </c>
      <c r="M37" s="203">
        <v>64.768200365504953</v>
      </c>
      <c r="N37" s="203">
        <v>62.764682794640734</v>
      </c>
      <c r="O37" s="203">
        <v>49.317206155876832</v>
      </c>
      <c r="P37" s="203">
        <v>45.037211650050878</v>
      </c>
      <c r="Q37" s="203">
        <v>44.884727774528244</v>
      </c>
      <c r="R37" s="203">
        <v>44.722799770156904</v>
      </c>
      <c r="S37" s="203">
        <v>25.78236639803777</v>
      </c>
      <c r="T37" s="203">
        <v>23.264392800970487</v>
      </c>
      <c r="U37" s="203">
        <v>22.837620092156364</v>
      </c>
      <c r="V37" s="203">
        <v>21.638335614202116</v>
      </c>
      <c r="W37" s="203">
        <v>20.94105001959209</v>
      </c>
      <c r="X37" s="203">
        <v>20.461231362748634</v>
      </c>
      <c r="Y37" s="203">
        <v>20.016343397958778</v>
      </c>
      <c r="Z37" s="203">
        <v>19.763924129829654</v>
      </c>
      <c r="AA37" s="203">
        <v>19.253775197355935</v>
      </c>
      <c r="AB37" s="16">
        <f>AB36*(1+Assumptions!$L$13/12)</f>
        <v>0.91162873478102613</v>
      </c>
      <c r="AC37" s="16">
        <f t="shared" ref="AC37:AC46" si="13">AC36</f>
        <v>0</v>
      </c>
      <c r="AD37" s="18">
        <f t="shared" ref="AD37:AE46" si="14">AD36</f>
        <v>218.80258102590736</v>
      </c>
      <c r="AE37" s="18">
        <f t="shared" si="14"/>
        <v>0</v>
      </c>
      <c r="AF37" s="5">
        <v>0</v>
      </c>
      <c r="AG37" s="73">
        <f t="shared" ref="AG37:AG46" si="15">AG36</f>
        <v>1.0327999999999999</v>
      </c>
      <c r="AH37" s="16">
        <f>Assumptions!$E$14*Assumptions!H14</f>
        <v>3.6664303033486547</v>
      </c>
      <c r="AI37" s="16">
        <f>Assumptions!$F$14*Assumptions!I14</f>
        <v>3.7246520823244564</v>
      </c>
      <c r="AJ37" s="16">
        <f t="shared" ref="AJ37:AK46" si="16">AJ36</f>
        <v>0</v>
      </c>
      <c r="AK37" s="16">
        <f t="shared" si="16"/>
        <v>0.48</v>
      </c>
    </row>
    <row r="38" spans="1:38" x14ac:dyDescent="0.2">
      <c r="A38" s="1">
        <f t="shared" si="5"/>
        <v>37361.259000000035</v>
      </c>
      <c r="B38" s="16">
        <f t="shared" si="3"/>
        <v>1.0327999999999999</v>
      </c>
      <c r="C38" s="17">
        <f t="shared" si="0"/>
        <v>10.375508799999999</v>
      </c>
      <c r="D38" s="16">
        <f t="shared" si="4"/>
        <v>0.91314811600566126</v>
      </c>
      <c r="E38" s="16">
        <f t="shared" si="1"/>
        <v>0</v>
      </c>
      <c r="F38" s="16">
        <f t="shared" si="2"/>
        <v>0</v>
      </c>
      <c r="G38" s="19" t="str">
        <f>IF('Peak Revenue'!$A$1="BL","-",SUM(C38:F38))</f>
        <v>-</v>
      </c>
      <c r="H38" s="203">
        <v>69.099344266976644</v>
      </c>
      <c r="I38" s="203">
        <v>66.375706093132948</v>
      </c>
      <c r="J38" s="203">
        <v>64.254460502531202</v>
      </c>
      <c r="K38" s="203">
        <v>63.772249657018989</v>
      </c>
      <c r="L38" s="203">
        <v>63.406557508401534</v>
      </c>
      <c r="M38" s="203">
        <v>60.15921507751267</v>
      </c>
      <c r="N38" s="203">
        <v>47.263003755572747</v>
      </c>
      <c r="O38" s="203">
        <v>42.335809717655252</v>
      </c>
      <c r="P38" s="203">
        <v>39.505859485741787</v>
      </c>
      <c r="Q38" s="203">
        <v>33.46502583887883</v>
      </c>
      <c r="R38" s="203">
        <v>23.15465545992538</v>
      </c>
      <c r="S38" s="203">
        <v>21.922629247050711</v>
      </c>
      <c r="T38" s="203">
        <v>21.380490087644301</v>
      </c>
      <c r="U38" s="203">
        <v>20.308684174883247</v>
      </c>
      <c r="V38" s="203">
        <v>19.835700772146346</v>
      </c>
      <c r="W38" s="203">
        <v>19.453473749354306</v>
      </c>
      <c r="X38" s="203">
        <v>19.207296402411327</v>
      </c>
      <c r="Y38" s="203">
        <v>19.039240123450099</v>
      </c>
      <c r="Z38" s="203">
        <v>18.899697131657796</v>
      </c>
      <c r="AA38" s="203">
        <v>18.485972251630265</v>
      </c>
      <c r="AB38" s="16">
        <f>AB37*(1+Assumptions!$L$13/12)</f>
        <v>0.91314811600566126</v>
      </c>
      <c r="AC38" s="16">
        <f t="shared" si="13"/>
        <v>0</v>
      </c>
      <c r="AD38" s="18">
        <f t="shared" si="14"/>
        <v>218.80258102590736</v>
      </c>
      <c r="AE38" s="18">
        <f t="shared" si="14"/>
        <v>0</v>
      </c>
      <c r="AF38" s="5">
        <v>0</v>
      </c>
      <c r="AG38" s="73">
        <f t="shared" si="15"/>
        <v>1.0327999999999999</v>
      </c>
      <c r="AH38" s="16">
        <f>Assumptions!$E$14*Assumptions!H15</f>
        <v>3.4856907813525941</v>
      </c>
      <c r="AI38" s="16">
        <f>Assumptions!$F$14*Assumptions!I15</f>
        <v>3.5800053995157399</v>
      </c>
      <c r="AJ38" s="16">
        <f t="shared" si="16"/>
        <v>0</v>
      </c>
      <c r="AK38" s="16">
        <f t="shared" si="16"/>
        <v>0.48</v>
      </c>
    </row>
    <row r="39" spans="1:38" x14ac:dyDescent="0.2">
      <c r="A39" s="1">
        <f t="shared" si="5"/>
        <v>37391.676000000036</v>
      </c>
      <c r="B39" s="16">
        <f t="shared" si="3"/>
        <v>1.0327999999999999</v>
      </c>
      <c r="C39" s="17">
        <f t="shared" si="0"/>
        <v>10.375508799999999</v>
      </c>
      <c r="D39" s="16">
        <f t="shared" si="4"/>
        <v>0.91467002953233745</v>
      </c>
      <c r="E39" s="16">
        <f t="shared" si="1"/>
        <v>0</v>
      </c>
      <c r="F39" s="16">
        <f t="shared" si="2"/>
        <v>0</v>
      </c>
      <c r="G39" s="19" t="str">
        <f>IF('Peak Revenue'!$A$1="BL","-",SUM(C39:F39))</f>
        <v>-</v>
      </c>
      <c r="H39" s="203">
        <v>60.92043001130908</v>
      </c>
      <c r="I39" s="203">
        <v>57.763638834758595</v>
      </c>
      <c r="J39" s="203">
        <v>55.393817889237823</v>
      </c>
      <c r="K39" s="203">
        <v>51.364113584617414</v>
      </c>
      <c r="L39" s="203">
        <v>50.835156117668888</v>
      </c>
      <c r="M39" s="203">
        <v>45.309173750761438</v>
      </c>
      <c r="N39" s="203">
        <v>37.434387069229565</v>
      </c>
      <c r="O39" s="203">
        <v>36.396137285552399</v>
      </c>
      <c r="P39" s="203">
        <v>32.876254800430416</v>
      </c>
      <c r="Q39" s="203">
        <v>29.447965218104383</v>
      </c>
      <c r="R39" s="203">
        <v>27.401861581004134</v>
      </c>
      <c r="S39" s="203">
        <v>26.463445835062547</v>
      </c>
      <c r="T39" s="203">
        <v>25.637953846258863</v>
      </c>
      <c r="U39" s="203">
        <v>24.846873383355966</v>
      </c>
      <c r="V39" s="203">
        <v>23.166611246790268</v>
      </c>
      <c r="W39" s="203">
        <v>22.482630798047047</v>
      </c>
      <c r="X39" s="203">
        <v>21.843023952242469</v>
      </c>
      <c r="Y39" s="203">
        <v>21.449365048558491</v>
      </c>
      <c r="Z39" s="203">
        <v>21.187016341850647</v>
      </c>
      <c r="AA39" s="203">
        <v>20.67426584328998</v>
      </c>
      <c r="AB39" s="16">
        <f>AB38*(1+Assumptions!$L$13/12)</f>
        <v>0.91467002953233745</v>
      </c>
      <c r="AC39" s="16">
        <f t="shared" si="13"/>
        <v>0</v>
      </c>
      <c r="AD39" s="18">
        <f t="shared" si="14"/>
        <v>218.80258102590736</v>
      </c>
      <c r="AE39" s="18">
        <f t="shared" si="14"/>
        <v>0</v>
      </c>
      <c r="AF39" s="5">
        <v>0</v>
      </c>
      <c r="AG39" s="73">
        <f t="shared" si="15"/>
        <v>1.0327999999999999</v>
      </c>
      <c r="AH39" s="16">
        <f>Assumptions!$E$14*Assumptions!H16</f>
        <v>3.6701188650220438</v>
      </c>
      <c r="AI39" s="16">
        <f>Assumptions!$F$14*Assumptions!I16</f>
        <v>3.435358716707023</v>
      </c>
      <c r="AJ39" s="16">
        <f t="shared" si="16"/>
        <v>0</v>
      </c>
      <c r="AK39" s="16">
        <f t="shared" si="16"/>
        <v>0.48</v>
      </c>
    </row>
    <row r="40" spans="1:38" x14ac:dyDescent="0.2">
      <c r="A40" s="1">
        <f t="shared" si="5"/>
        <v>37422.093000000037</v>
      </c>
      <c r="B40" s="16">
        <f t="shared" si="3"/>
        <v>1.0327999999999999</v>
      </c>
      <c r="C40" s="17">
        <f t="shared" si="0"/>
        <v>10.375508799999999</v>
      </c>
      <c r="D40" s="16">
        <f t="shared" si="4"/>
        <v>0.91619447958155809</v>
      </c>
      <c r="E40" s="16">
        <f t="shared" si="1"/>
        <v>0</v>
      </c>
      <c r="F40" s="16">
        <f t="shared" si="2"/>
        <v>0</v>
      </c>
      <c r="G40" s="19" t="str">
        <f>IF('Peak Revenue'!$A$1="BL","-",SUM(C40:F40))</f>
        <v>-</v>
      </c>
      <c r="H40" s="203">
        <v>369.69652614314498</v>
      </c>
      <c r="I40" s="203">
        <v>232.20462315963829</v>
      </c>
      <c r="J40" s="203">
        <v>126.00609111676519</v>
      </c>
      <c r="K40" s="203">
        <v>58.282397392635161</v>
      </c>
      <c r="L40" s="203">
        <v>53.795914011554792</v>
      </c>
      <c r="M40" s="203">
        <v>49.735571781617196</v>
      </c>
      <c r="N40" s="203">
        <v>48.544661905387237</v>
      </c>
      <c r="O40" s="203">
        <v>43.928310955151829</v>
      </c>
      <c r="P40" s="203">
        <v>34.226034727598432</v>
      </c>
      <c r="Q40" s="203">
        <v>29.113610276756745</v>
      </c>
      <c r="R40" s="203">
        <v>27.05725640650585</v>
      </c>
      <c r="S40" s="203">
        <v>24.625543612645551</v>
      </c>
      <c r="T40" s="203">
        <v>23.146377135870374</v>
      </c>
      <c r="U40" s="203">
        <v>21.942429519214677</v>
      </c>
      <c r="V40" s="203">
        <v>21.253758935960995</v>
      </c>
      <c r="W40" s="203">
        <v>20.998453826358254</v>
      </c>
      <c r="X40" s="203">
        <v>20.818182725658986</v>
      </c>
      <c r="Y40" s="203">
        <v>20.535441030875354</v>
      </c>
      <c r="Z40" s="203">
        <v>20.372784727048831</v>
      </c>
      <c r="AA40" s="203">
        <v>19.949904828713674</v>
      </c>
      <c r="AB40" s="16">
        <f>AB39*(1+Assumptions!$L$13/12)</f>
        <v>0.91619447958155809</v>
      </c>
      <c r="AC40" s="16">
        <f t="shared" si="13"/>
        <v>0</v>
      </c>
      <c r="AD40" s="18">
        <f t="shared" si="14"/>
        <v>218.80258102590736</v>
      </c>
      <c r="AE40" s="18">
        <f t="shared" si="14"/>
        <v>0</v>
      </c>
      <c r="AF40" s="5">
        <v>0</v>
      </c>
      <c r="AG40" s="73">
        <f t="shared" si="15"/>
        <v>1.0327999999999999</v>
      </c>
      <c r="AH40" s="16">
        <f>Assumptions!$E$14*Assumptions!H17</f>
        <v>3.4967564663727608</v>
      </c>
      <c r="AI40" s="16">
        <f>Assumptions!$F$14*Assumptions!I17</f>
        <v>3.435358716707023</v>
      </c>
      <c r="AJ40" s="16">
        <f t="shared" si="16"/>
        <v>0</v>
      </c>
      <c r="AK40" s="16">
        <f t="shared" si="16"/>
        <v>0.48</v>
      </c>
    </row>
    <row r="41" spans="1:38" x14ac:dyDescent="0.2">
      <c r="A41" s="1">
        <f t="shared" si="5"/>
        <v>37452.510000000038</v>
      </c>
      <c r="B41" s="16">
        <f t="shared" si="3"/>
        <v>1.0327999999999999</v>
      </c>
      <c r="C41" s="17">
        <f t="shared" si="0"/>
        <v>10.375508799999999</v>
      </c>
      <c r="D41" s="16">
        <f t="shared" si="4"/>
        <v>0.91772147038086072</v>
      </c>
      <c r="E41" s="16">
        <f t="shared" si="1"/>
        <v>0</v>
      </c>
      <c r="F41" s="16">
        <f t="shared" si="2"/>
        <v>0</v>
      </c>
      <c r="G41" s="19" t="str">
        <f>IF('Peak Revenue'!$A$1="BL","-",SUM(C41:F41))</f>
        <v>-</v>
      </c>
      <c r="H41" s="203">
        <v>1055.5831613825278</v>
      </c>
      <c r="I41" s="203">
        <v>557.80810355480537</v>
      </c>
      <c r="J41" s="203">
        <v>347.35746153335202</v>
      </c>
      <c r="K41" s="203">
        <v>212.79104294126213</v>
      </c>
      <c r="L41" s="203">
        <v>68.033570902138052</v>
      </c>
      <c r="M41" s="203">
        <v>58.669496459004584</v>
      </c>
      <c r="N41" s="203">
        <v>53.816271048005468</v>
      </c>
      <c r="O41" s="203">
        <v>51.527330112054003</v>
      </c>
      <c r="P41" s="203">
        <v>49.482742898876126</v>
      </c>
      <c r="Q41" s="203">
        <v>39.84270191008082</v>
      </c>
      <c r="R41" s="203">
        <v>32.177011164873605</v>
      </c>
      <c r="S41" s="203">
        <v>29.040320027713939</v>
      </c>
      <c r="T41" s="203">
        <v>24.44197558605282</v>
      </c>
      <c r="U41" s="203">
        <v>23.078108810754358</v>
      </c>
      <c r="V41" s="203">
        <v>21.541527608861919</v>
      </c>
      <c r="W41" s="203">
        <v>20.870205523287261</v>
      </c>
      <c r="X41" s="203">
        <v>20.43309520169106</v>
      </c>
      <c r="Y41" s="203">
        <v>20.083665243686326</v>
      </c>
      <c r="Z41" s="203">
        <v>19.858194470189485</v>
      </c>
      <c r="AA41" s="203">
        <v>19.358128130329455</v>
      </c>
      <c r="AB41" s="16">
        <f>AB40*(1+Assumptions!$L$13/12)</f>
        <v>0.91772147038086072</v>
      </c>
      <c r="AC41" s="16">
        <f t="shared" si="13"/>
        <v>0</v>
      </c>
      <c r="AD41" s="18">
        <f t="shared" si="14"/>
        <v>218.80258102590736</v>
      </c>
      <c r="AE41" s="18">
        <f t="shared" si="14"/>
        <v>0</v>
      </c>
      <c r="AF41" s="5">
        <v>0</v>
      </c>
      <c r="AG41" s="73">
        <f t="shared" si="15"/>
        <v>1.0327999999999999</v>
      </c>
      <c r="AH41" s="16">
        <f>Assumptions!$E$14*Assumptions!H18</f>
        <v>3.4856907813525941</v>
      </c>
      <c r="AI41" s="16">
        <f>Assumptions!$F$14*Assumptions!I18</f>
        <v>3.435358716707023</v>
      </c>
      <c r="AJ41" s="16">
        <f t="shared" si="16"/>
        <v>0</v>
      </c>
      <c r="AK41" s="16">
        <f t="shared" si="16"/>
        <v>0.48</v>
      </c>
    </row>
    <row r="42" spans="1:38" x14ac:dyDescent="0.2">
      <c r="A42" s="1">
        <f t="shared" si="5"/>
        <v>37482.92700000004</v>
      </c>
      <c r="B42" s="16">
        <f t="shared" si="3"/>
        <v>1.0327999999999999</v>
      </c>
      <c r="C42" s="17">
        <f t="shared" si="0"/>
        <v>10.375508799999999</v>
      </c>
      <c r="D42" s="16">
        <f t="shared" si="4"/>
        <v>0.9192510061648288</v>
      </c>
      <c r="E42" s="16">
        <f t="shared" si="1"/>
        <v>0</v>
      </c>
      <c r="F42" s="16">
        <f t="shared" si="2"/>
        <v>0</v>
      </c>
      <c r="G42" s="19" t="str">
        <f>IF('Peak Revenue'!$A$1="BL","-",SUM(C42:F42))</f>
        <v>-</v>
      </c>
      <c r="H42" s="203">
        <v>2214.6198515256228</v>
      </c>
      <c r="I42" s="203">
        <v>982.19166419557007</v>
      </c>
      <c r="J42" s="203">
        <v>550.78247770454811</v>
      </c>
      <c r="K42" s="203">
        <v>276.99517556332842</v>
      </c>
      <c r="L42" s="203">
        <v>133.31662885966114</v>
      </c>
      <c r="M42" s="203">
        <v>71.63936069653947</v>
      </c>
      <c r="N42" s="203">
        <v>63.940004549254319</v>
      </c>
      <c r="O42" s="203">
        <v>60.980928581600779</v>
      </c>
      <c r="P42" s="203">
        <v>48.641443497059171</v>
      </c>
      <c r="Q42" s="203">
        <v>40.584015886968224</v>
      </c>
      <c r="R42" s="203">
        <v>34.514254406945568</v>
      </c>
      <c r="S42" s="203">
        <v>32.127259208906061</v>
      </c>
      <c r="T42" s="203">
        <v>30.838936311707535</v>
      </c>
      <c r="U42" s="203">
        <v>26.010970736211501</v>
      </c>
      <c r="V42" s="203">
        <v>24.426905224326084</v>
      </c>
      <c r="W42" s="203">
        <v>22.99601096858272</v>
      </c>
      <c r="X42" s="203">
        <v>22.179932264453043</v>
      </c>
      <c r="Y42" s="203">
        <v>21.869864771443179</v>
      </c>
      <c r="Z42" s="203">
        <v>21.616216401319392</v>
      </c>
      <c r="AA42" s="203">
        <v>20.966881061636702</v>
      </c>
      <c r="AB42" s="16">
        <f>AB41*(1+Assumptions!$L$13/12)</f>
        <v>0.9192510061648288</v>
      </c>
      <c r="AC42" s="16">
        <f t="shared" si="13"/>
        <v>0</v>
      </c>
      <c r="AD42" s="18">
        <f t="shared" si="14"/>
        <v>218.80258102590736</v>
      </c>
      <c r="AE42" s="18">
        <f t="shared" si="14"/>
        <v>0</v>
      </c>
      <c r="AF42" s="5">
        <v>0</v>
      </c>
      <c r="AG42" s="73">
        <f t="shared" si="15"/>
        <v>1.0327999999999999</v>
      </c>
      <c r="AH42" s="16">
        <f>Assumptions!$E$14*Assumptions!H19</f>
        <v>3.304951259356534</v>
      </c>
      <c r="AI42" s="16">
        <f>Assumptions!$F$14*Assumptions!I19</f>
        <v>3.435358716707023</v>
      </c>
      <c r="AJ42" s="16">
        <f t="shared" si="16"/>
        <v>0</v>
      </c>
      <c r="AK42" s="16">
        <f t="shared" si="16"/>
        <v>0.48</v>
      </c>
    </row>
    <row r="43" spans="1:38" x14ac:dyDescent="0.2">
      <c r="A43" s="1">
        <f t="shared" si="5"/>
        <v>37513.344000000041</v>
      </c>
      <c r="B43" s="16">
        <f t="shared" si="3"/>
        <v>1.0327999999999999</v>
      </c>
      <c r="C43" s="17">
        <f t="shared" si="0"/>
        <v>10.375508799999999</v>
      </c>
      <c r="D43" s="16">
        <f t="shared" si="4"/>
        <v>0.9207830911751036</v>
      </c>
      <c r="E43" s="16">
        <f t="shared" si="1"/>
        <v>0</v>
      </c>
      <c r="F43" s="16">
        <f t="shared" si="2"/>
        <v>0</v>
      </c>
      <c r="G43" s="19" t="str">
        <f>IF('Peak Revenue'!$A$1="BL","-",SUM(C43:F43))</f>
        <v>-</v>
      </c>
      <c r="H43" s="203">
        <v>456.21662556815892</v>
      </c>
      <c r="I43" s="203">
        <v>267.8990473735762</v>
      </c>
      <c r="J43" s="203">
        <v>197.83923666433392</v>
      </c>
      <c r="K43" s="203">
        <v>63.388434167870216</v>
      </c>
      <c r="L43" s="203">
        <v>46.357745399998016</v>
      </c>
      <c r="M43" s="203">
        <v>40.185146010028582</v>
      </c>
      <c r="N43" s="203">
        <v>36.35859950575739</v>
      </c>
      <c r="O43" s="203">
        <v>35.304665816361684</v>
      </c>
      <c r="P43" s="203">
        <v>32.585080284017629</v>
      </c>
      <c r="Q43" s="203">
        <v>26.652497571820184</v>
      </c>
      <c r="R43" s="203">
        <v>25.073863098392756</v>
      </c>
      <c r="S43" s="203">
        <v>23.836612299808017</v>
      </c>
      <c r="T43" s="203">
        <v>22.050006835328414</v>
      </c>
      <c r="U43" s="203">
        <v>21.186062737084427</v>
      </c>
      <c r="V43" s="203">
        <v>21.116498425392223</v>
      </c>
      <c r="W43" s="203">
        <v>20.771698530267805</v>
      </c>
      <c r="X43" s="203">
        <v>20.362804213127838</v>
      </c>
      <c r="Y43" s="203">
        <v>20.031062025985296</v>
      </c>
      <c r="Z43" s="203">
        <v>19.787734247744858</v>
      </c>
      <c r="AA43" s="203">
        <v>19.347517015117138</v>
      </c>
      <c r="AB43" s="16">
        <f>AB42*(1+Assumptions!$L$13/12)</f>
        <v>0.9207830911751036</v>
      </c>
      <c r="AC43" s="16">
        <f t="shared" si="13"/>
        <v>0</v>
      </c>
      <c r="AD43" s="18">
        <f t="shared" si="14"/>
        <v>218.80258102590736</v>
      </c>
      <c r="AE43" s="18">
        <f t="shared" si="14"/>
        <v>0</v>
      </c>
      <c r="AF43" s="5">
        <v>0</v>
      </c>
      <c r="AG43" s="73">
        <f t="shared" si="15"/>
        <v>1.0327999999999999</v>
      </c>
      <c r="AH43" s="16">
        <f>Assumptions!$E$14*Assumptions!H20</f>
        <v>3.2938855743363669</v>
      </c>
      <c r="AI43" s="16">
        <f>Assumptions!$F$14*Assumptions!I20</f>
        <v>3.435358716707023</v>
      </c>
      <c r="AJ43" s="16">
        <f t="shared" si="16"/>
        <v>0</v>
      </c>
      <c r="AK43" s="16">
        <f t="shared" si="16"/>
        <v>0.48</v>
      </c>
    </row>
    <row r="44" spans="1:38" x14ac:dyDescent="0.2">
      <c r="A44" s="1">
        <f t="shared" si="5"/>
        <v>37543.761000000042</v>
      </c>
      <c r="B44" s="16">
        <f t="shared" si="3"/>
        <v>1.0327999999999999</v>
      </c>
      <c r="C44" s="17">
        <f t="shared" si="0"/>
        <v>10.375508799999999</v>
      </c>
      <c r="D44" s="16">
        <f t="shared" si="4"/>
        <v>0.92231772966039549</v>
      </c>
      <c r="E44" s="16">
        <f t="shared" si="1"/>
        <v>0</v>
      </c>
      <c r="F44" s="16">
        <f t="shared" si="2"/>
        <v>0</v>
      </c>
      <c r="G44" s="19" t="str">
        <f>IF('Peak Revenue'!$A$1="BL","-",SUM(C44:F44))</f>
        <v>-</v>
      </c>
      <c r="H44" s="203">
        <v>57.006142922524738</v>
      </c>
      <c r="I44" s="203">
        <v>56.040761732617263</v>
      </c>
      <c r="J44" s="203">
        <v>54.740886369632719</v>
      </c>
      <c r="K44" s="203">
        <v>52.62768407506006</v>
      </c>
      <c r="L44" s="203">
        <v>50.217795242768652</v>
      </c>
      <c r="M44" s="203">
        <v>48.76559951993525</v>
      </c>
      <c r="N44" s="203">
        <v>48.638725296568417</v>
      </c>
      <c r="O44" s="203">
        <v>45.683376491748547</v>
      </c>
      <c r="P44" s="203">
        <v>36.688748232550807</v>
      </c>
      <c r="Q44" s="203">
        <v>34.365545523634452</v>
      </c>
      <c r="R44" s="203">
        <v>28.906273685521207</v>
      </c>
      <c r="S44" s="203">
        <v>28.333261203807076</v>
      </c>
      <c r="T44" s="203">
        <v>27.231769522040128</v>
      </c>
      <c r="U44" s="203">
        <v>26.240079571408636</v>
      </c>
      <c r="V44" s="203">
        <v>24.750438797629815</v>
      </c>
      <c r="W44" s="203">
        <v>23.682460652555424</v>
      </c>
      <c r="X44" s="203">
        <v>23.035655624432707</v>
      </c>
      <c r="Y44" s="203">
        <v>22.43229591980225</v>
      </c>
      <c r="Z44" s="203">
        <v>22.126096747118428</v>
      </c>
      <c r="AA44" s="203">
        <v>21.579800289647636</v>
      </c>
      <c r="AB44" s="16">
        <f>AB43*(1+Assumptions!$L$13/12)</f>
        <v>0.92231772966039549</v>
      </c>
      <c r="AC44" s="16">
        <f t="shared" si="13"/>
        <v>0</v>
      </c>
      <c r="AD44" s="18">
        <f t="shared" si="14"/>
        <v>218.80258102590736</v>
      </c>
      <c r="AE44" s="18">
        <f t="shared" si="14"/>
        <v>0</v>
      </c>
      <c r="AF44" s="5">
        <v>0</v>
      </c>
      <c r="AG44" s="73">
        <f t="shared" si="15"/>
        <v>1.0327999999999999</v>
      </c>
      <c r="AH44" s="16">
        <f>Assumptions!$E$14*Assumptions!H21</f>
        <v>3.6479874949817095</v>
      </c>
      <c r="AI44" s="16">
        <f>Assumptions!$F$14*Assumptions!I21</f>
        <v>3.435358716707023</v>
      </c>
      <c r="AJ44" s="16">
        <f t="shared" si="16"/>
        <v>0</v>
      </c>
      <c r="AK44" s="16">
        <f t="shared" si="16"/>
        <v>0.48</v>
      </c>
    </row>
    <row r="45" spans="1:38" x14ac:dyDescent="0.2">
      <c r="A45" s="1">
        <f t="shared" si="5"/>
        <v>37574.178000000044</v>
      </c>
      <c r="B45" s="16">
        <f t="shared" si="3"/>
        <v>1.0327999999999999</v>
      </c>
      <c r="C45" s="17">
        <f t="shared" si="0"/>
        <v>10.375508799999999</v>
      </c>
      <c r="D45" s="16">
        <f t="shared" si="4"/>
        <v>0.9238549258764962</v>
      </c>
      <c r="E45" s="16">
        <f t="shared" si="1"/>
        <v>0</v>
      </c>
      <c r="F45" s="16">
        <f t="shared" si="2"/>
        <v>0</v>
      </c>
      <c r="G45" s="19" t="str">
        <f>IF('Peak Revenue'!$A$1="BL","-",SUM(C45:F45))</f>
        <v>-</v>
      </c>
      <c r="H45" s="203">
        <v>81.719667091237312</v>
      </c>
      <c r="I45" s="203">
        <v>70.159320331937181</v>
      </c>
      <c r="J45" s="203">
        <v>67.095752685073052</v>
      </c>
      <c r="K45" s="203">
        <v>63.853907515457706</v>
      </c>
      <c r="L45" s="203">
        <v>59.803205265538168</v>
      </c>
      <c r="M45" s="203">
        <v>58.007957767646047</v>
      </c>
      <c r="N45" s="203">
        <v>56.982965979184243</v>
      </c>
      <c r="O45" s="203">
        <v>47.962078826274947</v>
      </c>
      <c r="P45" s="203">
        <v>40.67215677369326</v>
      </c>
      <c r="Q45" s="203">
        <v>33.46691003161763</v>
      </c>
      <c r="R45" s="203">
        <v>32.585813980086577</v>
      </c>
      <c r="S45" s="203">
        <v>29.625966433836272</v>
      </c>
      <c r="T45" s="203">
        <v>29.625966433836272</v>
      </c>
      <c r="U45" s="203">
        <v>29.541670909900702</v>
      </c>
      <c r="V45" s="203">
        <v>29.299400375655477</v>
      </c>
      <c r="W45" s="203">
        <v>24.080534054725973</v>
      </c>
      <c r="X45" s="203">
        <v>22.759920017739283</v>
      </c>
      <c r="Y45" s="203">
        <v>21.531707394619289</v>
      </c>
      <c r="Z45" s="203">
        <v>20.647493928612192</v>
      </c>
      <c r="AA45" s="203">
        <v>19.695587829446993</v>
      </c>
      <c r="AB45" s="16">
        <f>AB44*(1+Assumptions!$L$13/12)</f>
        <v>0.9238549258764962</v>
      </c>
      <c r="AC45" s="16">
        <f t="shared" si="13"/>
        <v>0</v>
      </c>
      <c r="AD45" s="18">
        <f t="shared" si="14"/>
        <v>218.80258102590736</v>
      </c>
      <c r="AE45" s="18">
        <f t="shared" si="14"/>
        <v>0</v>
      </c>
      <c r="AF45" s="5">
        <v>0</v>
      </c>
      <c r="AG45" s="73">
        <f t="shared" si="15"/>
        <v>1.0327999999999999</v>
      </c>
      <c r="AH45" s="16">
        <f>Assumptions!$E$14*Assumptions!H22</f>
        <v>3.9947122922802745</v>
      </c>
      <c r="AI45" s="16">
        <f>Assumptions!$F$14*Assumptions!I22</f>
        <v>3.7246520823244564</v>
      </c>
      <c r="AJ45" s="16">
        <f t="shared" si="16"/>
        <v>0</v>
      </c>
      <c r="AK45" s="16">
        <f t="shared" si="16"/>
        <v>0.48</v>
      </c>
    </row>
    <row r="46" spans="1:38" x14ac:dyDescent="0.2">
      <c r="A46" s="1">
        <f t="shared" si="5"/>
        <v>37604.595000000045</v>
      </c>
      <c r="B46" s="16">
        <f t="shared" si="3"/>
        <v>1.0327999999999999</v>
      </c>
      <c r="C46" s="17">
        <f t="shared" si="0"/>
        <v>10.375508799999999</v>
      </c>
      <c r="D46" s="16">
        <f t="shared" si="4"/>
        <v>0.92539468408629044</v>
      </c>
      <c r="E46" s="16">
        <f t="shared" si="1"/>
        <v>0</v>
      </c>
      <c r="F46" s="16">
        <f t="shared" si="2"/>
        <v>0</v>
      </c>
      <c r="G46" s="19" t="str">
        <f>IF('Peak Revenue'!$A$1="BL","-",SUM(C46:F46))</f>
        <v>-</v>
      </c>
      <c r="H46" s="203">
        <v>84.119426862222653</v>
      </c>
      <c r="I46" s="203">
        <v>76.12353258684513</v>
      </c>
      <c r="J46" s="203">
        <v>74.332274868709035</v>
      </c>
      <c r="K46" s="203">
        <v>70.884443720119123</v>
      </c>
      <c r="L46" s="203">
        <v>66.727670262545445</v>
      </c>
      <c r="M46" s="203">
        <v>65.032198740499382</v>
      </c>
      <c r="N46" s="203">
        <v>64.493876889460211</v>
      </c>
      <c r="O46" s="203">
        <v>59.244323721414652</v>
      </c>
      <c r="P46" s="203">
        <v>46.97174242695845</v>
      </c>
      <c r="Q46" s="203">
        <v>42.887291263159092</v>
      </c>
      <c r="R46" s="203">
        <v>37.014647076443147</v>
      </c>
      <c r="S46" s="203">
        <v>35.625733349195443</v>
      </c>
      <c r="T46" s="203">
        <v>26.8157386494157</v>
      </c>
      <c r="U46" s="203">
        <v>25.728933776355788</v>
      </c>
      <c r="V46" s="203">
        <v>24.002608701604075</v>
      </c>
      <c r="W46" s="203">
        <v>22.776321447061623</v>
      </c>
      <c r="X46" s="203">
        <v>22.22656526514379</v>
      </c>
      <c r="Y46" s="203">
        <v>21.819644030236663</v>
      </c>
      <c r="Z46" s="203">
        <v>21.46613043327919</v>
      </c>
      <c r="AA46" s="203">
        <v>20.856624001489145</v>
      </c>
      <c r="AB46" s="16">
        <f>AB45*(1+Assumptions!$L$13/12)</f>
        <v>0.92539468408629044</v>
      </c>
      <c r="AC46" s="16">
        <f t="shared" si="13"/>
        <v>0</v>
      </c>
      <c r="AD46" s="18">
        <f t="shared" si="14"/>
        <v>218.80258102590736</v>
      </c>
      <c r="AE46" s="18">
        <f t="shared" si="14"/>
        <v>0</v>
      </c>
      <c r="AF46" s="5">
        <v>0</v>
      </c>
      <c r="AG46" s="73">
        <f t="shared" si="15"/>
        <v>1.0327999999999999</v>
      </c>
      <c r="AH46" s="16">
        <f>Assumptions!$E$14*Assumptions!H23</f>
        <v>4.3229942812118942</v>
      </c>
      <c r="AI46" s="16">
        <f>Assumptions!$F$14*Assumptions!I23</f>
        <v>3.9054604358353529</v>
      </c>
      <c r="AJ46" s="16">
        <f t="shared" si="16"/>
        <v>0</v>
      </c>
      <c r="AK46" s="16">
        <f t="shared" si="16"/>
        <v>0.48</v>
      </c>
    </row>
    <row r="47" spans="1:38" x14ac:dyDescent="0.2">
      <c r="A47" s="1">
        <f t="shared" si="5"/>
        <v>37635.012000000046</v>
      </c>
      <c r="B47" s="16">
        <f t="shared" si="3"/>
        <v>1.0227999999999999</v>
      </c>
      <c r="C47" s="17">
        <f t="shared" si="0"/>
        <v>10.275048799999999</v>
      </c>
      <c r="D47" s="16">
        <f t="shared" si="4"/>
        <v>0.92693700855976768</v>
      </c>
      <c r="E47" s="16">
        <f t="shared" si="1"/>
        <v>0</v>
      </c>
      <c r="F47" s="16">
        <f t="shared" si="2"/>
        <v>0</v>
      </c>
      <c r="G47" s="19" t="str">
        <f>IF('Peak Revenue'!$A$1="BL","-",SUM(C47:F47))</f>
        <v>-</v>
      </c>
      <c r="H47" s="203">
        <v>74.028231842640821</v>
      </c>
      <c r="I47" s="203">
        <v>71.633993864981036</v>
      </c>
      <c r="J47" s="203">
        <v>66.883973322967805</v>
      </c>
      <c r="K47" s="203">
        <v>60.321597098039646</v>
      </c>
      <c r="L47" s="203">
        <v>55.062612679049195</v>
      </c>
      <c r="M47" s="203">
        <v>52.480110542031355</v>
      </c>
      <c r="N47" s="203">
        <v>49.328971455208524</v>
      </c>
      <c r="O47" s="203">
        <v>48.897765739432565</v>
      </c>
      <c r="P47" s="203">
        <v>47.513146539933118</v>
      </c>
      <c r="Q47" s="203">
        <v>37.361930008329139</v>
      </c>
      <c r="R47" s="203">
        <v>35.57364104503786</v>
      </c>
      <c r="S47" s="203">
        <v>34.931762563240625</v>
      </c>
      <c r="T47" s="203">
        <v>27.888519862783046</v>
      </c>
      <c r="U47" s="203">
        <v>25.602155362477049</v>
      </c>
      <c r="V47" s="203">
        <v>25.421649063098961</v>
      </c>
      <c r="W47" s="203">
        <v>25.018727472501162</v>
      </c>
      <c r="X47" s="203">
        <v>23.995763829819953</v>
      </c>
      <c r="Y47" s="203">
        <v>23.190517805433011</v>
      </c>
      <c r="Z47" s="203">
        <v>22.123427149241571</v>
      </c>
      <c r="AA47" s="203">
        <v>21.031465550528427</v>
      </c>
      <c r="AB47" s="16">
        <f>AB46*(1+Assumptions!$L$13/12)</f>
        <v>0.92693700855976768</v>
      </c>
      <c r="AC47" s="16">
        <f>VLOOKUP($C$1,EnvVOM,6)</f>
        <v>0</v>
      </c>
      <c r="AD47" s="18">
        <f>Assumptions!B15</f>
        <v>240.4080539178627</v>
      </c>
      <c r="AE47" s="18">
        <f>Assumptions!C15</f>
        <v>4274.5039754649742</v>
      </c>
      <c r="AF47" s="5">
        <f>IF(Assumptions!D$15=1,0,1)</f>
        <v>0</v>
      </c>
      <c r="AG47" s="73">
        <f>VLOOKUP($C$1,Coal,6)</f>
        <v>1.0227999999999999</v>
      </c>
      <c r="AH47" s="16">
        <f>Assumptions!$E$15*Assumptions!H12</f>
        <v>3.9896555363352655</v>
      </c>
      <c r="AI47" s="16">
        <f>Assumptions!$F$15*Assumptions!I12</f>
        <v>3.808396097560975</v>
      </c>
      <c r="AJ47" s="16">
        <f>VLOOKUP($C$1,SO2Rate,6)</f>
        <v>0</v>
      </c>
      <c r="AK47" s="16">
        <f>VLOOKUP($C$1,NOxRate,6)</f>
        <v>7.2000000000000008E-2</v>
      </c>
      <c r="AL47" s="4"/>
    </row>
    <row r="48" spans="1:38" x14ac:dyDescent="0.2">
      <c r="A48" s="1">
        <f t="shared" si="5"/>
        <v>37665.429000000047</v>
      </c>
      <c r="B48" s="16">
        <f t="shared" si="3"/>
        <v>1.0227999999999999</v>
      </c>
      <c r="C48" s="17">
        <f t="shared" si="0"/>
        <v>10.275048799999999</v>
      </c>
      <c r="D48" s="16">
        <f t="shared" si="4"/>
        <v>0.92848190357403404</v>
      </c>
      <c r="E48" s="16">
        <f t="shared" si="1"/>
        <v>0</v>
      </c>
      <c r="F48" s="16">
        <f t="shared" si="2"/>
        <v>0</v>
      </c>
      <c r="G48" s="19" t="str">
        <f>IF('Peak Revenue'!$A$1="BL","-",SUM(C48:F48))</f>
        <v>-</v>
      </c>
      <c r="H48" s="203">
        <v>117.50502983162259</v>
      </c>
      <c r="I48" s="203">
        <v>73.056560333132126</v>
      </c>
      <c r="J48" s="203">
        <v>64.707655712366389</v>
      </c>
      <c r="K48" s="203">
        <v>59.587951919959515</v>
      </c>
      <c r="L48" s="203">
        <v>57.049526657934145</v>
      </c>
      <c r="M48" s="203">
        <v>53.974672035976383</v>
      </c>
      <c r="N48" s="203">
        <v>51.143237675113873</v>
      </c>
      <c r="O48" s="203">
        <v>50.902569355894421</v>
      </c>
      <c r="P48" s="203">
        <v>46.256806556604104</v>
      </c>
      <c r="Q48" s="203">
        <v>36.717227987826099</v>
      </c>
      <c r="R48" s="203">
        <v>31.825957338689449</v>
      </c>
      <c r="S48" s="203">
        <v>29.579854489679825</v>
      </c>
      <c r="T48" s="203">
        <v>27.310203818911244</v>
      </c>
      <c r="U48" s="203">
        <v>25.319175204033961</v>
      </c>
      <c r="V48" s="203">
        <v>24.456729162346843</v>
      </c>
      <c r="W48" s="203">
        <v>23.212075497993908</v>
      </c>
      <c r="X48" s="203">
        <v>22.735601559567971</v>
      </c>
      <c r="Y48" s="203">
        <v>22.327077911242728</v>
      </c>
      <c r="Z48" s="203">
        <v>21.926088590252714</v>
      </c>
      <c r="AA48" s="203">
        <v>21.439021540675689</v>
      </c>
      <c r="AB48" s="16">
        <f>AB47*(1+Assumptions!$L$13/12)</f>
        <v>0.92848190357403404</v>
      </c>
      <c r="AC48" s="16">
        <f>AC47</f>
        <v>0</v>
      </c>
      <c r="AD48" s="18">
        <f>AD47</f>
        <v>240.4080539178627</v>
      </c>
      <c r="AE48" s="18">
        <f>AE47</f>
        <v>4274.5039754649742</v>
      </c>
      <c r="AF48" s="5">
        <f>IF(Assumptions!D$15=1,0,1)</f>
        <v>0</v>
      </c>
      <c r="AG48" s="73">
        <f>AG47</f>
        <v>1.0227999999999999</v>
      </c>
      <c r="AH48" s="16">
        <f>Assumptions!$E$15*Assumptions!H13</f>
        <v>3.5758348823004904</v>
      </c>
      <c r="AI48" s="16">
        <f>Assumptions!$F$15*Assumptions!I13</f>
        <v>3.7731331707317071</v>
      </c>
      <c r="AJ48" s="16">
        <f>AJ47</f>
        <v>0</v>
      </c>
      <c r="AK48" s="16">
        <f>AK47</f>
        <v>7.2000000000000008E-2</v>
      </c>
      <c r="AL48" s="4"/>
    </row>
    <row r="49" spans="1:38" x14ac:dyDescent="0.2">
      <c r="A49" s="1">
        <f t="shared" si="5"/>
        <v>37695.846000000049</v>
      </c>
      <c r="B49" s="16">
        <f t="shared" si="3"/>
        <v>1.0227999999999999</v>
      </c>
      <c r="C49" s="17">
        <f t="shared" si="0"/>
        <v>10.275048799999999</v>
      </c>
      <c r="D49" s="16">
        <f t="shared" si="4"/>
        <v>0.93002937341332415</v>
      </c>
      <c r="E49" s="16">
        <f t="shared" si="1"/>
        <v>0</v>
      </c>
      <c r="F49" s="16">
        <f t="shared" si="2"/>
        <v>0</v>
      </c>
      <c r="G49" s="19" t="str">
        <f>IF('Peak Revenue'!$A$1="BL","-",SUM(C49:F49))</f>
        <v>-</v>
      </c>
      <c r="H49" s="203">
        <v>79.200863106730282</v>
      </c>
      <c r="I49" s="203">
        <v>70.213735561138677</v>
      </c>
      <c r="J49" s="203">
        <v>62.347127630750776</v>
      </c>
      <c r="K49" s="203">
        <v>59.974670810236979</v>
      </c>
      <c r="L49" s="203">
        <v>57.287550027261908</v>
      </c>
      <c r="M49" s="203">
        <v>53.710844545722281</v>
      </c>
      <c r="N49" s="203">
        <v>53.103338445906381</v>
      </c>
      <c r="O49" s="203">
        <v>51.9983722885178</v>
      </c>
      <c r="P49" s="203">
        <v>45.252404931858834</v>
      </c>
      <c r="Q49" s="203">
        <v>37.602507522029136</v>
      </c>
      <c r="R49" s="203">
        <v>34.219566952446208</v>
      </c>
      <c r="S49" s="203">
        <v>30.655113837816739</v>
      </c>
      <c r="T49" s="203">
        <v>30.480109483427547</v>
      </c>
      <c r="U49" s="203">
        <v>27.377428571776974</v>
      </c>
      <c r="V49" s="203">
        <v>26.373578806429645</v>
      </c>
      <c r="W49" s="203">
        <v>25.455681414833656</v>
      </c>
      <c r="X49" s="203">
        <v>24.169747935253728</v>
      </c>
      <c r="Y49" s="203">
        <v>23.707990701041744</v>
      </c>
      <c r="Z49" s="203">
        <v>23.163111857270806</v>
      </c>
      <c r="AA49" s="203">
        <v>22.525068739664277</v>
      </c>
      <c r="AB49" s="16">
        <f>AB48*(1+Assumptions!$L$13/12)</f>
        <v>0.93002937341332415</v>
      </c>
      <c r="AC49" s="16">
        <f t="shared" ref="AC49:AC58" si="17">AC48</f>
        <v>0</v>
      </c>
      <c r="AD49" s="18">
        <f t="shared" ref="AD49:AE58" si="18">AD48</f>
        <v>240.4080539178627</v>
      </c>
      <c r="AE49" s="18">
        <f t="shared" si="18"/>
        <v>4274.5039754649742</v>
      </c>
      <c r="AF49" s="5">
        <f>IF(Assumptions!D$15=1,0,1)</f>
        <v>0</v>
      </c>
      <c r="AG49" s="73">
        <f t="shared" ref="AG49:AG58" si="19">AG48</f>
        <v>1.0227999999999999</v>
      </c>
      <c r="AH49" s="16">
        <f>Assumptions!$E$15*Assumptions!H14</f>
        <v>3.5157070949621048</v>
      </c>
      <c r="AI49" s="16">
        <f>Assumptions!$F$15*Assumptions!I14</f>
        <v>3.6320814634146337</v>
      </c>
      <c r="AJ49" s="16">
        <f t="shared" ref="AJ49:AK58" si="20">AJ48</f>
        <v>0</v>
      </c>
      <c r="AK49" s="16">
        <f t="shared" si="20"/>
        <v>7.2000000000000008E-2</v>
      </c>
      <c r="AL49" s="4"/>
    </row>
    <row r="50" spans="1:38" x14ac:dyDescent="0.2">
      <c r="A50" s="1">
        <f t="shared" si="5"/>
        <v>37726.26300000005</v>
      </c>
      <c r="B50" s="16">
        <f t="shared" si="3"/>
        <v>1.0227999999999999</v>
      </c>
      <c r="C50" s="17">
        <f t="shared" si="0"/>
        <v>10.275048799999999</v>
      </c>
      <c r="D50" s="16">
        <f t="shared" si="4"/>
        <v>0.93157942236901303</v>
      </c>
      <c r="E50" s="16">
        <f t="shared" si="1"/>
        <v>0</v>
      </c>
      <c r="F50" s="16">
        <f t="shared" si="2"/>
        <v>0</v>
      </c>
      <c r="G50" s="19" t="str">
        <f>IF('Peak Revenue'!$A$1="BL","-",SUM(C50:F50))</f>
        <v>-</v>
      </c>
      <c r="H50" s="203">
        <v>63.677584810919441</v>
      </c>
      <c r="I50" s="203">
        <v>63.677584810919441</v>
      </c>
      <c r="J50" s="203">
        <v>63.227961110744914</v>
      </c>
      <c r="K50" s="203">
        <v>59.634810729951781</v>
      </c>
      <c r="L50" s="203">
        <v>49.736984622867716</v>
      </c>
      <c r="M50" s="203">
        <v>42.408531692128804</v>
      </c>
      <c r="N50" s="203">
        <v>37.733638968158537</v>
      </c>
      <c r="O50" s="203">
        <v>34.713776986132764</v>
      </c>
      <c r="P50" s="203">
        <v>32.395204863624528</v>
      </c>
      <c r="Q50" s="203">
        <v>32.395204863624528</v>
      </c>
      <c r="R50" s="203">
        <v>32.395204863624528</v>
      </c>
      <c r="S50" s="203">
        <v>30.032329990683291</v>
      </c>
      <c r="T50" s="203">
        <v>26.478946976939628</v>
      </c>
      <c r="U50" s="203">
        <v>25.801155027575781</v>
      </c>
      <c r="V50" s="203">
        <v>24.599634890927209</v>
      </c>
      <c r="W50" s="203">
        <v>23.794887999960469</v>
      </c>
      <c r="X50" s="203">
        <v>23.437162086970655</v>
      </c>
      <c r="Y50" s="203">
        <v>23.078756290729139</v>
      </c>
      <c r="Z50" s="203">
        <v>22.82259669896926</v>
      </c>
      <c r="AA50" s="203">
        <v>22.325350075265384</v>
      </c>
      <c r="AB50" s="16">
        <f>AB49*(1+Assumptions!$L$13/12)</f>
        <v>0.93157942236901303</v>
      </c>
      <c r="AC50" s="16">
        <f t="shared" si="17"/>
        <v>0</v>
      </c>
      <c r="AD50" s="18">
        <f t="shared" si="18"/>
        <v>240.4080539178627</v>
      </c>
      <c r="AE50" s="18">
        <f t="shared" si="18"/>
        <v>4274.5039754649742</v>
      </c>
      <c r="AF50" s="5">
        <f>IF(Assumptions!D$15=1,0,1)</f>
        <v>0</v>
      </c>
      <c r="AG50" s="73">
        <f t="shared" si="19"/>
        <v>1.0227999999999999</v>
      </c>
      <c r="AH50" s="16">
        <f>Assumptions!$E$15*Assumptions!H15</f>
        <v>3.342397590280874</v>
      </c>
      <c r="AI50" s="16">
        <f>Assumptions!$F$15*Assumptions!I15</f>
        <v>3.4910297560975603</v>
      </c>
      <c r="AJ50" s="16">
        <f t="shared" si="20"/>
        <v>0</v>
      </c>
      <c r="AK50" s="16">
        <f t="shared" si="20"/>
        <v>7.2000000000000008E-2</v>
      </c>
      <c r="AL50" s="4"/>
    </row>
    <row r="51" spans="1:38" x14ac:dyDescent="0.2">
      <c r="A51" s="1">
        <f t="shared" si="5"/>
        <v>37756.680000000051</v>
      </c>
      <c r="B51" s="16">
        <f t="shared" si="3"/>
        <v>1.0227999999999999</v>
      </c>
      <c r="C51" s="17">
        <f t="shared" si="0"/>
        <v>10.275048799999999</v>
      </c>
      <c r="D51" s="16">
        <f t="shared" si="4"/>
        <v>0.93313205473962813</v>
      </c>
      <c r="E51" s="16">
        <f t="shared" si="1"/>
        <v>0</v>
      </c>
      <c r="F51" s="16">
        <f t="shared" si="2"/>
        <v>1.5459000097507611</v>
      </c>
      <c r="G51" s="19" t="str">
        <f>IF('Peak Revenue'!$A$1="BL","-",SUM(C51:F51))</f>
        <v>-</v>
      </c>
      <c r="H51" s="203">
        <v>78.432296188507138</v>
      </c>
      <c r="I51" s="203">
        <v>72.178618729435158</v>
      </c>
      <c r="J51" s="203">
        <v>68.71995139670878</v>
      </c>
      <c r="K51" s="203">
        <v>64.194505496564858</v>
      </c>
      <c r="L51" s="203">
        <v>60.138395340018391</v>
      </c>
      <c r="M51" s="203">
        <v>58.227973052312812</v>
      </c>
      <c r="N51" s="203">
        <v>56.703802578782145</v>
      </c>
      <c r="O51" s="203">
        <v>43.482140808795748</v>
      </c>
      <c r="P51" s="203">
        <v>38.794790561262481</v>
      </c>
      <c r="Q51" s="203">
        <v>33.537844081419777</v>
      </c>
      <c r="R51" s="203">
        <v>33.332377150933503</v>
      </c>
      <c r="S51" s="203">
        <v>32.062747245659502</v>
      </c>
      <c r="T51" s="203">
        <v>30.062367550673311</v>
      </c>
      <c r="U51" s="203">
        <v>28.780648233385659</v>
      </c>
      <c r="V51" s="203">
        <v>28.484845063347358</v>
      </c>
      <c r="W51" s="203">
        <v>27.867135492491499</v>
      </c>
      <c r="X51" s="203">
        <v>27.19156344132492</v>
      </c>
      <c r="Y51" s="203">
        <v>26.748298290299051</v>
      </c>
      <c r="Z51" s="203">
        <v>26.315433229657284</v>
      </c>
      <c r="AA51" s="203">
        <v>25.618611554271897</v>
      </c>
      <c r="AB51" s="16">
        <f>AB50*(1+Assumptions!$L$13/12)</f>
        <v>0.93313205473962813</v>
      </c>
      <c r="AC51" s="16">
        <f t="shared" si="17"/>
        <v>0</v>
      </c>
      <c r="AD51" s="18">
        <f t="shared" si="18"/>
        <v>240.4080539178627</v>
      </c>
      <c r="AE51" s="18">
        <f t="shared" si="18"/>
        <v>4274.5039754649742</v>
      </c>
      <c r="AF51" s="5">
        <v>1</v>
      </c>
      <c r="AG51" s="73">
        <f t="shared" si="19"/>
        <v>1.0227999999999999</v>
      </c>
      <c r="AH51" s="16">
        <f>Assumptions!$E$15*Assumptions!H16</f>
        <v>3.5192440236290685</v>
      </c>
      <c r="AI51" s="16">
        <f>Assumptions!$F$15*Assumptions!I16</f>
        <v>3.3499780487804869</v>
      </c>
      <c r="AJ51" s="16">
        <f t="shared" si="20"/>
        <v>0</v>
      </c>
      <c r="AK51" s="16">
        <f t="shared" si="20"/>
        <v>7.2000000000000008E-2</v>
      </c>
      <c r="AL51" s="4"/>
    </row>
    <row r="52" spans="1:38" x14ac:dyDescent="0.2">
      <c r="A52" s="1">
        <f t="shared" si="5"/>
        <v>37787.097000000053</v>
      </c>
      <c r="B52" s="16">
        <f t="shared" si="3"/>
        <v>1.0227999999999999</v>
      </c>
      <c r="C52" s="17">
        <f t="shared" si="0"/>
        <v>10.275048799999999</v>
      </c>
      <c r="D52" s="16">
        <f t="shared" si="4"/>
        <v>0.93468727483086089</v>
      </c>
      <c r="E52" s="16">
        <f t="shared" si="1"/>
        <v>0</v>
      </c>
      <c r="F52" s="16">
        <f t="shared" si="2"/>
        <v>1.5459000097507611</v>
      </c>
      <c r="G52" s="19" t="str">
        <f>IF('Peak Revenue'!$A$1="BL","-",SUM(C52:F52))</f>
        <v>-</v>
      </c>
      <c r="H52" s="203">
        <v>279.59627063945044</v>
      </c>
      <c r="I52" s="203">
        <v>193.6508018465415</v>
      </c>
      <c r="J52" s="203">
        <v>107.37453031660434</v>
      </c>
      <c r="K52" s="203">
        <v>76.682479313998471</v>
      </c>
      <c r="L52" s="203">
        <v>65.02490680262089</v>
      </c>
      <c r="M52" s="203">
        <v>59.053872167654774</v>
      </c>
      <c r="N52" s="203">
        <v>54.082517147956608</v>
      </c>
      <c r="O52" s="203">
        <v>51.531831289566746</v>
      </c>
      <c r="P52" s="203">
        <v>40.10804114935943</v>
      </c>
      <c r="Q52" s="203">
        <v>39.016987895921353</v>
      </c>
      <c r="R52" s="203">
        <v>36.684863557543324</v>
      </c>
      <c r="S52" s="203">
        <v>31.676910024665471</v>
      </c>
      <c r="T52" s="203">
        <v>29.891593867077614</v>
      </c>
      <c r="U52" s="203">
        <v>29.150394411199365</v>
      </c>
      <c r="V52" s="203">
        <v>28.47227833759786</v>
      </c>
      <c r="W52" s="203">
        <v>28.045054302138315</v>
      </c>
      <c r="X52" s="203">
        <v>27.306433639772123</v>
      </c>
      <c r="Y52" s="203">
        <v>26.718820062353704</v>
      </c>
      <c r="Z52" s="203">
        <v>26.02802640624904</v>
      </c>
      <c r="AA52" s="203">
        <v>24.456340317409929</v>
      </c>
      <c r="AB52" s="16">
        <f>AB51*(1+Assumptions!$L$13/12)</f>
        <v>0.93468727483086089</v>
      </c>
      <c r="AC52" s="16">
        <f t="shared" si="17"/>
        <v>0</v>
      </c>
      <c r="AD52" s="18">
        <f t="shared" si="18"/>
        <v>240.4080539178627</v>
      </c>
      <c r="AE52" s="18">
        <f t="shared" si="18"/>
        <v>4274.5039754649742</v>
      </c>
      <c r="AF52" s="5">
        <v>1</v>
      </c>
      <c r="AG52" s="73">
        <f t="shared" si="19"/>
        <v>1.0227999999999999</v>
      </c>
      <c r="AH52" s="16">
        <f>Assumptions!$E$15*Assumptions!H17</f>
        <v>3.3530083762817657</v>
      </c>
      <c r="AI52" s="16">
        <f>Assumptions!$F$15*Assumptions!I17</f>
        <v>3.3499780487804869</v>
      </c>
      <c r="AJ52" s="16">
        <f t="shared" si="20"/>
        <v>0</v>
      </c>
      <c r="AK52" s="16">
        <f t="shared" si="20"/>
        <v>7.2000000000000008E-2</v>
      </c>
      <c r="AL52" s="4"/>
    </row>
    <row r="53" spans="1:38" x14ac:dyDescent="0.2">
      <c r="A53" s="1">
        <f t="shared" si="5"/>
        <v>37817.514000000054</v>
      </c>
      <c r="B53" s="16">
        <f t="shared" si="3"/>
        <v>1.0227999999999999</v>
      </c>
      <c r="C53" s="17">
        <f t="shared" si="0"/>
        <v>10.275048799999999</v>
      </c>
      <c r="D53" s="16">
        <f t="shared" si="4"/>
        <v>0.93624508695557906</v>
      </c>
      <c r="E53" s="16">
        <f t="shared" si="1"/>
        <v>0</v>
      </c>
      <c r="F53" s="16">
        <f t="shared" si="2"/>
        <v>1.5459000097507611</v>
      </c>
      <c r="G53" s="19" t="str">
        <f>IF('Peak Revenue'!$A$1="BL","-",SUM(C53:F53))</f>
        <v>-</v>
      </c>
      <c r="H53" s="203">
        <v>859.48305581503337</v>
      </c>
      <c r="I53" s="203">
        <v>473.70757579450583</v>
      </c>
      <c r="J53" s="203">
        <v>303.81592564862189</v>
      </c>
      <c r="K53" s="203">
        <v>195.49377956891368</v>
      </c>
      <c r="L53" s="203">
        <v>89.589284251866331</v>
      </c>
      <c r="M53" s="203">
        <v>72.669109214856292</v>
      </c>
      <c r="N53" s="203">
        <v>60.105336207781669</v>
      </c>
      <c r="O53" s="203">
        <v>54.954947032173145</v>
      </c>
      <c r="P53" s="203">
        <v>52.453711459269151</v>
      </c>
      <c r="Q53" s="203">
        <v>49.707123249122397</v>
      </c>
      <c r="R53" s="203">
        <v>40.871302295451848</v>
      </c>
      <c r="S53" s="203">
        <v>39.494409235647332</v>
      </c>
      <c r="T53" s="203">
        <v>37.184011116541541</v>
      </c>
      <c r="U53" s="203">
        <v>35.206004824571117</v>
      </c>
      <c r="V53" s="203">
        <v>33.245676000666904</v>
      </c>
      <c r="W53" s="203">
        <v>31.704321493295758</v>
      </c>
      <c r="X53" s="203">
        <v>30.922816019176555</v>
      </c>
      <c r="Y53" s="203">
        <v>30.418036437875909</v>
      </c>
      <c r="Z53" s="203">
        <v>29.72400936899724</v>
      </c>
      <c r="AA53" s="203">
        <v>27.395895579734667</v>
      </c>
      <c r="AB53" s="16">
        <f>AB52*(1+Assumptions!$L$13/12)</f>
        <v>0.93624508695557906</v>
      </c>
      <c r="AC53" s="16">
        <f t="shared" si="17"/>
        <v>0</v>
      </c>
      <c r="AD53" s="18">
        <f t="shared" si="18"/>
        <v>240.4080539178627</v>
      </c>
      <c r="AE53" s="18">
        <f t="shared" si="18"/>
        <v>4274.5039754649742</v>
      </c>
      <c r="AF53" s="5">
        <v>1</v>
      </c>
      <c r="AG53" s="73">
        <f t="shared" si="19"/>
        <v>1.0227999999999999</v>
      </c>
      <c r="AH53" s="16">
        <f>Assumptions!$E$15*Assumptions!H18</f>
        <v>3.342397590280874</v>
      </c>
      <c r="AI53" s="16">
        <f>Assumptions!$F$15*Assumptions!I18</f>
        <v>3.3499780487804869</v>
      </c>
      <c r="AJ53" s="16">
        <f t="shared" si="20"/>
        <v>0</v>
      </c>
      <c r="AK53" s="16">
        <f t="shared" si="20"/>
        <v>7.2000000000000008E-2</v>
      </c>
      <c r="AL53" s="4"/>
    </row>
    <row r="54" spans="1:38" x14ac:dyDescent="0.2">
      <c r="A54" s="1">
        <f t="shared" si="5"/>
        <v>37847.931000000055</v>
      </c>
      <c r="B54" s="16">
        <f t="shared" si="3"/>
        <v>1.0227999999999999</v>
      </c>
      <c r="C54" s="17">
        <f t="shared" si="0"/>
        <v>10.275048799999999</v>
      </c>
      <c r="D54" s="16">
        <f t="shared" si="4"/>
        <v>0.9378054954338384</v>
      </c>
      <c r="E54" s="16">
        <f t="shared" si="1"/>
        <v>0</v>
      </c>
      <c r="F54" s="16">
        <f t="shared" si="2"/>
        <v>1.5459000097507611</v>
      </c>
      <c r="G54" s="19" t="str">
        <f>IF('Peak Revenue'!$A$1="BL","-",SUM(C54:F54))</f>
        <v>-</v>
      </c>
      <c r="H54" s="203">
        <v>1783.4584120462423</v>
      </c>
      <c r="I54" s="203">
        <v>821.600196973626</v>
      </c>
      <c r="J54" s="203">
        <v>477.67586208541707</v>
      </c>
      <c r="K54" s="203">
        <v>247.96854478524637</v>
      </c>
      <c r="L54" s="203">
        <v>150.1364155822242</v>
      </c>
      <c r="M54" s="203">
        <v>91.064805553063309</v>
      </c>
      <c r="N54" s="203">
        <v>78.348591394381501</v>
      </c>
      <c r="O54" s="203">
        <v>72.795175737680694</v>
      </c>
      <c r="P54" s="203">
        <v>64.369943483334453</v>
      </c>
      <c r="Q54" s="203">
        <v>47.958708635409778</v>
      </c>
      <c r="R54" s="203">
        <v>41.118750635394036</v>
      </c>
      <c r="S54" s="203">
        <v>37.735427765940933</v>
      </c>
      <c r="T54" s="203">
        <v>34.03312904064628</v>
      </c>
      <c r="U54" s="203">
        <v>32.664490758808526</v>
      </c>
      <c r="V54" s="203">
        <v>32.071413621710306</v>
      </c>
      <c r="W54" s="203">
        <v>31.507016750892149</v>
      </c>
      <c r="X54" s="203">
        <v>30.617290349368318</v>
      </c>
      <c r="Y54" s="203">
        <v>29.756718723707845</v>
      </c>
      <c r="Z54" s="203">
        <v>28.74573954278247</v>
      </c>
      <c r="AA54" s="203">
        <v>27.099459633045274</v>
      </c>
      <c r="AB54" s="16">
        <f>AB53*(1+Assumptions!$L$13/12)</f>
        <v>0.9378054954338384</v>
      </c>
      <c r="AC54" s="16">
        <f t="shared" si="17"/>
        <v>0</v>
      </c>
      <c r="AD54" s="18">
        <f t="shared" si="18"/>
        <v>240.4080539178627</v>
      </c>
      <c r="AE54" s="18">
        <f t="shared" si="18"/>
        <v>4274.5039754649742</v>
      </c>
      <c r="AF54" s="5">
        <v>1</v>
      </c>
      <c r="AG54" s="73">
        <f t="shared" si="19"/>
        <v>1.0227999999999999</v>
      </c>
      <c r="AH54" s="16">
        <f>Assumptions!$E$15*Assumptions!H19</f>
        <v>3.1690880855996437</v>
      </c>
      <c r="AI54" s="16">
        <f>Assumptions!$F$15*Assumptions!I19</f>
        <v>3.3499780487804869</v>
      </c>
      <c r="AJ54" s="16">
        <f t="shared" si="20"/>
        <v>0</v>
      </c>
      <c r="AK54" s="16">
        <f t="shared" si="20"/>
        <v>7.2000000000000008E-2</v>
      </c>
      <c r="AL54" s="4"/>
    </row>
    <row r="55" spans="1:38" x14ac:dyDescent="0.2">
      <c r="A55" s="1">
        <f t="shared" si="5"/>
        <v>37878.348000000056</v>
      </c>
      <c r="B55" s="16">
        <f t="shared" si="3"/>
        <v>1.0227999999999999</v>
      </c>
      <c r="C55" s="17">
        <f t="shared" si="0"/>
        <v>10.275048799999999</v>
      </c>
      <c r="D55" s="16">
        <f t="shared" si="4"/>
        <v>0.93936850459289478</v>
      </c>
      <c r="E55" s="16">
        <f t="shared" si="1"/>
        <v>0</v>
      </c>
      <c r="F55" s="16">
        <f t="shared" si="2"/>
        <v>1.5459000097507611</v>
      </c>
      <c r="G55" s="19" t="str">
        <f>IF('Peak Revenue'!$A$1="BL","-",SUM(C55:F55))</f>
        <v>-</v>
      </c>
      <c r="H55" s="203">
        <v>189.4924103063496</v>
      </c>
      <c r="I55" s="203">
        <v>116.49255602144783</v>
      </c>
      <c r="J55" s="203">
        <v>99.280172823737104</v>
      </c>
      <c r="K55" s="203">
        <v>67.622072900753068</v>
      </c>
      <c r="L55" s="203">
        <v>54.177233538903621</v>
      </c>
      <c r="M55" s="203">
        <v>52.76377714797907</v>
      </c>
      <c r="N55" s="203">
        <v>49.192405689861559</v>
      </c>
      <c r="O55" s="203">
        <v>45.404603114951122</v>
      </c>
      <c r="P55" s="203">
        <v>45.022535037316423</v>
      </c>
      <c r="Q55" s="203">
        <v>41.82566877861678</v>
      </c>
      <c r="R55" s="203">
        <v>37.455161376200309</v>
      </c>
      <c r="S55" s="203">
        <v>35.158415128954097</v>
      </c>
      <c r="T55" s="203">
        <v>34.261490006315661</v>
      </c>
      <c r="U55" s="203">
        <v>33.161186043473656</v>
      </c>
      <c r="V55" s="203">
        <v>32.71844314339446</v>
      </c>
      <c r="W55" s="203">
        <v>32.506459100341921</v>
      </c>
      <c r="X55" s="203">
        <v>32.038069271291775</v>
      </c>
      <c r="Y55" s="203">
        <v>31.295226732535202</v>
      </c>
      <c r="Z55" s="203">
        <v>30.758700780609693</v>
      </c>
      <c r="AA55" s="203">
        <v>28.926725315633028</v>
      </c>
      <c r="AB55" s="16">
        <f>AB54*(1+Assumptions!$L$13/12)</f>
        <v>0.93936850459289478</v>
      </c>
      <c r="AC55" s="16">
        <f t="shared" si="17"/>
        <v>0</v>
      </c>
      <c r="AD55" s="18">
        <f t="shared" si="18"/>
        <v>240.4080539178627</v>
      </c>
      <c r="AE55" s="18">
        <f t="shared" si="18"/>
        <v>4274.5039754649742</v>
      </c>
      <c r="AF55" s="5">
        <v>1</v>
      </c>
      <c r="AG55" s="73">
        <f t="shared" si="19"/>
        <v>1.0227999999999999</v>
      </c>
      <c r="AH55" s="16">
        <f>Assumptions!$E$15*Assumptions!H20</f>
        <v>3.158477299598752</v>
      </c>
      <c r="AI55" s="16">
        <f>Assumptions!$F$15*Assumptions!I20</f>
        <v>3.3499780487804869</v>
      </c>
      <c r="AJ55" s="16">
        <f t="shared" si="20"/>
        <v>0</v>
      </c>
      <c r="AK55" s="16">
        <f t="shared" si="20"/>
        <v>7.2000000000000008E-2</v>
      </c>
      <c r="AL55" s="4"/>
    </row>
    <row r="56" spans="1:38" x14ac:dyDescent="0.2">
      <c r="A56" s="1">
        <f t="shared" si="5"/>
        <v>37908.765000000058</v>
      </c>
      <c r="B56" s="16">
        <f t="shared" si="3"/>
        <v>1.0227999999999999</v>
      </c>
      <c r="C56" s="17">
        <f t="shared" si="0"/>
        <v>10.275048799999999</v>
      </c>
      <c r="D56" s="16">
        <f t="shared" si="4"/>
        <v>0.94093411876721633</v>
      </c>
      <c r="E56" s="16">
        <f t="shared" si="1"/>
        <v>0</v>
      </c>
      <c r="F56" s="16">
        <f t="shared" si="2"/>
        <v>0</v>
      </c>
      <c r="G56" s="19" t="str">
        <f>IF('Peak Revenue'!$A$1="BL","-",SUM(C56:F56))</f>
        <v>-</v>
      </c>
      <c r="H56" s="203">
        <v>65.977933928873625</v>
      </c>
      <c r="I56" s="203">
        <v>63.741495704892074</v>
      </c>
      <c r="J56" s="203">
        <v>62.554235306004728</v>
      </c>
      <c r="K56" s="203">
        <v>59.04991668824141</v>
      </c>
      <c r="L56" s="203">
        <v>57.436681485054244</v>
      </c>
      <c r="M56" s="203">
        <v>57.285519486389163</v>
      </c>
      <c r="N56" s="203">
        <v>51.640111540665046</v>
      </c>
      <c r="O56" s="203">
        <v>43.6962399341609</v>
      </c>
      <c r="P56" s="203">
        <v>42.905529187316588</v>
      </c>
      <c r="Q56" s="203">
        <v>40.372405687050176</v>
      </c>
      <c r="R56" s="203">
        <v>31.259923126493863</v>
      </c>
      <c r="S56" s="203">
        <v>29.375572858362908</v>
      </c>
      <c r="T56" s="203">
        <v>28.967777362326522</v>
      </c>
      <c r="U56" s="203">
        <v>28.938793733846786</v>
      </c>
      <c r="V56" s="203">
        <v>25.879977100537332</v>
      </c>
      <c r="W56" s="203">
        <v>24.644746489389469</v>
      </c>
      <c r="X56" s="203">
        <v>23.262867181278772</v>
      </c>
      <c r="Y56" s="203">
        <v>22.396640766634068</v>
      </c>
      <c r="Z56" s="203">
        <v>21.748856590514201</v>
      </c>
      <c r="AA56" s="203">
        <v>21.021056240554358</v>
      </c>
      <c r="AB56" s="16">
        <f>AB55*(1+Assumptions!$L$13/12)</f>
        <v>0.94093411876721633</v>
      </c>
      <c r="AC56" s="16">
        <f t="shared" si="17"/>
        <v>0</v>
      </c>
      <c r="AD56" s="18">
        <f t="shared" si="18"/>
        <v>240.4080539178627</v>
      </c>
      <c r="AE56" s="18">
        <f t="shared" si="18"/>
        <v>4274.5039754649742</v>
      </c>
      <c r="AF56" s="5">
        <f>IF(Assumptions!D$15=1,0,1)</f>
        <v>0</v>
      </c>
      <c r="AG56" s="73">
        <f t="shared" si="19"/>
        <v>1.0227999999999999</v>
      </c>
      <c r="AH56" s="16">
        <f>Assumptions!$E$15*Assumptions!H21</f>
        <v>3.4980224516272855</v>
      </c>
      <c r="AI56" s="16">
        <f>Assumptions!$F$15*Assumptions!I21</f>
        <v>3.3499780487804869</v>
      </c>
      <c r="AJ56" s="16">
        <f t="shared" si="20"/>
        <v>0</v>
      </c>
      <c r="AK56" s="16">
        <f t="shared" si="20"/>
        <v>7.2000000000000008E-2</v>
      </c>
      <c r="AL56" s="4"/>
    </row>
    <row r="57" spans="1:38" x14ac:dyDescent="0.2">
      <c r="A57" s="1">
        <f t="shared" si="5"/>
        <v>37939.182000000059</v>
      </c>
      <c r="B57" s="16">
        <f t="shared" si="3"/>
        <v>1.0227999999999999</v>
      </c>
      <c r="C57" s="17">
        <f t="shared" si="0"/>
        <v>10.275048799999999</v>
      </c>
      <c r="D57" s="16">
        <f t="shared" si="4"/>
        <v>0.94250234229849505</v>
      </c>
      <c r="E57" s="16">
        <f t="shared" si="1"/>
        <v>0</v>
      </c>
      <c r="F57" s="16">
        <f t="shared" si="2"/>
        <v>0</v>
      </c>
      <c r="G57" s="19" t="str">
        <f>IF('Peak Revenue'!$A$1="BL","-",SUM(C57:F57))</f>
        <v>-</v>
      </c>
      <c r="H57" s="203">
        <v>75.657803801230017</v>
      </c>
      <c r="I57" s="203">
        <v>73.878793945720417</v>
      </c>
      <c r="J57" s="203">
        <v>71.392811624549879</v>
      </c>
      <c r="K57" s="203">
        <v>66.900707385534048</v>
      </c>
      <c r="L57" s="203">
        <v>65.136766073318341</v>
      </c>
      <c r="M57" s="203">
        <v>64.597485608818431</v>
      </c>
      <c r="N57" s="203">
        <v>57.354286677840051</v>
      </c>
      <c r="O57" s="203">
        <v>45.252785946837356</v>
      </c>
      <c r="P57" s="203">
        <v>39.299342527483148</v>
      </c>
      <c r="Q57" s="203">
        <v>37.072941905769781</v>
      </c>
      <c r="R57" s="203">
        <v>34.062255128064891</v>
      </c>
      <c r="S57" s="203">
        <v>33.321432864986932</v>
      </c>
      <c r="T57" s="203">
        <v>32.398808835402832</v>
      </c>
      <c r="U57" s="203">
        <v>26.790041395936814</v>
      </c>
      <c r="V57" s="203">
        <v>25.296177537903759</v>
      </c>
      <c r="W57" s="203">
        <v>24.407427962115811</v>
      </c>
      <c r="X57" s="203">
        <v>23.267853379319302</v>
      </c>
      <c r="Y57" s="203">
        <v>22.834655678301718</v>
      </c>
      <c r="Z57" s="203">
        <v>22.439919331554925</v>
      </c>
      <c r="AA57" s="203">
        <v>21.811307753831347</v>
      </c>
      <c r="AB57" s="16">
        <f>AB56*(1+Assumptions!$L$13/12)</f>
        <v>0.94250234229849505</v>
      </c>
      <c r="AC57" s="16">
        <f t="shared" si="17"/>
        <v>0</v>
      </c>
      <c r="AD57" s="18">
        <f t="shared" si="18"/>
        <v>240.4080539178627</v>
      </c>
      <c r="AE57" s="18">
        <f t="shared" si="18"/>
        <v>4274.5039754649742</v>
      </c>
      <c r="AF57" s="5">
        <f>IF(Assumptions!D$15=1,0,1)</f>
        <v>0</v>
      </c>
      <c r="AG57" s="73">
        <f t="shared" si="19"/>
        <v>1.0227999999999999</v>
      </c>
      <c r="AH57" s="16">
        <f>Assumptions!$E$15*Assumptions!H22</f>
        <v>3.8304937463218907</v>
      </c>
      <c r="AI57" s="16">
        <f>Assumptions!$F$15*Assumptions!I22</f>
        <v>3.6320814634146337</v>
      </c>
      <c r="AJ57" s="16">
        <f t="shared" si="20"/>
        <v>0</v>
      </c>
      <c r="AK57" s="16">
        <f t="shared" si="20"/>
        <v>7.2000000000000008E-2</v>
      </c>
      <c r="AL57" s="4"/>
    </row>
    <row r="58" spans="1:38" x14ac:dyDescent="0.2">
      <c r="A58" s="1">
        <f t="shared" si="5"/>
        <v>37969.59900000006</v>
      </c>
      <c r="B58" s="16">
        <f t="shared" si="3"/>
        <v>1.0227999999999999</v>
      </c>
      <c r="C58" s="17">
        <f t="shared" si="0"/>
        <v>10.275048799999999</v>
      </c>
      <c r="D58" s="16">
        <f t="shared" si="4"/>
        <v>0.94407317953565928</v>
      </c>
      <c r="E58" s="16">
        <f t="shared" si="1"/>
        <v>0</v>
      </c>
      <c r="F58" s="16">
        <f t="shared" si="2"/>
        <v>0</v>
      </c>
      <c r="G58" s="19" t="str">
        <f>IF('Peak Revenue'!$A$1="BL","-",SUM(C58:F58))</f>
        <v>-</v>
      </c>
      <c r="H58" s="203">
        <v>86.503101636355069</v>
      </c>
      <c r="I58" s="203">
        <v>75.300460574016114</v>
      </c>
      <c r="J58" s="203">
        <v>73.153484633885597</v>
      </c>
      <c r="K58" s="203">
        <v>69.621438686686844</v>
      </c>
      <c r="L58" s="203">
        <v>65.22375044606072</v>
      </c>
      <c r="M58" s="203">
        <v>64.385070052265007</v>
      </c>
      <c r="N58" s="203">
        <v>62.52217220964134</v>
      </c>
      <c r="O58" s="203">
        <v>51.497249805531567</v>
      </c>
      <c r="P58" s="203">
        <v>44.564201434030942</v>
      </c>
      <c r="Q58" s="203">
        <v>36.82929609896901</v>
      </c>
      <c r="R58" s="203">
        <v>36.53704952600684</v>
      </c>
      <c r="S58" s="203">
        <v>32.613774760640247</v>
      </c>
      <c r="T58" s="203">
        <v>32.470062410947378</v>
      </c>
      <c r="U58" s="203">
        <v>32.470062410947378</v>
      </c>
      <c r="V58" s="203">
        <v>32.470062410947378</v>
      </c>
      <c r="W58" s="203">
        <v>32.470062410947378</v>
      </c>
      <c r="X58" s="203">
        <v>31.204365610780673</v>
      </c>
      <c r="Y58" s="203">
        <v>27.609596638703099</v>
      </c>
      <c r="Z58" s="203">
        <v>26.679184826872763</v>
      </c>
      <c r="AA58" s="203">
        <v>24.082999903243813</v>
      </c>
      <c r="AB58" s="16">
        <f>AB57*(1+Assumptions!$L$13/12)</f>
        <v>0.94407317953565928</v>
      </c>
      <c r="AC58" s="16">
        <f t="shared" si="17"/>
        <v>0</v>
      </c>
      <c r="AD58" s="18">
        <f t="shared" si="18"/>
        <v>240.4080539178627</v>
      </c>
      <c r="AE58" s="18">
        <f t="shared" si="18"/>
        <v>4274.5039754649742</v>
      </c>
      <c r="AF58" s="5">
        <f>IF(Assumptions!D$15=1,0,1)</f>
        <v>0</v>
      </c>
      <c r="AG58" s="73">
        <f t="shared" si="19"/>
        <v>1.0227999999999999</v>
      </c>
      <c r="AH58" s="16">
        <f>Assumptions!$E$15*Assumptions!H23</f>
        <v>4.1452803976816766</v>
      </c>
      <c r="AI58" s="16">
        <f>Assumptions!$F$15*Assumptions!I23</f>
        <v>3.808396097560975</v>
      </c>
      <c r="AJ58" s="16">
        <f t="shared" si="20"/>
        <v>0</v>
      </c>
      <c r="AK58" s="16">
        <f t="shared" si="20"/>
        <v>7.2000000000000008E-2</v>
      </c>
      <c r="AL58" s="4"/>
    </row>
    <row r="59" spans="1:38" x14ac:dyDescent="0.2">
      <c r="A59" s="1">
        <f t="shared" si="5"/>
        <v>38000.016000000061</v>
      </c>
      <c r="B59" s="16">
        <f t="shared" si="3"/>
        <v>1.0184</v>
      </c>
      <c r="C59" s="17">
        <f t="shared" si="0"/>
        <v>10.230846400000001</v>
      </c>
      <c r="D59" s="16">
        <f t="shared" si="4"/>
        <v>0.94564663483488542</v>
      </c>
      <c r="E59" s="16">
        <f t="shared" si="1"/>
        <v>0</v>
      </c>
      <c r="F59" s="16">
        <f t="shared" si="2"/>
        <v>0</v>
      </c>
      <c r="G59" s="19" t="str">
        <f>IF('Peak Revenue'!$A$1="BL","-",SUM(C59:F59))</f>
        <v>-</v>
      </c>
      <c r="H59" s="203">
        <v>77.924930636924003</v>
      </c>
      <c r="I59" s="203">
        <v>74.66636620142063</v>
      </c>
      <c r="J59" s="203">
        <v>73.465830468650381</v>
      </c>
      <c r="K59" s="203">
        <v>73.349873419039511</v>
      </c>
      <c r="L59" s="203">
        <v>72.207054737877598</v>
      </c>
      <c r="M59" s="203">
        <v>66.384015791666826</v>
      </c>
      <c r="N59" s="203">
        <v>50.552298397304433</v>
      </c>
      <c r="O59" s="203">
        <v>45.56320712107329</v>
      </c>
      <c r="P59" s="203">
        <v>44.237650471047104</v>
      </c>
      <c r="Q59" s="203">
        <v>37.540990539524365</v>
      </c>
      <c r="R59" s="203">
        <v>37.026939056060776</v>
      </c>
      <c r="S59" s="203">
        <v>33.062702315870887</v>
      </c>
      <c r="T59" s="203">
        <v>26.89445212205688</v>
      </c>
      <c r="U59" s="203">
        <v>25.498154211301053</v>
      </c>
      <c r="V59" s="203">
        <v>24.924639905935848</v>
      </c>
      <c r="W59" s="203">
        <v>23.746461063724208</v>
      </c>
      <c r="X59" s="203">
        <v>23.317715759704434</v>
      </c>
      <c r="Y59" s="203">
        <v>23.00679745296468</v>
      </c>
      <c r="Z59" s="203">
        <v>22.71501965906161</v>
      </c>
      <c r="AA59" s="203">
        <v>22.197177358218802</v>
      </c>
      <c r="AB59" s="16">
        <f>AB58*(1+Assumptions!$L$13/12)</f>
        <v>0.94564663483488542</v>
      </c>
      <c r="AC59" s="16">
        <f>VLOOKUP($C$1,EnvVOM,7)</f>
        <v>0</v>
      </c>
      <c r="AD59" s="18">
        <f>Assumptions!B16</f>
        <v>264.14659569665338</v>
      </c>
      <c r="AE59" s="18">
        <f>Assumptions!C16</f>
        <v>3642.145326358393</v>
      </c>
      <c r="AF59" s="5">
        <f>IF(Assumptions!D$16=1,0,1)</f>
        <v>0</v>
      </c>
      <c r="AG59" s="73">
        <f>VLOOKUP($C$1,Coal,7)</f>
        <v>1.0184</v>
      </c>
      <c r="AH59" s="16">
        <f>Assumptions!$E$16*Assumptions!H12</f>
        <v>4.0146933517713324</v>
      </c>
      <c r="AI59" s="16">
        <f>Assumptions!$F$16*Assumptions!I12</f>
        <v>3.8442498113207555</v>
      </c>
      <c r="AJ59" s="16">
        <f>VLOOKUP($C$1,SO2Rate,7)</f>
        <v>0</v>
      </c>
      <c r="AK59" s="16">
        <f>VLOOKUP($C$1,NOxRate,7)</f>
        <v>7.2000000000000008E-2</v>
      </c>
      <c r="AL59" s="4"/>
    </row>
    <row r="60" spans="1:38" x14ac:dyDescent="0.2">
      <c r="A60" s="1">
        <f t="shared" si="5"/>
        <v>38030.433000000063</v>
      </c>
      <c r="B60" s="16">
        <f t="shared" si="3"/>
        <v>1.0184</v>
      </c>
      <c r="C60" s="17">
        <f t="shared" si="0"/>
        <v>10.230846400000001</v>
      </c>
      <c r="D60" s="16">
        <f t="shared" si="4"/>
        <v>0.94722271255961032</v>
      </c>
      <c r="E60" s="16">
        <f t="shared" si="1"/>
        <v>0</v>
      </c>
      <c r="F60" s="16">
        <f t="shared" si="2"/>
        <v>0</v>
      </c>
      <c r="G60" s="19" t="str">
        <f>IF('Peak Revenue'!$A$1="BL","-",SUM(C60:F60))</f>
        <v>-</v>
      </c>
      <c r="H60" s="203">
        <v>78.142813113795825</v>
      </c>
      <c r="I60" s="203">
        <v>72.281333737853146</v>
      </c>
      <c r="J60" s="203">
        <v>70.173761672953589</v>
      </c>
      <c r="K60" s="203">
        <v>65.94643925395701</v>
      </c>
      <c r="L60" s="203">
        <v>64.925792395300903</v>
      </c>
      <c r="M60" s="203">
        <v>64.186181966721833</v>
      </c>
      <c r="N60" s="203">
        <v>52.786163879704105</v>
      </c>
      <c r="O60" s="203">
        <v>43.846434738629199</v>
      </c>
      <c r="P60" s="203">
        <v>40.833843313038102</v>
      </c>
      <c r="Q60" s="203">
        <v>35.856297136856675</v>
      </c>
      <c r="R60" s="203">
        <v>32.972799474753295</v>
      </c>
      <c r="S60" s="203">
        <v>32.972799474753295</v>
      </c>
      <c r="T60" s="203">
        <v>32.56027203123918</v>
      </c>
      <c r="U60" s="203">
        <v>28.804382663798624</v>
      </c>
      <c r="V60" s="203">
        <v>26.442055403281351</v>
      </c>
      <c r="W60" s="203">
        <v>25.861423422490013</v>
      </c>
      <c r="X60" s="203">
        <v>24.88162250217631</v>
      </c>
      <c r="Y60" s="203">
        <v>24.411510453752474</v>
      </c>
      <c r="Z60" s="203">
        <v>24.146909059052184</v>
      </c>
      <c r="AA60" s="203">
        <v>23.625690100140467</v>
      </c>
      <c r="AB60" s="16">
        <f>AB59*(1+Assumptions!$L$13/12)</f>
        <v>0.94722271255961032</v>
      </c>
      <c r="AC60" s="16">
        <f>AC59</f>
        <v>0</v>
      </c>
      <c r="AD60" s="18">
        <f>AD59</f>
        <v>264.14659569665338</v>
      </c>
      <c r="AE60" s="18">
        <f>AE59</f>
        <v>3642.145326358393</v>
      </c>
      <c r="AF60" s="5">
        <f>IF(Assumptions!D$16=1,0,1)</f>
        <v>0</v>
      </c>
      <c r="AG60" s="73">
        <f>AG59</f>
        <v>1.0184</v>
      </c>
      <c r="AH60" s="16">
        <f>Assumptions!$E$16*Assumptions!H13</f>
        <v>3.598275690284412</v>
      </c>
      <c r="AI60" s="16">
        <f>Assumptions!$F$16*Assumptions!I13</f>
        <v>3.8086549056603785</v>
      </c>
      <c r="AJ60" s="16">
        <f>AJ59</f>
        <v>0</v>
      </c>
      <c r="AK60" s="16">
        <f>AK59</f>
        <v>7.2000000000000008E-2</v>
      </c>
      <c r="AL60" s="4"/>
    </row>
    <row r="61" spans="1:38" x14ac:dyDescent="0.2">
      <c r="A61" s="1">
        <f t="shared" si="5"/>
        <v>38060.850000000064</v>
      </c>
      <c r="B61" s="16">
        <f t="shared" si="3"/>
        <v>1.0184</v>
      </c>
      <c r="C61" s="17">
        <f t="shared" si="0"/>
        <v>10.230846400000001</v>
      </c>
      <c r="D61" s="16">
        <f t="shared" si="4"/>
        <v>0.948801417080543</v>
      </c>
      <c r="E61" s="16">
        <f t="shared" si="1"/>
        <v>0</v>
      </c>
      <c r="F61" s="16">
        <f t="shared" si="2"/>
        <v>0</v>
      </c>
      <c r="G61" s="19" t="str">
        <f>IF('Peak Revenue'!$A$1="BL","-",SUM(C61:F61))</f>
        <v>-</v>
      </c>
      <c r="H61" s="203">
        <v>102.87258516876197</v>
      </c>
      <c r="I61" s="203">
        <v>75.110789904043301</v>
      </c>
      <c r="J61" s="203">
        <v>62.754755032448429</v>
      </c>
      <c r="K61" s="203">
        <v>60.217613918866121</v>
      </c>
      <c r="L61" s="203">
        <v>56.646191573736232</v>
      </c>
      <c r="M61" s="203">
        <v>53.779938074099405</v>
      </c>
      <c r="N61" s="203">
        <v>53.371222025270598</v>
      </c>
      <c r="O61" s="203">
        <v>48.485718160965426</v>
      </c>
      <c r="P61" s="203">
        <v>38.515918646043062</v>
      </c>
      <c r="Q61" s="203">
        <v>33.858109398151001</v>
      </c>
      <c r="R61" s="203">
        <v>30.91725023147734</v>
      </c>
      <c r="S61" s="203">
        <v>28.736500981307977</v>
      </c>
      <c r="T61" s="203">
        <v>27.706836538767316</v>
      </c>
      <c r="U61" s="203">
        <v>27.706836538767316</v>
      </c>
      <c r="V61" s="203">
        <v>27.586936268338171</v>
      </c>
      <c r="W61" s="203">
        <v>27.496258880636564</v>
      </c>
      <c r="X61" s="203">
        <v>27.380342368650986</v>
      </c>
      <c r="Y61" s="203">
        <v>26.691893344235091</v>
      </c>
      <c r="Z61" s="203">
        <v>23.552613559515532</v>
      </c>
      <c r="AA61" s="203">
        <v>21.199341710079153</v>
      </c>
      <c r="AB61" s="16">
        <f>AB60*(1+Assumptions!$L$13/12)</f>
        <v>0.948801417080543</v>
      </c>
      <c r="AC61" s="16">
        <f t="shared" ref="AC61:AC70" si="21">AC60</f>
        <v>0</v>
      </c>
      <c r="AD61" s="18">
        <f t="shared" ref="AD61:AE70" si="22">AD60</f>
        <v>264.14659569665338</v>
      </c>
      <c r="AE61" s="18">
        <f t="shared" si="22"/>
        <v>3642.145326358393</v>
      </c>
      <c r="AF61" s="5">
        <f>IF(Assumptions!D$16=1,0,1)</f>
        <v>0</v>
      </c>
      <c r="AG61" s="73">
        <f t="shared" ref="AG61:AG70" si="23">AG60</f>
        <v>1.0184</v>
      </c>
      <c r="AH61" s="16">
        <f>Assumptions!$E$16*Assumptions!H14</f>
        <v>3.5377705599828939</v>
      </c>
      <c r="AI61" s="16">
        <f>Assumptions!$F$16*Assumptions!I14</f>
        <v>3.6662752830188685</v>
      </c>
      <c r="AJ61" s="16">
        <f t="shared" ref="AJ61:AK70" si="24">AJ60</f>
        <v>0</v>
      </c>
      <c r="AK61" s="16">
        <f t="shared" si="24"/>
        <v>7.2000000000000008E-2</v>
      </c>
      <c r="AL61" s="4"/>
    </row>
    <row r="62" spans="1:38" x14ac:dyDescent="0.2">
      <c r="A62" s="1">
        <f t="shared" si="5"/>
        <v>38091.267000000065</v>
      </c>
      <c r="B62" s="16">
        <f t="shared" si="3"/>
        <v>1.0184</v>
      </c>
      <c r="C62" s="17">
        <f t="shared" si="0"/>
        <v>10.230846400000001</v>
      </c>
      <c r="D62" s="16">
        <f t="shared" si="4"/>
        <v>0.9503827527756773</v>
      </c>
      <c r="E62" s="16">
        <f t="shared" si="1"/>
        <v>0</v>
      </c>
      <c r="F62" s="16">
        <f t="shared" si="2"/>
        <v>0</v>
      </c>
      <c r="G62" s="19" t="str">
        <f>IF('Peak Revenue'!$A$1="BL","-",SUM(C62:F62))</f>
        <v>-</v>
      </c>
      <c r="H62" s="203">
        <v>64.094135083462817</v>
      </c>
      <c r="I62" s="203">
        <v>56.252229689460094</v>
      </c>
      <c r="J62" s="203">
        <v>54.424556013860425</v>
      </c>
      <c r="K62" s="203">
        <v>50.894599112358897</v>
      </c>
      <c r="L62" s="203">
        <v>49.146184882367947</v>
      </c>
      <c r="M62" s="203">
        <v>49.028168109510474</v>
      </c>
      <c r="N62" s="203">
        <v>41.223842564640663</v>
      </c>
      <c r="O62" s="203">
        <v>35.657668472219967</v>
      </c>
      <c r="P62" s="203">
        <v>35.467053872397898</v>
      </c>
      <c r="Q62" s="203">
        <v>35.120540773395845</v>
      </c>
      <c r="R62" s="203">
        <v>29.850501240756135</v>
      </c>
      <c r="S62" s="203">
        <v>27.148931990278786</v>
      </c>
      <c r="T62" s="203">
        <v>25.719677727754508</v>
      </c>
      <c r="U62" s="203">
        <v>25.546975814515481</v>
      </c>
      <c r="V62" s="203">
        <v>25.546975814515481</v>
      </c>
      <c r="W62" s="203">
        <v>25.35956303738897</v>
      </c>
      <c r="X62" s="203">
        <v>24.369456548653204</v>
      </c>
      <c r="Y62" s="203">
        <v>24.16156497315631</v>
      </c>
      <c r="Z62" s="203">
        <v>23.862147244439008</v>
      </c>
      <c r="AA62" s="203">
        <v>23.242870661266856</v>
      </c>
      <c r="AB62" s="16">
        <f>AB61*(1+Assumptions!$L$13/12)</f>
        <v>0.9503827527756773</v>
      </c>
      <c r="AC62" s="16">
        <f t="shared" si="21"/>
        <v>0</v>
      </c>
      <c r="AD62" s="18">
        <f t="shared" si="22"/>
        <v>264.14659569665338</v>
      </c>
      <c r="AE62" s="18">
        <f t="shared" si="22"/>
        <v>3642.145326358393</v>
      </c>
      <c r="AF62" s="5">
        <f>IF(Assumptions!D$16=1,0,1)</f>
        <v>0</v>
      </c>
      <c r="AG62" s="73">
        <f t="shared" si="23"/>
        <v>1.0184</v>
      </c>
      <c r="AH62" s="16">
        <f>Assumptions!$E$16*Assumptions!H15</f>
        <v>3.3633734197020471</v>
      </c>
      <c r="AI62" s="16">
        <f>Assumptions!$F$16*Assumptions!I15</f>
        <v>3.523895660377359</v>
      </c>
      <c r="AJ62" s="16">
        <f t="shared" si="24"/>
        <v>0</v>
      </c>
      <c r="AK62" s="16">
        <f t="shared" si="24"/>
        <v>7.2000000000000008E-2</v>
      </c>
      <c r="AL62" s="4"/>
    </row>
    <row r="63" spans="1:38" x14ac:dyDescent="0.2">
      <c r="A63" s="1">
        <f t="shared" si="5"/>
        <v>38121.684000000067</v>
      </c>
      <c r="B63" s="16">
        <f t="shared" si="3"/>
        <v>1.0184</v>
      </c>
      <c r="C63" s="17">
        <f t="shared" si="0"/>
        <v>10.230846400000001</v>
      </c>
      <c r="D63" s="16">
        <f t="shared" si="4"/>
        <v>0.95196672403030347</v>
      </c>
      <c r="E63" s="16">
        <f t="shared" si="1"/>
        <v>0</v>
      </c>
      <c r="F63" s="16">
        <f t="shared" si="2"/>
        <v>1.3172037101494711</v>
      </c>
      <c r="G63" s="19" t="str">
        <f>IF('Peak Revenue'!$A$1="BL","-",SUM(C63:F63))</f>
        <v>-</v>
      </c>
      <c r="H63" s="203">
        <v>72.265641483905199</v>
      </c>
      <c r="I63" s="203">
        <v>68.532451347526901</v>
      </c>
      <c r="J63" s="203">
        <v>64.999490797839854</v>
      </c>
      <c r="K63" s="203">
        <v>64.410875507792042</v>
      </c>
      <c r="L63" s="203">
        <v>57.520470353531231</v>
      </c>
      <c r="M63" s="203">
        <v>51.228044258165966</v>
      </c>
      <c r="N63" s="203">
        <v>44.690881374892271</v>
      </c>
      <c r="O63" s="203">
        <v>35.40871644973749</v>
      </c>
      <c r="P63" s="203">
        <v>32.422654688059417</v>
      </c>
      <c r="Q63" s="203">
        <v>31.619879302169142</v>
      </c>
      <c r="R63" s="203">
        <v>31.498410041090978</v>
      </c>
      <c r="S63" s="203">
        <v>31.498410041090978</v>
      </c>
      <c r="T63" s="203">
        <v>31.367804479480846</v>
      </c>
      <c r="U63" s="203">
        <v>31.248842107747077</v>
      </c>
      <c r="V63" s="203">
        <v>30.703733088166292</v>
      </c>
      <c r="W63" s="203">
        <v>29.676308296012323</v>
      </c>
      <c r="X63" s="203">
        <v>29.142619820810172</v>
      </c>
      <c r="Y63" s="203">
        <v>28.999831339466564</v>
      </c>
      <c r="Z63" s="203">
        <v>28.606411451430318</v>
      </c>
      <c r="AA63" s="203">
        <v>27.365219931964525</v>
      </c>
      <c r="AB63" s="16">
        <f>AB62*(1+Assumptions!$L$13/12)</f>
        <v>0.95196672403030347</v>
      </c>
      <c r="AC63" s="16">
        <f t="shared" si="21"/>
        <v>0</v>
      </c>
      <c r="AD63" s="18">
        <f t="shared" si="22"/>
        <v>264.14659569665338</v>
      </c>
      <c r="AE63" s="18">
        <f t="shared" si="22"/>
        <v>3642.145326358393</v>
      </c>
      <c r="AF63" s="5">
        <v>1</v>
      </c>
      <c r="AG63" s="73">
        <f t="shared" si="23"/>
        <v>1.0184</v>
      </c>
      <c r="AH63" s="16">
        <f>Assumptions!$E$16*Assumptions!H16</f>
        <v>3.5413296852947478</v>
      </c>
      <c r="AI63" s="16">
        <f>Assumptions!$F$16*Assumptions!I16</f>
        <v>3.3815160377358495</v>
      </c>
      <c r="AJ63" s="16">
        <f t="shared" si="24"/>
        <v>0</v>
      </c>
      <c r="AK63" s="16">
        <f t="shared" si="24"/>
        <v>7.2000000000000008E-2</v>
      </c>
      <c r="AL63" s="4"/>
    </row>
    <row r="64" spans="1:38" x14ac:dyDescent="0.2">
      <c r="A64" s="1">
        <f t="shared" si="5"/>
        <v>38152.101000000068</v>
      </c>
      <c r="B64" s="16">
        <f t="shared" si="3"/>
        <v>1.0184</v>
      </c>
      <c r="C64" s="17">
        <f t="shared" si="0"/>
        <v>10.230846400000001</v>
      </c>
      <c r="D64" s="16">
        <f t="shared" si="4"/>
        <v>0.95355333523702068</v>
      </c>
      <c r="E64" s="16">
        <f t="shared" si="1"/>
        <v>0</v>
      </c>
      <c r="F64" s="16">
        <f t="shared" si="2"/>
        <v>1.3172037101494711</v>
      </c>
      <c r="G64" s="19" t="str">
        <f>IF('Peak Revenue'!$A$1="BL","-",SUM(C64:F64))</f>
        <v>-</v>
      </c>
      <c r="H64" s="203">
        <v>329.79568723500768</v>
      </c>
      <c r="I64" s="203">
        <v>213.93891521747696</v>
      </c>
      <c r="J64" s="203">
        <v>157.45825850279422</v>
      </c>
      <c r="K64" s="203">
        <v>67.224761468180802</v>
      </c>
      <c r="L64" s="203">
        <v>57.634479163676914</v>
      </c>
      <c r="M64" s="203">
        <v>51.563810972489733</v>
      </c>
      <c r="N64" s="203">
        <v>47.258167326754617</v>
      </c>
      <c r="O64" s="203">
        <v>45.616128877236513</v>
      </c>
      <c r="P64" s="203">
        <v>35.754753944355052</v>
      </c>
      <c r="Q64" s="203">
        <v>33.805534854943062</v>
      </c>
      <c r="R64" s="203">
        <v>32.150737210807229</v>
      </c>
      <c r="S64" s="203">
        <v>29.317029477157444</v>
      </c>
      <c r="T64" s="203">
        <v>27.762260714706759</v>
      </c>
      <c r="U64" s="203">
        <v>27.385413353657793</v>
      </c>
      <c r="V64" s="203">
        <v>26.461720393921354</v>
      </c>
      <c r="W64" s="203">
        <v>25.827235611550229</v>
      </c>
      <c r="X64" s="203">
        <v>24.802472841271946</v>
      </c>
      <c r="Y64" s="203">
        <v>24.097291563206028</v>
      </c>
      <c r="Z64" s="203">
        <v>23.998514691064521</v>
      </c>
      <c r="AA64" s="203">
        <v>22.678617579027815</v>
      </c>
      <c r="AB64" s="16">
        <f>AB63*(1+Assumptions!$L$13/12)</f>
        <v>0.95355333523702068</v>
      </c>
      <c r="AC64" s="16">
        <f t="shared" si="21"/>
        <v>0</v>
      </c>
      <c r="AD64" s="18">
        <f t="shared" si="22"/>
        <v>264.14659569665338</v>
      </c>
      <c r="AE64" s="18">
        <f t="shared" si="22"/>
        <v>3642.145326358393</v>
      </c>
      <c r="AF64" s="5">
        <v>1</v>
      </c>
      <c r="AG64" s="73">
        <f t="shared" si="23"/>
        <v>1.0184</v>
      </c>
      <c r="AH64" s="16">
        <f>Assumptions!$E$16*Assumptions!H17</f>
        <v>3.3740507956376091</v>
      </c>
      <c r="AI64" s="16">
        <f>Assumptions!$F$16*Assumptions!I17</f>
        <v>3.3815160377358495</v>
      </c>
      <c r="AJ64" s="16">
        <f t="shared" si="24"/>
        <v>0</v>
      </c>
      <c r="AK64" s="16">
        <f t="shared" si="24"/>
        <v>7.2000000000000008E-2</v>
      </c>
      <c r="AL64" s="4"/>
    </row>
    <row r="65" spans="1:38" x14ac:dyDescent="0.2">
      <c r="A65" s="1">
        <f t="shared" si="5"/>
        <v>38182.518000000069</v>
      </c>
      <c r="B65" s="16">
        <f t="shared" si="3"/>
        <v>1.0184</v>
      </c>
      <c r="C65" s="17">
        <f t="shared" si="0"/>
        <v>10.230846400000001</v>
      </c>
      <c r="D65" s="16">
        <f t="shared" si="4"/>
        <v>0.95514259079574904</v>
      </c>
      <c r="E65" s="16">
        <f t="shared" si="1"/>
        <v>0</v>
      </c>
      <c r="F65" s="16">
        <f t="shared" si="2"/>
        <v>1.3172037101494711</v>
      </c>
      <c r="G65" s="19" t="str">
        <f>IF('Peak Revenue'!$A$1="BL","-",SUM(C65:F65))</f>
        <v>-</v>
      </c>
      <c r="H65" s="203">
        <v>480.70051839704712</v>
      </c>
      <c r="I65" s="203">
        <v>279.43392623901167</v>
      </c>
      <c r="J65" s="203">
        <v>200.46398979230241</v>
      </c>
      <c r="K65" s="203">
        <v>115.82122062394672</v>
      </c>
      <c r="L65" s="203">
        <v>85.177887484427316</v>
      </c>
      <c r="M65" s="203">
        <v>74.849212254957635</v>
      </c>
      <c r="N65" s="203">
        <v>68.815570285160959</v>
      </c>
      <c r="O65" s="203">
        <v>66.924565510086381</v>
      </c>
      <c r="P65" s="203">
        <v>50.114333555445363</v>
      </c>
      <c r="Q65" s="203">
        <v>44.705864261783674</v>
      </c>
      <c r="R65" s="203">
        <v>41.897137266814497</v>
      </c>
      <c r="S65" s="203">
        <v>35.553567608667223</v>
      </c>
      <c r="T65" s="203">
        <v>33.167677143235181</v>
      </c>
      <c r="U65" s="203">
        <v>33.146371516503734</v>
      </c>
      <c r="V65" s="203">
        <v>33.146371516503734</v>
      </c>
      <c r="W65" s="203">
        <v>32.862634633153199</v>
      </c>
      <c r="X65" s="203">
        <v>31.743271678563417</v>
      </c>
      <c r="Y65" s="203">
        <v>31.32740976863618</v>
      </c>
      <c r="Z65" s="203">
        <v>30.583569104163935</v>
      </c>
      <c r="AA65" s="203">
        <v>28.756178860417961</v>
      </c>
      <c r="AB65" s="16">
        <f>AB64*(1+Assumptions!$L$13/12)</f>
        <v>0.95514259079574904</v>
      </c>
      <c r="AC65" s="16">
        <f t="shared" si="21"/>
        <v>0</v>
      </c>
      <c r="AD65" s="18">
        <f t="shared" si="22"/>
        <v>264.14659569665338</v>
      </c>
      <c r="AE65" s="18">
        <f t="shared" si="22"/>
        <v>3642.145326358393</v>
      </c>
      <c r="AF65" s="5">
        <v>1</v>
      </c>
      <c r="AG65" s="73">
        <f t="shared" si="23"/>
        <v>1.0184</v>
      </c>
      <c r="AH65" s="16">
        <f>Assumptions!$E$16*Assumptions!H18</f>
        <v>3.3633734197020471</v>
      </c>
      <c r="AI65" s="16">
        <f>Assumptions!$F$16*Assumptions!I18</f>
        <v>3.3815160377358495</v>
      </c>
      <c r="AJ65" s="16">
        <f t="shared" si="24"/>
        <v>0</v>
      </c>
      <c r="AK65" s="16">
        <f t="shared" si="24"/>
        <v>7.2000000000000008E-2</v>
      </c>
      <c r="AL65" s="4"/>
    </row>
    <row r="66" spans="1:38" x14ac:dyDescent="0.2">
      <c r="A66" s="1">
        <f t="shared" si="5"/>
        <v>38212.93500000007</v>
      </c>
      <c r="B66" s="16">
        <f t="shared" si="3"/>
        <v>1.0184</v>
      </c>
      <c r="C66" s="17">
        <f t="shared" si="0"/>
        <v>10.230846400000001</v>
      </c>
      <c r="D66" s="16">
        <f t="shared" si="4"/>
        <v>0.95673449511374198</v>
      </c>
      <c r="E66" s="16">
        <f t="shared" si="1"/>
        <v>0</v>
      </c>
      <c r="F66" s="16">
        <f t="shared" si="2"/>
        <v>1.3172037101494711</v>
      </c>
      <c r="G66" s="19" t="str">
        <f>IF('Peak Revenue'!$A$1="BL","-",SUM(C66:F66))</f>
        <v>-</v>
      </c>
      <c r="H66" s="203">
        <v>1628.7024036401699</v>
      </c>
      <c r="I66" s="203">
        <v>797.53502335473297</v>
      </c>
      <c r="J66" s="203">
        <v>480.88558800833215</v>
      </c>
      <c r="K66" s="203">
        <v>258.59729819595134</v>
      </c>
      <c r="L66" s="203">
        <v>155.2187087150852</v>
      </c>
      <c r="M66" s="203">
        <v>64.180352660245759</v>
      </c>
      <c r="N66" s="203">
        <v>51.122684368686649</v>
      </c>
      <c r="O66" s="203">
        <v>45.480348343963776</v>
      </c>
      <c r="P66" s="203">
        <v>43.827749891303974</v>
      </c>
      <c r="Q66" s="203">
        <v>35.597235392085928</v>
      </c>
      <c r="R66" s="203">
        <v>32.395312526247224</v>
      </c>
      <c r="S66" s="203">
        <v>31.396119018990639</v>
      </c>
      <c r="T66" s="203">
        <v>30.552708125968806</v>
      </c>
      <c r="U66" s="203">
        <v>29.601438376882921</v>
      </c>
      <c r="V66" s="203">
        <v>29.159195757010153</v>
      </c>
      <c r="W66" s="203">
        <v>28.633769177563273</v>
      </c>
      <c r="X66" s="203">
        <v>28.075394106308426</v>
      </c>
      <c r="Y66" s="203">
        <v>27.508496376106898</v>
      </c>
      <c r="Z66" s="203">
        <v>26.896894847671508</v>
      </c>
      <c r="AA66" s="203">
        <v>26.005201303072024</v>
      </c>
      <c r="AB66" s="16">
        <f>AB65*(1+Assumptions!$L$13/12)</f>
        <v>0.95673449511374198</v>
      </c>
      <c r="AC66" s="16">
        <f t="shared" si="21"/>
        <v>0</v>
      </c>
      <c r="AD66" s="18">
        <f t="shared" si="22"/>
        <v>264.14659569665338</v>
      </c>
      <c r="AE66" s="18">
        <f t="shared" si="22"/>
        <v>3642.145326358393</v>
      </c>
      <c r="AF66" s="5">
        <v>1</v>
      </c>
      <c r="AG66" s="73">
        <f t="shared" si="23"/>
        <v>1.0184</v>
      </c>
      <c r="AH66" s="16">
        <f>Assumptions!$E$16*Assumptions!H19</f>
        <v>3.1889762794212002</v>
      </c>
      <c r="AI66" s="16">
        <f>Assumptions!$F$16*Assumptions!I19</f>
        <v>3.3815160377358495</v>
      </c>
      <c r="AJ66" s="16">
        <f t="shared" si="24"/>
        <v>0</v>
      </c>
      <c r="AK66" s="16">
        <f t="shared" si="24"/>
        <v>7.2000000000000008E-2</v>
      </c>
      <c r="AL66" s="4"/>
    </row>
    <row r="67" spans="1:38" x14ac:dyDescent="0.2">
      <c r="A67" s="1">
        <f t="shared" si="5"/>
        <v>38243.352000000072</v>
      </c>
      <c r="B67" s="16">
        <f t="shared" si="3"/>
        <v>1.0184</v>
      </c>
      <c r="C67" s="17">
        <f t="shared" si="0"/>
        <v>10.230846400000001</v>
      </c>
      <c r="D67" s="16">
        <f t="shared" si="4"/>
        <v>0.9583290526055982</v>
      </c>
      <c r="E67" s="16">
        <f t="shared" si="1"/>
        <v>0</v>
      </c>
      <c r="F67" s="16">
        <f t="shared" si="2"/>
        <v>1.3172037101494711</v>
      </c>
      <c r="G67" s="19" t="str">
        <f>IF('Peak Revenue'!$A$1="BL","-",SUM(C67:F67))</f>
        <v>-</v>
      </c>
      <c r="H67" s="203">
        <v>116.61713602511725</v>
      </c>
      <c r="I67" s="203">
        <v>92.598682253508869</v>
      </c>
      <c r="J67" s="203">
        <v>78.292384039574884</v>
      </c>
      <c r="K67" s="203">
        <v>68.690584008832232</v>
      </c>
      <c r="L67" s="203">
        <v>63.805360042668553</v>
      </c>
      <c r="M67" s="203">
        <v>61.937232257057019</v>
      </c>
      <c r="N67" s="203">
        <v>53.68231470723692</v>
      </c>
      <c r="O67" s="203">
        <v>46.165074179889274</v>
      </c>
      <c r="P67" s="203">
        <v>39.149954217681383</v>
      </c>
      <c r="Q67" s="203">
        <v>33.385020360034218</v>
      </c>
      <c r="R67" s="203">
        <v>31.869295640467669</v>
      </c>
      <c r="S67" s="203">
        <v>31.148844564556516</v>
      </c>
      <c r="T67" s="203">
        <v>31.041719087737857</v>
      </c>
      <c r="U67" s="203">
        <v>31.041719087737857</v>
      </c>
      <c r="V67" s="203">
        <v>30.810965079053187</v>
      </c>
      <c r="W67" s="203">
        <v>30.698911852223933</v>
      </c>
      <c r="X67" s="203">
        <v>29.94097012306694</v>
      </c>
      <c r="Y67" s="203">
        <v>29.394846969620268</v>
      </c>
      <c r="Z67" s="203">
        <v>29.150333255241414</v>
      </c>
      <c r="AA67" s="203">
        <v>27.796803395581527</v>
      </c>
      <c r="AB67" s="16">
        <f>AB66*(1+Assumptions!$L$13/12)</f>
        <v>0.9583290526055982</v>
      </c>
      <c r="AC67" s="16">
        <f t="shared" si="21"/>
        <v>0</v>
      </c>
      <c r="AD67" s="18">
        <f t="shared" si="22"/>
        <v>264.14659569665338</v>
      </c>
      <c r="AE67" s="18">
        <f t="shared" si="22"/>
        <v>3642.145326358393</v>
      </c>
      <c r="AF67" s="5">
        <v>1</v>
      </c>
      <c r="AG67" s="73">
        <f t="shared" si="23"/>
        <v>1.0184</v>
      </c>
      <c r="AH67" s="16">
        <f>Assumptions!$E$16*Assumptions!H20</f>
        <v>3.1782989034856381</v>
      </c>
      <c r="AI67" s="16">
        <f>Assumptions!$F$16*Assumptions!I20</f>
        <v>3.3815160377358495</v>
      </c>
      <c r="AJ67" s="16">
        <f t="shared" si="24"/>
        <v>0</v>
      </c>
      <c r="AK67" s="16">
        <f t="shared" si="24"/>
        <v>7.2000000000000008E-2</v>
      </c>
      <c r="AL67" s="4"/>
    </row>
    <row r="68" spans="1:38" x14ac:dyDescent="0.2">
      <c r="A68" s="1">
        <f t="shared" si="5"/>
        <v>38273.769000000073</v>
      </c>
      <c r="B68" s="16">
        <f t="shared" si="3"/>
        <v>1.0184</v>
      </c>
      <c r="C68" s="17">
        <f t="shared" si="0"/>
        <v>10.230846400000001</v>
      </c>
      <c r="D68" s="16">
        <f t="shared" si="4"/>
        <v>0.95992626769327427</v>
      </c>
      <c r="E68" s="16">
        <f t="shared" si="1"/>
        <v>0</v>
      </c>
      <c r="F68" s="16">
        <f t="shared" si="2"/>
        <v>0</v>
      </c>
      <c r="G68" s="19" t="str">
        <f>IF('Peak Revenue'!$A$1="BL","-",SUM(C68:F68))</f>
        <v>-</v>
      </c>
      <c r="H68" s="203">
        <v>64.416434267290214</v>
      </c>
      <c r="I68" s="203">
        <v>62.964214475930895</v>
      </c>
      <c r="J68" s="203">
        <v>60.120941634334848</v>
      </c>
      <c r="K68" s="203">
        <v>57.13132356710021</v>
      </c>
      <c r="L68" s="203">
        <v>56.842616531325405</v>
      </c>
      <c r="M68" s="203">
        <v>54.498260120396061</v>
      </c>
      <c r="N68" s="203">
        <v>42.333673725214837</v>
      </c>
      <c r="O68" s="203">
        <v>36.420008190825413</v>
      </c>
      <c r="P68" s="203">
        <v>32.649395483373553</v>
      </c>
      <c r="Q68" s="203">
        <v>30.361320288947201</v>
      </c>
      <c r="R68" s="203">
        <v>29.156405330228655</v>
      </c>
      <c r="S68" s="203">
        <v>29.156405330228655</v>
      </c>
      <c r="T68" s="203">
        <v>29.008874974473915</v>
      </c>
      <c r="U68" s="203">
        <v>28.931753991926247</v>
      </c>
      <c r="V68" s="203">
        <v>28.771366761737674</v>
      </c>
      <c r="W68" s="203">
        <v>28.707648322142717</v>
      </c>
      <c r="X68" s="203">
        <v>28.39756776707474</v>
      </c>
      <c r="Y68" s="203">
        <v>24.039938588816405</v>
      </c>
      <c r="Z68" s="203">
        <v>22.87685725027886</v>
      </c>
      <c r="AA68" s="203">
        <v>21.04733929005409</v>
      </c>
      <c r="AB68" s="16">
        <f>AB67*(1+Assumptions!$L$13/12)</f>
        <v>0.95992626769327427</v>
      </c>
      <c r="AC68" s="16">
        <f t="shared" si="21"/>
        <v>0</v>
      </c>
      <c r="AD68" s="18">
        <f t="shared" si="22"/>
        <v>264.14659569665338</v>
      </c>
      <c r="AE68" s="18">
        <f t="shared" si="22"/>
        <v>3642.145326358393</v>
      </c>
      <c r="AF68" s="5">
        <f>IF(Assumptions!D$16=1,0,1)</f>
        <v>0</v>
      </c>
      <c r="AG68" s="73">
        <f t="shared" si="23"/>
        <v>1.0184</v>
      </c>
      <c r="AH68" s="16">
        <f>Assumptions!$E$16*Assumptions!H21</f>
        <v>3.5199749334236237</v>
      </c>
      <c r="AI68" s="16">
        <f>Assumptions!$F$16*Assumptions!I21</f>
        <v>3.3815160377358495</v>
      </c>
      <c r="AJ68" s="16">
        <f t="shared" si="24"/>
        <v>0</v>
      </c>
      <c r="AK68" s="16">
        <f t="shared" si="24"/>
        <v>7.2000000000000008E-2</v>
      </c>
      <c r="AL68" s="4"/>
    </row>
    <row r="69" spans="1:38" x14ac:dyDescent="0.2">
      <c r="A69" s="1">
        <f t="shared" si="5"/>
        <v>38304.186000000074</v>
      </c>
      <c r="B69" s="16">
        <f t="shared" si="3"/>
        <v>1.0184</v>
      </c>
      <c r="C69" s="17">
        <f t="shared" si="0"/>
        <v>10.230846400000001</v>
      </c>
      <c r="D69" s="16">
        <f t="shared" si="4"/>
        <v>0.96152614480609644</v>
      </c>
      <c r="E69" s="16">
        <f t="shared" si="1"/>
        <v>0</v>
      </c>
      <c r="F69" s="16">
        <f t="shared" si="2"/>
        <v>0</v>
      </c>
      <c r="G69" s="19" t="str">
        <f>IF('Peak Revenue'!$A$1="BL","-",SUM(C69:F69))</f>
        <v>-</v>
      </c>
      <c r="H69" s="203">
        <v>80.208553162574574</v>
      </c>
      <c r="I69" s="203">
        <v>78.1817208468768</v>
      </c>
      <c r="J69" s="203">
        <v>78.115776968555224</v>
      </c>
      <c r="K69" s="203">
        <v>77.573873474116766</v>
      </c>
      <c r="L69" s="203">
        <v>74.316134404804387</v>
      </c>
      <c r="M69" s="203">
        <v>59.930483597347084</v>
      </c>
      <c r="N69" s="203">
        <v>50.594986587370919</v>
      </c>
      <c r="O69" s="203">
        <v>45.224759133939514</v>
      </c>
      <c r="P69" s="203">
        <v>40.623889175872065</v>
      </c>
      <c r="Q69" s="203">
        <v>28.90640163101866</v>
      </c>
      <c r="R69" s="203">
        <v>28.08807065788136</v>
      </c>
      <c r="S69" s="203">
        <v>26.748180359511771</v>
      </c>
      <c r="T69" s="203">
        <v>25.651569145397421</v>
      </c>
      <c r="U69" s="203">
        <v>25.208937943677277</v>
      </c>
      <c r="V69" s="203">
        <v>24.801875744360199</v>
      </c>
      <c r="W69" s="203">
        <v>24.482097129030077</v>
      </c>
      <c r="X69" s="203">
        <v>24.238813608935615</v>
      </c>
      <c r="Y69" s="203">
        <v>23.954602579162778</v>
      </c>
      <c r="Z69" s="203">
        <v>23.795996622938404</v>
      </c>
      <c r="AA69" s="203">
        <v>23.284694235607216</v>
      </c>
      <c r="AB69" s="16">
        <f>AB68*(1+Assumptions!$L$13/12)</f>
        <v>0.96152614480609644</v>
      </c>
      <c r="AC69" s="16">
        <f t="shared" si="21"/>
        <v>0</v>
      </c>
      <c r="AD69" s="18">
        <f t="shared" si="22"/>
        <v>264.14659569665338</v>
      </c>
      <c r="AE69" s="18">
        <f t="shared" si="22"/>
        <v>3642.145326358393</v>
      </c>
      <c r="AF69" s="5">
        <f>IF(Assumptions!D$16=1,0,1)</f>
        <v>0</v>
      </c>
      <c r="AG69" s="73">
        <f t="shared" si="23"/>
        <v>1.0184</v>
      </c>
      <c r="AH69" s="16">
        <f>Assumptions!$E$16*Assumptions!H22</f>
        <v>3.8545327127379014</v>
      </c>
      <c r="AI69" s="16">
        <f>Assumptions!$F$16*Assumptions!I22</f>
        <v>3.6662752830188685</v>
      </c>
      <c r="AJ69" s="16">
        <f t="shared" si="24"/>
        <v>0</v>
      </c>
      <c r="AK69" s="16">
        <f t="shared" si="24"/>
        <v>7.2000000000000008E-2</v>
      </c>
      <c r="AL69" s="4"/>
    </row>
    <row r="70" spans="1:38" x14ac:dyDescent="0.2">
      <c r="A70" s="1">
        <f t="shared" si="5"/>
        <v>38334.603000000076</v>
      </c>
      <c r="B70" s="16">
        <f t="shared" si="3"/>
        <v>1.0184</v>
      </c>
      <c r="C70" s="17">
        <f t="shared" si="0"/>
        <v>10.230846400000001</v>
      </c>
      <c r="D70" s="16">
        <f t="shared" si="4"/>
        <v>0.96312868838077326</v>
      </c>
      <c r="E70" s="16">
        <f t="shared" si="1"/>
        <v>0</v>
      </c>
      <c r="F70" s="16">
        <f t="shared" si="2"/>
        <v>0</v>
      </c>
      <c r="G70" s="19" t="str">
        <f>IF('Peak Revenue'!$A$1="BL","-",SUM(C70:F70))</f>
        <v>-</v>
      </c>
      <c r="H70" s="203">
        <v>74.062591725701139</v>
      </c>
      <c r="I70" s="203">
        <v>71.875315325656146</v>
      </c>
      <c r="J70" s="203">
        <v>69.783748992439143</v>
      </c>
      <c r="K70" s="203">
        <v>65.858541797323966</v>
      </c>
      <c r="L70" s="203">
        <v>65.064261191047393</v>
      </c>
      <c r="M70" s="203">
        <v>64.369943660715734</v>
      </c>
      <c r="N70" s="203">
        <v>53.66054571964159</v>
      </c>
      <c r="O70" s="203">
        <v>48.507152388090113</v>
      </c>
      <c r="P70" s="203">
        <v>46.578522151351677</v>
      </c>
      <c r="Q70" s="203">
        <v>42.629513722559537</v>
      </c>
      <c r="R70" s="203">
        <v>32.795019197352403</v>
      </c>
      <c r="S70" s="203">
        <v>32.795019197352403</v>
      </c>
      <c r="T70" s="203">
        <v>32.679138849411814</v>
      </c>
      <c r="U70" s="203">
        <v>32.534740732191203</v>
      </c>
      <c r="V70" s="203">
        <v>32.481246792003347</v>
      </c>
      <c r="W70" s="203">
        <v>27.505849760045123</v>
      </c>
      <c r="X70" s="203">
        <v>25.954034489745535</v>
      </c>
      <c r="Y70" s="203">
        <v>24.019225326399194</v>
      </c>
      <c r="Z70" s="203">
        <v>23.169838083346107</v>
      </c>
      <c r="AA70" s="203">
        <v>22.503925199874686</v>
      </c>
      <c r="AB70" s="16">
        <f>AB69*(1+Assumptions!$L$13/12)</f>
        <v>0.96312868838077326</v>
      </c>
      <c r="AC70" s="16">
        <f t="shared" si="21"/>
        <v>0</v>
      </c>
      <c r="AD70" s="18">
        <f t="shared" si="22"/>
        <v>264.14659569665338</v>
      </c>
      <c r="AE70" s="18">
        <f t="shared" si="22"/>
        <v>3642.145326358393</v>
      </c>
      <c r="AF70" s="5">
        <f>IF(Assumptions!D$16=1,0,1)</f>
        <v>0</v>
      </c>
      <c r="AG70" s="73">
        <f t="shared" si="23"/>
        <v>1.0184</v>
      </c>
      <c r="AH70" s="16">
        <f>Assumptions!$E$16*Assumptions!H23</f>
        <v>4.171294865492909</v>
      </c>
      <c r="AI70" s="16">
        <f>Assumptions!$F$16*Assumptions!I23</f>
        <v>3.8442498113207555</v>
      </c>
      <c r="AJ70" s="16">
        <f t="shared" si="24"/>
        <v>0</v>
      </c>
      <c r="AK70" s="16">
        <f t="shared" si="24"/>
        <v>7.2000000000000008E-2</v>
      </c>
      <c r="AL70" s="4"/>
    </row>
    <row r="71" spans="1:38" x14ac:dyDescent="0.2">
      <c r="A71" s="1">
        <f t="shared" si="5"/>
        <v>38365.020000000077</v>
      </c>
      <c r="B71" s="16">
        <f t="shared" si="3"/>
        <v>1.0116000000000001</v>
      </c>
      <c r="C71" s="17">
        <f t="shared" si="0"/>
        <v>10.162533600000001</v>
      </c>
      <c r="D71" s="16">
        <f t="shared" si="4"/>
        <v>0.96473390286140792</v>
      </c>
      <c r="E71" s="16">
        <f t="shared" si="1"/>
        <v>0</v>
      </c>
      <c r="F71" s="16">
        <f t="shared" si="2"/>
        <v>0</v>
      </c>
      <c r="G71" s="19" t="str">
        <f>IF('Peak Revenue'!$A$1="BL","-",SUM(C71:F71))</f>
        <v>-</v>
      </c>
      <c r="H71" s="203">
        <v>73.401895751362176</v>
      </c>
      <c r="I71" s="203">
        <v>71.068778498723574</v>
      </c>
      <c r="J71" s="203">
        <v>67.747450749798332</v>
      </c>
      <c r="K71" s="203">
        <v>66.487340606394383</v>
      </c>
      <c r="L71" s="203">
        <v>66.254418827685654</v>
      </c>
      <c r="M71" s="203">
        <v>60.451742496969985</v>
      </c>
      <c r="N71" s="203">
        <v>46.594160126047285</v>
      </c>
      <c r="O71" s="203">
        <v>39.165986928499699</v>
      </c>
      <c r="P71" s="203">
        <v>37.733888947700052</v>
      </c>
      <c r="Q71" s="203">
        <v>33.915931016028118</v>
      </c>
      <c r="R71" s="203">
        <v>33.687230299456296</v>
      </c>
      <c r="S71" s="203">
        <v>33.687230299456296</v>
      </c>
      <c r="T71" s="203">
        <v>33.687230299456296</v>
      </c>
      <c r="U71" s="203">
        <v>33.687230299456296</v>
      </c>
      <c r="V71" s="203">
        <v>33.687230299456296</v>
      </c>
      <c r="W71" s="203">
        <v>31.334243177532802</v>
      </c>
      <c r="X71" s="203">
        <v>28.183496931421907</v>
      </c>
      <c r="Y71" s="203">
        <v>27.479230138707372</v>
      </c>
      <c r="Z71" s="203">
        <v>26.38152685570461</v>
      </c>
      <c r="AA71" s="203">
        <v>25.516315540917017</v>
      </c>
      <c r="AB71" s="16">
        <f>AB70*(1+Assumptions!$L$13/12)</f>
        <v>0.96473390286140792</v>
      </c>
      <c r="AC71" s="16">
        <f>VLOOKUP($C$1,EnvVOM,8)</f>
        <v>0</v>
      </c>
      <c r="AD71" s="18">
        <f>Assumptions!B17</f>
        <v>290.22096928831274</v>
      </c>
      <c r="AE71" s="18">
        <f>Assumptions!C17</f>
        <v>3781.0444397566248</v>
      </c>
      <c r="AF71" s="5">
        <f>IF(Assumptions!D$17=1,0,1)</f>
        <v>0</v>
      </c>
      <c r="AG71" s="73">
        <f>VLOOKUP($C$1,Coal,8)</f>
        <v>1.0116000000000001</v>
      </c>
      <c r="AH71" s="16">
        <f>Assumptions!$E$17*Assumptions!H12</f>
        <v>4.0539502921348314</v>
      </c>
      <c r="AI71" s="16">
        <f>Assumptions!$F$17*Assumptions!I12</f>
        <v>3.8826460507614224</v>
      </c>
      <c r="AJ71" s="16">
        <f>VLOOKUP($C$1,SO2Rate,8)</f>
        <v>0</v>
      </c>
      <c r="AK71" s="16">
        <f>VLOOKUP($C$1,NOxRate,8)</f>
        <v>7.2000000000000008E-2</v>
      </c>
      <c r="AL71" s="4"/>
    </row>
    <row r="72" spans="1:38" x14ac:dyDescent="0.2">
      <c r="A72" s="1">
        <f t="shared" si="5"/>
        <v>38395.437000000078</v>
      </c>
      <c r="B72" s="16">
        <f t="shared" si="3"/>
        <v>1.0116000000000001</v>
      </c>
      <c r="C72" s="17">
        <f t="shared" si="0"/>
        <v>10.162533600000001</v>
      </c>
      <c r="D72" s="16">
        <f t="shared" si="4"/>
        <v>0.96634179269951026</v>
      </c>
      <c r="E72" s="16">
        <f t="shared" si="1"/>
        <v>0</v>
      </c>
      <c r="F72" s="16">
        <f t="shared" si="2"/>
        <v>0</v>
      </c>
      <c r="G72" s="19" t="str">
        <f>IF('Peak Revenue'!$A$1="BL","-",SUM(C72:F72))</f>
        <v>-</v>
      </c>
      <c r="H72" s="203">
        <v>81.889367586608245</v>
      </c>
      <c r="I72" s="203">
        <v>77.073808874671428</v>
      </c>
      <c r="J72" s="203">
        <v>74.339865388168192</v>
      </c>
      <c r="K72" s="203">
        <v>70.205037570063013</v>
      </c>
      <c r="L72" s="203">
        <v>69.851329995864987</v>
      </c>
      <c r="M72" s="203">
        <v>63.697333387765902</v>
      </c>
      <c r="N72" s="203">
        <v>51.547807014422524</v>
      </c>
      <c r="O72" s="203">
        <v>49.281657868326256</v>
      </c>
      <c r="P72" s="203">
        <v>40.617843702545251</v>
      </c>
      <c r="Q72" s="203">
        <v>34.915106469135196</v>
      </c>
      <c r="R72" s="203">
        <v>34.862836581106265</v>
      </c>
      <c r="S72" s="203">
        <v>34.634084039153109</v>
      </c>
      <c r="T72" s="203">
        <v>34.621781113400068</v>
      </c>
      <c r="U72" s="203">
        <v>27.944721023680181</v>
      </c>
      <c r="V72" s="203">
        <v>26.513886537364495</v>
      </c>
      <c r="W72" s="203">
        <v>25.446948356893852</v>
      </c>
      <c r="X72" s="203">
        <v>24.634094839049062</v>
      </c>
      <c r="Y72" s="203">
        <v>24.179274496272615</v>
      </c>
      <c r="Z72" s="203">
        <v>23.748435689688797</v>
      </c>
      <c r="AA72" s="203">
        <v>22.977671384480828</v>
      </c>
      <c r="AB72" s="16">
        <f>AB71*(1+Assumptions!$L$13/12)</f>
        <v>0.96634179269951026</v>
      </c>
      <c r="AC72" s="16">
        <f>AC71</f>
        <v>0</v>
      </c>
      <c r="AD72" s="18">
        <f>AD71</f>
        <v>290.22096928831274</v>
      </c>
      <c r="AE72" s="18">
        <f>AE71</f>
        <v>3781.0444397566248</v>
      </c>
      <c r="AF72" s="5">
        <f>IF(Assumptions!D$17=1,0,1)</f>
        <v>0</v>
      </c>
      <c r="AG72" s="73">
        <f>AG71</f>
        <v>1.0116000000000001</v>
      </c>
      <c r="AH72" s="16">
        <f>Assumptions!$E$17*Assumptions!H13</f>
        <v>3.6334607671527612</v>
      </c>
      <c r="AI72" s="16">
        <f>Assumptions!$F$17*Assumptions!I13</f>
        <v>3.8466956243654833</v>
      </c>
      <c r="AJ72" s="16">
        <f>AJ71</f>
        <v>0</v>
      </c>
      <c r="AK72" s="16">
        <f>AK71</f>
        <v>7.2000000000000008E-2</v>
      </c>
      <c r="AL72" s="4"/>
    </row>
    <row r="73" spans="1:38" x14ac:dyDescent="0.2">
      <c r="A73" s="1">
        <f t="shared" si="5"/>
        <v>38425.854000000079</v>
      </c>
      <c r="B73" s="16">
        <f t="shared" si="3"/>
        <v>1.0116000000000001</v>
      </c>
      <c r="C73" s="17">
        <f t="shared" si="0"/>
        <v>10.162533600000001</v>
      </c>
      <c r="D73" s="16">
        <f t="shared" si="4"/>
        <v>0.9679523623540095</v>
      </c>
      <c r="E73" s="16">
        <f t="shared" si="1"/>
        <v>0</v>
      </c>
      <c r="F73" s="16">
        <f t="shared" si="2"/>
        <v>0</v>
      </c>
      <c r="G73" s="19" t="str">
        <f>IF('Peak Revenue'!$A$1="BL","-",SUM(C73:F73))</f>
        <v>-</v>
      </c>
      <c r="H73" s="203">
        <v>72.859033951990526</v>
      </c>
      <c r="I73" s="203">
        <v>70.440020011307595</v>
      </c>
      <c r="J73" s="203">
        <v>66.904526734369782</v>
      </c>
      <c r="K73" s="203">
        <v>65.318298961946709</v>
      </c>
      <c r="L73" s="203">
        <v>65.13992287496211</v>
      </c>
      <c r="M73" s="203">
        <v>59.291772288461559</v>
      </c>
      <c r="N73" s="203">
        <v>45.806097924994987</v>
      </c>
      <c r="O73" s="203">
        <v>39.388388559906375</v>
      </c>
      <c r="P73" s="203">
        <v>37.169759446371579</v>
      </c>
      <c r="Q73" s="203">
        <v>33.399512488964618</v>
      </c>
      <c r="R73" s="203">
        <v>32.390926529977889</v>
      </c>
      <c r="S73" s="203">
        <v>32.390926529977889</v>
      </c>
      <c r="T73" s="203">
        <v>32.390926529977889</v>
      </c>
      <c r="U73" s="203">
        <v>32.390926529977889</v>
      </c>
      <c r="V73" s="203">
        <v>32.292194794541246</v>
      </c>
      <c r="W73" s="203">
        <v>27.956466166983596</v>
      </c>
      <c r="X73" s="203">
        <v>26.684013612399497</v>
      </c>
      <c r="Y73" s="203">
        <v>25.523476061622883</v>
      </c>
      <c r="Z73" s="203">
        <v>24.547637321220051</v>
      </c>
      <c r="AA73" s="203">
        <v>23.405650581200366</v>
      </c>
      <c r="AB73" s="16">
        <f>AB72*(1+Assumptions!$L$13/12)</f>
        <v>0.9679523623540095</v>
      </c>
      <c r="AC73" s="16">
        <f t="shared" ref="AC73:AC82" si="25">AC72</f>
        <v>0</v>
      </c>
      <c r="AD73" s="18">
        <f t="shared" ref="AD73:AE82" si="26">AD72</f>
        <v>290.22096928831274</v>
      </c>
      <c r="AE73" s="18">
        <f t="shared" si="26"/>
        <v>3781.0444397566248</v>
      </c>
      <c r="AF73" s="5">
        <f>IF(Assumptions!D$17=1,0,1)</f>
        <v>0</v>
      </c>
      <c r="AG73" s="73">
        <f t="shared" ref="AG73:AG82" si="27">AG72</f>
        <v>1.0116000000000001</v>
      </c>
      <c r="AH73" s="16">
        <f>Assumptions!$E$17*Assumptions!H14</f>
        <v>3.5723639985656233</v>
      </c>
      <c r="AI73" s="16">
        <f>Assumptions!$F$17*Assumptions!I14</f>
        <v>3.7028939187817267</v>
      </c>
      <c r="AJ73" s="16">
        <f t="shared" ref="AJ73:AK82" si="28">AJ72</f>
        <v>0</v>
      </c>
      <c r="AK73" s="16">
        <f t="shared" si="28"/>
        <v>7.2000000000000008E-2</v>
      </c>
      <c r="AL73" s="4"/>
    </row>
    <row r="74" spans="1:38" x14ac:dyDescent="0.2">
      <c r="A74" s="1">
        <f t="shared" si="5"/>
        <v>38456.271000000081</v>
      </c>
      <c r="B74" s="16">
        <f t="shared" si="3"/>
        <v>1.0116000000000001</v>
      </c>
      <c r="C74" s="17">
        <f t="shared" si="0"/>
        <v>10.162533600000001</v>
      </c>
      <c r="D74" s="16">
        <f t="shared" si="4"/>
        <v>0.96956561629126625</v>
      </c>
      <c r="E74" s="16">
        <f t="shared" si="1"/>
        <v>0</v>
      </c>
      <c r="F74" s="16">
        <f t="shared" si="2"/>
        <v>0</v>
      </c>
      <c r="G74" s="19" t="str">
        <f>IF('Peak Revenue'!$A$1="BL","-",SUM(C74:F74))</f>
        <v>-</v>
      </c>
      <c r="H74" s="203">
        <v>59.304207670478448</v>
      </c>
      <c r="I74" s="203">
        <v>57.153144791661227</v>
      </c>
      <c r="J74" s="203">
        <v>54.514346482828131</v>
      </c>
      <c r="K74" s="203">
        <v>53.925877605716984</v>
      </c>
      <c r="L74" s="203">
        <v>53.747379476491261</v>
      </c>
      <c r="M74" s="203">
        <v>44.921195076783491</v>
      </c>
      <c r="N74" s="203">
        <v>41.142651300265285</v>
      </c>
      <c r="O74" s="203">
        <v>38.25698050341866</v>
      </c>
      <c r="P74" s="203">
        <v>33.580074866121329</v>
      </c>
      <c r="Q74" s="203">
        <v>28.473309975048657</v>
      </c>
      <c r="R74" s="203">
        <v>28.091822839289478</v>
      </c>
      <c r="S74" s="203">
        <v>28.091822839289478</v>
      </c>
      <c r="T74" s="203">
        <v>28.069235654794589</v>
      </c>
      <c r="U74" s="203">
        <v>27.000060290338403</v>
      </c>
      <c r="V74" s="203">
        <v>26.03130176602982</v>
      </c>
      <c r="W74" s="203">
        <v>25.8264181537693</v>
      </c>
      <c r="X74" s="203">
        <v>24.787727500442877</v>
      </c>
      <c r="Y74" s="203">
        <v>24.228992862438613</v>
      </c>
      <c r="Z74" s="203">
        <v>23.764155709058386</v>
      </c>
      <c r="AA74" s="203">
        <v>23.342453097807564</v>
      </c>
      <c r="AB74" s="16">
        <f>AB73*(1+Assumptions!$L$13/12)</f>
        <v>0.96956561629126625</v>
      </c>
      <c r="AC74" s="16">
        <f t="shared" si="25"/>
        <v>0</v>
      </c>
      <c r="AD74" s="18">
        <f t="shared" si="26"/>
        <v>290.22096928831274</v>
      </c>
      <c r="AE74" s="18">
        <f t="shared" si="26"/>
        <v>3781.0444397566248</v>
      </c>
      <c r="AF74" s="5">
        <f>IF(Assumptions!D$17=1,0,1)</f>
        <v>0</v>
      </c>
      <c r="AG74" s="73">
        <f t="shared" si="27"/>
        <v>1.0116000000000001</v>
      </c>
      <c r="AH74" s="16">
        <f>Assumptions!$E$17*Assumptions!H15</f>
        <v>3.3962615479321063</v>
      </c>
      <c r="AI74" s="16">
        <f>Assumptions!$F$17*Assumptions!I15</f>
        <v>3.5590922131979701</v>
      </c>
      <c r="AJ74" s="16">
        <f t="shared" si="28"/>
        <v>0</v>
      </c>
      <c r="AK74" s="16">
        <f t="shared" si="28"/>
        <v>7.2000000000000008E-2</v>
      </c>
      <c r="AL74" s="4"/>
    </row>
    <row r="75" spans="1:38" x14ac:dyDescent="0.2">
      <c r="A75" s="1">
        <f t="shared" si="5"/>
        <v>38486.688000000082</v>
      </c>
      <c r="B75" s="16">
        <f t="shared" si="3"/>
        <v>1.0116000000000001</v>
      </c>
      <c r="C75" s="17">
        <f t="shared" ref="C75:C138" si="29">(B75*$B$1*1000)/1000000</f>
        <v>10.162533600000001</v>
      </c>
      <c r="D75" s="16">
        <f t="shared" si="4"/>
        <v>0.97118155898508507</v>
      </c>
      <c r="E75" s="16">
        <f t="shared" ref="E75:E138" si="30">(($AJ75*$B$1*AD75*1000)/2000)/1000000</f>
        <v>0</v>
      </c>
      <c r="F75" s="16">
        <f t="shared" ref="F75:F138" si="31">AF75*(($AK75*$B$1*AE75*1000)/2000)/1000000</f>
        <v>1.3674374079046221</v>
      </c>
      <c r="G75" s="19" t="str">
        <f>IF('Peak Revenue'!$A$1="BL","-",SUM(C75:F75))</f>
        <v>-</v>
      </c>
      <c r="H75" s="203">
        <v>78.954243060226901</v>
      </c>
      <c r="I75" s="203">
        <v>68.904304346369585</v>
      </c>
      <c r="J75" s="203">
        <v>63.73488773375616</v>
      </c>
      <c r="K75" s="203">
        <v>59.36596721769159</v>
      </c>
      <c r="L75" s="203">
        <v>56.653486044397098</v>
      </c>
      <c r="M75" s="203">
        <v>55.742286293884561</v>
      </c>
      <c r="N75" s="203">
        <v>42.576779265072318</v>
      </c>
      <c r="O75" s="203">
        <v>38.09531917765127</v>
      </c>
      <c r="P75" s="203">
        <v>33.522022269532705</v>
      </c>
      <c r="Q75" s="203">
        <v>32.593107351583242</v>
      </c>
      <c r="R75" s="203">
        <v>32.520934450584477</v>
      </c>
      <c r="S75" s="203">
        <v>32.193409488355812</v>
      </c>
      <c r="T75" s="203">
        <v>31.145975872484065</v>
      </c>
      <c r="U75" s="203">
        <v>30.553405508985712</v>
      </c>
      <c r="V75" s="203">
        <v>29.782198894825463</v>
      </c>
      <c r="W75" s="203">
        <v>28.943665048298296</v>
      </c>
      <c r="X75" s="203">
        <v>28.55102057495386</v>
      </c>
      <c r="Y75" s="203">
        <v>28.075022317654909</v>
      </c>
      <c r="Z75" s="203">
        <v>27.852420117745723</v>
      </c>
      <c r="AA75" s="203">
        <v>27.333079765250901</v>
      </c>
      <c r="AB75" s="16">
        <f>AB74*(1+Assumptions!$L$13/12)</f>
        <v>0.97118155898508507</v>
      </c>
      <c r="AC75" s="16">
        <f t="shared" si="25"/>
        <v>0</v>
      </c>
      <c r="AD75" s="18">
        <f t="shared" si="26"/>
        <v>290.22096928831274</v>
      </c>
      <c r="AE75" s="18">
        <f t="shared" si="26"/>
        <v>3781.0444397566248</v>
      </c>
      <c r="AF75" s="5">
        <v>1</v>
      </c>
      <c r="AG75" s="73">
        <f t="shared" si="27"/>
        <v>1.0116000000000001</v>
      </c>
      <c r="AH75" s="16">
        <f>Assumptions!$E$17*Assumptions!H16</f>
        <v>3.5759579261295724</v>
      </c>
      <c r="AI75" s="16">
        <f>Assumptions!$F$17*Assumptions!I16</f>
        <v>3.4152905076142135</v>
      </c>
      <c r="AJ75" s="16">
        <f t="shared" si="28"/>
        <v>0</v>
      </c>
      <c r="AK75" s="16">
        <f t="shared" si="28"/>
        <v>7.2000000000000008E-2</v>
      </c>
      <c r="AL75" s="4"/>
    </row>
    <row r="76" spans="1:38" x14ac:dyDescent="0.2">
      <c r="A76" s="1">
        <f t="shared" si="5"/>
        <v>38517.105000000083</v>
      </c>
      <c r="B76" s="16">
        <f t="shared" ref="B76:B139" si="32">IF($B$9="Coal",AG76,IF($B$9="Gas",AH76,IF($B$9="Oil",AI76,0)))</f>
        <v>1.0116000000000001</v>
      </c>
      <c r="C76" s="17">
        <f t="shared" si="29"/>
        <v>10.162533600000001</v>
      </c>
      <c r="D76" s="16">
        <f t="shared" ref="D76:D139" si="33">AB76+AC76</f>
        <v>0.97280019491672687</v>
      </c>
      <c r="E76" s="16">
        <f t="shared" si="30"/>
        <v>0</v>
      </c>
      <c r="F76" s="16">
        <f t="shared" si="31"/>
        <v>1.3674374079046221</v>
      </c>
      <c r="G76" s="19" t="str">
        <f>IF('Peak Revenue'!$A$1="BL","-",SUM(C76:F76))</f>
        <v>-</v>
      </c>
      <c r="H76" s="203">
        <v>241.70667877359452</v>
      </c>
      <c r="I76" s="203">
        <v>177.47379728950406</v>
      </c>
      <c r="J76" s="203">
        <v>155.06651786181317</v>
      </c>
      <c r="K76" s="203">
        <v>103.08410065676853</v>
      </c>
      <c r="L76" s="203">
        <v>56.542479759817162</v>
      </c>
      <c r="M76" s="203">
        <v>49.718862572536736</v>
      </c>
      <c r="N76" s="203">
        <v>45.771565786234348</v>
      </c>
      <c r="O76" s="203">
        <v>43.810271197535357</v>
      </c>
      <c r="P76" s="203">
        <v>36.217239978675082</v>
      </c>
      <c r="Q76" s="203">
        <v>33.004697757326063</v>
      </c>
      <c r="R76" s="203">
        <v>32.141583282745493</v>
      </c>
      <c r="S76" s="203">
        <v>30.926889089179308</v>
      </c>
      <c r="T76" s="203">
        <v>30.431018900446762</v>
      </c>
      <c r="U76" s="203">
        <v>29.863307458356541</v>
      </c>
      <c r="V76" s="203">
        <v>29.064365718843742</v>
      </c>
      <c r="W76" s="203">
        <v>28.168833154531605</v>
      </c>
      <c r="X76" s="203">
        <v>27.788275328263701</v>
      </c>
      <c r="Y76" s="203">
        <v>27.206268287558629</v>
      </c>
      <c r="Z76" s="203">
        <v>26.67189572346296</v>
      </c>
      <c r="AA76" s="203">
        <v>25.332208281715893</v>
      </c>
      <c r="AB76" s="16">
        <f>AB75*(1+Assumptions!$L$13/12)</f>
        <v>0.97280019491672687</v>
      </c>
      <c r="AC76" s="16">
        <f t="shared" si="25"/>
        <v>0</v>
      </c>
      <c r="AD76" s="18">
        <f t="shared" si="26"/>
        <v>290.22096928831274</v>
      </c>
      <c r="AE76" s="18">
        <f t="shared" si="26"/>
        <v>3781.0444397566248</v>
      </c>
      <c r="AF76" s="5">
        <v>1</v>
      </c>
      <c r="AG76" s="73">
        <f t="shared" si="27"/>
        <v>1.0116000000000001</v>
      </c>
      <c r="AH76" s="16">
        <f>Assumptions!$E$17*Assumptions!H17</f>
        <v>3.4070433306239543</v>
      </c>
      <c r="AI76" s="16">
        <f>Assumptions!$F$17*Assumptions!I17</f>
        <v>3.4152905076142135</v>
      </c>
      <c r="AJ76" s="16">
        <f t="shared" si="28"/>
        <v>0</v>
      </c>
      <c r="AK76" s="16">
        <f t="shared" si="28"/>
        <v>7.2000000000000008E-2</v>
      </c>
      <c r="AL76" s="4"/>
    </row>
    <row r="77" spans="1:38" x14ac:dyDescent="0.2">
      <c r="A77" s="1">
        <f t="shared" ref="A77:A140" si="34">A76+30.417</f>
        <v>38547.522000000085</v>
      </c>
      <c r="B77" s="16">
        <f t="shared" si="32"/>
        <v>1.0116000000000001</v>
      </c>
      <c r="C77" s="17">
        <f t="shared" si="29"/>
        <v>10.162533600000001</v>
      </c>
      <c r="D77" s="16">
        <f t="shared" si="33"/>
        <v>0.97442152857492148</v>
      </c>
      <c r="E77" s="16">
        <f t="shared" si="30"/>
        <v>0</v>
      </c>
      <c r="F77" s="16">
        <f t="shared" si="31"/>
        <v>1.3674374079046221</v>
      </c>
      <c r="G77" s="19" t="str">
        <f>IF('Peak Revenue'!$A$1="BL","-",SUM(C77:F77))</f>
        <v>-</v>
      </c>
      <c r="H77" s="203">
        <v>538.65154979934925</v>
      </c>
      <c r="I77" s="203">
        <v>363.78976732443232</v>
      </c>
      <c r="J77" s="203">
        <v>265.11515640925103</v>
      </c>
      <c r="K77" s="203">
        <v>184.26477432184845</v>
      </c>
      <c r="L77" s="203">
        <v>138.26579161345902</v>
      </c>
      <c r="M77" s="203">
        <v>75.861740833625078</v>
      </c>
      <c r="N77" s="203">
        <v>55.78916722948766</v>
      </c>
      <c r="O77" s="203">
        <v>50.355753662897158</v>
      </c>
      <c r="P77" s="203">
        <v>49.400118586026949</v>
      </c>
      <c r="Q77" s="203">
        <v>41.033626228973205</v>
      </c>
      <c r="R77" s="203">
        <v>35.45540942269092</v>
      </c>
      <c r="S77" s="203">
        <v>33.61021216590909</v>
      </c>
      <c r="T77" s="203">
        <v>32.083696778697806</v>
      </c>
      <c r="U77" s="203">
        <v>31.052985577680836</v>
      </c>
      <c r="V77" s="203">
        <v>30.63577362230118</v>
      </c>
      <c r="W77" s="203">
        <v>29.587872692851061</v>
      </c>
      <c r="X77" s="203">
        <v>28.840599713448128</v>
      </c>
      <c r="Y77" s="203">
        <v>28.570829098161244</v>
      </c>
      <c r="Z77" s="203">
        <v>27.694272637399806</v>
      </c>
      <c r="AA77" s="203">
        <v>25.364665524611709</v>
      </c>
      <c r="AB77" s="16">
        <f>AB76*(1+Assumptions!$L$13/12)</f>
        <v>0.97442152857492148</v>
      </c>
      <c r="AC77" s="16">
        <f t="shared" si="25"/>
        <v>0</v>
      </c>
      <c r="AD77" s="18">
        <f t="shared" si="26"/>
        <v>290.22096928831274</v>
      </c>
      <c r="AE77" s="18">
        <f t="shared" si="26"/>
        <v>3781.0444397566248</v>
      </c>
      <c r="AF77" s="5">
        <v>1</v>
      </c>
      <c r="AG77" s="73">
        <f t="shared" si="27"/>
        <v>1.0116000000000001</v>
      </c>
      <c r="AH77" s="16">
        <f>Assumptions!$E$17*Assumptions!H18</f>
        <v>3.3962615479321063</v>
      </c>
      <c r="AI77" s="16">
        <f>Assumptions!$F$17*Assumptions!I18</f>
        <v>3.4152905076142135</v>
      </c>
      <c r="AJ77" s="16">
        <f t="shared" si="28"/>
        <v>0</v>
      </c>
      <c r="AK77" s="16">
        <f t="shared" si="28"/>
        <v>7.2000000000000008E-2</v>
      </c>
      <c r="AL77" s="4"/>
    </row>
    <row r="78" spans="1:38" x14ac:dyDescent="0.2">
      <c r="A78" s="1">
        <f t="shared" si="34"/>
        <v>38577.939000000086</v>
      </c>
      <c r="B78" s="16">
        <f t="shared" si="32"/>
        <v>1.0116000000000001</v>
      </c>
      <c r="C78" s="17">
        <f t="shared" si="29"/>
        <v>10.162533600000001</v>
      </c>
      <c r="D78" s="16">
        <f t="shared" si="33"/>
        <v>0.97604556445587975</v>
      </c>
      <c r="E78" s="16">
        <f t="shared" si="30"/>
        <v>0</v>
      </c>
      <c r="F78" s="16">
        <f t="shared" si="31"/>
        <v>1.3674374079046221</v>
      </c>
      <c r="G78" s="19" t="str">
        <f>IF('Peak Revenue'!$A$1="BL","-",SUM(C78:F78))</f>
        <v>-</v>
      </c>
      <c r="H78" s="203">
        <v>848.60440930492678</v>
      </c>
      <c r="I78" s="203">
        <v>492.21352996723846</v>
      </c>
      <c r="J78" s="203">
        <v>337.34197106825741</v>
      </c>
      <c r="K78" s="203">
        <v>211.36095838200896</v>
      </c>
      <c r="L78" s="203">
        <v>154.35257701520936</v>
      </c>
      <c r="M78" s="203">
        <v>92.460781836924269</v>
      </c>
      <c r="N78" s="203">
        <v>70.371508885798306</v>
      </c>
      <c r="O78" s="203">
        <v>63.410366051871598</v>
      </c>
      <c r="P78" s="203">
        <v>58.60725984460089</v>
      </c>
      <c r="Q78" s="203">
        <v>44.158609073707218</v>
      </c>
      <c r="R78" s="203">
        <v>38.558858534401345</v>
      </c>
      <c r="S78" s="203">
        <v>36.270460739600395</v>
      </c>
      <c r="T78" s="203">
        <v>35.685278546820697</v>
      </c>
      <c r="U78" s="203">
        <v>34.985838864093857</v>
      </c>
      <c r="V78" s="203">
        <v>34.244297745175643</v>
      </c>
      <c r="W78" s="203">
        <v>33.497073014835209</v>
      </c>
      <c r="X78" s="203">
        <v>32.361724423187844</v>
      </c>
      <c r="Y78" s="203">
        <v>31.627564811723648</v>
      </c>
      <c r="Z78" s="203">
        <v>30.881168562599782</v>
      </c>
      <c r="AA78" s="203">
        <v>28.466644256673749</v>
      </c>
      <c r="AB78" s="16">
        <f>AB77*(1+Assumptions!$L$13/12)</f>
        <v>0.97604556445587975</v>
      </c>
      <c r="AC78" s="16">
        <f t="shared" si="25"/>
        <v>0</v>
      </c>
      <c r="AD78" s="18">
        <f t="shared" si="26"/>
        <v>290.22096928831274</v>
      </c>
      <c r="AE78" s="18">
        <f t="shared" si="26"/>
        <v>3781.0444397566248</v>
      </c>
      <c r="AF78" s="5">
        <v>1</v>
      </c>
      <c r="AG78" s="73">
        <f t="shared" si="27"/>
        <v>1.0116000000000001</v>
      </c>
      <c r="AH78" s="16">
        <f>Assumptions!$E$17*Assumptions!H19</f>
        <v>3.2201590972985898</v>
      </c>
      <c r="AI78" s="16">
        <f>Assumptions!$F$17*Assumptions!I19</f>
        <v>3.4152905076142135</v>
      </c>
      <c r="AJ78" s="16">
        <f t="shared" si="28"/>
        <v>0</v>
      </c>
      <c r="AK78" s="16">
        <f t="shared" si="28"/>
        <v>7.2000000000000008E-2</v>
      </c>
      <c r="AL78" s="4"/>
    </row>
    <row r="79" spans="1:38" x14ac:dyDescent="0.2">
      <c r="A79" s="1">
        <f t="shared" si="34"/>
        <v>38608.356000000087</v>
      </c>
      <c r="B79" s="16">
        <f t="shared" si="32"/>
        <v>1.0116000000000001</v>
      </c>
      <c r="C79" s="17">
        <f t="shared" si="29"/>
        <v>10.162533600000001</v>
      </c>
      <c r="D79" s="16">
        <f t="shared" si="33"/>
        <v>0.97767230706330621</v>
      </c>
      <c r="E79" s="16">
        <f t="shared" si="30"/>
        <v>0</v>
      </c>
      <c r="F79" s="16">
        <f t="shared" si="31"/>
        <v>1.3674374079046221</v>
      </c>
      <c r="G79" s="19" t="str">
        <f>IF('Peak Revenue'!$A$1="BL","-",SUM(C79:F79))</f>
        <v>-</v>
      </c>
      <c r="H79" s="203">
        <v>197.77839709212429</v>
      </c>
      <c r="I79" s="203">
        <v>162.04618741458313</v>
      </c>
      <c r="J79" s="203">
        <v>134.26062354709208</v>
      </c>
      <c r="K79" s="203">
        <v>86.696652264740578</v>
      </c>
      <c r="L79" s="203">
        <v>66.515579944064299</v>
      </c>
      <c r="M79" s="203">
        <v>60.224210625544387</v>
      </c>
      <c r="N79" s="203">
        <v>58.177400998196298</v>
      </c>
      <c r="O79" s="203">
        <v>47.558647732152693</v>
      </c>
      <c r="P79" s="203">
        <v>38.804618791091123</v>
      </c>
      <c r="Q79" s="203">
        <v>33.451605575851708</v>
      </c>
      <c r="R79" s="203">
        <v>32.599208182595028</v>
      </c>
      <c r="S79" s="203">
        <v>30.921321456169345</v>
      </c>
      <c r="T79" s="203">
        <v>29.882953764424315</v>
      </c>
      <c r="U79" s="203">
        <v>29.338415542563091</v>
      </c>
      <c r="V79" s="203">
        <v>29.016018223345053</v>
      </c>
      <c r="W79" s="203">
        <v>28.583219579332059</v>
      </c>
      <c r="X79" s="203">
        <v>28.579620939492337</v>
      </c>
      <c r="Y79" s="203">
        <v>28.57930148007377</v>
      </c>
      <c r="Z79" s="203">
        <v>28.579092043973112</v>
      </c>
      <c r="AA79" s="203">
        <v>27.287897619430755</v>
      </c>
      <c r="AB79" s="16">
        <f>AB78*(1+Assumptions!$L$13/12)</f>
        <v>0.97767230706330621</v>
      </c>
      <c r="AC79" s="16">
        <f t="shared" si="25"/>
        <v>0</v>
      </c>
      <c r="AD79" s="18">
        <f t="shared" si="26"/>
        <v>290.22096928831274</v>
      </c>
      <c r="AE79" s="18">
        <f t="shared" si="26"/>
        <v>3781.0444397566248</v>
      </c>
      <c r="AF79" s="5">
        <v>1</v>
      </c>
      <c r="AG79" s="73">
        <f t="shared" si="27"/>
        <v>1.0116000000000001</v>
      </c>
      <c r="AH79" s="16">
        <f>Assumptions!$E$17*Assumptions!H20</f>
        <v>3.2093773146067419</v>
      </c>
      <c r="AI79" s="16">
        <f>Assumptions!$F$17*Assumptions!I20</f>
        <v>3.4152905076142135</v>
      </c>
      <c r="AJ79" s="16">
        <f t="shared" si="28"/>
        <v>0</v>
      </c>
      <c r="AK79" s="16">
        <f t="shared" si="28"/>
        <v>7.2000000000000008E-2</v>
      </c>
      <c r="AL79" s="4"/>
    </row>
    <row r="80" spans="1:38" x14ac:dyDescent="0.2">
      <c r="A80" s="1">
        <f t="shared" si="34"/>
        <v>38638.773000000088</v>
      </c>
      <c r="B80" s="16">
        <f t="shared" si="32"/>
        <v>1.0116000000000001</v>
      </c>
      <c r="C80" s="17">
        <f t="shared" si="29"/>
        <v>10.162533600000001</v>
      </c>
      <c r="D80" s="16">
        <f t="shared" si="33"/>
        <v>0.97930176090841181</v>
      </c>
      <c r="E80" s="16">
        <f t="shared" si="30"/>
        <v>0</v>
      </c>
      <c r="F80" s="16">
        <f t="shared" si="31"/>
        <v>0</v>
      </c>
      <c r="G80" s="19" t="str">
        <f>IF('Peak Revenue'!$A$1="BL","-",SUM(C80:F80))</f>
        <v>-</v>
      </c>
      <c r="H80" s="203">
        <v>70.845104078451627</v>
      </c>
      <c r="I80" s="203">
        <v>64.726857695634948</v>
      </c>
      <c r="J80" s="203">
        <v>61.058495768739782</v>
      </c>
      <c r="K80" s="203">
        <v>58.821351401554672</v>
      </c>
      <c r="L80" s="203">
        <v>56.564892943892929</v>
      </c>
      <c r="M80" s="203">
        <v>52.779488744957817</v>
      </c>
      <c r="N80" s="203">
        <v>52.036801256080423</v>
      </c>
      <c r="O80" s="203">
        <v>50.753882254161418</v>
      </c>
      <c r="P80" s="203">
        <v>42.092796856663071</v>
      </c>
      <c r="Q80" s="203">
        <v>37.027770893507849</v>
      </c>
      <c r="R80" s="203">
        <v>30.630191959776589</v>
      </c>
      <c r="S80" s="203">
        <v>30.086294003242891</v>
      </c>
      <c r="T80" s="203">
        <v>28.132474745209436</v>
      </c>
      <c r="U80" s="203">
        <v>27.465657885533339</v>
      </c>
      <c r="V80" s="203">
        <v>27.393732203125118</v>
      </c>
      <c r="W80" s="203">
        <v>25.624874324669086</v>
      </c>
      <c r="X80" s="203">
        <v>24.766604913054859</v>
      </c>
      <c r="Y80" s="203">
        <v>24.389961327824285</v>
      </c>
      <c r="Z80" s="203">
        <v>23.419244672150459</v>
      </c>
      <c r="AA80" s="203">
        <v>22.439473295236162</v>
      </c>
      <c r="AB80" s="16">
        <f>AB79*(1+Assumptions!$L$13/12)</f>
        <v>0.97930176090841181</v>
      </c>
      <c r="AC80" s="16">
        <f t="shared" si="25"/>
        <v>0</v>
      </c>
      <c r="AD80" s="18">
        <f t="shared" si="26"/>
        <v>290.22096928831274</v>
      </c>
      <c r="AE80" s="18">
        <f t="shared" si="26"/>
        <v>3781.0444397566248</v>
      </c>
      <c r="AF80" s="5">
        <f>IF(Assumptions!D$17=1,0,1)</f>
        <v>0</v>
      </c>
      <c r="AG80" s="73">
        <f t="shared" si="27"/>
        <v>1.0116000000000001</v>
      </c>
      <c r="AH80" s="16">
        <f>Assumptions!$E$17*Assumptions!H21</f>
        <v>3.5543943607458766</v>
      </c>
      <c r="AI80" s="16">
        <f>Assumptions!$F$17*Assumptions!I21</f>
        <v>3.4152905076142135</v>
      </c>
      <c r="AJ80" s="16">
        <f t="shared" si="28"/>
        <v>0</v>
      </c>
      <c r="AK80" s="16">
        <f t="shared" si="28"/>
        <v>7.2000000000000008E-2</v>
      </c>
      <c r="AL80" s="4"/>
    </row>
    <row r="81" spans="1:38" x14ac:dyDescent="0.2">
      <c r="A81" s="1">
        <f t="shared" si="34"/>
        <v>38669.19000000009</v>
      </c>
      <c r="B81" s="16">
        <f t="shared" si="32"/>
        <v>1.0116000000000001</v>
      </c>
      <c r="C81" s="17">
        <f t="shared" si="29"/>
        <v>10.162533600000001</v>
      </c>
      <c r="D81" s="16">
        <f t="shared" si="33"/>
        <v>0.98093393050992583</v>
      </c>
      <c r="E81" s="16">
        <f t="shared" si="30"/>
        <v>0</v>
      </c>
      <c r="F81" s="16">
        <f t="shared" si="31"/>
        <v>0</v>
      </c>
      <c r="G81" s="19" t="str">
        <f>IF('Peak Revenue'!$A$1="BL","-",SUM(C81:F81))</f>
        <v>-</v>
      </c>
      <c r="H81" s="203">
        <v>78.5916063147165</v>
      </c>
      <c r="I81" s="203">
        <v>73.455675139125873</v>
      </c>
      <c r="J81" s="203">
        <v>67.192291077685724</v>
      </c>
      <c r="K81" s="203">
        <v>64.263780003509197</v>
      </c>
      <c r="L81" s="203">
        <v>60.861515878851563</v>
      </c>
      <c r="M81" s="203">
        <v>58.437917222810746</v>
      </c>
      <c r="N81" s="203">
        <v>58.229875602103689</v>
      </c>
      <c r="O81" s="203">
        <v>53.40232357475751</v>
      </c>
      <c r="P81" s="203">
        <v>41.00300755352098</v>
      </c>
      <c r="Q81" s="203">
        <v>40.893253350993398</v>
      </c>
      <c r="R81" s="203">
        <v>40.85446059360293</v>
      </c>
      <c r="S81" s="203">
        <v>31.630371233466015</v>
      </c>
      <c r="T81" s="203">
        <v>29.592053942844377</v>
      </c>
      <c r="U81" s="203">
        <v>29.393205022048797</v>
      </c>
      <c r="V81" s="203">
        <v>28.412182934262198</v>
      </c>
      <c r="W81" s="203">
        <v>26.689439849946801</v>
      </c>
      <c r="X81" s="203">
        <v>26.24783029766337</v>
      </c>
      <c r="Y81" s="203">
        <v>25.446986755743513</v>
      </c>
      <c r="Z81" s="203">
        <v>24.703139788446911</v>
      </c>
      <c r="AA81" s="203">
        <v>23.804449506315599</v>
      </c>
      <c r="AB81" s="16">
        <f>AB80*(1+Assumptions!$L$13/12)</f>
        <v>0.98093393050992583</v>
      </c>
      <c r="AC81" s="16">
        <f t="shared" si="25"/>
        <v>0</v>
      </c>
      <c r="AD81" s="18">
        <f t="shared" si="26"/>
        <v>290.22096928831274</v>
      </c>
      <c r="AE81" s="18">
        <f t="shared" si="26"/>
        <v>3781.0444397566248</v>
      </c>
      <c r="AF81" s="5">
        <f>IF(Assumptions!D$17=1,0,1)</f>
        <v>0</v>
      </c>
      <c r="AG81" s="73">
        <f t="shared" si="27"/>
        <v>1.0116000000000001</v>
      </c>
      <c r="AH81" s="16">
        <f>Assumptions!$E$17*Assumptions!H22</f>
        <v>3.8922235517571124</v>
      </c>
      <c r="AI81" s="16">
        <f>Assumptions!$F$17*Assumptions!I22</f>
        <v>3.7028939187817267</v>
      </c>
      <c r="AJ81" s="16">
        <f t="shared" si="28"/>
        <v>0</v>
      </c>
      <c r="AK81" s="16">
        <f t="shared" si="28"/>
        <v>7.2000000000000008E-2</v>
      </c>
      <c r="AL81" s="4"/>
    </row>
    <row r="82" spans="1:38" x14ac:dyDescent="0.2">
      <c r="A82" s="1">
        <f t="shared" si="34"/>
        <v>38699.607000000091</v>
      </c>
      <c r="B82" s="16">
        <f t="shared" si="32"/>
        <v>1.0116000000000001</v>
      </c>
      <c r="C82" s="17">
        <f t="shared" si="29"/>
        <v>10.162533600000001</v>
      </c>
      <c r="D82" s="16">
        <f t="shared" si="33"/>
        <v>0.98256882039410909</v>
      </c>
      <c r="E82" s="16">
        <f t="shared" si="30"/>
        <v>0</v>
      </c>
      <c r="F82" s="16">
        <f t="shared" si="31"/>
        <v>0</v>
      </c>
      <c r="G82" s="19" t="str">
        <f>IF('Peak Revenue'!$A$1="BL","-",SUM(C82:F82))</f>
        <v>-</v>
      </c>
      <c r="H82" s="203">
        <v>90.488934570895111</v>
      </c>
      <c r="I82" s="203">
        <v>87.532116567806582</v>
      </c>
      <c r="J82" s="203">
        <v>84.530636725157109</v>
      </c>
      <c r="K82" s="203">
        <v>80.492668977979292</v>
      </c>
      <c r="L82" s="203">
        <v>76.57010633719176</v>
      </c>
      <c r="M82" s="203">
        <v>76.339780772696486</v>
      </c>
      <c r="N82" s="203">
        <v>73.836059491009379</v>
      </c>
      <c r="O82" s="203">
        <v>62.118352523284557</v>
      </c>
      <c r="P82" s="203">
        <v>52.441015293726736</v>
      </c>
      <c r="Q82" s="203">
        <v>45.397520194960336</v>
      </c>
      <c r="R82" s="203">
        <v>43.047883078771463</v>
      </c>
      <c r="S82" s="203">
        <v>38.10207688914182</v>
      </c>
      <c r="T82" s="203">
        <v>30.3282711793453</v>
      </c>
      <c r="U82" s="203">
        <v>28.299426809518412</v>
      </c>
      <c r="V82" s="203">
        <v>27.294440415790714</v>
      </c>
      <c r="W82" s="203">
        <v>27.042250375285953</v>
      </c>
      <c r="X82" s="203">
        <v>26.196748153912086</v>
      </c>
      <c r="Y82" s="203">
        <v>25.441610787256234</v>
      </c>
      <c r="Z82" s="203">
        <v>24.97392618855984</v>
      </c>
      <c r="AA82" s="203">
        <v>24.37226702126954</v>
      </c>
      <c r="AB82" s="16">
        <f>AB81*(1+Assumptions!$L$13/12)</f>
        <v>0.98256882039410909</v>
      </c>
      <c r="AC82" s="16">
        <f t="shared" si="25"/>
        <v>0</v>
      </c>
      <c r="AD82" s="18">
        <f t="shared" si="26"/>
        <v>290.22096928831274</v>
      </c>
      <c r="AE82" s="18">
        <f t="shared" si="26"/>
        <v>3781.0444397566248</v>
      </c>
      <c r="AF82" s="5">
        <f>IF(Assumptions!D$17=1,0,1)</f>
        <v>0</v>
      </c>
      <c r="AG82" s="73">
        <f t="shared" si="27"/>
        <v>1.0116000000000001</v>
      </c>
      <c r="AH82" s="16">
        <f>Assumptions!$E$17*Assumptions!H23</f>
        <v>4.2120831049486016</v>
      </c>
      <c r="AI82" s="16">
        <f>Assumptions!$F$17*Assumptions!I23</f>
        <v>3.8826460507614224</v>
      </c>
      <c r="AJ82" s="16">
        <f t="shared" si="28"/>
        <v>0</v>
      </c>
      <c r="AK82" s="16">
        <f t="shared" si="28"/>
        <v>7.2000000000000008E-2</v>
      </c>
      <c r="AL82" s="4"/>
    </row>
    <row r="83" spans="1:38" x14ac:dyDescent="0.2">
      <c r="A83" s="1">
        <f t="shared" si="34"/>
        <v>38730.024000000092</v>
      </c>
      <c r="B83" s="16">
        <f t="shared" si="32"/>
        <v>1.0302</v>
      </c>
      <c r="C83" s="17">
        <f t="shared" si="29"/>
        <v>10.349389199999999</v>
      </c>
      <c r="D83" s="16">
        <f t="shared" si="33"/>
        <v>0.98420643509476602</v>
      </c>
      <c r="E83" s="16">
        <f t="shared" si="30"/>
        <v>3.9209624549893221</v>
      </c>
      <c r="F83" s="16">
        <f t="shared" si="31"/>
        <v>0</v>
      </c>
      <c r="G83" s="19" t="str">
        <f>IF('Peak Revenue'!$A$1="BL","-",SUM(C83:F83))</f>
        <v>-</v>
      </c>
      <c r="H83" s="203">
        <v>90.871466975174343</v>
      </c>
      <c r="I83" s="203">
        <v>79.475179888670567</v>
      </c>
      <c r="J83" s="203">
        <v>71.987376253097565</v>
      </c>
      <c r="K83" s="203">
        <v>66.106841992823234</v>
      </c>
      <c r="L83" s="203">
        <v>63.451964872503616</v>
      </c>
      <c r="M83" s="203">
        <v>59.730244379693829</v>
      </c>
      <c r="N83" s="203">
        <v>56.710878266528582</v>
      </c>
      <c r="O83" s="203">
        <v>56.482445132018697</v>
      </c>
      <c r="P83" s="203">
        <v>51.910480854302186</v>
      </c>
      <c r="Q83" s="203">
        <v>41.124652502399734</v>
      </c>
      <c r="R83" s="203">
        <v>35.906991274837978</v>
      </c>
      <c r="S83" s="203">
        <v>32.560457628054934</v>
      </c>
      <c r="T83" s="203">
        <v>30.286180523270374</v>
      </c>
      <c r="U83" s="203">
        <v>29.228102994602473</v>
      </c>
      <c r="V83" s="203">
        <v>28.113307285673674</v>
      </c>
      <c r="W83" s="203">
        <v>25.970498766617649</v>
      </c>
      <c r="X83" s="203">
        <v>24.994647358506988</v>
      </c>
      <c r="Y83" s="203">
        <v>24.436107424033185</v>
      </c>
      <c r="Z83" s="203">
        <v>23.980407011930563</v>
      </c>
      <c r="AA83" s="203">
        <v>22.937159138345464</v>
      </c>
      <c r="AB83" s="16">
        <f>AB82*(1+Assumptions!$L$13/12)</f>
        <v>0.98420643509476602</v>
      </c>
      <c r="AC83" s="16">
        <f>VLOOKUP($C$1,EnvVOM,9)</f>
        <v>0</v>
      </c>
      <c r="AD83" s="18">
        <f>Assumptions!B18</f>
        <v>319.92473742153555</v>
      </c>
      <c r="AE83" s="18">
        <f>Assumptions!C18</f>
        <v>3926.9475616572372</v>
      </c>
      <c r="AF83" s="5">
        <f>IF(Assumptions!D$18=1,0,1)</f>
        <v>0</v>
      </c>
      <c r="AG83" s="73">
        <f>VLOOKUP($C$1,Coal,9)</f>
        <v>1.0302</v>
      </c>
      <c r="AH83" s="16">
        <f>Assumptions!$E$18*Assumptions!H12</f>
        <v>4.0827587934965441</v>
      </c>
      <c r="AI83" s="16">
        <f>Assumptions!$F$18*Assumptions!I12</f>
        <v>3.9163658823529417</v>
      </c>
      <c r="AJ83" s="16">
        <f>VLOOKUP($C$1,SO2Rate,9)</f>
        <v>2.4399542510000001</v>
      </c>
      <c r="AK83" s="16">
        <f>VLOOKUP($C$1,NOxRate,9)</f>
        <v>7.2000000000000008E-2</v>
      </c>
      <c r="AL83" s="4"/>
    </row>
    <row r="84" spans="1:38" x14ac:dyDescent="0.2">
      <c r="A84" s="1">
        <f t="shared" si="34"/>
        <v>38760.441000000093</v>
      </c>
      <c r="B84" s="16">
        <f t="shared" si="32"/>
        <v>1.0302</v>
      </c>
      <c r="C84" s="17">
        <f t="shared" si="29"/>
        <v>10.349389199999999</v>
      </c>
      <c r="D84" s="16">
        <f t="shared" si="33"/>
        <v>0.98584677915325736</v>
      </c>
      <c r="E84" s="16">
        <f t="shared" si="30"/>
        <v>3.9209624549893221</v>
      </c>
      <c r="F84" s="16">
        <f t="shared" si="31"/>
        <v>0</v>
      </c>
      <c r="G84" s="19" t="str">
        <f>IF('Peak Revenue'!$A$1="BL","-",SUM(C84:F84))</f>
        <v>-</v>
      </c>
      <c r="H84" s="203">
        <v>77.028705550120307</v>
      </c>
      <c r="I84" s="203">
        <v>74.094600946607628</v>
      </c>
      <c r="J84" s="203">
        <v>74.080026412624235</v>
      </c>
      <c r="K84" s="203">
        <v>68.957815664169829</v>
      </c>
      <c r="L84" s="203">
        <v>54.467900376146488</v>
      </c>
      <c r="M84" s="203">
        <v>52.394089576330821</v>
      </c>
      <c r="N84" s="203">
        <v>51.610550912575412</v>
      </c>
      <c r="O84" s="203">
        <v>45.623208152161325</v>
      </c>
      <c r="P84" s="203">
        <v>41.295686568967312</v>
      </c>
      <c r="Q84" s="203">
        <v>36.753257845410431</v>
      </c>
      <c r="R84" s="203">
        <v>36.510702110603802</v>
      </c>
      <c r="S84" s="203">
        <v>36.510702110603802</v>
      </c>
      <c r="T84" s="203">
        <v>36.284157497063838</v>
      </c>
      <c r="U84" s="203">
        <v>36.21197235376998</v>
      </c>
      <c r="V84" s="203">
        <v>36.21197235376998</v>
      </c>
      <c r="W84" s="203">
        <v>36.21197235376998</v>
      </c>
      <c r="X84" s="203">
        <v>36.21197235376998</v>
      </c>
      <c r="Y84" s="203">
        <v>29.222674848316451</v>
      </c>
      <c r="Z84" s="203">
        <v>23.547266582679143</v>
      </c>
      <c r="AA84" s="203">
        <v>22.04478038944308</v>
      </c>
      <c r="AB84" s="16">
        <f>AB83*(1+Assumptions!$L$13/12)</f>
        <v>0.98584677915325736</v>
      </c>
      <c r="AC84" s="16">
        <f>AC83</f>
        <v>0</v>
      </c>
      <c r="AD84" s="18">
        <f>AD83</f>
        <v>319.92473742153555</v>
      </c>
      <c r="AE84" s="18">
        <f>AE83</f>
        <v>3926.9475616572372</v>
      </c>
      <c r="AF84" s="5">
        <f>IF(Assumptions!D$18=1,0,1)</f>
        <v>0</v>
      </c>
      <c r="AG84" s="73">
        <f>AG83</f>
        <v>1.0302</v>
      </c>
      <c r="AH84" s="16">
        <f>Assumptions!$E$18*Assumptions!H13</f>
        <v>3.6592811526817428</v>
      </c>
      <c r="AI84" s="16">
        <f>Assumptions!$F$18*Assumptions!I13</f>
        <v>3.8801032352941185</v>
      </c>
      <c r="AJ84" s="16">
        <f>AJ83</f>
        <v>2.4399542510000001</v>
      </c>
      <c r="AK84" s="16">
        <f>AK83</f>
        <v>7.2000000000000008E-2</v>
      </c>
      <c r="AL84" s="4"/>
    </row>
    <row r="85" spans="1:38" x14ac:dyDescent="0.2">
      <c r="A85" s="1">
        <f t="shared" si="34"/>
        <v>38790.858000000095</v>
      </c>
      <c r="B85" s="16">
        <f t="shared" si="32"/>
        <v>1.0302</v>
      </c>
      <c r="C85" s="17">
        <f t="shared" si="29"/>
        <v>10.349389199999999</v>
      </c>
      <c r="D85" s="16">
        <f t="shared" si="33"/>
        <v>0.98748985711851278</v>
      </c>
      <c r="E85" s="16">
        <f t="shared" si="30"/>
        <v>3.9209624549893221</v>
      </c>
      <c r="F85" s="16">
        <f t="shared" si="31"/>
        <v>0</v>
      </c>
      <c r="G85" s="19" t="str">
        <f>IF('Peak Revenue'!$A$1="BL","-",SUM(C85:F85))</f>
        <v>-</v>
      </c>
      <c r="H85" s="203">
        <v>88.245016267231591</v>
      </c>
      <c r="I85" s="203">
        <v>80.211653502084872</v>
      </c>
      <c r="J85" s="203">
        <v>69.851392443673603</v>
      </c>
      <c r="K85" s="203">
        <v>65.588647830888718</v>
      </c>
      <c r="L85" s="203">
        <v>62.390420028623488</v>
      </c>
      <c r="M85" s="203">
        <v>58.151795269736724</v>
      </c>
      <c r="N85" s="203">
        <v>57.420133603159627</v>
      </c>
      <c r="O85" s="203">
        <v>55.229927007399219</v>
      </c>
      <c r="P85" s="203">
        <v>45.314459149772958</v>
      </c>
      <c r="Q85" s="203">
        <v>40.090454712844348</v>
      </c>
      <c r="R85" s="203">
        <v>33.162696263167376</v>
      </c>
      <c r="S85" s="203">
        <v>32.943917422857417</v>
      </c>
      <c r="T85" s="203">
        <v>29.549185694337208</v>
      </c>
      <c r="U85" s="203">
        <v>29.451920351882055</v>
      </c>
      <c r="V85" s="203">
        <v>29.451920351882055</v>
      </c>
      <c r="W85" s="203">
        <v>29.382992058883087</v>
      </c>
      <c r="X85" s="203">
        <v>28.725903766978508</v>
      </c>
      <c r="Y85" s="203">
        <v>26.209374166316252</v>
      </c>
      <c r="Z85" s="203">
        <v>24.813531653499474</v>
      </c>
      <c r="AA85" s="203">
        <v>23.44589721494162</v>
      </c>
      <c r="AB85" s="16">
        <f>AB84*(1+Assumptions!$L$13/12)</f>
        <v>0.98748985711851278</v>
      </c>
      <c r="AC85" s="16">
        <f t="shared" ref="AC85:AC94" si="35">AC84</f>
        <v>0</v>
      </c>
      <c r="AD85" s="18">
        <f t="shared" ref="AD85:AE94" si="36">AD84</f>
        <v>319.92473742153555</v>
      </c>
      <c r="AE85" s="18">
        <f t="shared" si="36"/>
        <v>3926.9475616572372</v>
      </c>
      <c r="AF85" s="5">
        <f>IF(Assumptions!D$18=1,0,1)</f>
        <v>0</v>
      </c>
      <c r="AG85" s="73">
        <f t="shared" ref="AG85:AG94" si="37">AG84</f>
        <v>1.0302</v>
      </c>
      <c r="AH85" s="16">
        <f>Assumptions!$E$18*Assumptions!H14</f>
        <v>3.5977502134180543</v>
      </c>
      <c r="AI85" s="16">
        <f>Assumptions!$F$18*Assumptions!I14</f>
        <v>3.7350526470588239</v>
      </c>
      <c r="AJ85" s="16">
        <f t="shared" ref="AJ85:AK94" si="38">AJ84</f>
        <v>2.4399542510000001</v>
      </c>
      <c r="AK85" s="16">
        <f t="shared" si="38"/>
        <v>7.2000000000000008E-2</v>
      </c>
      <c r="AL85" s="4"/>
    </row>
    <row r="86" spans="1:38" x14ac:dyDescent="0.2">
      <c r="A86" s="1">
        <f t="shared" si="34"/>
        <v>38821.275000000096</v>
      </c>
      <c r="B86" s="16">
        <f t="shared" si="32"/>
        <v>1.0302</v>
      </c>
      <c r="C86" s="17">
        <f t="shared" si="29"/>
        <v>10.349389199999999</v>
      </c>
      <c r="D86" s="16">
        <f t="shared" si="33"/>
        <v>0.98913567354704368</v>
      </c>
      <c r="E86" s="16">
        <f t="shared" si="30"/>
        <v>3.9209624549893221</v>
      </c>
      <c r="F86" s="16">
        <f t="shared" si="31"/>
        <v>0</v>
      </c>
      <c r="G86" s="19" t="str">
        <f>IF('Peak Revenue'!$A$1="BL","-",SUM(C86:F86))</f>
        <v>-</v>
      </c>
      <c r="H86" s="203">
        <v>73.439747626919058</v>
      </c>
      <c r="I86" s="203">
        <v>72.729605765512616</v>
      </c>
      <c r="J86" s="203">
        <v>72.729605765512616</v>
      </c>
      <c r="K86" s="203">
        <v>70.967939515391876</v>
      </c>
      <c r="L86" s="203">
        <v>64.018227366218767</v>
      </c>
      <c r="M86" s="203">
        <v>51.0060616044195</v>
      </c>
      <c r="N86" s="203">
        <v>42.179377890204719</v>
      </c>
      <c r="O86" s="203">
        <v>40.427353904439784</v>
      </c>
      <c r="P86" s="203">
        <v>35.630790959975116</v>
      </c>
      <c r="Q86" s="203">
        <v>35.630790959975116</v>
      </c>
      <c r="R86" s="203">
        <v>35.630790959975116</v>
      </c>
      <c r="S86" s="203">
        <v>33.139261519957849</v>
      </c>
      <c r="T86" s="203">
        <v>26.816920856065284</v>
      </c>
      <c r="U86" s="203">
        <v>25.898447766693238</v>
      </c>
      <c r="V86" s="203">
        <v>24.791022433939386</v>
      </c>
      <c r="W86" s="203">
        <v>24.32120655092459</v>
      </c>
      <c r="X86" s="203">
        <v>23.955195366891001</v>
      </c>
      <c r="Y86" s="203">
        <v>23.623999780332419</v>
      </c>
      <c r="Z86" s="203">
        <v>23.304351721217678</v>
      </c>
      <c r="AA86" s="203">
        <v>22.760108909881524</v>
      </c>
      <c r="AB86" s="16">
        <f>AB85*(1+Assumptions!$L$13/12)</f>
        <v>0.98913567354704368</v>
      </c>
      <c r="AC86" s="16">
        <f t="shared" si="35"/>
        <v>0</v>
      </c>
      <c r="AD86" s="18">
        <f t="shared" si="36"/>
        <v>319.92473742153555</v>
      </c>
      <c r="AE86" s="18">
        <f t="shared" si="36"/>
        <v>3926.9475616572372</v>
      </c>
      <c r="AF86" s="5">
        <f>IF(Assumptions!D$18=1,0,1)</f>
        <v>0</v>
      </c>
      <c r="AG86" s="73">
        <f t="shared" si="37"/>
        <v>1.0302</v>
      </c>
      <c r="AH86" s="16">
        <f>Assumptions!$E$18*Assumptions!H15</f>
        <v>3.4203963296580091</v>
      </c>
      <c r="AI86" s="16">
        <f>Assumptions!$F$18*Assumptions!I15</f>
        <v>3.5900020588235297</v>
      </c>
      <c r="AJ86" s="16">
        <f t="shared" si="38"/>
        <v>2.4399542510000001</v>
      </c>
      <c r="AK86" s="16">
        <f t="shared" si="38"/>
        <v>7.2000000000000008E-2</v>
      </c>
      <c r="AL86" s="4"/>
    </row>
    <row r="87" spans="1:38" x14ac:dyDescent="0.2">
      <c r="A87" s="1">
        <f t="shared" si="34"/>
        <v>38851.692000000097</v>
      </c>
      <c r="B87" s="16">
        <f t="shared" si="32"/>
        <v>1.0302</v>
      </c>
      <c r="C87" s="17">
        <f t="shared" si="29"/>
        <v>10.349389199999999</v>
      </c>
      <c r="D87" s="16">
        <f t="shared" si="33"/>
        <v>0.99078423300295548</v>
      </c>
      <c r="E87" s="16">
        <f t="shared" si="30"/>
        <v>3.9209624549893221</v>
      </c>
      <c r="F87" s="16">
        <f t="shared" si="31"/>
        <v>1.4202041473587099</v>
      </c>
      <c r="G87" s="19" t="str">
        <f>IF('Peak Revenue'!$A$1="BL","-",SUM(C87:F87))</f>
        <v>-</v>
      </c>
      <c r="H87" s="203">
        <v>152.95094881229366</v>
      </c>
      <c r="I87" s="203">
        <v>91.408355710881466</v>
      </c>
      <c r="J87" s="203">
        <v>82.105459152257623</v>
      </c>
      <c r="K87" s="203">
        <v>75.197769592872504</v>
      </c>
      <c r="L87" s="203">
        <v>73.444320596302688</v>
      </c>
      <c r="M87" s="203">
        <v>70.49024237552446</v>
      </c>
      <c r="N87" s="203">
        <v>51.309243754724172</v>
      </c>
      <c r="O87" s="203">
        <v>43.443865668106476</v>
      </c>
      <c r="P87" s="203">
        <v>40.910432634777166</v>
      </c>
      <c r="Q87" s="203">
        <v>32.323303038090224</v>
      </c>
      <c r="R87" s="203">
        <v>30.99271300488703</v>
      </c>
      <c r="S87" s="203">
        <v>30.077474029193759</v>
      </c>
      <c r="T87" s="203">
        <v>29.277743687878026</v>
      </c>
      <c r="U87" s="203">
        <v>28.771604586257723</v>
      </c>
      <c r="V87" s="203">
        <v>28.351746312293368</v>
      </c>
      <c r="W87" s="203">
        <v>28.197176878314544</v>
      </c>
      <c r="X87" s="203">
        <v>28.045531961317153</v>
      </c>
      <c r="Y87" s="203">
        <v>27.825713490892866</v>
      </c>
      <c r="Z87" s="203">
        <v>27.738492777200399</v>
      </c>
      <c r="AA87" s="203">
        <v>26.984441778401486</v>
      </c>
      <c r="AB87" s="16">
        <f>AB86*(1+Assumptions!$L$13/12)</f>
        <v>0.99078423300295548</v>
      </c>
      <c r="AC87" s="16">
        <f t="shared" si="35"/>
        <v>0</v>
      </c>
      <c r="AD87" s="18">
        <f t="shared" si="36"/>
        <v>319.92473742153555</v>
      </c>
      <c r="AE87" s="18">
        <f t="shared" si="36"/>
        <v>3926.9475616572372</v>
      </c>
      <c r="AF87" s="5">
        <v>1</v>
      </c>
      <c r="AG87" s="73">
        <f t="shared" si="37"/>
        <v>1.0302</v>
      </c>
      <c r="AH87" s="16">
        <f>Assumptions!$E$18*Assumptions!H16</f>
        <v>3.6013696804335655</v>
      </c>
      <c r="AI87" s="16">
        <f>Assumptions!$F$18*Assumptions!I16</f>
        <v>3.4449514705882356</v>
      </c>
      <c r="AJ87" s="16">
        <f t="shared" si="38"/>
        <v>2.4399542510000001</v>
      </c>
      <c r="AK87" s="16">
        <f t="shared" si="38"/>
        <v>7.2000000000000008E-2</v>
      </c>
      <c r="AL87" s="4"/>
    </row>
    <row r="88" spans="1:38" x14ac:dyDescent="0.2">
      <c r="A88" s="1">
        <f t="shared" si="34"/>
        <v>38882.109000000099</v>
      </c>
      <c r="B88" s="16">
        <f t="shared" si="32"/>
        <v>1.0302</v>
      </c>
      <c r="C88" s="17">
        <f t="shared" si="29"/>
        <v>10.349389199999999</v>
      </c>
      <c r="D88" s="16">
        <f t="shared" si="33"/>
        <v>0.99243554005796042</v>
      </c>
      <c r="E88" s="16">
        <f t="shared" si="30"/>
        <v>3.9209624549893221</v>
      </c>
      <c r="F88" s="16">
        <f t="shared" si="31"/>
        <v>1.4202041473587099</v>
      </c>
      <c r="G88" s="19" t="str">
        <f>IF('Peak Revenue'!$A$1="BL","-",SUM(C88:F88))</f>
        <v>-</v>
      </c>
      <c r="H88" s="203">
        <v>166.07453610162523</v>
      </c>
      <c r="I88" s="203">
        <v>125.32491700188299</v>
      </c>
      <c r="J88" s="203">
        <v>91.404246522033475</v>
      </c>
      <c r="K88" s="203">
        <v>78.684227228694652</v>
      </c>
      <c r="L88" s="203">
        <v>71.059753845209414</v>
      </c>
      <c r="M88" s="203">
        <v>68.959392769903175</v>
      </c>
      <c r="N88" s="203">
        <v>54.87350998439743</v>
      </c>
      <c r="O88" s="203">
        <v>45.998952707556796</v>
      </c>
      <c r="P88" s="203">
        <v>40.087968042384617</v>
      </c>
      <c r="Q88" s="203">
        <v>39.40294082735587</v>
      </c>
      <c r="R88" s="203">
        <v>37.810309447465151</v>
      </c>
      <c r="S88" s="203">
        <v>35.681607755083363</v>
      </c>
      <c r="T88" s="203">
        <v>34.724160590350188</v>
      </c>
      <c r="U88" s="203">
        <v>34.085100402304661</v>
      </c>
      <c r="V88" s="203">
        <v>34.011314117355184</v>
      </c>
      <c r="W88" s="203">
        <v>33.895866861008251</v>
      </c>
      <c r="X88" s="203">
        <v>33.725036539689292</v>
      </c>
      <c r="Y88" s="203">
        <v>33.387398089484734</v>
      </c>
      <c r="Z88" s="203">
        <v>33.181551836855313</v>
      </c>
      <c r="AA88" s="203">
        <v>30.693461523323965</v>
      </c>
      <c r="AB88" s="16">
        <f>AB87*(1+Assumptions!$L$13/12)</f>
        <v>0.99243554005796042</v>
      </c>
      <c r="AC88" s="16">
        <f t="shared" si="35"/>
        <v>0</v>
      </c>
      <c r="AD88" s="18">
        <f t="shared" si="36"/>
        <v>319.92473742153555</v>
      </c>
      <c r="AE88" s="18">
        <f t="shared" si="36"/>
        <v>3926.9475616572372</v>
      </c>
      <c r="AF88" s="5">
        <v>1</v>
      </c>
      <c r="AG88" s="73">
        <f t="shared" si="37"/>
        <v>1.0302</v>
      </c>
      <c r="AH88" s="16">
        <f>Assumptions!$E$18*Assumptions!H17</f>
        <v>3.4312547307045427</v>
      </c>
      <c r="AI88" s="16">
        <f>Assumptions!$F$18*Assumptions!I17</f>
        <v>3.4449514705882356</v>
      </c>
      <c r="AJ88" s="16">
        <f t="shared" si="38"/>
        <v>2.4399542510000001</v>
      </c>
      <c r="AK88" s="16">
        <f t="shared" si="38"/>
        <v>7.2000000000000008E-2</v>
      </c>
      <c r="AL88" s="4"/>
    </row>
    <row r="89" spans="1:38" x14ac:dyDescent="0.2">
      <c r="A89" s="1">
        <f t="shared" si="34"/>
        <v>38912.5260000001</v>
      </c>
      <c r="B89" s="16">
        <f t="shared" si="32"/>
        <v>1.0302</v>
      </c>
      <c r="C89" s="17">
        <f t="shared" si="29"/>
        <v>10.349389199999999</v>
      </c>
      <c r="D89" s="16">
        <f t="shared" si="33"/>
        <v>0.9940895992913904</v>
      </c>
      <c r="E89" s="16">
        <f t="shared" si="30"/>
        <v>3.9209624549893221</v>
      </c>
      <c r="F89" s="16">
        <f t="shared" si="31"/>
        <v>1.4202041473587099</v>
      </c>
      <c r="G89" s="19" t="str">
        <f>IF('Peak Revenue'!$A$1="BL","-",SUM(C89:F89))</f>
        <v>-</v>
      </c>
      <c r="H89" s="203">
        <v>211.3394752548549</v>
      </c>
      <c r="I89" s="203">
        <v>165.50999241682567</v>
      </c>
      <c r="J89" s="203">
        <v>146.60122411564006</v>
      </c>
      <c r="K89" s="203">
        <v>119.19239886696752</v>
      </c>
      <c r="L89" s="203">
        <v>108.65594378760196</v>
      </c>
      <c r="M89" s="203">
        <v>99.653127438509003</v>
      </c>
      <c r="N89" s="203">
        <v>95.129119679657492</v>
      </c>
      <c r="O89" s="203">
        <v>69.394760734456924</v>
      </c>
      <c r="P89" s="203">
        <v>55.375049796425969</v>
      </c>
      <c r="Q89" s="203">
        <v>49.174432270155854</v>
      </c>
      <c r="R89" s="203">
        <v>46.575931058986463</v>
      </c>
      <c r="S89" s="203">
        <v>46.131933881373186</v>
      </c>
      <c r="T89" s="203">
        <v>46.131933881373186</v>
      </c>
      <c r="U89" s="203">
        <v>41.657964007877339</v>
      </c>
      <c r="V89" s="203">
        <v>36.176983760707849</v>
      </c>
      <c r="W89" s="203">
        <v>34.520291463599833</v>
      </c>
      <c r="X89" s="203">
        <v>32.834978683253674</v>
      </c>
      <c r="Y89" s="203">
        <v>31.947813502419571</v>
      </c>
      <c r="Z89" s="203">
        <v>31.493017004302157</v>
      </c>
      <c r="AA89" s="203">
        <v>30.303699681999991</v>
      </c>
      <c r="AB89" s="16">
        <f>AB88*(1+Assumptions!$L$13/12)</f>
        <v>0.9940895992913904</v>
      </c>
      <c r="AC89" s="16">
        <f t="shared" si="35"/>
        <v>0</v>
      </c>
      <c r="AD89" s="18">
        <f t="shared" si="36"/>
        <v>319.92473742153555</v>
      </c>
      <c r="AE89" s="18">
        <f t="shared" si="36"/>
        <v>3926.9475616572372</v>
      </c>
      <c r="AF89" s="5">
        <v>1</v>
      </c>
      <c r="AG89" s="73">
        <f t="shared" si="37"/>
        <v>1.0302</v>
      </c>
      <c r="AH89" s="16">
        <f>Assumptions!$E$18*Assumptions!H18</f>
        <v>3.4203963296580091</v>
      </c>
      <c r="AI89" s="16">
        <f>Assumptions!$F$18*Assumptions!I18</f>
        <v>3.4449514705882356</v>
      </c>
      <c r="AJ89" s="16">
        <f t="shared" si="38"/>
        <v>2.4399542510000001</v>
      </c>
      <c r="AK89" s="16">
        <f t="shared" si="38"/>
        <v>7.2000000000000008E-2</v>
      </c>
      <c r="AL89" s="4"/>
    </row>
    <row r="90" spans="1:38" x14ac:dyDescent="0.2">
      <c r="A90" s="1">
        <f t="shared" si="34"/>
        <v>38942.943000000101</v>
      </c>
      <c r="B90" s="16">
        <f t="shared" si="32"/>
        <v>1.0302</v>
      </c>
      <c r="C90" s="17">
        <f t="shared" si="29"/>
        <v>10.349389199999999</v>
      </c>
      <c r="D90" s="16">
        <f t="shared" si="33"/>
        <v>0.99574641529020946</v>
      </c>
      <c r="E90" s="16">
        <f t="shared" si="30"/>
        <v>3.9209624549893221</v>
      </c>
      <c r="F90" s="16">
        <f t="shared" si="31"/>
        <v>1.4202041473587099</v>
      </c>
      <c r="G90" s="19" t="str">
        <f>IF('Peak Revenue'!$A$1="BL","-",SUM(C90:F90))</f>
        <v>-</v>
      </c>
      <c r="H90" s="203">
        <v>583.76452323825242</v>
      </c>
      <c r="I90" s="203">
        <v>382.22843311937851</v>
      </c>
      <c r="J90" s="203">
        <v>283.01608014104204</v>
      </c>
      <c r="K90" s="203">
        <v>195.605936490327</v>
      </c>
      <c r="L90" s="203">
        <v>148.10054394724131</v>
      </c>
      <c r="M90" s="203">
        <v>94.079917618786084</v>
      </c>
      <c r="N90" s="203">
        <v>80.911810218899035</v>
      </c>
      <c r="O90" s="203">
        <v>76.000939486482395</v>
      </c>
      <c r="P90" s="203">
        <v>61.590844186170536</v>
      </c>
      <c r="Q90" s="203">
        <v>49.487953769701207</v>
      </c>
      <c r="R90" s="203">
        <v>41.614728540842393</v>
      </c>
      <c r="S90" s="203">
        <v>37.053634309893567</v>
      </c>
      <c r="T90" s="203">
        <v>36.785153400485527</v>
      </c>
      <c r="U90" s="203">
        <v>36.46139137241137</v>
      </c>
      <c r="V90" s="203">
        <v>35.567581282888007</v>
      </c>
      <c r="W90" s="203">
        <v>32.566363447768005</v>
      </c>
      <c r="X90" s="203">
        <v>30.662900759657362</v>
      </c>
      <c r="Y90" s="203">
        <v>29.519711995208461</v>
      </c>
      <c r="Z90" s="203">
        <v>28.864568487311196</v>
      </c>
      <c r="AA90" s="203">
        <v>26.215724832813198</v>
      </c>
      <c r="AB90" s="16">
        <f>AB89*(1+Assumptions!$L$13/12)</f>
        <v>0.99574641529020946</v>
      </c>
      <c r="AC90" s="16">
        <f t="shared" si="35"/>
        <v>0</v>
      </c>
      <c r="AD90" s="18">
        <f t="shared" si="36"/>
        <v>319.92473742153555</v>
      </c>
      <c r="AE90" s="18">
        <f t="shared" si="36"/>
        <v>3926.9475616572372</v>
      </c>
      <c r="AF90" s="5">
        <v>1</v>
      </c>
      <c r="AG90" s="73">
        <f t="shared" si="37"/>
        <v>1.0302</v>
      </c>
      <c r="AH90" s="16">
        <f>Assumptions!$E$18*Assumptions!H19</f>
        <v>3.2430424458979643</v>
      </c>
      <c r="AI90" s="16">
        <f>Assumptions!$F$18*Assumptions!I19</f>
        <v>3.4449514705882356</v>
      </c>
      <c r="AJ90" s="16">
        <f t="shared" si="38"/>
        <v>2.4399542510000001</v>
      </c>
      <c r="AK90" s="16">
        <f t="shared" si="38"/>
        <v>7.2000000000000008E-2</v>
      </c>
      <c r="AL90" s="4"/>
    </row>
    <row r="91" spans="1:38" x14ac:dyDescent="0.2">
      <c r="A91" s="1">
        <f t="shared" si="34"/>
        <v>38973.360000000102</v>
      </c>
      <c r="B91" s="16">
        <f t="shared" si="32"/>
        <v>1.0302</v>
      </c>
      <c r="C91" s="17">
        <f t="shared" si="29"/>
        <v>10.349389199999999</v>
      </c>
      <c r="D91" s="16">
        <f t="shared" si="33"/>
        <v>0.99740599264902652</v>
      </c>
      <c r="E91" s="16">
        <f t="shared" si="30"/>
        <v>3.9209624549893221</v>
      </c>
      <c r="F91" s="16">
        <f t="shared" si="31"/>
        <v>1.4202041473587099</v>
      </c>
      <c r="G91" s="19" t="str">
        <f>IF('Peak Revenue'!$A$1="BL","-",SUM(C91:F91))</f>
        <v>-</v>
      </c>
      <c r="H91" s="203">
        <v>232.6563387840153</v>
      </c>
      <c r="I91" s="203">
        <v>177.77936791807628</v>
      </c>
      <c r="J91" s="203">
        <v>151.86937963762645</v>
      </c>
      <c r="K91" s="203">
        <v>79.401883910270229</v>
      </c>
      <c r="L91" s="203">
        <v>69.887055848904851</v>
      </c>
      <c r="M91" s="203">
        <v>63.014308402863172</v>
      </c>
      <c r="N91" s="203">
        <v>57.980757490705436</v>
      </c>
      <c r="O91" s="203">
        <v>57.315946320020444</v>
      </c>
      <c r="P91" s="203">
        <v>48.276083991651916</v>
      </c>
      <c r="Q91" s="203">
        <v>40.165517542455667</v>
      </c>
      <c r="R91" s="203">
        <v>33.789134939337799</v>
      </c>
      <c r="S91" s="203">
        <v>32.964370252454927</v>
      </c>
      <c r="T91" s="203">
        <v>31.686617410582777</v>
      </c>
      <c r="U91" s="203">
        <v>30.126518452051155</v>
      </c>
      <c r="V91" s="203">
        <v>29.155689729287207</v>
      </c>
      <c r="W91" s="203">
        <v>28.606808481908523</v>
      </c>
      <c r="X91" s="203">
        <v>28.180684153199984</v>
      </c>
      <c r="Y91" s="203">
        <v>27.969390279022814</v>
      </c>
      <c r="Z91" s="203">
        <v>27.512693383138576</v>
      </c>
      <c r="AA91" s="203">
        <v>26.797816128261815</v>
      </c>
      <c r="AB91" s="16">
        <f>AB90*(1+Assumptions!$L$13/12)</f>
        <v>0.99740599264902652</v>
      </c>
      <c r="AC91" s="16">
        <f t="shared" si="35"/>
        <v>0</v>
      </c>
      <c r="AD91" s="18">
        <f t="shared" si="36"/>
        <v>319.92473742153555</v>
      </c>
      <c r="AE91" s="18">
        <f t="shared" si="36"/>
        <v>3926.9475616572372</v>
      </c>
      <c r="AF91" s="5">
        <v>1</v>
      </c>
      <c r="AG91" s="73">
        <f t="shared" si="37"/>
        <v>1.0302</v>
      </c>
      <c r="AH91" s="16">
        <f>Assumptions!$E$18*Assumptions!H20</f>
        <v>3.2321840448514312</v>
      </c>
      <c r="AI91" s="16">
        <f>Assumptions!$F$18*Assumptions!I20</f>
        <v>3.4449514705882356</v>
      </c>
      <c r="AJ91" s="16">
        <f t="shared" si="38"/>
        <v>2.4399542510000001</v>
      </c>
      <c r="AK91" s="16">
        <f t="shared" si="38"/>
        <v>7.2000000000000008E-2</v>
      </c>
      <c r="AL91" s="4"/>
    </row>
    <row r="92" spans="1:38" x14ac:dyDescent="0.2">
      <c r="A92" s="1">
        <f t="shared" si="34"/>
        <v>39003.777000000104</v>
      </c>
      <c r="B92" s="16">
        <f t="shared" si="32"/>
        <v>1.0302</v>
      </c>
      <c r="C92" s="17">
        <f t="shared" si="29"/>
        <v>10.349389199999999</v>
      </c>
      <c r="D92" s="16">
        <f t="shared" si="33"/>
        <v>0.99906833597010825</v>
      </c>
      <c r="E92" s="16">
        <f t="shared" si="30"/>
        <v>3.9209624549893221</v>
      </c>
      <c r="F92" s="16">
        <f t="shared" si="31"/>
        <v>0</v>
      </c>
      <c r="G92" s="19" t="str">
        <f>IF('Peak Revenue'!$A$1="BL","-",SUM(C92:F92))</f>
        <v>-</v>
      </c>
      <c r="H92" s="203">
        <v>70.427613969035804</v>
      </c>
      <c r="I92" s="203">
        <v>68.162521371052918</v>
      </c>
      <c r="J92" s="203">
        <v>66.18981139947806</v>
      </c>
      <c r="K92" s="203">
        <v>62.175497918766006</v>
      </c>
      <c r="L92" s="203">
        <v>61.390338265413014</v>
      </c>
      <c r="M92" s="203">
        <v>60.263607088057178</v>
      </c>
      <c r="N92" s="203">
        <v>49.060576321043186</v>
      </c>
      <c r="O92" s="203">
        <v>42.072716796990171</v>
      </c>
      <c r="P92" s="203">
        <v>35.074862864108802</v>
      </c>
      <c r="Q92" s="203">
        <v>34.629276073389825</v>
      </c>
      <c r="R92" s="203">
        <v>30.789696742492293</v>
      </c>
      <c r="S92" s="203">
        <v>30.731752048146458</v>
      </c>
      <c r="T92" s="203">
        <v>30.731110667399427</v>
      </c>
      <c r="U92" s="203">
        <v>30.731062572796077</v>
      </c>
      <c r="V92" s="203">
        <v>30.731062572796077</v>
      </c>
      <c r="W92" s="203">
        <v>30.025801457471459</v>
      </c>
      <c r="X92" s="203">
        <v>27.178732046862912</v>
      </c>
      <c r="Y92" s="203">
        <v>26.670266987238058</v>
      </c>
      <c r="Z92" s="203">
        <v>25.472703633066416</v>
      </c>
      <c r="AA92" s="203">
        <v>24.432749027638799</v>
      </c>
      <c r="AB92" s="16">
        <f>AB91*(1+Assumptions!$L$13/12)</f>
        <v>0.99906833597010825</v>
      </c>
      <c r="AC92" s="16">
        <f t="shared" si="35"/>
        <v>0</v>
      </c>
      <c r="AD92" s="18">
        <f t="shared" si="36"/>
        <v>319.92473742153555</v>
      </c>
      <c r="AE92" s="18">
        <f t="shared" si="36"/>
        <v>3926.9475616572372</v>
      </c>
      <c r="AF92" s="5">
        <f>IF(Assumptions!D$18=1,0,1)</f>
        <v>0</v>
      </c>
      <c r="AG92" s="73">
        <f t="shared" si="37"/>
        <v>1.0302</v>
      </c>
      <c r="AH92" s="16">
        <f>Assumptions!$E$18*Assumptions!H21</f>
        <v>3.5796528783404988</v>
      </c>
      <c r="AI92" s="16">
        <f>Assumptions!$F$18*Assumptions!I21</f>
        <v>3.4449514705882356</v>
      </c>
      <c r="AJ92" s="16">
        <f t="shared" si="38"/>
        <v>2.4399542510000001</v>
      </c>
      <c r="AK92" s="16">
        <f t="shared" si="38"/>
        <v>7.2000000000000008E-2</v>
      </c>
      <c r="AL92" s="4"/>
    </row>
    <row r="93" spans="1:38" x14ac:dyDescent="0.2">
      <c r="A93" s="1">
        <f t="shared" si="34"/>
        <v>39034.194000000105</v>
      </c>
      <c r="B93" s="16">
        <f t="shared" si="32"/>
        <v>1.0302</v>
      </c>
      <c r="C93" s="17">
        <f t="shared" si="29"/>
        <v>10.349389199999999</v>
      </c>
      <c r="D93" s="16">
        <f t="shared" si="33"/>
        <v>1.0007334498633917</v>
      </c>
      <c r="E93" s="16">
        <f t="shared" si="30"/>
        <v>3.9209624549893221</v>
      </c>
      <c r="F93" s="16">
        <f t="shared" si="31"/>
        <v>0</v>
      </c>
      <c r="G93" s="19" t="str">
        <f>IF('Peak Revenue'!$A$1="BL","-",SUM(C93:F93))</f>
        <v>-</v>
      </c>
      <c r="H93" s="203">
        <v>80.999582783374265</v>
      </c>
      <c r="I93" s="203">
        <v>76.821692838900702</v>
      </c>
      <c r="J93" s="203">
        <v>75.117756774418794</v>
      </c>
      <c r="K93" s="203">
        <v>70.935882606473683</v>
      </c>
      <c r="L93" s="203">
        <v>69.406043346531959</v>
      </c>
      <c r="M93" s="203">
        <v>69.087940747996882</v>
      </c>
      <c r="N93" s="203">
        <v>64.007356384368194</v>
      </c>
      <c r="O93" s="203">
        <v>48.094809323298797</v>
      </c>
      <c r="P93" s="203">
        <v>45.151659373820095</v>
      </c>
      <c r="Q93" s="203">
        <v>43.981774996425322</v>
      </c>
      <c r="R93" s="203">
        <v>35.629186128575753</v>
      </c>
      <c r="S93" s="203">
        <v>34.206875204455145</v>
      </c>
      <c r="T93" s="203">
        <v>34.206875204455145</v>
      </c>
      <c r="U93" s="203">
        <v>32.085343921559321</v>
      </c>
      <c r="V93" s="203">
        <v>26.658911268550462</v>
      </c>
      <c r="W93" s="203">
        <v>25.669871438802588</v>
      </c>
      <c r="X93" s="203">
        <v>24.678542848996472</v>
      </c>
      <c r="Y93" s="203">
        <v>24.204769937297858</v>
      </c>
      <c r="Z93" s="203">
        <v>23.816235387322486</v>
      </c>
      <c r="AA93" s="203">
        <v>23.082924592459293</v>
      </c>
      <c r="AB93" s="16">
        <f>AB92*(1+Assumptions!$L$13/12)</f>
        <v>1.0007334498633917</v>
      </c>
      <c r="AC93" s="16">
        <f t="shared" si="35"/>
        <v>0</v>
      </c>
      <c r="AD93" s="18">
        <f t="shared" si="36"/>
        <v>319.92473742153555</v>
      </c>
      <c r="AE93" s="18">
        <f t="shared" si="36"/>
        <v>3926.9475616572372</v>
      </c>
      <c r="AF93" s="5">
        <f>IF(Assumptions!D$18=1,0,1)</f>
        <v>0</v>
      </c>
      <c r="AG93" s="73">
        <f t="shared" si="37"/>
        <v>1.0302</v>
      </c>
      <c r="AH93" s="16">
        <f>Assumptions!$E$18*Assumptions!H22</f>
        <v>3.9198827777985441</v>
      </c>
      <c r="AI93" s="16">
        <f>Assumptions!$F$18*Assumptions!I22</f>
        <v>3.7350526470588239</v>
      </c>
      <c r="AJ93" s="16">
        <f t="shared" si="38"/>
        <v>2.4399542510000001</v>
      </c>
      <c r="AK93" s="16">
        <f t="shared" si="38"/>
        <v>7.2000000000000008E-2</v>
      </c>
      <c r="AL93" s="4"/>
    </row>
    <row r="94" spans="1:38" x14ac:dyDescent="0.2">
      <c r="A94" s="1">
        <f t="shared" si="34"/>
        <v>39064.611000000106</v>
      </c>
      <c r="B94" s="16">
        <f t="shared" si="32"/>
        <v>1.0302</v>
      </c>
      <c r="C94" s="17">
        <f t="shared" si="29"/>
        <v>10.349389199999999</v>
      </c>
      <c r="D94" s="16">
        <f t="shared" si="33"/>
        <v>1.0024013389464974</v>
      </c>
      <c r="E94" s="16">
        <f t="shared" si="30"/>
        <v>3.9209624549893221</v>
      </c>
      <c r="F94" s="16">
        <f t="shared" si="31"/>
        <v>0</v>
      </c>
      <c r="G94" s="19" t="str">
        <f>IF('Peak Revenue'!$A$1="BL","-",SUM(C94:F94))</f>
        <v>-</v>
      </c>
      <c r="H94" s="203">
        <v>163.69646160424401</v>
      </c>
      <c r="I94" s="203">
        <v>153.62847377574602</v>
      </c>
      <c r="J94" s="203">
        <v>90.098241136503717</v>
      </c>
      <c r="K94" s="203">
        <v>70.779883203132016</v>
      </c>
      <c r="L94" s="203">
        <v>65.102066403574781</v>
      </c>
      <c r="M94" s="203">
        <v>62.58428096032177</v>
      </c>
      <c r="N94" s="203">
        <v>59.316603094978305</v>
      </c>
      <c r="O94" s="203">
        <v>56.0349934422281</v>
      </c>
      <c r="P94" s="203">
        <v>55.69903066562987</v>
      </c>
      <c r="Q94" s="203">
        <v>54.749972151767139</v>
      </c>
      <c r="R94" s="203">
        <v>48.454161741236646</v>
      </c>
      <c r="S94" s="203">
        <v>39.417865037190012</v>
      </c>
      <c r="T94" s="203">
        <v>33.639068036480886</v>
      </c>
      <c r="U94" s="203">
        <v>31.955814110234797</v>
      </c>
      <c r="V94" s="203">
        <v>28.921337464605067</v>
      </c>
      <c r="W94" s="203">
        <v>28.269997327529673</v>
      </c>
      <c r="X94" s="203">
        <v>28.269514368240319</v>
      </c>
      <c r="Y94" s="203">
        <v>27.930599479089697</v>
      </c>
      <c r="Z94" s="203">
        <v>26.733816945864767</v>
      </c>
      <c r="AA94" s="203">
        <v>24.906779298592756</v>
      </c>
      <c r="AB94" s="16">
        <f>AB93*(1+Assumptions!$L$13/12)</f>
        <v>1.0024013389464974</v>
      </c>
      <c r="AC94" s="16">
        <f t="shared" si="35"/>
        <v>0</v>
      </c>
      <c r="AD94" s="18">
        <f t="shared" si="36"/>
        <v>319.92473742153555</v>
      </c>
      <c r="AE94" s="18">
        <f t="shared" si="36"/>
        <v>3926.9475616572372</v>
      </c>
      <c r="AF94" s="5">
        <f>IF(Assumptions!D$18=1,0,1)</f>
        <v>0</v>
      </c>
      <c r="AG94" s="73">
        <f t="shared" si="37"/>
        <v>1.0302</v>
      </c>
      <c r="AH94" s="16">
        <f>Assumptions!$E$18*Assumptions!H23</f>
        <v>4.2420153421790339</v>
      </c>
      <c r="AI94" s="16">
        <f>Assumptions!$F$18*Assumptions!I23</f>
        <v>3.9163658823529417</v>
      </c>
      <c r="AJ94" s="16">
        <f t="shared" si="38"/>
        <v>2.4399542510000001</v>
      </c>
      <c r="AK94" s="16">
        <f t="shared" si="38"/>
        <v>7.2000000000000008E-2</v>
      </c>
      <c r="AL94" s="4"/>
    </row>
    <row r="95" spans="1:38" x14ac:dyDescent="0.2">
      <c r="A95" s="1">
        <f t="shared" si="34"/>
        <v>39095.028000000108</v>
      </c>
      <c r="B95" s="16">
        <f t="shared" si="32"/>
        <v>1.0623</v>
      </c>
      <c r="C95" s="17">
        <f t="shared" si="29"/>
        <v>10.671865799999999</v>
      </c>
      <c r="D95" s="16">
        <f t="shared" si="33"/>
        <v>1.0040720078447416</v>
      </c>
      <c r="E95" s="16">
        <f t="shared" si="30"/>
        <v>4.3460736593647988</v>
      </c>
      <c r="F95" s="16">
        <f t="shared" si="31"/>
        <v>0.77671209261552876</v>
      </c>
      <c r="G95" s="19" t="str">
        <f>IF('Peak Revenue'!$A$1="BL","-",SUM(C95:F95))</f>
        <v>-</v>
      </c>
      <c r="H95" s="203">
        <v>88.210592783978655</v>
      </c>
      <c r="I95" s="203">
        <v>85.507492675197241</v>
      </c>
      <c r="J95" s="203">
        <v>81.111011258175907</v>
      </c>
      <c r="K95" s="203">
        <v>80.03162108305564</v>
      </c>
      <c r="L95" s="203">
        <v>79.337243111260619</v>
      </c>
      <c r="M95" s="203">
        <v>71.697844852664147</v>
      </c>
      <c r="N95" s="203">
        <v>54.832676903634194</v>
      </c>
      <c r="O95" s="203">
        <v>45.98743440905649</v>
      </c>
      <c r="P95" s="203">
        <v>44.874161771136599</v>
      </c>
      <c r="Q95" s="203">
        <v>38.962603525917942</v>
      </c>
      <c r="R95" s="203">
        <v>38.313990559248019</v>
      </c>
      <c r="S95" s="203">
        <v>38.313924061579911</v>
      </c>
      <c r="T95" s="203">
        <v>38.31381490390185</v>
      </c>
      <c r="U95" s="203">
        <v>38.31337570036753</v>
      </c>
      <c r="V95" s="203">
        <v>35.978174523844224</v>
      </c>
      <c r="W95" s="203">
        <v>33.079357022006349</v>
      </c>
      <c r="X95" s="203">
        <v>31.378865163025448</v>
      </c>
      <c r="Y95" s="203">
        <v>30.777416519772306</v>
      </c>
      <c r="Z95" s="203">
        <v>30.598542229177795</v>
      </c>
      <c r="AA95" s="203">
        <v>29.80523337732674</v>
      </c>
      <c r="AB95" s="16">
        <f>AB94*(1+Assumptions!$L$13/12)</f>
        <v>1.0040720078447416</v>
      </c>
      <c r="AC95" s="16">
        <f>VLOOKUP($C$1,EnvVOM,10)</f>
        <v>0</v>
      </c>
      <c r="AD95" s="18">
        <f>Assumptions!B19</f>
        <v>354.61101457823628</v>
      </c>
      <c r="AE95" s="18">
        <f>Assumptions!C19</f>
        <v>2147.6543804486269</v>
      </c>
      <c r="AF95" s="5">
        <f>IF(Assumptions!D$19=1,0,1)</f>
        <v>1</v>
      </c>
      <c r="AG95" s="73">
        <f>VLOOKUP($C$1,Coal,10)</f>
        <v>1.0623</v>
      </c>
      <c r="AH95" s="16">
        <f>Assumptions!$E$19*Assumptions!H12</f>
        <v>4.1475159064986542</v>
      </c>
      <c r="AI95" s="16">
        <f>Assumptions!$F$19*Assumptions!I12</f>
        <v>3.9745426415094349</v>
      </c>
      <c r="AJ95" s="16">
        <f>VLOOKUP($C$1,SO2Rate,10)</f>
        <v>2.4399542510000001</v>
      </c>
      <c r="AK95" s="16">
        <f>VLOOKUP($C$1,NOxRate,10)</f>
        <v>7.2000000000000008E-2</v>
      </c>
      <c r="AL95" s="4"/>
    </row>
    <row r="96" spans="1:38" x14ac:dyDescent="0.2">
      <c r="A96" s="1">
        <f t="shared" si="34"/>
        <v>39125.445000000109</v>
      </c>
      <c r="B96" s="16">
        <f t="shared" si="32"/>
        <v>1.0623</v>
      </c>
      <c r="C96" s="17">
        <f t="shared" si="29"/>
        <v>10.671865799999999</v>
      </c>
      <c r="D96" s="16">
        <f t="shared" si="33"/>
        <v>1.0057454611911496</v>
      </c>
      <c r="E96" s="16">
        <f t="shared" si="30"/>
        <v>4.3460736593647988</v>
      </c>
      <c r="F96" s="16">
        <f t="shared" si="31"/>
        <v>0.77671209261552876</v>
      </c>
      <c r="G96" s="19" t="str">
        <f>IF('Peak Revenue'!$A$1="BL","-",SUM(C96:F96))</f>
        <v>-</v>
      </c>
      <c r="H96" s="203">
        <v>158.64767780106166</v>
      </c>
      <c r="I96" s="203">
        <v>120.8425049386249</v>
      </c>
      <c r="J96" s="203">
        <v>95.980273118565336</v>
      </c>
      <c r="K96" s="203">
        <v>79.339314609615045</v>
      </c>
      <c r="L96" s="203">
        <v>70.863549322916867</v>
      </c>
      <c r="M96" s="203">
        <v>66.876626313031778</v>
      </c>
      <c r="N96" s="203">
        <v>63.94811216406702</v>
      </c>
      <c r="O96" s="203">
        <v>63.227654201916053</v>
      </c>
      <c r="P96" s="203">
        <v>48.301308383779499</v>
      </c>
      <c r="Q96" s="203">
        <v>45.909651469922693</v>
      </c>
      <c r="R96" s="203">
        <v>44.650765604759243</v>
      </c>
      <c r="S96" s="203">
        <v>39.031222417482986</v>
      </c>
      <c r="T96" s="203">
        <v>35.499430240029099</v>
      </c>
      <c r="U96" s="203">
        <v>34.247218780510586</v>
      </c>
      <c r="V96" s="203">
        <v>32.922543342672199</v>
      </c>
      <c r="W96" s="203">
        <v>31.927799279081107</v>
      </c>
      <c r="X96" s="203">
        <v>31.806429048934298</v>
      </c>
      <c r="Y96" s="203">
        <v>31.65505942435481</v>
      </c>
      <c r="Z96" s="203">
        <v>30.19139623914138</v>
      </c>
      <c r="AA96" s="203">
        <v>27.238309293402718</v>
      </c>
      <c r="AB96" s="16">
        <f>AB95*(1+Assumptions!$L$13/12)</f>
        <v>1.0057454611911496</v>
      </c>
      <c r="AC96" s="16">
        <f>AC95</f>
        <v>0</v>
      </c>
      <c r="AD96" s="18">
        <f>AD95</f>
        <v>354.61101457823628</v>
      </c>
      <c r="AE96" s="18">
        <f>AE95</f>
        <v>2147.6543804486269</v>
      </c>
      <c r="AF96" s="5">
        <f>IF(Assumptions!D$19=1,0,1)</f>
        <v>1</v>
      </c>
      <c r="AG96" s="73">
        <f>AG95</f>
        <v>1.0623</v>
      </c>
      <c r="AH96" s="16">
        <f>Assumptions!$E$19*Assumptions!H13</f>
        <v>3.7173214374735277</v>
      </c>
      <c r="AI96" s="16">
        <f>Assumptions!$F$19*Assumptions!I13</f>
        <v>3.9377413207547178</v>
      </c>
      <c r="AJ96" s="16">
        <f>AJ95</f>
        <v>2.4399542510000001</v>
      </c>
      <c r="AK96" s="16">
        <f>AK95</f>
        <v>7.2000000000000008E-2</v>
      </c>
      <c r="AL96" s="4"/>
    </row>
    <row r="97" spans="1:38" x14ac:dyDescent="0.2">
      <c r="A97" s="1">
        <f t="shared" si="34"/>
        <v>39155.86200000011</v>
      </c>
      <c r="B97" s="16">
        <f t="shared" si="32"/>
        <v>1.0623</v>
      </c>
      <c r="C97" s="17">
        <f t="shared" si="29"/>
        <v>10.671865799999999</v>
      </c>
      <c r="D97" s="16">
        <f t="shared" si="33"/>
        <v>1.0074217036264683</v>
      </c>
      <c r="E97" s="16">
        <f t="shared" si="30"/>
        <v>4.3460736593647988</v>
      </c>
      <c r="F97" s="16">
        <f t="shared" si="31"/>
        <v>0.77671209261552876</v>
      </c>
      <c r="G97" s="19" t="str">
        <f>IF('Peak Revenue'!$A$1="BL","-",SUM(C97:F97))</f>
        <v>-</v>
      </c>
      <c r="H97" s="203">
        <v>84.4024032991978</v>
      </c>
      <c r="I97" s="203">
        <v>79.333468805175713</v>
      </c>
      <c r="J97" s="203">
        <v>76.32789073325867</v>
      </c>
      <c r="K97" s="203">
        <v>73.464285891327862</v>
      </c>
      <c r="L97" s="203">
        <v>70.29766129217407</v>
      </c>
      <c r="M97" s="203">
        <v>68.337589480089903</v>
      </c>
      <c r="N97" s="203">
        <v>67.980417947198447</v>
      </c>
      <c r="O97" s="203">
        <v>63.714833541778866</v>
      </c>
      <c r="P97" s="203">
        <v>48.69761447840591</v>
      </c>
      <c r="Q97" s="203">
        <v>45.359358398110608</v>
      </c>
      <c r="R97" s="203">
        <v>41.208045929879574</v>
      </c>
      <c r="S97" s="203">
        <v>40.274297239900406</v>
      </c>
      <c r="T97" s="203">
        <v>33.47006016540702</v>
      </c>
      <c r="U97" s="203">
        <v>33.195754675616357</v>
      </c>
      <c r="V97" s="203">
        <v>33.008582740420998</v>
      </c>
      <c r="W97" s="203">
        <v>31.073292314167077</v>
      </c>
      <c r="X97" s="203">
        <v>29.375050162970894</v>
      </c>
      <c r="Y97" s="203">
        <v>28.527029777197097</v>
      </c>
      <c r="Z97" s="203">
        <v>28.148847614835592</v>
      </c>
      <c r="AA97" s="203">
        <v>25.788952620533895</v>
      </c>
      <c r="AB97" s="16">
        <f>AB96*(1+Assumptions!$L$13/12)</f>
        <v>1.0074217036264683</v>
      </c>
      <c r="AC97" s="16">
        <f t="shared" ref="AC97:AC106" si="39">AC96</f>
        <v>0</v>
      </c>
      <c r="AD97" s="18">
        <f t="shared" ref="AD97:AE106" si="40">AD96</f>
        <v>354.61101457823628</v>
      </c>
      <c r="AE97" s="18">
        <f t="shared" si="40"/>
        <v>2147.6543804486269</v>
      </c>
      <c r="AF97" s="5">
        <f>IF(Assumptions!D$19=1,0,1)</f>
        <v>1</v>
      </c>
      <c r="AG97" s="73">
        <f t="shared" ref="AG97:AG106" si="41">AG96</f>
        <v>1.0623</v>
      </c>
      <c r="AH97" s="16">
        <f>Assumptions!$E$19*Assumptions!H14</f>
        <v>3.6548145488117578</v>
      </c>
      <c r="AI97" s="16">
        <f>Assumptions!$F$19*Assumptions!I14</f>
        <v>3.7905360377358499</v>
      </c>
      <c r="AJ97" s="16">
        <f t="shared" ref="AJ97:AK106" si="42">AJ96</f>
        <v>2.4399542510000001</v>
      </c>
      <c r="AK97" s="16">
        <f t="shared" si="42"/>
        <v>7.2000000000000008E-2</v>
      </c>
      <c r="AL97" s="4"/>
    </row>
    <row r="98" spans="1:38" x14ac:dyDescent="0.2">
      <c r="A98" s="1">
        <f t="shared" si="34"/>
        <v>39186.279000000111</v>
      </c>
      <c r="B98" s="16">
        <f t="shared" si="32"/>
        <v>1.0623</v>
      </c>
      <c r="C98" s="17">
        <f t="shared" si="29"/>
        <v>10.671865799999999</v>
      </c>
      <c r="D98" s="16">
        <f t="shared" si="33"/>
        <v>1.0091007397991791</v>
      </c>
      <c r="E98" s="16">
        <f t="shared" si="30"/>
        <v>4.3460736593647988</v>
      </c>
      <c r="F98" s="16">
        <f t="shared" si="31"/>
        <v>0.77671209261552876</v>
      </c>
      <c r="G98" s="19" t="str">
        <f>IF('Peak Revenue'!$A$1="BL","-",SUM(C98:F98))</f>
        <v>-</v>
      </c>
      <c r="H98" s="203">
        <v>82.841030605113218</v>
      </c>
      <c r="I98" s="203">
        <v>82.841030605113218</v>
      </c>
      <c r="J98" s="203">
        <v>81.591252068554439</v>
      </c>
      <c r="K98" s="203">
        <v>66.101242953810441</v>
      </c>
      <c r="L98" s="203">
        <v>56.624926773897769</v>
      </c>
      <c r="M98" s="203">
        <v>51.324998501918159</v>
      </c>
      <c r="N98" s="203">
        <v>49.270984726870786</v>
      </c>
      <c r="O98" s="203">
        <v>41.078171695552356</v>
      </c>
      <c r="P98" s="203">
        <v>40.77615157976058</v>
      </c>
      <c r="Q98" s="203">
        <v>40.392417820685061</v>
      </c>
      <c r="R98" s="203">
        <v>38.666292181244287</v>
      </c>
      <c r="S98" s="203">
        <v>36.618292356772571</v>
      </c>
      <c r="T98" s="203">
        <v>34.657079869667783</v>
      </c>
      <c r="U98" s="203">
        <v>33.593722992958796</v>
      </c>
      <c r="V98" s="203">
        <v>32.523467189985354</v>
      </c>
      <c r="W98" s="203">
        <v>31.599300552367101</v>
      </c>
      <c r="X98" s="203">
        <v>30.726483378972411</v>
      </c>
      <c r="Y98" s="203">
        <v>30.110278245736264</v>
      </c>
      <c r="Z98" s="203">
        <v>28.582449181391336</v>
      </c>
      <c r="AA98" s="203">
        <v>27.112600221515635</v>
      </c>
      <c r="AB98" s="16">
        <f>AB97*(1+Assumptions!$L$13/12)</f>
        <v>1.0091007397991791</v>
      </c>
      <c r="AC98" s="16">
        <f t="shared" si="39"/>
        <v>0</v>
      </c>
      <c r="AD98" s="18">
        <f t="shared" si="40"/>
        <v>354.61101457823628</v>
      </c>
      <c r="AE98" s="18">
        <f t="shared" si="40"/>
        <v>2147.6543804486269</v>
      </c>
      <c r="AF98" s="5">
        <f>IF(Assumptions!D$19=1,0,1)</f>
        <v>1</v>
      </c>
      <c r="AG98" s="73">
        <f t="shared" si="41"/>
        <v>1.0623</v>
      </c>
      <c r="AH98" s="16">
        <f>Assumptions!$E$19*Assumptions!H15</f>
        <v>3.4746476344337132</v>
      </c>
      <c r="AI98" s="16">
        <f>Assumptions!$F$19*Assumptions!I15</f>
        <v>3.6433307547169815</v>
      </c>
      <c r="AJ98" s="16">
        <f t="shared" si="42"/>
        <v>2.4399542510000001</v>
      </c>
      <c r="AK98" s="16">
        <f t="shared" si="42"/>
        <v>7.2000000000000008E-2</v>
      </c>
      <c r="AL98" s="4"/>
    </row>
    <row r="99" spans="1:38" x14ac:dyDescent="0.2">
      <c r="A99" s="1">
        <f t="shared" si="34"/>
        <v>39216.696000000113</v>
      </c>
      <c r="B99" s="16">
        <f t="shared" si="32"/>
        <v>1.0623</v>
      </c>
      <c r="C99" s="17">
        <f t="shared" si="29"/>
        <v>10.671865799999999</v>
      </c>
      <c r="D99" s="16">
        <f t="shared" si="33"/>
        <v>1.0107825743655112</v>
      </c>
      <c r="E99" s="16">
        <f t="shared" si="30"/>
        <v>4.3460736593647988</v>
      </c>
      <c r="F99" s="16">
        <f t="shared" si="31"/>
        <v>0.77671209261552876</v>
      </c>
      <c r="G99" s="19" t="str">
        <f>IF('Peak Revenue'!$A$1="BL","-",SUM(C99:F99))</f>
        <v>-</v>
      </c>
      <c r="H99" s="203">
        <v>75.503084164780304</v>
      </c>
      <c r="I99" s="203">
        <v>69.184215629459032</v>
      </c>
      <c r="J99" s="203">
        <v>65.322505792944128</v>
      </c>
      <c r="K99" s="203">
        <v>60.340339484311926</v>
      </c>
      <c r="L99" s="203">
        <v>58.971647503358341</v>
      </c>
      <c r="M99" s="203">
        <v>56.479937423028481</v>
      </c>
      <c r="N99" s="203">
        <v>44.003479520751156</v>
      </c>
      <c r="O99" s="203">
        <v>41.139879606909673</v>
      </c>
      <c r="P99" s="203">
        <v>38.040168654174273</v>
      </c>
      <c r="Q99" s="203">
        <v>36.119708078056746</v>
      </c>
      <c r="R99" s="203">
        <v>35.348062242142035</v>
      </c>
      <c r="S99" s="203">
        <v>34.159909091037704</v>
      </c>
      <c r="T99" s="203">
        <v>33.784878668457779</v>
      </c>
      <c r="U99" s="203">
        <v>33.481906349668087</v>
      </c>
      <c r="V99" s="203">
        <v>33.115625746796781</v>
      </c>
      <c r="W99" s="203">
        <v>31.242278582035993</v>
      </c>
      <c r="X99" s="203">
        <v>30.122067524222153</v>
      </c>
      <c r="Y99" s="203">
        <v>29.939539106707432</v>
      </c>
      <c r="Z99" s="203">
        <v>29.703456303145451</v>
      </c>
      <c r="AA99" s="203">
        <v>29.357419185786632</v>
      </c>
      <c r="AB99" s="16">
        <f>AB98*(1+Assumptions!$L$13/12)</f>
        <v>1.0107825743655112</v>
      </c>
      <c r="AC99" s="16">
        <f t="shared" si="39"/>
        <v>0</v>
      </c>
      <c r="AD99" s="18">
        <f t="shared" si="40"/>
        <v>354.61101457823628</v>
      </c>
      <c r="AE99" s="18">
        <f t="shared" si="40"/>
        <v>2147.6543804486269</v>
      </c>
      <c r="AF99" s="5">
        <v>1</v>
      </c>
      <c r="AG99" s="73">
        <f t="shared" si="41"/>
        <v>1.0623</v>
      </c>
      <c r="AH99" s="16">
        <f>Assumptions!$E$19*Assumptions!H16</f>
        <v>3.6584914246153915</v>
      </c>
      <c r="AI99" s="16">
        <f>Assumptions!$F$19*Assumptions!I16</f>
        <v>3.4961254716981136</v>
      </c>
      <c r="AJ99" s="16">
        <f t="shared" si="42"/>
        <v>2.4399542510000001</v>
      </c>
      <c r="AK99" s="16">
        <f t="shared" si="42"/>
        <v>7.2000000000000008E-2</v>
      </c>
      <c r="AL99" s="4"/>
    </row>
    <row r="100" spans="1:38" x14ac:dyDescent="0.2">
      <c r="A100" s="1">
        <f t="shared" si="34"/>
        <v>39247.113000000114</v>
      </c>
      <c r="B100" s="16">
        <f t="shared" si="32"/>
        <v>1.0623</v>
      </c>
      <c r="C100" s="17">
        <f t="shared" si="29"/>
        <v>10.671865799999999</v>
      </c>
      <c r="D100" s="16">
        <f t="shared" si="33"/>
        <v>1.0124672119894538</v>
      </c>
      <c r="E100" s="16">
        <f t="shared" si="30"/>
        <v>4.3460736593647988</v>
      </c>
      <c r="F100" s="16">
        <f t="shared" si="31"/>
        <v>0.77671209261552876</v>
      </c>
      <c r="G100" s="19" t="str">
        <f>IF('Peak Revenue'!$A$1="BL","-",SUM(C100:F100))</f>
        <v>-</v>
      </c>
      <c r="H100" s="203">
        <v>210.46246187641509</v>
      </c>
      <c r="I100" s="203">
        <v>170.05150156564048</v>
      </c>
      <c r="J100" s="203">
        <v>140.19507863339425</v>
      </c>
      <c r="K100" s="203">
        <v>89.143228562397425</v>
      </c>
      <c r="L100" s="203">
        <v>74.405977067551888</v>
      </c>
      <c r="M100" s="203">
        <v>65.29233306967086</v>
      </c>
      <c r="N100" s="203">
        <v>60.143973507136593</v>
      </c>
      <c r="O100" s="203">
        <v>54.992366751888945</v>
      </c>
      <c r="P100" s="203">
        <v>44.90003531261258</v>
      </c>
      <c r="Q100" s="203">
        <v>41.972539779143872</v>
      </c>
      <c r="R100" s="203">
        <v>34.039676947770964</v>
      </c>
      <c r="S100" s="203">
        <v>30.722056075049288</v>
      </c>
      <c r="T100" s="203">
        <v>29.606737747168303</v>
      </c>
      <c r="U100" s="203">
        <v>29.545425557353624</v>
      </c>
      <c r="V100" s="203">
        <v>29.274407144578014</v>
      </c>
      <c r="W100" s="203">
        <v>28.973796967232079</v>
      </c>
      <c r="X100" s="203">
        <v>27.947473921490808</v>
      </c>
      <c r="Y100" s="203">
        <v>26.876698700774377</v>
      </c>
      <c r="Z100" s="203">
        <v>25.492976902161384</v>
      </c>
      <c r="AA100" s="203">
        <v>23.457387176534667</v>
      </c>
      <c r="AB100" s="16">
        <f>AB99*(1+Assumptions!$L$13/12)</f>
        <v>1.0124672119894538</v>
      </c>
      <c r="AC100" s="16">
        <f t="shared" si="39"/>
        <v>0</v>
      </c>
      <c r="AD100" s="18">
        <f t="shared" si="40"/>
        <v>354.61101457823628</v>
      </c>
      <c r="AE100" s="18">
        <f t="shared" si="40"/>
        <v>2147.6543804486269</v>
      </c>
      <c r="AF100" s="5">
        <v>1</v>
      </c>
      <c r="AG100" s="73">
        <f t="shared" si="41"/>
        <v>1.0623</v>
      </c>
      <c r="AH100" s="16">
        <f>Assumptions!$E$19*Assumptions!H17</f>
        <v>3.485678261844614</v>
      </c>
      <c r="AI100" s="16">
        <f>Assumptions!$F$19*Assumptions!I17</f>
        <v>3.4961254716981136</v>
      </c>
      <c r="AJ100" s="16">
        <f t="shared" si="42"/>
        <v>2.4399542510000001</v>
      </c>
      <c r="AK100" s="16">
        <f t="shared" si="42"/>
        <v>7.2000000000000008E-2</v>
      </c>
      <c r="AL100" s="4"/>
    </row>
    <row r="101" spans="1:38" x14ac:dyDescent="0.2">
      <c r="A101" s="1">
        <f t="shared" si="34"/>
        <v>39277.530000000115</v>
      </c>
      <c r="B101" s="16">
        <f t="shared" si="32"/>
        <v>1.0623</v>
      </c>
      <c r="C101" s="17">
        <f t="shared" si="29"/>
        <v>10.671865799999999</v>
      </c>
      <c r="D101" s="16">
        <f t="shared" si="33"/>
        <v>1.0141546573427695</v>
      </c>
      <c r="E101" s="16">
        <f t="shared" si="30"/>
        <v>4.3460736593647988</v>
      </c>
      <c r="F101" s="16">
        <f t="shared" si="31"/>
        <v>0.77671209261552876</v>
      </c>
      <c r="G101" s="19" t="str">
        <f>IF('Peak Revenue'!$A$1="BL","-",SUM(C101:F101))</f>
        <v>-</v>
      </c>
      <c r="H101" s="203">
        <v>293.33618394641104</v>
      </c>
      <c r="I101" s="203">
        <v>224.8132364596112</v>
      </c>
      <c r="J101" s="203">
        <v>183.54555114236203</v>
      </c>
      <c r="K101" s="203">
        <v>145.580274728083</v>
      </c>
      <c r="L101" s="203">
        <v>94.027273183582494</v>
      </c>
      <c r="M101" s="203">
        <v>83.615929322123549</v>
      </c>
      <c r="N101" s="203">
        <v>76.586824685229161</v>
      </c>
      <c r="O101" s="203">
        <v>74.235347171810858</v>
      </c>
      <c r="P101" s="203">
        <v>58.840674583398538</v>
      </c>
      <c r="Q101" s="203">
        <v>46.396849584595245</v>
      </c>
      <c r="R101" s="203">
        <v>42.324254990108578</v>
      </c>
      <c r="S101" s="203">
        <v>37.421400445744936</v>
      </c>
      <c r="T101" s="203">
        <v>36.555410621041005</v>
      </c>
      <c r="U101" s="203">
        <v>36.551678420955156</v>
      </c>
      <c r="V101" s="203">
        <v>36.551511937411512</v>
      </c>
      <c r="W101" s="203">
        <v>36.476525687679874</v>
      </c>
      <c r="X101" s="203">
        <v>35.067853383046909</v>
      </c>
      <c r="Y101" s="203">
        <v>34.000499370529681</v>
      </c>
      <c r="Z101" s="203">
        <v>32.772242357851567</v>
      </c>
      <c r="AA101" s="203">
        <v>30.634268779774381</v>
      </c>
      <c r="AB101" s="16">
        <f>AB100*(1+Assumptions!$L$13/12)</f>
        <v>1.0141546573427695</v>
      </c>
      <c r="AC101" s="16">
        <f t="shared" si="39"/>
        <v>0</v>
      </c>
      <c r="AD101" s="18">
        <f t="shared" si="40"/>
        <v>354.61101457823628</v>
      </c>
      <c r="AE101" s="18">
        <f t="shared" si="40"/>
        <v>2147.6543804486269</v>
      </c>
      <c r="AF101" s="5">
        <v>1</v>
      </c>
      <c r="AG101" s="73">
        <f t="shared" si="41"/>
        <v>1.0623</v>
      </c>
      <c r="AH101" s="16">
        <f>Assumptions!$E$19*Assumptions!H18</f>
        <v>3.4746476344337132</v>
      </c>
      <c r="AI101" s="16">
        <f>Assumptions!$F$19*Assumptions!I18</f>
        <v>3.4961254716981136</v>
      </c>
      <c r="AJ101" s="16">
        <f t="shared" si="42"/>
        <v>2.4399542510000001</v>
      </c>
      <c r="AK101" s="16">
        <f t="shared" si="42"/>
        <v>7.2000000000000008E-2</v>
      </c>
      <c r="AL101" s="4"/>
    </row>
    <row r="102" spans="1:38" x14ac:dyDescent="0.2">
      <c r="A102" s="1">
        <f t="shared" si="34"/>
        <v>39307.947000000117</v>
      </c>
      <c r="B102" s="16">
        <f t="shared" si="32"/>
        <v>1.0623</v>
      </c>
      <c r="C102" s="17">
        <f t="shared" si="29"/>
        <v>10.671865799999999</v>
      </c>
      <c r="D102" s="16">
        <f t="shared" si="33"/>
        <v>1.0158449151050075</v>
      </c>
      <c r="E102" s="16">
        <f t="shared" si="30"/>
        <v>4.3460736593647988</v>
      </c>
      <c r="F102" s="16">
        <f t="shared" si="31"/>
        <v>0.77671209261552876</v>
      </c>
      <c r="G102" s="19" t="str">
        <f>IF('Peak Revenue'!$A$1="BL","-",SUM(C102:F102))</f>
        <v>-</v>
      </c>
      <c r="H102" s="203">
        <v>505.12370120044886</v>
      </c>
      <c r="I102" s="203">
        <v>346.1669326593136</v>
      </c>
      <c r="J102" s="203">
        <v>268.82319594740142</v>
      </c>
      <c r="K102" s="203">
        <v>196.72704383771719</v>
      </c>
      <c r="L102" s="203">
        <v>156.66937343437161</v>
      </c>
      <c r="M102" s="203">
        <v>105.04504340465812</v>
      </c>
      <c r="N102" s="203">
        <v>87.433278956460157</v>
      </c>
      <c r="O102" s="203">
        <v>82.090228383705821</v>
      </c>
      <c r="P102" s="203">
        <v>66.629964143232613</v>
      </c>
      <c r="Q102" s="203">
        <v>48.895287442938518</v>
      </c>
      <c r="R102" s="203">
        <v>42.150874572458562</v>
      </c>
      <c r="S102" s="203">
        <v>39.735137798048669</v>
      </c>
      <c r="T102" s="203">
        <v>38.439002867863181</v>
      </c>
      <c r="U102" s="203">
        <v>33.344851993997267</v>
      </c>
      <c r="V102" s="203">
        <v>32.559589409753286</v>
      </c>
      <c r="W102" s="203">
        <v>31.483813800035428</v>
      </c>
      <c r="X102" s="203">
        <v>30.613404720379513</v>
      </c>
      <c r="Y102" s="203">
        <v>29.582595223865777</v>
      </c>
      <c r="Z102" s="203">
        <v>28.822839818968042</v>
      </c>
      <c r="AA102" s="203">
        <v>26.016100840583903</v>
      </c>
      <c r="AB102" s="16">
        <f>AB101*(1+Assumptions!$L$13/12)</f>
        <v>1.0158449151050075</v>
      </c>
      <c r="AC102" s="16">
        <f t="shared" si="39"/>
        <v>0</v>
      </c>
      <c r="AD102" s="18">
        <f t="shared" si="40"/>
        <v>354.61101457823628</v>
      </c>
      <c r="AE102" s="18">
        <f t="shared" si="40"/>
        <v>2147.6543804486269</v>
      </c>
      <c r="AF102" s="5">
        <v>1</v>
      </c>
      <c r="AG102" s="73">
        <f t="shared" si="41"/>
        <v>1.0623</v>
      </c>
      <c r="AH102" s="16">
        <f>Assumptions!$E$19*Assumptions!H19</f>
        <v>3.2944807200556689</v>
      </c>
      <c r="AI102" s="16">
        <f>Assumptions!$F$19*Assumptions!I19</f>
        <v>3.4961254716981136</v>
      </c>
      <c r="AJ102" s="16">
        <f t="shared" si="42"/>
        <v>2.4399542510000001</v>
      </c>
      <c r="AK102" s="16">
        <f t="shared" si="42"/>
        <v>7.2000000000000008E-2</v>
      </c>
      <c r="AL102" s="4"/>
    </row>
    <row r="103" spans="1:38" x14ac:dyDescent="0.2">
      <c r="A103" s="1">
        <f t="shared" si="34"/>
        <v>39338.364000000118</v>
      </c>
      <c r="B103" s="16">
        <f t="shared" si="32"/>
        <v>1.0623</v>
      </c>
      <c r="C103" s="17">
        <f t="shared" si="29"/>
        <v>10.671865799999999</v>
      </c>
      <c r="D103" s="16">
        <f t="shared" si="33"/>
        <v>1.017537989963516</v>
      </c>
      <c r="E103" s="16">
        <f t="shared" si="30"/>
        <v>4.3460736593647988</v>
      </c>
      <c r="F103" s="16">
        <f t="shared" si="31"/>
        <v>0.77671209261552876</v>
      </c>
      <c r="G103" s="19" t="str">
        <f>IF('Peak Revenue'!$A$1="BL","-",SUM(C103:F103))</f>
        <v>-</v>
      </c>
      <c r="H103" s="203">
        <v>224.49598698261912</v>
      </c>
      <c r="I103" s="203">
        <v>179.94634454880199</v>
      </c>
      <c r="J103" s="203">
        <v>157.85733542032847</v>
      </c>
      <c r="K103" s="203">
        <v>93.891090885625744</v>
      </c>
      <c r="L103" s="203">
        <v>75.621717445667571</v>
      </c>
      <c r="M103" s="203">
        <v>63.070006768269671</v>
      </c>
      <c r="N103" s="203">
        <v>56.286853203743817</v>
      </c>
      <c r="O103" s="203">
        <v>54.281221544911432</v>
      </c>
      <c r="P103" s="203">
        <v>47.997443129604854</v>
      </c>
      <c r="Q103" s="203">
        <v>43.036600361601351</v>
      </c>
      <c r="R103" s="203">
        <v>38.657572761673109</v>
      </c>
      <c r="S103" s="203">
        <v>33.684206236428835</v>
      </c>
      <c r="T103" s="203">
        <v>30.336927168756091</v>
      </c>
      <c r="U103" s="203">
        <v>29.018417544807939</v>
      </c>
      <c r="V103" s="203">
        <v>28.594726661656296</v>
      </c>
      <c r="W103" s="203">
        <v>27.904126321551093</v>
      </c>
      <c r="X103" s="203">
        <v>27.160893849369167</v>
      </c>
      <c r="Y103" s="203">
        <v>27.138938696573113</v>
      </c>
      <c r="Z103" s="203">
        <v>27.050336025166636</v>
      </c>
      <c r="AA103" s="203">
        <v>24.509730082139008</v>
      </c>
      <c r="AB103" s="16">
        <f>AB102*(1+Assumptions!$L$13/12)</f>
        <v>1.017537989963516</v>
      </c>
      <c r="AC103" s="16">
        <f t="shared" si="39"/>
        <v>0</v>
      </c>
      <c r="AD103" s="18">
        <f t="shared" si="40"/>
        <v>354.61101457823628</v>
      </c>
      <c r="AE103" s="18">
        <f t="shared" si="40"/>
        <v>2147.6543804486269</v>
      </c>
      <c r="AF103" s="5">
        <v>1</v>
      </c>
      <c r="AG103" s="73">
        <f t="shared" si="41"/>
        <v>1.0623</v>
      </c>
      <c r="AH103" s="16">
        <f>Assumptions!$E$19*Assumptions!H20</f>
        <v>3.2834500926447685</v>
      </c>
      <c r="AI103" s="16">
        <f>Assumptions!$F$19*Assumptions!I20</f>
        <v>3.4961254716981136</v>
      </c>
      <c r="AJ103" s="16">
        <f t="shared" si="42"/>
        <v>2.4399542510000001</v>
      </c>
      <c r="AK103" s="16">
        <f t="shared" si="42"/>
        <v>7.2000000000000008E-2</v>
      </c>
      <c r="AL103" s="4"/>
    </row>
    <row r="104" spans="1:38" x14ac:dyDescent="0.2">
      <c r="A104" s="1">
        <f t="shared" si="34"/>
        <v>39368.781000000119</v>
      </c>
      <c r="B104" s="16">
        <f t="shared" si="32"/>
        <v>1.0623</v>
      </c>
      <c r="C104" s="17">
        <f t="shared" si="29"/>
        <v>10.671865799999999</v>
      </c>
      <c r="D104" s="16">
        <f t="shared" si="33"/>
        <v>1.0192338866134552</v>
      </c>
      <c r="E104" s="16">
        <f t="shared" si="30"/>
        <v>4.3460736593647988</v>
      </c>
      <c r="F104" s="16">
        <f t="shared" si="31"/>
        <v>0.77671209261552876</v>
      </c>
      <c r="G104" s="19" t="str">
        <f>IF('Peak Revenue'!$A$1="BL","-",SUM(C104:F104))</f>
        <v>-</v>
      </c>
      <c r="H104" s="203">
        <v>90.257409370229439</v>
      </c>
      <c r="I104" s="203">
        <v>79.920688171795447</v>
      </c>
      <c r="J104" s="203">
        <v>75.381281709205581</v>
      </c>
      <c r="K104" s="203">
        <v>70.948449414705649</v>
      </c>
      <c r="L104" s="203">
        <v>67.456132312928759</v>
      </c>
      <c r="M104" s="203">
        <v>63.004474838141164</v>
      </c>
      <c r="N104" s="203">
        <v>62.573614752066987</v>
      </c>
      <c r="O104" s="203">
        <v>58.952878351237416</v>
      </c>
      <c r="P104" s="203">
        <v>46.051899858754474</v>
      </c>
      <c r="Q104" s="203">
        <v>44.001325298012816</v>
      </c>
      <c r="R104" s="203">
        <v>40.975882851946857</v>
      </c>
      <c r="S104" s="203">
        <v>35.72709722072441</v>
      </c>
      <c r="T104" s="203">
        <v>33.444118356801326</v>
      </c>
      <c r="U104" s="203">
        <v>31.453666361729393</v>
      </c>
      <c r="V104" s="203">
        <v>31.300358006141401</v>
      </c>
      <c r="W104" s="203">
        <v>31.096427440656932</v>
      </c>
      <c r="X104" s="203">
        <v>30.966270860303215</v>
      </c>
      <c r="Y104" s="203">
        <v>30.792503470608011</v>
      </c>
      <c r="Z104" s="203">
        <v>29.946391661987306</v>
      </c>
      <c r="AA104" s="203">
        <v>26.208306814930094</v>
      </c>
      <c r="AB104" s="16">
        <f>AB103*(1+Assumptions!$L$13/12)</f>
        <v>1.0192338866134552</v>
      </c>
      <c r="AC104" s="16">
        <f t="shared" si="39"/>
        <v>0</v>
      </c>
      <c r="AD104" s="18">
        <f t="shared" si="40"/>
        <v>354.61101457823628</v>
      </c>
      <c r="AE104" s="18">
        <f t="shared" si="40"/>
        <v>2147.6543804486269</v>
      </c>
      <c r="AF104" s="5">
        <f>IF(Assumptions!D$19=1,0,1)</f>
        <v>1</v>
      </c>
      <c r="AG104" s="73">
        <f t="shared" si="41"/>
        <v>1.0623</v>
      </c>
      <c r="AH104" s="16">
        <f>Assumptions!$E$19*Assumptions!H21</f>
        <v>3.6364301697935901</v>
      </c>
      <c r="AI104" s="16">
        <f>Assumptions!$F$19*Assumptions!I21</f>
        <v>3.4961254716981136</v>
      </c>
      <c r="AJ104" s="16">
        <f t="shared" si="42"/>
        <v>2.4399542510000001</v>
      </c>
      <c r="AK104" s="16">
        <f t="shared" si="42"/>
        <v>7.2000000000000008E-2</v>
      </c>
      <c r="AL104" s="4"/>
    </row>
    <row r="105" spans="1:38" x14ac:dyDescent="0.2">
      <c r="A105" s="1">
        <f t="shared" si="34"/>
        <v>39399.19800000012</v>
      </c>
      <c r="B105" s="16">
        <f t="shared" si="32"/>
        <v>1.0623</v>
      </c>
      <c r="C105" s="17">
        <f t="shared" si="29"/>
        <v>10.671865799999999</v>
      </c>
      <c r="D105" s="16">
        <f t="shared" si="33"/>
        <v>1.0209326097578109</v>
      </c>
      <c r="E105" s="16">
        <f t="shared" si="30"/>
        <v>4.3460736593647988</v>
      </c>
      <c r="F105" s="16">
        <f t="shared" si="31"/>
        <v>0.77671209261552876</v>
      </c>
      <c r="G105" s="19" t="str">
        <f>IF('Peak Revenue'!$A$1="BL","-",SUM(C105:F105))</f>
        <v>-</v>
      </c>
      <c r="H105" s="203">
        <v>87.263224619697027</v>
      </c>
      <c r="I105" s="203">
        <v>84.654840563986284</v>
      </c>
      <c r="J105" s="203">
        <v>81.3098023754129</v>
      </c>
      <c r="K105" s="203">
        <v>76.787705316277282</v>
      </c>
      <c r="L105" s="203">
        <v>73.201807948961857</v>
      </c>
      <c r="M105" s="203">
        <v>72.886999951255547</v>
      </c>
      <c r="N105" s="203">
        <v>68.007964675353179</v>
      </c>
      <c r="O105" s="203">
        <v>51.558072428958226</v>
      </c>
      <c r="P105" s="203">
        <v>47.045349330699125</v>
      </c>
      <c r="Q105" s="203">
        <v>41.281438716580716</v>
      </c>
      <c r="R105" s="203">
        <v>40.895150871643906</v>
      </c>
      <c r="S105" s="203">
        <v>38.290494069987702</v>
      </c>
      <c r="T105" s="203">
        <v>36.75227604627581</v>
      </c>
      <c r="U105" s="203">
        <v>36.100328701406504</v>
      </c>
      <c r="V105" s="203">
        <v>36.092099318770387</v>
      </c>
      <c r="W105" s="203">
        <v>36.092099318770387</v>
      </c>
      <c r="X105" s="203">
        <v>36.092099318770387</v>
      </c>
      <c r="Y105" s="203">
        <v>36.092099318770387</v>
      </c>
      <c r="Z105" s="203">
        <v>35.567911230092207</v>
      </c>
      <c r="AA105" s="203">
        <v>33.684804936325904</v>
      </c>
      <c r="AB105" s="16">
        <f>AB104*(1+Assumptions!$L$13/12)</f>
        <v>1.0209326097578109</v>
      </c>
      <c r="AC105" s="16">
        <f t="shared" si="39"/>
        <v>0</v>
      </c>
      <c r="AD105" s="18">
        <f t="shared" si="40"/>
        <v>354.61101457823628</v>
      </c>
      <c r="AE105" s="18">
        <f t="shared" si="40"/>
        <v>2147.6543804486269</v>
      </c>
      <c r="AF105" s="5">
        <f>IF(Assumptions!D$19=1,0,1)</f>
        <v>1</v>
      </c>
      <c r="AG105" s="73">
        <f t="shared" si="41"/>
        <v>1.0623</v>
      </c>
      <c r="AH105" s="16">
        <f>Assumptions!$E$19*Assumptions!H22</f>
        <v>3.9820564953351445</v>
      </c>
      <c r="AI105" s="16">
        <f>Assumptions!$F$19*Assumptions!I22</f>
        <v>3.7905360377358499</v>
      </c>
      <c r="AJ105" s="16">
        <f t="shared" si="42"/>
        <v>2.4399542510000001</v>
      </c>
      <c r="AK105" s="16">
        <f t="shared" si="42"/>
        <v>7.2000000000000008E-2</v>
      </c>
      <c r="AL105" s="4"/>
    </row>
    <row r="106" spans="1:38" x14ac:dyDescent="0.2">
      <c r="A106" s="1">
        <f t="shared" si="34"/>
        <v>39429.615000000122</v>
      </c>
      <c r="B106" s="16">
        <f t="shared" si="32"/>
        <v>1.0623</v>
      </c>
      <c r="C106" s="17">
        <f t="shared" si="29"/>
        <v>10.671865799999999</v>
      </c>
      <c r="D106" s="16">
        <f t="shared" si="33"/>
        <v>1.0226341641074073</v>
      </c>
      <c r="E106" s="16">
        <f t="shared" si="30"/>
        <v>4.3460736593647988</v>
      </c>
      <c r="F106" s="16">
        <f t="shared" si="31"/>
        <v>0.77671209261552876</v>
      </c>
      <c r="G106" s="19" t="str">
        <f>IF('Peak Revenue'!$A$1="BL","-",SUM(C106:F106))</f>
        <v>-</v>
      </c>
      <c r="H106" s="203">
        <v>98.596931153344642</v>
      </c>
      <c r="I106" s="203">
        <v>94.546327070608385</v>
      </c>
      <c r="J106" s="203">
        <v>91.880016495710251</v>
      </c>
      <c r="K106" s="203">
        <v>87.590921918825217</v>
      </c>
      <c r="L106" s="203">
        <v>83.571852132411024</v>
      </c>
      <c r="M106" s="203">
        <v>83.197454948465264</v>
      </c>
      <c r="N106" s="203">
        <v>78.54163830454408</v>
      </c>
      <c r="O106" s="203">
        <v>60.669949280095238</v>
      </c>
      <c r="P106" s="203">
        <v>53.300910015785</v>
      </c>
      <c r="Q106" s="203">
        <v>46.865525202666319</v>
      </c>
      <c r="R106" s="203">
        <v>44.948335790763686</v>
      </c>
      <c r="S106" s="203">
        <v>40.810361049346042</v>
      </c>
      <c r="T106" s="203">
        <v>40.705998501727571</v>
      </c>
      <c r="U106" s="203">
        <v>39.931842557012949</v>
      </c>
      <c r="V106" s="203">
        <v>39.80685083472688</v>
      </c>
      <c r="W106" s="203">
        <v>39.806771533563122</v>
      </c>
      <c r="X106" s="203">
        <v>39.80669889436637</v>
      </c>
      <c r="Y106" s="203">
        <v>39.806623213213342</v>
      </c>
      <c r="Z106" s="203">
        <v>39.406480639178845</v>
      </c>
      <c r="AA106" s="203">
        <v>33.997046890038703</v>
      </c>
      <c r="AB106" s="16">
        <f>AB105*(1+Assumptions!$L$13/12)</f>
        <v>1.0226341641074073</v>
      </c>
      <c r="AC106" s="16">
        <f t="shared" si="39"/>
        <v>0</v>
      </c>
      <c r="AD106" s="18">
        <f t="shared" si="40"/>
        <v>354.61101457823628</v>
      </c>
      <c r="AE106" s="18">
        <f t="shared" si="40"/>
        <v>2147.6543804486269</v>
      </c>
      <c r="AF106" s="5">
        <f>IF(Assumptions!D$19=1,0,1)</f>
        <v>1</v>
      </c>
      <c r="AG106" s="73">
        <f t="shared" si="41"/>
        <v>1.0623</v>
      </c>
      <c r="AH106" s="16">
        <f>Assumptions!$E$19*Assumptions!H23</f>
        <v>4.3092984418585312</v>
      </c>
      <c r="AI106" s="16">
        <f>Assumptions!$F$19*Assumptions!I23</f>
        <v>3.9745426415094349</v>
      </c>
      <c r="AJ106" s="16">
        <f t="shared" si="42"/>
        <v>2.4399542510000001</v>
      </c>
      <c r="AK106" s="16">
        <f t="shared" si="42"/>
        <v>7.2000000000000008E-2</v>
      </c>
      <c r="AL106" s="4"/>
    </row>
    <row r="107" spans="1:38" x14ac:dyDescent="0.2">
      <c r="A107" s="1">
        <f t="shared" si="34"/>
        <v>39460.032000000123</v>
      </c>
      <c r="B107" s="16">
        <f t="shared" si="32"/>
        <v>1.0916999999999999</v>
      </c>
      <c r="C107" s="17">
        <f t="shared" si="29"/>
        <v>10.9672182</v>
      </c>
      <c r="D107" s="16">
        <f t="shared" si="33"/>
        <v>1.0243385543809196</v>
      </c>
      <c r="E107" s="16">
        <f t="shared" si="30"/>
        <v>4.7957116818198511</v>
      </c>
      <c r="F107" s="16">
        <f t="shared" si="31"/>
        <v>0.65363612537726401</v>
      </c>
      <c r="G107" s="19" t="str">
        <f>IF('Peak Revenue'!$A$1="BL","-",SUM(C107:F107))</f>
        <v>-</v>
      </c>
      <c r="H107" s="203">
        <v>146.05197341410218</v>
      </c>
      <c r="I107" s="203">
        <v>121.01996621178969</v>
      </c>
      <c r="J107" s="203">
        <v>103.84729502923467</v>
      </c>
      <c r="K107" s="203">
        <v>81.967169189809141</v>
      </c>
      <c r="L107" s="203">
        <v>76.583596564875165</v>
      </c>
      <c r="M107" s="203">
        <v>71.195510914970129</v>
      </c>
      <c r="N107" s="203">
        <v>69.248045404404451</v>
      </c>
      <c r="O107" s="203">
        <v>67.516656196680998</v>
      </c>
      <c r="P107" s="203">
        <v>55.290947422288887</v>
      </c>
      <c r="Q107" s="203">
        <v>47.732030700183195</v>
      </c>
      <c r="R107" s="203">
        <v>40.90100417683864</v>
      </c>
      <c r="S107" s="203">
        <v>39.265624215682372</v>
      </c>
      <c r="T107" s="203">
        <v>37.640435164320273</v>
      </c>
      <c r="U107" s="203">
        <v>35.66209058690265</v>
      </c>
      <c r="V107" s="203">
        <v>34.326925915712152</v>
      </c>
      <c r="W107" s="203">
        <v>34.031767221165047</v>
      </c>
      <c r="X107" s="203">
        <v>33.845866152489293</v>
      </c>
      <c r="Y107" s="203">
        <v>33.757428579141646</v>
      </c>
      <c r="Z107" s="203">
        <v>33.73955686699798</v>
      </c>
      <c r="AA107" s="203">
        <v>32.341922194117927</v>
      </c>
      <c r="AB107" s="16">
        <f>AB106*(1+Assumptions!$L$13/12)</f>
        <v>1.0243385543809196</v>
      </c>
      <c r="AC107" s="16">
        <f>VLOOKUP($C$1,EnvVOM,11)</f>
        <v>0</v>
      </c>
      <c r="AD107" s="18">
        <f>Assumptions!B20</f>
        <v>391.29851871019378</v>
      </c>
      <c r="AE107" s="18">
        <f>Assumptions!C20</f>
        <v>1807.3421300276059</v>
      </c>
      <c r="AF107" s="5">
        <f>IF(Assumptions!D$20=1,0,1)</f>
        <v>1</v>
      </c>
      <c r="AG107" s="73">
        <f>VLOOKUP($C$1,Coal,11)</f>
        <v>1.0916999999999999</v>
      </c>
      <c r="AH107" s="16">
        <f>Assumptions!$E$20*Assumptions!H12</f>
        <v>3.847158216465588</v>
      </c>
      <c r="AI107" s="16">
        <f>Assumptions!$F$20*Assumptions!I12</f>
        <v>3.5836328118465897</v>
      </c>
      <c r="AJ107" s="16">
        <f>VLOOKUP($C$1,SO2Rate,11)</f>
        <v>2.4399542510000001</v>
      </c>
      <c r="AK107" s="16">
        <f>VLOOKUP($C$1,NOxRate,11)</f>
        <v>7.2000000000000008E-2</v>
      </c>
      <c r="AL107" s="4"/>
    </row>
    <row r="108" spans="1:38" x14ac:dyDescent="0.2">
      <c r="A108" s="1">
        <f t="shared" si="34"/>
        <v>39490.449000000124</v>
      </c>
      <c r="B108" s="16">
        <f t="shared" si="32"/>
        <v>1.0916999999999999</v>
      </c>
      <c r="C108" s="17">
        <f t="shared" si="29"/>
        <v>10.9672182</v>
      </c>
      <c r="D108" s="16">
        <f t="shared" si="33"/>
        <v>1.0260457853048879</v>
      </c>
      <c r="E108" s="16">
        <f t="shared" si="30"/>
        <v>4.7957116818198511</v>
      </c>
      <c r="F108" s="16">
        <f t="shared" si="31"/>
        <v>0.65363612537726401</v>
      </c>
      <c r="G108" s="19" t="str">
        <f>IF('Peak Revenue'!$A$1="BL","-",SUM(C108:F108))</f>
        <v>-</v>
      </c>
      <c r="H108" s="203">
        <v>109.76001464274714</v>
      </c>
      <c r="I108" s="203">
        <v>99.3607949241146</v>
      </c>
      <c r="J108" s="203">
        <v>94.817806220076747</v>
      </c>
      <c r="K108" s="203">
        <v>90.651143098150413</v>
      </c>
      <c r="L108" s="203">
        <v>85.797264125459094</v>
      </c>
      <c r="M108" s="203">
        <v>84.730909220924644</v>
      </c>
      <c r="N108" s="203">
        <v>81.56858672959055</v>
      </c>
      <c r="O108" s="203">
        <v>67.980651483205037</v>
      </c>
      <c r="P108" s="203">
        <v>56.667916383653711</v>
      </c>
      <c r="Q108" s="203">
        <v>47.523151584493142</v>
      </c>
      <c r="R108" s="203">
        <v>45.226616956866991</v>
      </c>
      <c r="S108" s="203">
        <v>40.502323768521009</v>
      </c>
      <c r="T108" s="203">
        <v>37.211593383779004</v>
      </c>
      <c r="U108" s="203">
        <v>34.60342258436566</v>
      </c>
      <c r="V108" s="203">
        <v>33.575957739077886</v>
      </c>
      <c r="W108" s="203">
        <v>32.668504977359476</v>
      </c>
      <c r="X108" s="203">
        <v>31.453345099289852</v>
      </c>
      <c r="Y108" s="203">
        <v>29.9963143988791</v>
      </c>
      <c r="Z108" s="203">
        <v>28.811676765580817</v>
      </c>
      <c r="AA108" s="203">
        <v>27.472761308313373</v>
      </c>
      <c r="AB108" s="16">
        <f>AB107*(1+Assumptions!$L$13/12)</f>
        <v>1.0260457853048879</v>
      </c>
      <c r="AC108" s="16">
        <f>AC107</f>
        <v>0</v>
      </c>
      <c r="AD108" s="18">
        <f>AD107</f>
        <v>391.29851871019378</v>
      </c>
      <c r="AE108" s="18">
        <f>AE107</f>
        <v>1807.3421300276059</v>
      </c>
      <c r="AF108" s="5">
        <f>IF(Assumptions!D$20=1,0,1)</f>
        <v>1</v>
      </c>
      <c r="AG108" s="73">
        <f>AG107</f>
        <v>1.0916999999999999</v>
      </c>
      <c r="AH108" s="16">
        <f>Assumptions!$E$20*Assumptions!H13</f>
        <v>3.4481178695449555</v>
      </c>
      <c r="AI108" s="16">
        <f>Assumptions!$F$20*Assumptions!I13</f>
        <v>3.5504510265517135</v>
      </c>
      <c r="AJ108" s="16">
        <f>AJ107</f>
        <v>2.4399542510000001</v>
      </c>
      <c r="AK108" s="16">
        <f>AK107</f>
        <v>7.2000000000000008E-2</v>
      </c>
      <c r="AL108" s="4"/>
    </row>
    <row r="109" spans="1:38" x14ac:dyDescent="0.2">
      <c r="A109" s="1">
        <f t="shared" si="34"/>
        <v>39520.866000000125</v>
      </c>
      <c r="B109" s="16">
        <f t="shared" si="32"/>
        <v>1.0916999999999999</v>
      </c>
      <c r="C109" s="17">
        <f t="shared" si="29"/>
        <v>10.9672182</v>
      </c>
      <c r="D109" s="16">
        <f t="shared" si="33"/>
        <v>1.0277558616137294</v>
      </c>
      <c r="E109" s="16">
        <f t="shared" si="30"/>
        <v>4.8350133215686251</v>
      </c>
      <c r="F109" s="16">
        <f t="shared" si="31"/>
        <v>0.65900733628946184</v>
      </c>
      <c r="G109" s="19" t="str">
        <f>IF('Peak Revenue'!$A$1="BL","-",SUM(C109:F109))</f>
        <v>-</v>
      </c>
      <c r="H109" s="203">
        <v>97.706798444127216</v>
      </c>
      <c r="I109" s="203">
        <v>97.253287923207296</v>
      </c>
      <c r="J109" s="203">
        <v>94.725816419445209</v>
      </c>
      <c r="K109" s="203">
        <v>82.610105924771119</v>
      </c>
      <c r="L109" s="203">
        <v>66.088510931828907</v>
      </c>
      <c r="M109" s="203">
        <v>57.236896009592805</v>
      </c>
      <c r="N109" s="203">
        <v>53.422169575200961</v>
      </c>
      <c r="O109" s="203">
        <v>47.599559893012092</v>
      </c>
      <c r="P109" s="203">
        <v>47.599559893012092</v>
      </c>
      <c r="Q109" s="203">
        <v>47.550524160036055</v>
      </c>
      <c r="R109" s="203">
        <v>47.203602961616248</v>
      </c>
      <c r="S109" s="203">
        <v>47.203602961616248</v>
      </c>
      <c r="T109" s="203">
        <v>47.203602961616248</v>
      </c>
      <c r="U109" s="203">
        <v>47.203602961616248</v>
      </c>
      <c r="V109" s="203">
        <v>43.226615342191749</v>
      </c>
      <c r="W109" s="203">
        <v>36.980078905840699</v>
      </c>
      <c r="X109" s="203">
        <v>35.655257242706746</v>
      </c>
      <c r="Y109" s="203">
        <v>33.879490817516711</v>
      </c>
      <c r="Z109" s="203">
        <v>32.369905399789261</v>
      </c>
      <c r="AA109" s="203">
        <v>29.686671707669294</v>
      </c>
      <c r="AB109" s="16">
        <f>AB108*(1+Assumptions!$L$13/12)</f>
        <v>1.0277558616137294</v>
      </c>
      <c r="AC109" s="16">
        <f t="shared" ref="AC109:AC118" si="43">AC108</f>
        <v>0</v>
      </c>
      <c r="AD109" s="18">
        <f>AD108+(Assumptions!B$21-Assumptions!B$20)/12</f>
        <v>394.5052739192019</v>
      </c>
      <c r="AE109" s="18">
        <f>AE108+(Assumptions!C$21-Assumptions!C$20)/12</f>
        <v>1822.1938424620682</v>
      </c>
      <c r="AF109" s="5">
        <f>IF(Assumptions!D$20=1,0,1)</f>
        <v>1</v>
      </c>
      <c r="AG109" s="73">
        <f t="shared" ref="AG109:AG118" si="44">AG108</f>
        <v>1.0916999999999999</v>
      </c>
      <c r="AH109" s="16">
        <f>Assumptions!$E$20*Assumptions!H14</f>
        <v>3.3901376481975132</v>
      </c>
      <c r="AI109" s="16">
        <f>Assumptions!$F$20*Assumptions!I14</f>
        <v>3.4177238853722103</v>
      </c>
      <c r="AJ109" s="16">
        <f t="shared" ref="AJ109:AK118" si="45">AJ108</f>
        <v>2.4399542510000001</v>
      </c>
      <c r="AK109" s="16">
        <f t="shared" si="45"/>
        <v>7.2000000000000008E-2</v>
      </c>
      <c r="AL109" s="4"/>
    </row>
    <row r="110" spans="1:38" x14ac:dyDescent="0.2">
      <c r="A110" s="1">
        <f t="shared" si="34"/>
        <v>39551.283000000127</v>
      </c>
      <c r="B110" s="16">
        <f t="shared" si="32"/>
        <v>1.0916999999999999</v>
      </c>
      <c r="C110" s="17">
        <f t="shared" si="29"/>
        <v>10.9672182</v>
      </c>
      <c r="D110" s="16">
        <f t="shared" si="33"/>
        <v>1.0294687880497524</v>
      </c>
      <c r="E110" s="16">
        <f t="shared" si="30"/>
        <v>4.8743149613173999</v>
      </c>
      <c r="F110" s="16">
        <f t="shared" si="31"/>
        <v>0.66437854720165979</v>
      </c>
      <c r="G110" s="19" t="str">
        <f>IF('Peak Revenue'!$A$1="BL","-",SUM(C110:F110))</f>
        <v>-</v>
      </c>
      <c r="H110" s="203">
        <v>78.810688998714383</v>
      </c>
      <c r="I110" s="203">
        <v>75.646753067232993</v>
      </c>
      <c r="J110" s="203">
        <v>72.411938158051754</v>
      </c>
      <c r="K110" s="203">
        <v>68.873504115855013</v>
      </c>
      <c r="L110" s="203">
        <v>64.519278347969788</v>
      </c>
      <c r="M110" s="203">
        <v>63.177677264498307</v>
      </c>
      <c r="N110" s="203">
        <v>62.618697396639881</v>
      </c>
      <c r="O110" s="203">
        <v>54.142599310535424</v>
      </c>
      <c r="P110" s="203">
        <v>44.224725760612692</v>
      </c>
      <c r="Q110" s="203">
        <v>38.905597370113838</v>
      </c>
      <c r="R110" s="203">
        <v>36.028094541065762</v>
      </c>
      <c r="S110" s="203">
        <v>35.20585221282537</v>
      </c>
      <c r="T110" s="203">
        <v>32.45915945487225</v>
      </c>
      <c r="U110" s="203">
        <v>31.175319251096063</v>
      </c>
      <c r="V110" s="203">
        <v>30.954883824267114</v>
      </c>
      <c r="W110" s="203">
        <v>30.255878524900734</v>
      </c>
      <c r="X110" s="203">
        <v>29.436097548764998</v>
      </c>
      <c r="Y110" s="203">
        <v>28.16395887332984</v>
      </c>
      <c r="Z110" s="203">
        <v>27.677314475846451</v>
      </c>
      <c r="AA110" s="203">
        <v>26.166205030029111</v>
      </c>
      <c r="AB110" s="16">
        <f>AB109*(1+Assumptions!$L$13/12)</f>
        <v>1.0294687880497524</v>
      </c>
      <c r="AC110" s="16">
        <f t="shared" si="43"/>
        <v>0</v>
      </c>
      <c r="AD110" s="18">
        <f>AD109+(Assumptions!B$21-Assumptions!B$20)/12</f>
        <v>397.71202912821002</v>
      </c>
      <c r="AE110" s="18">
        <f>AE109+(Assumptions!C$21-Assumptions!C$20)/12</f>
        <v>1837.0455548965306</v>
      </c>
      <c r="AF110" s="5">
        <f>IF(Assumptions!D$20=1,0,1)</f>
        <v>1</v>
      </c>
      <c r="AG110" s="73">
        <f t="shared" si="44"/>
        <v>1.0916999999999999</v>
      </c>
      <c r="AH110" s="16">
        <f>Assumptions!$E$20*Assumptions!H15</f>
        <v>3.2230181866666499</v>
      </c>
      <c r="AI110" s="16">
        <f>Assumptions!$F$20*Assumptions!I15</f>
        <v>3.284996744192707</v>
      </c>
      <c r="AJ110" s="16">
        <f t="shared" si="45"/>
        <v>2.4399542510000001</v>
      </c>
      <c r="AK110" s="16">
        <f t="shared" si="45"/>
        <v>7.2000000000000008E-2</v>
      </c>
      <c r="AL110" s="4"/>
    </row>
    <row r="111" spans="1:38" x14ac:dyDescent="0.2">
      <c r="A111" s="1">
        <f t="shared" si="34"/>
        <v>39581.700000000128</v>
      </c>
      <c r="B111" s="16">
        <f t="shared" si="32"/>
        <v>1.0916999999999999</v>
      </c>
      <c r="C111" s="17">
        <f t="shared" si="29"/>
        <v>10.9672182</v>
      </c>
      <c r="D111" s="16">
        <f t="shared" si="33"/>
        <v>1.0311845693631687</v>
      </c>
      <c r="E111" s="16">
        <f t="shared" si="30"/>
        <v>4.913616601066173</v>
      </c>
      <c r="F111" s="16">
        <f t="shared" si="31"/>
        <v>0.66974975811385773</v>
      </c>
      <c r="G111" s="19" t="str">
        <f>IF('Peak Revenue'!$A$1="BL","-",SUM(C111:F111))</f>
        <v>-</v>
      </c>
      <c r="H111" s="203">
        <v>74.018707266307302</v>
      </c>
      <c r="I111" s="203">
        <v>70.054950473701453</v>
      </c>
      <c r="J111" s="203">
        <v>65.800889698334942</v>
      </c>
      <c r="K111" s="203">
        <v>63.544829857001254</v>
      </c>
      <c r="L111" s="203">
        <v>63.099516859384337</v>
      </c>
      <c r="M111" s="203">
        <v>52.634997211910679</v>
      </c>
      <c r="N111" s="203">
        <v>44.323943081827871</v>
      </c>
      <c r="O111" s="203">
        <v>41.078834246354326</v>
      </c>
      <c r="P111" s="203">
        <v>38.504946613078133</v>
      </c>
      <c r="Q111" s="203">
        <v>36.581000615820983</v>
      </c>
      <c r="R111" s="203">
        <v>36.206857968141506</v>
      </c>
      <c r="S111" s="203">
        <v>35.901599566673461</v>
      </c>
      <c r="T111" s="203">
        <v>34.998618759281136</v>
      </c>
      <c r="U111" s="203">
        <v>33.458191131177863</v>
      </c>
      <c r="V111" s="203">
        <v>32.825999481563883</v>
      </c>
      <c r="W111" s="203">
        <v>32.017328518234237</v>
      </c>
      <c r="X111" s="203">
        <v>31.633284806231</v>
      </c>
      <c r="Y111" s="203">
        <v>31.630093703566903</v>
      </c>
      <c r="Z111" s="203">
        <v>31.394587564499727</v>
      </c>
      <c r="AA111" s="203">
        <v>30.077297809268394</v>
      </c>
      <c r="AB111" s="16">
        <f>AB110*(1+Assumptions!$L$13/12)</f>
        <v>1.0311845693631687</v>
      </c>
      <c r="AC111" s="16">
        <f t="shared" si="43"/>
        <v>0</v>
      </c>
      <c r="AD111" s="18">
        <f>AD110+(Assumptions!B$21-Assumptions!B$20)/12</f>
        <v>400.91878433721814</v>
      </c>
      <c r="AE111" s="18">
        <f>AE110+(Assumptions!C$21-Assumptions!C$20)/12</f>
        <v>1851.8972673309929</v>
      </c>
      <c r="AF111" s="5">
        <v>1</v>
      </c>
      <c r="AG111" s="73">
        <f t="shared" si="44"/>
        <v>1.0916999999999999</v>
      </c>
      <c r="AH111" s="16">
        <f>Assumptions!$E$20*Assumptions!H16</f>
        <v>3.3935482494532452</v>
      </c>
      <c r="AI111" s="16">
        <f>Assumptions!$F$20*Assumptions!I16</f>
        <v>3.1522696030132034</v>
      </c>
      <c r="AJ111" s="16">
        <f t="shared" si="45"/>
        <v>2.4399542510000001</v>
      </c>
      <c r="AK111" s="16">
        <f t="shared" si="45"/>
        <v>7.2000000000000008E-2</v>
      </c>
      <c r="AL111" s="4"/>
    </row>
    <row r="112" spans="1:38" x14ac:dyDescent="0.2">
      <c r="A112" s="1">
        <f t="shared" si="34"/>
        <v>39612.117000000129</v>
      </c>
      <c r="B112" s="16">
        <f t="shared" si="32"/>
        <v>1.0916999999999999</v>
      </c>
      <c r="C112" s="17">
        <f t="shared" si="29"/>
        <v>10.9672182</v>
      </c>
      <c r="D112" s="16">
        <f t="shared" si="33"/>
        <v>1.0329032103121074</v>
      </c>
      <c r="E112" s="16">
        <f t="shared" si="30"/>
        <v>4.9529182408149479</v>
      </c>
      <c r="F112" s="16">
        <f t="shared" si="31"/>
        <v>0.67512096902605567</v>
      </c>
      <c r="G112" s="19" t="str">
        <f>IF('Peak Revenue'!$A$1="BL","-",SUM(C112:F112))</f>
        <v>-</v>
      </c>
      <c r="H112" s="203">
        <v>169.77540858411768</v>
      </c>
      <c r="I112" s="203">
        <v>153.31442692069959</v>
      </c>
      <c r="J112" s="203">
        <v>140.5164705017508</v>
      </c>
      <c r="K112" s="203">
        <v>92.2439436968547</v>
      </c>
      <c r="L112" s="203">
        <v>71.249927812176125</v>
      </c>
      <c r="M112" s="203">
        <v>63.71287365901793</v>
      </c>
      <c r="N112" s="203">
        <v>57.096500210651094</v>
      </c>
      <c r="O112" s="203">
        <v>55.574411706956816</v>
      </c>
      <c r="P112" s="203">
        <v>45.758470155697978</v>
      </c>
      <c r="Q112" s="203">
        <v>40.273064961071427</v>
      </c>
      <c r="R112" s="203">
        <v>38.82560233249923</v>
      </c>
      <c r="S112" s="203">
        <v>36.687607579130812</v>
      </c>
      <c r="T112" s="203">
        <v>35.379484203254087</v>
      </c>
      <c r="U112" s="203">
        <v>32.143568154556782</v>
      </c>
      <c r="V112" s="203">
        <v>29.190302572581153</v>
      </c>
      <c r="W112" s="203">
        <v>28.561194174965877</v>
      </c>
      <c r="X112" s="203">
        <v>28.101632985886177</v>
      </c>
      <c r="Y112" s="203">
        <v>27.947870922183405</v>
      </c>
      <c r="Z112" s="203">
        <v>27.902837612095073</v>
      </c>
      <c r="AA112" s="203">
        <v>26.752778838540561</v>
      </c>
      <c r="AB112" s="16">
        <f>AB111*(1+Assumptions!$L$13/12)</f>
        <v>1.0329032103121074</v>
      </c>
      <c r="AC112" s="16">
        <f t="shared" si="43"/>
        <v>0</v>
      </c>
      <c r="AD112" s="18">
        <f>AD111+(Assumptions!B$21-Assumptions!B$20)/12</f>
        <v>404.12553954622626</v>
      </c>
      <c r="AE112" s="18">
        <f>AE111+(Assumptions!C$21-Assumptions!C$20)/12</f>
        <v>1866.7489797654553</v>
      </c>
      <c r="AF112" s="5">
        <v>1</v>
      </c>
      <c r="AG112" s="73">
        <f t="shared" si="44"/>
        <v>1.0916999999999999</v>
      </c>
      <c r="AH112" s="16">
        <f>Assumptions!$E$20*Assumptions!H17</f>
        <v>3.2332499904338454</v>
      </c>
      <c r="AI112" s="16">
        <f>Assumptions!$F$20*Assumptions!I17</f>
        <v>3.1522696030132034</v>
      </c>
      <c r="AJ112" s="16">
        <f t="shared" si="45"/>
        <v>2.4399542510000001</v>
      </c>
      <c r="AK112" s="16">
        <f t="shared" si="45"/>
        <v>7.2000000000000008E-2</v>
      </c>
      <c r="AL112" s="4"/>
    </row>
    <row r="113" spans="1:38" x14ac:dyDescent="0.2">
      <c r="A113" s="1">
        <f t="shared" si="34"/>
        <v>39642.534000000131</v>
      </c>
      <c r="B113" s="16">
        <f t="shared" si="32"/>
        <v>1.0916999999999999</v>
      </c>
      <c r="C113" s="17">
        <f t="shared" si="29"/>
        <v>10.9672182</v>
      </c>
      <c r="D113" s="16">
        <f t="shared" si="33"/>
        <v>1.0346247156626276</v>
      </c>
      <c r="E113" s="16">
        <f t="shared" si="30"/>
        <v>4.992219880563721</v>
      </c>
      <c r="F113" s="16">
        <f t="shared" si="31"/>
        <v>0.68049217993825351</v>
      </c>
      <c r="G113" s="19" t="str">
        <f>IF('Peak Revenue'!$A$1="BL","-",SUM(C113:F113))</f>
        <v>-</v>
      </c>
      <c r="H113" s="203">
        <v>309.55322945116171</v>
      </c>
      <c r="I113" s="203">
        <v>247.61898457828178</v>
      </c>
      <c r="J113" s="203">
        <v>206.90855479250516</v>
      </c>
      <c r="K113" s="203">
        <v>168.19404887539517</v>
      </c>
      <c r="L113" s="203">
        <v>140.63800008828053</v>
      </c>
      <c r="M113" s="203">
        <v>102.19985870284226</v>
      </c>
      <c r="N113" s="203">
        <v>69.325462974760114</v>
      </c>
      <c r="O113" s="203">
        <v>60.262947045847412</v>
      </c>
      <c r="P113" s="203">
        <v>58.723721886369859</v>
      </c>
      <c r="Q113" s="203">
        <v>57.717360423648643</v>
      </c>
      <c r="R113" s="203">
        <v>52.072525979703009</v>
      </c>
      <c r="S113" s="203">
        <v>40.988190043560543</v>
      </c>
      <c r="T113" s="203">
        <v>38.015719405393796</v>
      </c>
      <c r="U113" s="203">
        <v>35.256358035323615</v>
      </c>
      <c r="V113" s="203">
        <v>33.853810012278856</v>
      </c>
      <c r="W113" s="203">
        <v>31.636221832894211</v>
      </c>
      <c r="X113" s="203">
        <v>30.226312444823225</v>
      </c>
      <c r="Y113" s="203">
        <v>29.336449950139734</v>
      </c>
      <c r="Z113" s="203">
        <v>28.981218125992623</v>
      </c>
      <c r="AA113" s="203">
        <v>27.846197771371155</v>
      </c>
      <c r="AB113" s="16">
        <f>AB112*(1+Assumptions!$L$13/12)</f>
        <v>1.0346247156626276</v>
      </c>
      <c r="AC113" s="16">
        <f t="shared" si="43"/>
        <v>0</v>
      </c>
      <c r="AD113" s="18">
        <f>AD112+(Assumptions!B$21-Assumptions!B$20)/12</f>
        <v>407.33229475523439</v>
      </c>
      <c r="AE113" s="18">
        <f>AE112+(Assumptions!C$21-Assumptions!C$20)/12</f>
        <v>1881.6006921999176</v>
      </c>
      <c r="AF113" s="5">
        <v>1</v>
      </c>
      <c r="AG113" s="73">
        <f t="shared" si="44"/>
        <v>1.0916999999999999</v>
      </c>
      <c r="AH113" s="16">
        <f>Assumptions!$E$20*Assumptions!H18</f>
        <v>3.2230181866666499</v>
      </c>
      <c r="AI113" s="16">
        <f>Assumptions!$F$20*Assumptions!I18</f>
        <v>3.1522696030132034</v>
      </c>
      <c r="AJ113" s="16">
        <f t="shared" si="45"/>
        <v>2.4399542510000001</v>
      </c>
      <c r="AK113" s="16">
        <f t="shared" si="45"/>
        <v>7.2000000000000008E-2</v>
      </c>
      <c r="AL113" s="4"/>
    </row>
    <row r="114" spans="1:38" x14ac:dyDescent="0.2">
      <c r="A114" s="1">
        <f t="shared" si="34"/>
        <v>39672.951000000132</v>
      </c>
      <c r="B114" s="16">
        <f t="shared" si="32"/>
        <v>1.0916999999999999</v>
      </c>
      <c r="C114" s="17">
        <f t="shared" si="29"/>
        <v>10.9672182</v>
      </c>
      <c r="D114" s="16">
        <f t="shared" si="33"/>
        <v>1.036349090188732</v>
      </c>
      <c r="E114" s="16">
        <f t="shared" si="30"/>
        <v>5.031521520312495</v>
      </c>
      <c r="F114" s="16">
        <f t="shared" si="31"/>
        <v>0.68586339085045145</v>
      </c>
      <c r="G114" s="19" t="str">
        <f>IF('Peak Revenue'!$A$1="BL","-",SUM(C114:F114))</f>
        <v>-</v>
      </c>
      <c r="H114" s="203">
        <v>540.51678233602649</v>
      </c>
      <c r="I114" s="203">
        <v>354.25759097531881</v>
      </c>
      <c r="J114" s="203">
        <v>285.63599033883548</v>
      </c>
      <c r="K114" s="203">
        <v>218.50179053710568</v>
      </c>
      <c r="L114" s="203">
        <v>171.51734153408205</v>
      </c>
      <c r="M114" s="203">
        <v>128.19089330787082</v>
      </c>
      <c r="N114" s="203">
        <v>72.249376970558131</v>
      </c>
      <c r="O114" s="203">
        <v>64.626220666830051</v>
      </c>
      <c r="P114" s="203">
        <v>54.808664687586372</v>
      </c>
      <c r="Q114" s="203">
        <v>41.053126982642844</v>
      </c>
      <c r="R114" s="203">
        <v>36.33541193392972</v>
      </c>
      <c r="S114" s="203">
        <v>33.488260310830093</v>
      </c>
      <c r="T114" s="203">
        <v>32.312966113702657</v>
      </c>
      <c r="U114" s="203">
        <v>32.260798884417369</v>
      </c>
      <c r="V114" s="203">
        <v>32.024617887417122</v>
      </c>
      <c r="W114" s="203">
        <v>31.752990429654314</v>
      </c>
      <c r="X114" s="203">
        <v>31.323257075887522</v>
      </c>
      <c r="Y114" s="203">
        <v>30.275004240600904</v>
      </c>
      <c r="Z114" s="203">
        <v>29.313933948740988</v>
      </c>
      <c r="AA114" s="203">
        <v>26.888290937400843</v>
      </c>
      <c r="AB114" s="16">
        <f>AB113*(1+Assumptions!$L$13/12)</f>
        <v>1.036349090188732</v>
      </c>
      <c r="AC114" s="16">
        <f t="shared" si="43"/>
        <v>0</v>
      </c>
      <c r="AD114" s="18">
        <f>AD113+(Assumptions!B$21-Assumptions!B$20)/12</f>
        <v>410.53904996424251</v>
      </c>
      <c r="AE114" s="18">
        <f>AE113+(Assumptions!C$21-Assumptions!C$20)/12</f>
        <v>1896.4524046343799</v>
      </c>
      <c r="AF114" s="5">
        <v>1</v>
      </c>
      <c r="AG114" s="73">
        <f t="shared" si="44"/>
        <v>1.0916999999999999</v>
      </c>
      <c r="AH114" s="16">
        <f>Assumptions!$E$20*Assumptions!H19</f>
        <v>3.0558987251357865</v>
      </c>
      <c r="AI114" s="16">
        <f>Assumptions!$F$20*Assumptions!I19</f>
        <v>3.1522696030132034</v>
      </c>
      <c r="AJ114" s="16">
        <f t="shared" si="45"/>
        <v>2.4399542510000001</v>
      </c>
      <c r="AK114" s="16">
        <f t="shared" si="45"/>
        <v>7.2000000000000008E-2</v>
      </c>
      <c r="AL114" s="4"/>
    </row>
    <row r="115" spans="1:38" x14ac:dyDescent="0.2">
      <c r="A115" s="1">
        <f t="shared" si="34"/>
        <v>39703.368000000133</v>
      </c>
      <c r="B115" s="16">
        <f t="shared" si="32"/>
        <v>1.0916999999999999</v>
      </c>
      <c r="C115" s="17">
        <f t="shared" si="29"/>
        <v>10.9672182</v>
      </c>
      <c r="D115" s="16">
        <f t="shared" si="33"/>
        <v>1.0380763386723799</v>
      </c>
      <c r="E115" s="16">
        <f t="shared" si="30"/>
        <v>5.070823160061269</v>
      </c>
      <c r="F115" s="16">
        <f t="shared" si="31"/>
        <v>0.69123460176264939</v>
      </c>
      <c r="G115" s="19" t="str">
        <f>IF('Peak Revenue'!$A$1="BL","-",SUM(C115:F115))</f>
        <v>-</v>
      </c>
      <c r="H115" s="203">
        <v>179.94301121952418</v>
      </c>
      <c r="I115" s="203">
        <v>155.8646309999223</v>
      </c>
      <c r="J115" s="203">
        <v>114.66338503925158</v>
      </c>
      <c r="K115" s="203">
        <v>86.268677788859023</v>
      </c>
      <c r="L115" s="203">
        <v>68.1064350242074</v>
      </c>
      <c r="M115" s="203">
        <v>58.989533120427005</v>
      </c>
      <c r="N115" s="203">
        <v>55.242257021086907</v>
      </c>
      <c r="O115" s="203">
        <v>52.8428444436543</v>
      </c>
      <c r="P115" s="203">
        <v>50.348424320851265</v>
      </c>
      <c r="Q115" s="203">
        <v>42.159377512839647</v>
      </c>
      <c r="R115" s="203">
        <v>38.58660047080069</v>
      </c>
      <c r="S115" s="203">
        <v>35.103082288965467</v>
      </c>
      <c r="T115" s="203">
        <v>33.314655035318232</v>
      </c>
      <c r="U115" s="203">
        <v>31.680231709352846</v>
      </c>
      <c r="V115" s="203">
        <v>30.143344499516267</v>
      </c>
      <c r="W115" s="203">
        <v>29.192688133667026</v>
      </c>
      <c r="X115" s="203">
        <v>28.298139263078117</v>
      </c>
      <c r="Y115" s="203">
        <v>27.94546565124266</v>
      </c>
      <c r="Z115" s="203">
        <v>27.732304848768596</v>
      </c>
      <c r="AA115" s="203">
        <v>27.033796868379145</v>
      </c>
      <c r="AB115" s="16">
        <f>AB114*(1+Assumptions!$L$13/12)</f>
        <v>1.0380763386723799</v>
      </c>
      <c r="AC115" s="16">
        <f t="shared" si="43"/>
        <v>0</v>
      </c>
      <c r="AD115" s="18">
        <f>AD114+(Assumptions!B$21-Assumptions!B$20)/12</f>
        <v>413.74580517325063</v>
      </c>
      <c r="AE115" s="18">
        <f>AE114+(Assumptions!C$21-Assumptions!C$20)/12</f>
        <v>1911.3041170688423</v>
      </c>
      <c r="AF115" s="5">
        <v>1</v>
      </c>
      <c r="AG115" s="73">
        <f t="shared" si="44"/>
        <v>1.0916999999999999</v>
      </c>
      <c r="AH115" s="16">
        <f>Assumptions!$E$20*Assumptions!H20</f>
        <v>3.045666921368591</v>
      </c>
      <c r="AI115" s="16">
        <f>Assumptions!$F$20*Assumptions!I20</f>
        <v>3.1522696030132034</v>
      </c>
      <c r="AJ115" s="16">
        <f t="shared" si="45"/>
        <v>2.4399542510000001</v>
      </c>
      <c r="AK115" s="16">
        <f t="shared" si="45"/>
        <v>7.2000000000000008E-2</v>
      </c>
      <c r="AL115" s="4"/>
    </row>
    <row r="116" spans="1:38" x14ac:dyDescent="0.2">
      <c r="A116" s="1">
        <f t="shared" si="34"/>
        <v>39733.785000000134</v>
      </c>
      <c r="B116" s="16">
        <f t="shared" si="32"/>
        <v>1.0916999999999999</v>
      </c>
      <c r="C116" s="17">
        <f t="shared" si="29"/>
        <v>10.9672182</v>
      </c>
      <c r="D116" s="16">
        <f t="shared" si="33"/>
        <v>1.0398064659035007</v>
      </c>
      <c r="E116" s="16">
        <f t="shared" si="30"/>
        <v>5.110124799810043</v>
      </c>
      <c r="F116" s="16">
        <f t="shared" si="31"/>
        <v>0.69660581267484734</v>
      </c>
      <c r="G116" s="19" t="str">
        <f>IF('Peak Revenue'!$A$1="BL","-",SUM(C116:F116))</f>
        <v>-</v>
      </c>
      <c r="H116" s="203">
        <v>78.466188781639772</v>
      </c>
      <c r="I116" s="203">
        <v>74.5411955588133</v>
      </c>
      <c r="J116" s="203">
        <v>72.477129864013563</v>
      </c>
      <c r="K116" s="203">
        <v>67.838699095918727</v>
      </c>
      <c r="L116" s="203">
        <v>66.672458999432394</v>
      </c>
      <c r="M116" s="203">
        <v>66.091862802014688</v>
      </c>
      <c r="N116" s="203">
        <v>55.452125713392149</v>
      </c>
      <c r="O116" s="203">
        <v>46.456681054081976</v>
      </c>
      <c r="P116" s="203">
        <v>41.460889614135866</v>
      </c>
      <c r="Q116" s="203">
        <v>37.891978133030612</v>
      </c>
      <c r="R116" s="203">
        <v>37.530596431015894</v>
      </c>
      <c r="S116" s="203">
        <v>35.395494380176956</v>
      </c>
      <c r="T116" s="203">
        <v>34.482469852629833</v>
      </c>
      <c r="U116" s="203">
        <v>33.452493592961055</v>
      </c>
      <c r="V116" s="203">
        <v>33.189639030658576</v>
      </c>
      <c r="W116" s="203">
        <v>33.189639030658576</v>
      </c>
      <c r="X116" s="203">
        <v>33.189639030658576</v>
      </c>
      <c r="Y116" s="203">
        <v>33.189639030658576</v>
      </c>
      <c r="Z116" s="203">
        <v>33.189639030658576</v>
      </c>
      <c r="AA116" s="203">
        <v>32.549963533823814</v>
      </c>
      <c r="AB116" s="16">
        <f>AB115*(1+Assumptions!$L$13/12)</f>
        <v>1.0398064659035007</v>
      </c>
      <c r="AC116" s="16">
        <f t="shared" si="43"/>
        <v>0</v>
      </c>
      <c r="AD116" s="18">
        <f>AD115+(Assumptions!B$21-Assumptions!B$20)/12</f>
        <v>416.95256038225875</v>
      </c>
      <c r="AE116" s="18">
        <f>AE115+(Assumptions!C$21-Assumptions!C$20)/12</f>
        <v>1926.1558295033046</v>
      </c>
      <c r="AF116" s="5">
        <f>IF(Assumptions!D$20=1,0,1)</f>
        <v>1</v>
      </c>
      <c r="AG116" s="73">
        <f t="shared" si="44"/>
        <v>1.0916999999999999</v>
      </c>
      <c r="AH116" s="16">
        <f>Assumptions!$E$20*Assumptions!H21</f>
        <v>3.3730846419188536</v>
      </c>
      <c r="AI116" s="16">
        <f>Assumptions!$F$20*Assumptions!I21</f>
        <v>3.1522696030132034</v>
      </c>
      <c r="AJ116" s="16">
        <f t="shared" si="45"/>
        <v>2.4399542510000001</v>
      </c>
      <c r="AK116" s="16">
        <f t="shared" si="45"/>
        <v>7.2000000000000008E-2</v>
      </c>
      <c r="AL116" s="4"/>
    </row>
    <row r="117" spans="1:38" x14ac:dyDescent="0.2">
      <c r="A117" s="1">
        <f t="shared" si="34"/>
        <v>39764.202000000136</v>
      </c>
      <c r="B117" s="16">
        <f t="shared" si="32"/>
        <v>1.0916999999999999</v>
      </c>
      <c r="C117" s="17">
        <f t="shared" si="29"/>
        <v>10.9672182</v>
      </c>
      <c r="D117" s="16">
        <f t="shared" si="33"/>
        <v>1.0415394766800066</v>
      </c>
      <c r="E117" s="16">
        <f t="shared" si="30"/>
        <v>5.149426439558817</v>
      </c>
      <c r="F117" s="16">
        <f t="shared" si="31"/>
        <v>0.70197702358704517</v>
      </c>
      <c r="G117" s="19" t="str">
        <f>IF('Peak Revenue'!$A$1="BL","-",SUM(C117:F117))</f>
        <v>-</v>
      </c>
      <c r="H117" s="203">
        <v>95.452520439207873</v>
      </c>
      <c r="I117" s="203">
        <v>88.505907562902593</v>
      </c>
      <c r="J117" s="203">
        <v>84.204355282374422</v>
      </c>
      <c r="K117" s="203">
        <v>79.0239314614264</v>
      </c>
      <c r="L117" s="203">
        <v>75.86517460578753</v>
      </c>
      <c r="M117" s="203">
        <v>75.4247680407112</v>
      </c>
      <c r="N117" s="203">
        <v>66.903984923682245</v>
      </c>
      <c r="O117" s="203">
        <v>52.293005355992619</v>
      </c>
      <c r="P117" s="203">
        <v>45.413413774099027</v>
      </c>
      <c r="Q117" s="203">
        <v>42.79475978975335</v>
      </c>
      <c r="R117" s="203">
        <v>41.338952567266375</v>
      </c>
      <c r="S117" s="203">
        <v>37.308227752318203</v>
      </c>
      <c r="T117" s="203">
        <v>36.656021066422625</v>
      </c>
      <c r="U117" s="203">
        <v>36.65578421384599</v>
      </c>
      <c r="V117" s="203">
        <v>36.65578421384599</v>
      </c>
      <c r="W117" s="203">
        <v>36.65578421384599</v>
      </c>
      <c r="X117" s="203">
        <v>36.402631037242656</v>
      </c>
      <c r="Y117" s="203">
        <v>34.40882363409203</v>
      </c>
      <c r="Z117" s="203">
        <v>33.546200594876716</v>
      </c>
      <c r="AA117" s="203">
        <v>31.024591379508252</v>
      </c>
      <c r="AB117" s="16">
        <f>AB116*(1+Assumptions!$L$13/12)</f>
        <v>1.0415394766800066</v>
      </c>
      <c r="AC117" s="16">
        <f t="shared" si="43"/>
        <v>0</v>
      </c>
      <c r="AD117" s="18">
        <f>AD116+(Assumptions!B$21-Assumptions!B$20)/12</f>
        <v>420.15931559126687</v>
      </c>
      <c r="AE117" s="18">
        <f>AE116+(Assumptions!C$21-Assumptions!C$20)/12</f>
        <v>1941.007541937767</v>
      </c>
      <c r="AF117" s="5">
        <f>IF(Assumptions!D$20=1,0,1)</f>
        <v>1</v>
      </c>
      <c r="AG117" s="73">
        <f t="shared" si="44"/>
        <v>1.0916999999999999</v>
      </c>
      <c r="AH117" s="16">
        <f>Assumptions!$E$20*Assumptions!H22</f>
        <v>3.6936811599576527</v>
      </c>
      <c r="AI117" s="16">
        <f>Assumptions!$F$20*Assumptions!I22</f>
        <v>3.4177238853722103</v>
      </c>
      <c r="AJ117" s="16">
        <f t="shared" si="45"/>
        <v>2.4399542510000001</v>
      </c>
      <c r="AK117" s="16">
        <f t="shared" si="45"/>
        <v>7.2000000000000008E-2</v>
      </c>
      <c r="AL117" s="4"/>
    </row>
    <row r="118" spans="1:38" x14ac:dyDescent="0.2">
      <c r="A118" s="1">
        <f t="shared" si="34"/>
        <v>39794.619000000137</v>
      </c>
      <c r="B118" s="16">
        <f t="shared" si="32"/>
        <v>1.0916999999999999</v>
      </c>
      <c r="C118" s="17">
        <f t="shared" si="29"/>
        <v>10.9672182</v>
      </c>
      <c r="D118" s="16">
        <f t="shared" si="33"/>
        <v>1.0432753758078066</v>
      </c>
      <c r="E118" s="16">
        <f t="shared" si="30"/>
        <v>5.1887280793075909</v>
      </c>
      <c r="F118" s="16">
        <f t="shared" si="31"/>
        <v>0.70734823449924311</v>
      </c>
      <c r="G118" s="19" t="str">
        <f>IF('Peak Revenue'!$A$1="BL","-",SUM(C118:F118))</f>
        <v>-</v>
      </c>
      <c r="H118" s="203">
        <v>178.84032718512307</v>
      </c>
      <c r="I118" s="203">
        <v>163.98016751813367</v>
      </c>
      <c r="J118" s="203">
        <v>155.54572056315411</v>
      </c>
      <c r="K118" s="203">
        <v>115.61875753763771</v>
      </c>
      <c r="L118" s="203">
        <v>87.717351639286221</v>
      </c>
      <c r="M118" s="203">
        <v>74.475681421420717</v>
      </c>
      <c r="N118" s="203">
        <v>67.484479518860212</v>
      </c>
      <c r="O118" s="203">
        <v>63.323634891758182</v>
      </c>
      <c r="P118" s="203">
        <v>60.16789294080862</v>
      </c>
      <c r="Q118" s="203">
        <v>60.047515327679399</v>
      </c>
      <c r="R118" s="203">
        <v>58.683951718603772</v>
      </c>
      <c r="S118" s="203">
        <v>47.981399017490638</v>
      </c>
      <c r="T118" s="203">
        <v>41.590345038153529</v>
      </c>
      <c r="U118" s="203">
        <v>34.869947616064685</v>
      </c>
      <c r="V118" s="203">
        <v>34.271961787800414</v>
      </c>
      <c r="W118" s="203">
        <v>31.810664974224249</v>
      </c>
      <c r="X118" s="203">
        <v>29.95021995014212</v>
      </c>
      <c r="Y118" s="203">
        <v>29.830134931145935</v>
      </c>
      <c r="Z118" s="203">
        <v>29.617757496980794</v>
      </c>
      <c r="AA118" s="203">
        <v>27.699303446768727</v>
      </c>
      <c r="AB118" s="16">
        <f>AB117*(1+Assumptions!$L$13/12)</f>
        <v>1.0432753758078066</v>
      </c>
      <c r="AC118" s="16">
        <f t="shared" si="43"/>
        <v>0</v>
      </c>
      <c r="AD118" s="18">
        <f>AD117+(Assumptions!B$21-Assumptions!B$20)/12</f>
        <v>423.366070800275</v>
      </c>
      <c r="AE118" s="18">
        <f>AE117+(Assumptions!C$21-Assumptions!C$20)/12</f>
        <v>1955.8592543722293</v>
      </c>
      <c r="AF118" s="5">
        <f>IF(Assumptions!D$20=1,0,1)</f>
        <v>1</v>
      </c>
      <c r="AG118" s="73">
        <f t="shared" si="44"/>
        <v>1.0916999999999999</v>
      </c>
      <c r="AH118" s="16">
        <f>Assumptions!$E$20*Assumptions!H23</f>
        <v>3.9972246717177922</v>
      </c>
      <c r="AI118" s="16">
        <f>Assumptions!$F$20*Assumptions!I23</f>
        <v>3.5836328118465897</v>
      </c>
      <c r="AJ118" s="16">
        <f t="shared" si="45"/>
        <v>2.4399542510000001</v>
      </c>
      <c r="AK118" s="16">
        <f t="shared" si="45"/>
        <v>7.2000000000000008E-2</v>
      </c>
      <c r="AL118" s="4"/>
    </row>
    <row r="119" spans="1:38" x14ac:dyDescent="0.2">
      <c r="A119" s="1">
        <f t="shared" si="34"/>
        <v>39825.036000000138</v>
      </c>
      <c r="B119" s="16">
        <f t="shared" si="32"/>
        <v>1.125</v>
      </c>
      <c r="C119" s="17">
        <f t="shared" si="29"/>
        <v>11.30175</v>
      </c>
      <c r="D119" s="16">
        <f t="shared" si="33"/>
        <v>1.0450141681008196</v>
      </c>
      <c r="E119" s="16">
        <f t="shared" si="30"/>
        <v>5.2673313588051363</v>
      </c>
      <c r="F119" s="16">
        <f t="shared" si="31"/>
        <v>0.718090656323639</v>
      </c>
      <c r="G119" s="19" t="str">
        <f>IF('Peak Revenue'!$A$1="BL","-",SUM(C119:F119))</f>
        <v>-</v>
      </c>
      <c r="H119" s="203">
        <v>116.70897413266998</v>
      </c>
      <c r="I119" s="203">
        <v>105.59586960243038</v>
      </c>
      <c r="J119" s="203">
        <v>93.419336886432887</v>
      </c>
      <c r="K119" s="203">
        <v>86.892316862958381</v>
      </c>
      <c r="L119" s="203">
        <v>82.262763812343934</v>
      </c>
      <c r="M119" s="203">
        <v>76.721761679561794</v>
      </c>
      <c r="N119" s="203">
        <v>76.001297281516713</v>
      </c>
      <c r="O119" s="203">
        <v>70.437005280680353</v>
      </c>
      <c r="P119" s="203">
        <v>53.806516308452018</v>
      </c>
      <c r="Q119" s="203">
        <v>46.842980570692816</v>
      </c>
      <c r="R119" s="203">
        <v>43.027174814968511</v>
      </c>
      <c r="S119" s="203">
        <v>39.943765200845746</v>
      </c>
      <c r="T119" s="203">
        <v>37.457951574066513</v>
      </c>
      <c r="U119" s="203">
        <v>37.457951574066513</v>
      </c>
      <c r="V119" s="203">
        <v>37.457951574066513</v>
      </c>
      <c r="W119" s="203">
        <v>37.457951574066513</v>
      </c>
      <c r="X119" s="203">
        <v>35.803237642000433</v>
      </c>
      <c r="Y119" s="203">
        <v>33.103140508913341</v>
      </c>
      <c r="Z119" s="203">
        <v>32.294936378946787</v>
      </c>
      <c r="AA119" s="203">
        <v>29.724826639365244</v>
      </c>
      <c r="AB119" s="16">
        <f>AB118*(1+Assumptions!$L$13/12)</f>
        <v>1.0450141681008196</v>
      </c>
      <c r="AC119" s="16">
        <f>VLOOKUP($C$1,EnvVOM,12)</f>
        <v>0</v>
      </c>
      <c r="AD119" s="18">
        <f>Assumptions!B21</f>
        <v>429.77958121829101</v>
      </c>
      <c r="AE119" s="18">
        <f>Assumptions!C21</f>
        <v>1985.5626792411545</v>
      </c>
      <c r="AF119" s="5">
        <f>IF(Assumptions!D$21=1,0,1)</f>
        <v>1</v>
      </c>
      <c r="AG119" s="73">
        <f>VLOOKUP($C$1,Coal,12)</f>
        <v>1.125</v>
      </c>
      <c r="AH119" s="16">
        <f>Assumptions!$E$21*Assumptions!H12</f>
        <v>3.9883095962770021</v>
      </c>
      <c r="AI119" s="16">
        <f>Assumptions!$F$21*Assumptions!I12</f>
        <v>3.7142218467191683</v>
      </c>
      <c r="AJ119" s="16">
        <f>VLOOKUP($C$1,SO2Rate,12)</f>
        <v>2.4399542510000001</v>
      </c>
      <c r="AK119" s="16">
        <f>VLOOKUP($C$1,NOxRate,12)</f>
        <v>7.2000000000000008E-2</v>
      </c>
      <c r="AL119" s="4"/>
    </row>
    <row r="120" spans="1:38" x14ac:dyDescent="0.2">
      <c r="A120" s="1">
        <f t="shared" si="34"/>
        <v>39855.45300000014</v>
      </c>
      <c r="B120" s="16">
        <f t="shared" si="32"/>
        <v>1.125</v>
      </c>
      <c r="C120" s="17">
        <f t="shared" si="29"/>
        <v>11.30175</v>
      </c>
      <c r="D120" s="16">
        <f t="shared" si="33"/>
        <v>1.0467558583809877</v>
      </c>
      <c r="E120" s="16">
        <f t="shared" si="30"/>
        <v>5.2673313588051363</v>
      </c>
      <c r="F120" s="16">
        <f t="shared" si="31"/>
        <v>0.718090656323639</v>
      </c>
      <c r="G120" s="19" t="str">
        <f>IF('Peak Revenue'!$A$1="BL","-",SUM(C120:F120))</f>
        <v>-</v>
      </c>
      <c r="H120" s="203">
        <v>163.03336542398441</v>
      </c>
      <c r="I120" s="203">
        <v>153.0382035541341</v>
      </c>
      <c r="J120" s="203">
        <v>119.98118214244025</v>
      </c>
      <c r="K120" s="203">
        <v>88.355663471774378</v>
      </c>
      <c r="L120" s="203">
        <v>82.405601407210128</v>
      </c>
      <c r="M120" s="203">
        <v>77.609650846775281</v>
      </c>
      <c r="N120" s="203">
        <v>73.60646610545183</v>
      </c>
      <c r="O120" s="203">
        <v>72.356400062420192</v>
      </c>
      <c r="P120" s="203">
        <v>58.585914879369071</v>
      </c>
      <c r="Q120" s="203">
        <v>48.87248793428892</v>
      </c>
      <c r="R120" s="203">
        <v>41.5824099969591</v>
      </c>
      <c r="S120" s="203">
        <v>39.382019852526838</v>
      </c>
      <c r="T120" s="203">
        <v>36.104285504304812</v>
      </c>
      <c r="U120" s="203">
        <v>36.088134093517091</v>
      </c>
      <c r="V120" s="203">
        <v>35.53262442155313</v>
      </c>
      <c r="W120" s="203">
        <v>35.356008133677172</v>
      </c>
      <c r="X120" s="203">
        <v>33.80186716462849</v>
      </c>
      <c r="Y120" s="203">
        <v>33.079476144225296</v>
      </c>
      <c r="Z120" s="203">
        <v>32.214448679619878</v>
      </c>
      <c r="AA120" s="203">
        <v>29.444039654662543</v>
      </c>
      <c r="AB120" s="16">
        <f>AB119*(1+Assumptions!$L$13/12)</f>
        <v>1.0467558583809877</v>
      </c>
      <c r="AC120" s="16">
        <f>AC119</f>
        <v>0</v>
      </c>
      <c r="AD120" s="18">
        <f>AD119</f>
        <v>429.77958121829101</v>
      </c>
      <c r="AE120" s="18">
        <f>AE119</f>
        <v>1985.5626792411545</v>
      </c>
      <c r="AF120" s="5">
        <f>IF(Assumptions!D$21=1,0,1)</f>
        <v>1</v>
      </c>
      <c r="AG120" s="73">
        <f>AG119</f>
        <v>1.125</v>
      </c>
      <c r="AH120" s="16">
        <f>Assumptions!$E$21*Assumptions!H13</f>
        <v>3.5746285477269937</v>
      </c>
      <c r="AI120" s="16">
        <f>Assumptions!$F$21*Assumptions!I13</f>
        <v>3.6798309036939907</v>
      </c>
      <c r="AJ120" s="16">
        <f>AJ119</f>
        <v>2.4399542510000001</v>
      </c>
      <c r="AK120" s="16">
        <f>AK119</f>
        <v>7.2000000000000008E-2</v>
      </c>
      <c r="AL120" s="4"/>
    </row>
    <row r="121" spans="1:38" x14ac:dyDescent="0.2">
      <c r="A121" s="1">
        <f t="shared" si="34"/>
        <v>39885.870000000141</v>
      </c>
      <c r="B121" s="16">
        <f t="shared" si="32"/>
        <v>1.125</v>
      </c>
      <c r="C121" s="17">
        <f t="shared" si="29"/>
        <v>11.30175</v>
      </c>
      <c r="D121" s="16">
        <f t="shared" si="33"/>
        <v>1.0485004514782894</v>
      </c>
      <c r="E121" s="16">
        <f t="shared" si="30"/>
        <v>5.2673313588051363</v>
      </c>
      <c r="F121" s="16">
        <f t="shared" si="31"/>
        <v>0.718090656323639</v>
      </c>
      <c r="G121" s="19" t="str">
        <f>IF('Peak Revenue'!$A$1="BL","-",SUM(C121:F121))</f>
        <v>-</v>
      </c>
      <c r="H121" s="203">
        <v>98.219735272979392</v>
      </c>
      <c r="I121" s="203">
        <v>87.34964122781291</v>
      </c>
      <c r="J121" s="203">
        <v>84.157309127374418</v>
      </c>
      <c r="K121" s="203">
        <v>79.354534018198805</v>
      </c>
      <c r="L121" s="203">
        <v>73.845881544574382</v>
      </c>
      <c r="M121" s="203">
        <v>72.893047492920715</v>
      </c>
      <c r="N121" s="203">
        <v>70.365515101894601</v>
      </c>
      <c r="O121" s="203">
        <v>55.721875248697756</v>
      </c>
      <c r="P121" s="203">
        <v>49.671475258451309</v>
      </c>
      <c r="Q121" s="203">
        <v>43.015784684410207</v>
      </c>
      <c r="R121" s="203">
        <v>41.20962532955771</v>
      </c>
      <c r="S121" s="203">
        <v>40.864365927835884</v>
      </c>
      <c r="T121" s="203">
        <v>38.312484224602869</v>
      </c>
      <c r="U121" s="203">
        <v>36.206133455888519</v>
      </c>
      <c r="V121" s="203">
        <v>36.161738919444602</v>
      </c>
      <c r="W121" s="203">
        <v>35.686435655813099</v>
      </c>
      <c r="X121" s="203">
        <v>35.354369464135843</v>
      </c>
      <c r="Y121" s="203">
        <v>35.321215197470856</v>
      </c>
      <c r="Z121" s="203">
        <v>35.321171779494122</v>
      </c>
      <c r="AA121" s="203">
        <v>34.869472189256371</v>
      </c>
      <c r="AB121" s="16">
        <f>AB120*(1+Assumptions!$L$13/12)</f>
        <v>1.0485004514782894</v>
      </c>
      <c r="AC121" s="16">
        <f t="shared" ref="AC121:AC130" si="46">AC120</f>
        <v>0</v>
      </c>
      <c r="AD121" s="18">
        <f t="shared" ref="AD121:AE130" si="47">AD120</f>
        <v>429.77958121829101</v>
      </c>
      <c r="AE121" s="18">
        <f t="shared" si="47"/>
        <v>1985.5626792411545</v>
      </c>
      <c r="AF121" s="5">
        <f>IF(Assumptions!D$21=1,0,1)</f>
        <v>1</v>
      </c>
      <c r="AG121" s="73">
        <f t="shared" ref="AG121:AG130" si="48">AG120</f>
        <v>1.125</v>
      </c>
      <c r="AH121" s="16">
        <f>Assumptions!$E$21*Assumptions!H14</f>
        <v>3.5145210449462239</v>
      </c>
      <c r="AI121" s="16">
        <f>Assumptions!$F$21*Assumptions!I14</f>
        <v>3.5422671315932805</v>
      </c>
      <c r="AJ121" s="16">
        <f t="shared" ref="AJ121:AK130" si="49">AJ120</f>
        <v>2.4399542510000001</v>
      </c>
      <c r="AK121" s="16">
        <f t="shared" si="49"/>
        <v>7.2000000000000008E-2</v>
      </c>
      <c r="AL121" s="4"/>
    </row>
    <row r="122" spans="1:38" x14ac:dyDescent="0.2">
      <c r="A122" s="1">
        <f t="shared" si="34"/>
        <v>39916.287000000142</v>
      </c>
      <c r="B122" s="16">
        <f t="shared" si="32"/>
        <v>1.125</v>
      </c>
      <c r="C122" s="17">
        <f t="shared" si="29"/>
        <v>11.30175</v>
      </c>
      <c r="D122" s="16">
        <f t="shared" si="33"/>
        <v>1.0502479522307533</v>
      </c>
      <c r="E122" s="16">
        <f t="shared" si="30"/>
        <v>5.2673313588051363</v>
      </c>
      <c r="F122" s="16">
        <f t="shared" si="31"/>
        <v>0.718090656323639</v>
      </c>
      <c r="G122" s="19" t="str">
        <f>IF('Peak Revenue'!$A$1="BL","-",SUM(C122:F122))</f>
        <v>-</v>
      </c>
      <c r="H122" s="203">
        <v>79.601683098347081</v>
      </c>
      <c r="I122" s="203">
        <v>76.864302332627375</v>
      </c>
      <c r="J122" s="203">
        <v>72.993322289361274</v>
      </c>
      <c r="K122" s="203">
        <v>69.863993520475461</v>
      </c>
      <c r="L122" s="203">
        <v>69.710958805533892</v>
      </c>
      <c r="M122" s="203">
        <v>63.362111962930612</v>
      </c>
      <c r="N122" s="203">
        <v>48.46547750263359</v>
      </c>
      <c r="O122" s="203">
        <v>44.4232919344186</v>
      </c>
      <c r="P122" s="203">
        <v>40.088163194562661</v>
      </c>
      <c r="Q122" s="203">
        <v>39.550925722637935</v>
      </c>
      <c r="R122" s="203">
        <v>38.500383541731239</v>
      </c>
      <c r="S122" s="203">
        <v>36.249561302420915</v>
      </c>
      <c r="T122" s="203">
        <v>35.256060586880821</v>
      </c>
      <c r="U122" s="203">
        <v>34.795153091865657</v>
      </c>
      <c r="V122" s="203">
        <v>34.757772843707855</v>
      </c>
      <c r="W122" s="203">
        <v>34.284895032990981</v>
      </c>
      <c r="X122" s="203">
        <v>33.931989195015532</v>
      </c>
      <c r="Y122" s="203">
        <v>33.931819287734129</v>
      </c>
      <c r="Z122" s="203">
        <v>33.931764861913244</v>
      </c>
      <c r="AA122" s="203">
        <v>33.558151962231818</v>
      </c>
      <c r="AB122" s="16">
        <f>AB121*(1+Assumptions!$L$13/12)</f>
        <v>1.0502479522307533</v>
      </c>
      <c r="AC122" s="16">
        <f t="shared" si="46"/>
        <v>0</v>
      </c>
      <c r="AD122" s="18">
        <f t="shared" si="47"/>
        <v>429.77958121829101</v>
      </c>
      <c r="AE122" s="18">
        <f t="shared" si="47"/>
        <v>1985.5626792411545</v>
      </c>
      <c r="AF122" s="5">
        <f>IF(Assumptions!D$21=1,0,1)</f>
        <v>1</v>
      </c>
      <c r="AG122" s="73">
        <f t="shared" si="48"/>
        <v>1.125</v>
      </c>
      <c r="AH122" s="16">
        <f>Assumptions!$E$21*Assumptions!H15</f>
        <v>3.3412700075192969</v>
      </c>
      <c r="AI122" s="16">
        <f>Assumptions!$F$21*Assumptions!I15</f>
        <v>3.4047033594925704</v>
      </c>
      <c r="AJ122" s="16">
        <f t="shared" si="49"/>
        <v>2.4399542510000001</v>
      </c>
      <c r="AK122" s="16">
        <f t="shared" si="49"/>
        <v>7.2000000000000008E-2</v>
      </c>
      <c r="AL122" s="4"/>
    </row>
    <row r="123" spans="1:38" x14ac:dyDescent="0.2">
      <c r="A123" s="1">
        <f t="shared" si="34"/>
        <v>39946.704000000143</v>
      </c>
      <c r="B123" s="16">
        <f t="shared" si="32"/>
        <v>1.125</v>
      </c>
      <c r="C123" s="17">
        <f t="shared" si="29"/>
        <v>11.30175</v>
      </c>
      <c r="D123" s="16">
        <f t="shared" si="33"/>
        <v>1.0519983654844713</v>
      </c>
      <c r="E123" s="16">
        <f t="shared" si="30"/>
        <v>5.2673313588051363</v>
      </c>
      <c r="F123" s="16">
        <f t="shared" si="31"/>
        <v>0.718090656323639</v>
      </c>
      <c r="G123" s="19" t="str">
        <f>IF('Peak Revenue'!$A$1="BL","-",SUM(C123:F123))</f>
        <v>-</v>
      </c>
      <c r="H123" s="203">
        <v>109.9655446951884</v>
      </c>
      <c r="I123" s="203">
        <v>85.043855257364527</v>
      </c>
      <c r="J123" s="203">
        <v>77.020619522490009</v>
      </c>
      <c r="K123" s="203">
        <v>71.531403120857448</v>
      </c>
      <c r="L123" s="203">
        <v>70.350873172778037</v>
      </c>
      <c r="M123" s="203">
        <v>58.670809338675745</v>
      </c>
      <c r="N123" s="203">
        <v>48.651429701004659</v>
      </c>
      <c r="O123" s="203">
        <v>44.678942817185622</v>
      </c>
      <c r="P123" s="203">
        <v>40.805333142606599</v>
      </c>
      <c r="Q123" s="203">
        <v>35.213399176863717</v>
      </c>
      <c r="R123" s="203">
        <v>34.888553465204964</v>
      </c>
      <c r="S123" s="203">
        <v>34.55156523020235</v>
      </c>
      <c r="T123" s="203">
        <v>34.058953588325025</v>
      </c>
      <c r="U123" s="203">
        <v>34.058953588325025</v>
      </c>
      <c r="V123" s="203">
        <v>34.058953588325025</v>
      </c>
      <c r="W123" s="203">
        <v>34.058873740966767</v>
      </c>
      <c r="X123" s="203">
        <v>34.058644121191278</v>
      </c>
      <c r="Y123" s="203">
        <v>33.590519802173745</v>
      </c>
      <c r="Z123" s="203">
        <v>32.130376982334951</v>
      </c>
      <c r="AA123" s="203">
        <v>29.977894944158521</v>
      </c>
      <c r="AB123" s="16">
        <f>AB122*(1+Assumptions!$L$13/12)</f>
        <v>1.0519983654844713</v>
      </c>
      <c r="AC123" s="16">
        <f t="shared" si="46"/>
        <v>0</v>
      </c>
      <c r="AD123" s="18">
        <f t="shared" si="47"/>
        <v>429.77958121829101</v>
      </c>
      <c r="AE123" s="18">
        <f t="shared" si="47"/>
        <v>1985.5626792411545</v>
      </c>
      <c r="AF123" s="5">
        <v>1</v>
      </c>
      <c r="AG123" s="73">
        <f t="shared" si="48"/>
        <v>1.125</v>
      </c>
      <c r="AH123" s="16">
        <f>Assumptions!$E$21*Assumptions!H16</f>
        <v>3.5180567804039162</v>
      </c>
      <c r="AI123" s="16">
        <f>Assumptions!$F$21*Assumptions!I16</f>
        <v>3.2671395873918607</v>
      </c>
      <c r="AJ123" s="16">
        <f t="shared" si="49"/>
        <v>2.4399542510000001</v>
      </c>
      <c r="AK123" s="16">
        <f t="shared" si="49"/>
        <v>7.2000000000000008E-2</v>
      </c>
      <c r="AL123" s="4"/>
    </row>
    <row r="124" spans="1:38" x14ac:dyDescent="0.2">
      <c r="A124" s="1">
        <f t="shared" si="34"/>
        <v>39977.121000000145</v>
      </c>
      <c r="B124" s="16">
        <f t="shared" si="32"/>
        <v>1.125</v>
      </c>
      <c r="C124" s="17">
        <f t="shared" si="29"/>
        <v>11.30175</v>
      </c>
      <c r="D124" s="16">
        <f t="shared" si="33"/>
        <v>1.0537516960936122</v>
      </c>
      <c r="E124" s="16">
        <f t="shared" si="30"/>
        <v>5.2673313588051363</v>
      </c>
      <c r="F124" s="16">
        <f t="shared" si="31"/>
        <v>0.718090656323639</v>
      </c>
      <c r="G124" s="19" t="str">
        <f>IF('Peak Revenue'!$A$1="BL","-",SUM(C124:F124))</f>
        <v>-</v>
      </c>
      <c r="H124" s="203">
        <v>204.55552934128602</v>
      </c>
      <c r="I124" s="203">
        <v>174.68480307080935</v>
      </c>
      <c r="J124" s="203">
        <v>157.33845446359339</v>
      </c>
      <c r="K124" s="203">
        <v>127.7994732809312</v>
      </c>
      <c r="L124" s="203">
        <v>78.212615172092853</v>
      </c>
      <c r="M124" s="203">
        <v>65.021474696299933</v>
      </c>
      <c r="N124" s="203">
        <v>60.687219678749258</v>
      </c>
      <c r="O124" s="203">
        <v>52.288033035421471</v>
      </c>
      <c r="P124" s="203">
        <v>42.489583549029319</v>
      </c>
      <c r="Q124" s="203">
        <v>38.906785981198944</v>
      </c>
      <c r="R124" s="203">
        <v>35.773871629173108</v>
      </c>
      <c r="S124" s="203">
        <v>34.780095005251795</v>
      </c>
      <c r="T124" s="203">
        <v>34.59979283395905</v>
      </c>
      <c r="U124" s="203">
        <v>33.682233619685569</v>
      </c>
      <c r="V124" s="203">
        <v>32.377746374624778</v>
      </c>
      <c r="W124" s="203">
        <v>31.382761039770521</v>
      </c>
      <c r="X124" s="203">
        <v>30.797326018173742</v>
      </c>
      <c r="Y124" s="203">
        <v>30.625912669057008</v>
      </c>
      <c r="Z124" s="203">
        <v>30.128405121585335</v>
      </c>
      <c r="AA124" s="203">
        <v>29.956098317304992</v>
      </c>
      <c r="AB124" s="16">
        <f>AB123*(1+Assumptions!$L$13/12)</f>
        <v>1.0537516960936122</v>
      </c>
      <c r="AC124" s="16">
        <f t="shared" si="46"/>
        <v>0</v>
      </c>
      <c r="AD124" s="18">
        <f t="shared" si="47"/>
        <v>429.77958121829101</v>
      </c>
      <c r="AE124" s="18">
        <f t="shared" si="47"/>
        <v>1985.5626792411545</v>
      </c>
      <c r="AF124" s="5">
        <v>1</v>
      </c>
      <c r="AG124" s="73">
        <f t="shared" si="48"/>
        <v>1.125</v>
      </c>
      <c r="AH124" s="16">
        <f>Assumptions!$E$21*Assumptions!H17</f>
        <v>3.351877213892374</v>
      </c>
      <c r="AI124" s="16">
        <f>Assumptions!$F$21*Assumptions!I17</f>
        <v>3.2671395873918607</v>
      </c>
      <c r="AJ124" s="16">
        <f t="shared" si="49"/>
        <v>2.4399542510000001</v>
      </c>
      <c r="AK124" s="16">
        <f t="shared" si="49"/>
        <v>7.2000000000000008E-2</v>
      </c>
      <c r="AL124" s="4"/>
    </row>
    <row r="125" spans="1:38" x14ac:dyDescent="0.2">
      <c r="A125" s="1">
        <f t="shared" si="34"/>
        <v>40007.538000000146</v>
      </c>
      <c r="B125" s="16">
        <f t="shared" si="32"/>
        <v>1.125</v>
      </c>
      <c r="C125" s="17">
        <f t="shared" si="29"/>
        <v>11.30175</v>
      </c>
      <c r="D125" s="16">
        <f t="shared" si="33"/>
        <v>1.0555079489204349</v>
      </c>
      <c r="E125" s="16">
        <f t="shared" si="30"/>
        <v>5.2673313588051363</v>
      </c>
      <c r="F125" s="16">
        <f t="shared" si="31"/>
        <v>0.718090656323639</v>
      </c>
      <c r="G125" s="19" t="str">
        <f>IF('Peak Revenue'!$A$1="BL","-",SUM(C125:F125))</f>
        <v>-</v>
      </c>
      <c r="H125" s="203">
        <v>320.91882413804831</v>
      </c>
      <c r="I125" s="203">
        <v>266.07431960818349</v>
      </c>
      <c r="J125" s="203">
        <v>228.67349202340529</v>
      </c>
      <c r="K125" s="203">
        <v>189.8456761943815</v>
      </c>
      <c r="L125" s="203">
        <v>162.31228792263886</v>
      </c>
      <c r="M125" s="203">
        <v>134.20604117414456</v>
      </c>
      <c r="N125" s="203">
        <v>74.217236301205148</v>
      </c>
      <c r="O125" s="203">
        <v>64.104110591915955</v>
      </c>
      <c r="P125" s="203">
        <v>61.359504663729034</v>
      </c>
      <c r="Q125" s="203">
        <v>53.002762566127487</v>
      </c>
      <c r="R125" s="203">
        <v>40.443845936394574</v>
      </c>
      <c r="S125" s="203">
        <v>35.074291451887817</v>
      </c>
      <c r="T125" s="203">
        <v>32.4125640754553</v>
      </c>
      <c r="U125" s="203">
        <v>30.638357223924061</v>
      </c>
      <c r="V125" s="203">
        <v>30.469346742220154</v>
      </c>
      <c r="W125" s="203">
        <v>30.469136684727882</v>
      </c>
      <c r="X125" s="203">
        <v>30.469136684727882</v>
      </c>
      <c r="Y125" s="203">
        <v>30.305713950258646</v>
      </c>
      <c r="Z125" s="203">
        <v>29.087398331959697</v>
      </c>
      <c r="AA125" s="203">
        <v>26.150768867052559</v>
      </c>
      <c r="AB125" s="16">
        <f>AB124*(1+Assumptions!$L$13/12)</f>
        <v>1.0555079489204349</v>
      </c>
      <c r="AC125" s="16">
        <f t="shared" si="46"/>
        <v>0</v>
      </c>
      <c r="AD125" s="18">
        <f t="shared" si="47"/>
        <v>429.77958121829101</v>
      </c>
      <c r="AE125" s="18">
        <f t="shared" si="47"/>
        <v>1985.5626792411545</v>
      </c>
      <c r="AF125" s="5">
        <v>1</v>
      </c>
      <c r="AG125" s="73">
        <f t="shared" si="48"/>
        <v>1.125</v>
      </c>
      <c r="AH125" s="16">
        <f>Assumptions!$E$21*Assumptions!H18</f>
        <v>3.3412700075192969</v>
      </c>
      <c r="AI125" s="16">
        <f>Assumptions!$F$21*Assumptions!I18</f>
        <v>3.2671395873918607</v>
      </c>
      <c r="AJ125" s="16">
        <f t="shared" si="49"/>
        <v>2.4399542510000001</v>
      </c>
      <c r="AK125" s="16">
        <f t="shared" si="49"/>
        <v>7.2000000000000008E-2</v>
      </c>
      <c r="AL125" s="4"/>
    </row>
    <row r="126" spans="1:38" x14ac:dyDescent="0.2">
      <c r="A126" s="1">
        <f t="shared" si="34"/>
        <v>40037.955000000147</v>
      </c>
      <c r="B126" s="16">
        <f t="shared" si="32"/>
        <v>1.125</v>
      </c>
      <c r="C126" s="17">
        <f t="shared" si="29"/>
        <v>11.30175</v>
      </c>
      <c r="D126" s="16">
        <f t="shared" si="33"/>
        <v>1.0572671288353024</v>
      </c>
      <c r="E126" s="16">
        <f t="shared" si="30"/>
        <v>5.2673313588051363</v>
      </c>
      <c r="F126" s="16">
        <f t="shared" si="31"/>
        <v>0.718090656323639</v>
      </c>
      <c r="G126" s="19" t="str">
        <f>IF('Peak Revenue'!$A$1="BL","-",SUM(C126:F126))</f>
        <v>-</v>
      </c>
      <c r="H126" s="203">
        <v>366.55177477345711</v>
      </c>
      <c r="I126" s="203">
        <v>275.82732954256664</v>
      </c>
      <c r="J126" s="203">
        <v>230.09653549221389</v>
      </c>
      <c r="K126" s="203">
        <v>183.70758145431637</v>
      </c>
      <c r="L126" s="203">
        <v>155.08858957196722</v>
      </c>
      <c r="M126" s="203">
        <v>108.06740335137411</v>
      </c>
      <c r="N126" s="203">
        <v>81.10365874674045</v>
      </c>
      <c r="O126" s="203">
        <v>75.12529576239271</v>
      </c>
      <c r="P126" s="203">
        <v>57.523973328381672</v>
      </c>
      <c r="Q126" s="203">
        <v>43.741149734759411</v>
      </c>
      <c r="R126" s="203">
        <v>40.73380180631473</v>
      </c>
      <c r="S126" s="203">
        <v>37.936916265675642</v>
      </c>
      <c r="T126" s="203">
        <v>36.633781572768982</v>
      </c>
      <c r="U126" s="203">
        <v>36.633671236702952</v>
      </c>
      <c r="V126" s="203">
        <v>36.633567303298292</v>
      </c>
      <c r="W126" s="203">
        <v>36.633431543321656</v>
      </c>
      <c r="X126" s="203">
        <v>36.588712420033545</v>
      </c>
      <c r="Y126" s="203">
        <v>35.077914571419718</v>
      </c>
      <c r="Z126" s="203">
        <v>33.622360309193432</v>
      </c>
      <c r="AA126" s="203">
        <v>30.028373721027485</v>
      </c>
      <c r="AB126" s="16">
        <f>AB125*(1+Assumptions!$L$13/12)</f>
        <v>1.0572671288353024</v>
      </c>
      <c r="AC126" s="16">
        <f t="shared" si="46"/>
        <v>0</v>
      </c>
      <c r="AD126" s="18">
        <f t="shared" si="47"/>
        <v>429.77958121829101</v>
      </c>
      <c r="AE126" s="18">
        <f t="shared" si="47"/>
        <v>1985.5626792411545</v>
      </c>
      <c r="AF126" s="5">
        <v>1</v>
      </c>
      <c r="AG126" s="73">
        <f t="shared" si="48"/>
        <v>1.125</v>
      </c>
      <c r="AH126" s="16">
        <f>Assumptions!$E$21*Assumptions!H19</f>
        <v>3.1680189700923709</v>
      </c>
      <c r="AI126" s="16">
        <f>Assumptions!$F$21*Assumptions!I19</f>
        <v>3.2671395873918607</v>
      </c>
      <c r="AJ126" s="16">
        <f t="shared" si="49"/>
        <v>2.4399542510000001</v>
      </c>
      <c r="AK126" s="16">
        <f t="shared" si="49"/>
        <v>7.2000000000000008E-2</v>
      </c>
      <c r="AL126" s="4"/>
    </row>
    <row r="127" spans="1:38" x14ac:dyDescent="0.2">
      <c r="A127" s="1">
        <f t="shared" si="34"/>
        <v>40068.372000000149</v>
      </c>
      <c r="B127" s="16">
        <f t="shared" si="32"/>
        <v>1.125</v>
      </c>
      <c r="C127" s="17">
        <f t="shared" si="29"/>
        <v>11.30175</v>
      </c>
      <c r="D127" s="16">
        <f t="shared" si="33"/>
        <v>1.0590292407166946</v>
      </c>
      <c r="E127" s="16">
        <f t="shared" si="30"/>
        <v>5.2673313588051363</v>
      </c>
      <c r="F127" s="16">
        <f t="shared" si="31"/>
        <v>0.718090656323639</v>
      </c>
      <c r="G127" s="19" t="str">
        <f>IF('Peak Revenue'!$A$1="BL","-",SUM(C127:F127))</f>
        <v>-</v>
      </c>
      <c r="H127" s="203">
        <v>199.22425601418007</v>
      </c>
      <c r="I127" s="203">
        <v>175.83435350510746</v>
      </c>
      <c r="J127" s="203">
        <v>162.3024291609712</v>
      </c>
      <c r="K127" s="203">
        <v>135.70259564538887</v>
      </c>
      <c r="L127" s="203">
        <v>68.811888384116088</v>
      </c>
      <c r="M127" s="203">
        <v>61.450304925870149</v>
      </c>
      <c r="N127" s="203">
        <v>57.935194318959944</v>
      </c>
      <c r="O127" s="203">
        <v>48.854739262081402</v>
      </c>
      <c r="P127" s="203">
        <v>37.354916478388631</v>
      </c>
      <c r="Q127" s="203">
        <v>33.067347421395105</v>
      </c>
      <c r="R127" s="203">
        <v>30.089013701491517</v>
      </c>
      <c r="S127" s="203">
        <v>29.885361401224035</v>
      </c>
      <c r="T127" s="203">
        <v>29.806167444772225</v>
      </c>
      <c r="U127" s="203">
        <v>29.660077173704813</v>
      </c>
      <c r="V127" s="203">
        <v>29.660077173704813</v>
      </c>
      <c r="W127" s="203">
        <v>29.660077173704813</v>
      </c>
      <c r="X127" s="203">
        <v>29.403355268114495</v>
      </c>
      <c r="Y127" s="203">
        <v>29.055948175263861</v>
      </c>
      <c r="Z127" s="203">
        <v>28.982575925723481</v>
      </c>
      <c r="AA127" s="203">
        <v>26.691188416569315</v>
      </c>
      <c r="AB127" s="16">
        <f>AB126*(1+Assumptions!$L$13/12)</f>
        <v>1.0590292407166946</v>
      </c>
      <c r="AC127" s="16">
        <f t="shared" si="46"/>
        <v>0</v>
      </c>
      <c r="AD127" s="18">
        <f t="shared" si="47"/>
        <v>429.77958121829101</v>
      </c>
      <c r="AE127" s="18">
        <f t="shared" si="47"/>
        <v>1985.5626792411545</v>
      </c>
      <c r="AF127" s="5">
        <v>1</v>
      </c>
      <c r="AG127" s="73">
        <f t="shared" si="48"/>
        <v>1.125</v>
      </c>
      <c r="AH127" s="16">
        <f>Assumptions!$E$21*Assumptions!H20</f>
        <v>3.1574117637192938</v>
      </c>
      <c r="AI127" s="16">
        <f>Assumptions!$F$21*Assumptions!I20</f>
        <v>3.2671395873918607</v>
      </c>
      <c r="AJ127" s="16">
        <f t="shared" si="49"/>
        <v>2.4399542510000001</v>
      </c>
      <c r="AK127" s="16">
        <f t="shared" si="49"/>
        <v>7.2000000000000008E-2</v>
      </c>
      <c r="AL127" s="4"/>
    </row>
    <row r="128" spans="1:38" x14ac:dyDescent="0.2">
      <c r="A128" s="1">
        <f t="shared" si="34"/>
        <v>40098.78900000015</v>
      </c>
      <c r="B128" s="16">
        <f t="shared" si="32"/>
        <v>1.125</v>
      </c>
      <c r="C128" s="17">
        <f t="shared" si="29"/>
        <v>11.30175</v>
      </c>
      <c r="D128" s="16">
        <f t="shared" si="33"/>
        <v>1.0607942894512223</v>
      </c>
      <c r="E128" s="16">
        <f t="shared" si="30"/>
        <v>5.2673313588051363</v>
      </c>
      <c r="F128" s="16">
        <f t="shared" si="31"/>
        <v>0.718090656323639</v>
      </c>
      <c r="G128" s="19" t="str">
        <f>IF('Peak Revenue'!$A$1="BL","-",SUM(C128:F128))</f>
        <v>-</v>
      </c>
      <c r="H128" s="203">
        <v>80.044024916583325</v>
      </c>
      <c r="I128" s="203">
        <v>79.179599816456346</v>
      </c>
      <c r="J128" s="203">
        <v>79.179599816456346</v>
      </c>
      <c r="K128" s="203">
        <v>78.487608541609035</v>
      </c>
      <c r="L128" s="203">
        <v>73.787205828113954</v>
      </c>
      <c r="M128" s="203">
        <v>56.597526596564855</v>
      </c>
      <c r="N128" s="203">
        <v>47.833448480856717</v>
      </c>
      <c r="O128" s="203">
        <v>44.562453235443385</v>
      </c>
      <c r="P128" s="203">
        <v>41.973367594956493</v>
      </c>
      <c r="Q128" s="203">
        <v>39.357160740394413</v>
      </c>
      <c r="R128" s="203">
        <v>39.357160740394413</v>
      </c>
      <c r="S128" s="203">
        <v>39.167925451596716</v>
      </c>
      <c r="T128" s="203">
        <v>39.040989238260401</v>
      </c>
      <c r="U128" s="203">
        <v>39.040989238260401</v>
      </c>
      <c r="V128" s="203">
        <v>38.943872157086787</v>
      </c>
      <c r="W128" s="203">
        <v>36.121063848197046</v>
      </c>
      <c r="X128" s="203">
        <v>34.118049008563091</v>
      </c>
      <c r="Y128" s="203">
        <v>32.679436327500646</v>
      </c>
      <c r="Z128" s="203">
        <v>31.565956147977897</v>
      </c>
      <c r="AA128" s="203">
        <v>29.687707366350757</v>
      </c>
      <c r="AB128" s="16">
        <f>AB127*(1+Assumptions!$L$13/12)</f>
        <v>1.0607942894512223</v>
      </c>
      <c r="AC128" s="16">
        <f t="shared" si="46"/>
        <v>0</v>
      </c>
      <c r="AD128" s="18">
        <f t="shared" si="47"/>
        <v>429.77958121829101</v>
      </c>
      <c r="AE128" s="18">
        <f t="shared" si="47"/>
        <v>1985.5626792411545</v>
      </c>
      <c r="AF128" s="5">
        <f>IF(Assumptions!D$21=1,0,1)</f>
        <v>1</v>
      </c>
      <c r="AG128" s="73">
        <f t="shared" si="48"/>
        <v>1.125</v>
      </c>
      <c r="AH128" s="16">
        <f>Assumptions!$E$21*Assumptions!H21</f>
        <v>3.496842367657762</v>
      </c>
      <c r="AI128" s="16">
        <f>Assumptions!$F$21*Assumptions!I21</f>
        <v>3.2671395873918607</v>
      </c>
      <c r="AJ128" s="16">
        <f t="shared" si="49"/>
        <v>2.4399542510000001</v>
      </c>
      <c r="AK128" s="16">
        <f t="shared" si="49"/>
        <v>7.2000000000000008E-2</v>
      </c>
      <c r="AL128" s="4"/>
    </row>
    <row r="129" spans="1:38" x14ac:dyDescent="0.2">
      <c r="A129" s="1">
        <f t="shared" si="34"/>
        <v>40129.206000000151</v>
      </c>
      <c r="B129" s="16">
        <f t="shared" si="32"/>
        <v>1.125</v>
      </c>
      <c r="C129" s="17">
        <f t="shared" si="29"/>
        <v>11.30175</v>
      </c>
      <c r="D129" s="16">
        <f t="shared" si="33"/>
        <v>1.0625622799336412</v>
      </c>
      <c r="E129" s="16">
        <f t="shared" si="30"/>
        <v>5.2673313588051363</v>
      </c>
      <c r="F129" s="16">
        <f t="shared" si="31"/>
        <v>0.718090656323639</v>
      </c>
      <c r="G129" s="19" t="str">
        <f>IF('Peak Revenue'!$A$1="BL","-",SUM(C129:F129))</f>
        <v>-</v>
      </c>
      <c r="H129" s="203">
        <v>152.40276768370271</v>
      </c>
      <c r="I129" s="203">
        <v>141.02822575534111</v>
      </c>
      <c r="J129" s="203">
        <v>115.45103788802638</v>
      </c>
      <c r="K129" s="203">
        <v>83.11075752374046</v>
      </c>
      <c r="L129" s="203">
        <v>74.910772695576767</v>
      </c>
      <c r="M129" s="203">
        <v>71.911687240243296</v>
      </c>
      <c r="N129" s="203">
        <v>66.674520371381746</v>
      </c>
      <c r="O129" s="203">
        <v>51.187493929473661</v>
      </c>
      <c r="P129" s="203">
        <v>50.851036436655441</v>
      </c>
      <c r="Q129" s="203">
        <v>49.837556517553388</v>
      </c>
      <c r="R129" s="203">
        <v>41.561921882879027</v>
      </c>
      <c r="S129" s="203">
        <v>40.237744878569849</v>
      </c>
      <c r="T129" s="203">
        <v>35.900520007424035</v>
      </c>
      <c r="U129" s="203">
        <v>35.559732280851932</v>
      </c>
      <c r="V129" s="203">
        <v>35.405628549890878</v>
      </c>
      <c r="W129" s="203">
        <v>35.405628549890878</v>
      </c>
      <c r="X129" s="203">
        <v>35.405628549890878</v>
      </c>
      <c r="Y129" s="203">
        <v>35.051034880842671</v>
      </c>
      <c r="Z129" s="203">
        <v>33.078483015312507</v>
      </c>
      <c r="AA129" s="203">
        <v>27.682570440661411</v>
      </c>
      <c r="AB129" s="16">
        <f>AB128*(1+Assumptions!$L$13/12)</f>
        <v>1.0625622799336412</v>
      </c>
      <c r="AC129" s="16">
        <f t="shared" si="46"/>
        <v>0</v>
      </c>
      <c r="AD129" s="18">
        <f t="shared" si="47"/>
        <v>429.77958121829101</v>
      </c>
      <c r="AE129" s="18">
        <f t="shared" si="47"/>
        <v>1985.5626792411545</v>
      </c>
      <c r="AF129" s="5">
        <f>IF(Assumptions!D$21=1,0,1)</f>
        <v>1</v>
      </c>
      <c r="AG129" s="73">
        <f t="shared" si="48"/>
        <v>1.125</v>
      </c>
      <c r="AH129" s="16">
        <f>Assumptions!$E$21*Assumptions!H22</f>
        <v>3.8292015006808455</v>
      </c>
      <c r="AI129" s="16">
        <f>Assumptions!$F$21*Assumptions!I22</f>
        <v>3.5422671315932805</v>
      </c>
      <c r="AJ129" s="16">
        <f t="shared" si="49"/>
        <v>2.4399542510000001</v>
      </c>
      <c r="AK129" s="16">
        <f t="shared" si="49"/>
        <v>7.2000000000000008E-2</v>
      </c>
      <c r="AL129" s="4"/>
    </row>
    <row r="130" spans="1:38" x14ac:dyDescent="0.2">
      <c r="A130" s="1">
        <f t="shared" si="34"/>
        <v>40159.623000000152</v>
      </c>
      <c r="B130" s="16">
        <f t="shared" si="32"/>
        <v>1.125</v>
      </c>
      <c r="C130" s="17">
        <f t="shared" si="29"/>
        <v>11.30175</v>
      </c>
      <c r="D130" s="16">
        <f t="shared" si="33"/>
        <v>1.064333217066864</v>
      </c>
      <c r="E130" s="16">
        <f t="shared" si="30"/>
        <v>5.2673313588051363</v>
      </c>
      <c r="F130" s="16">
        <f t="shared" si="31"/>
        <v>0.718090656323639</v>
      </c>
      <c r="G130" s="19" t="str">
        <f>IF('Peak Revenue'!$A$1="BL","-",SUM(C130:F130))</f>
        <v>-</v>
      </c>
      <c r="H130" s="203">
        <v>150.57291016872446</v>
      </c>
      <c r="I130" s="203">
        <v>124.23013155137332</v>
      </c>
      <c r="J130" s="203">
        <v>94.518999620200177</v>
      </c>
      <c r="K130" s="203">
        <v>87.800493982593323</v>
      </c>
      <c r="L130" s="203">
        <v>83.402796377980252</v>
      </c>
      <c r="M130" s="203">
        <v>78.102731968532254</v>
      </c>
      <c r="N130" s="203">
        <v>77.557856415480487</v>
      </c>
      <c r="O130" s="203">
        <v>73.770031394250211</v>
      </c>
      <c r="P130" s="203">
        <v>57.568422787227043</v>
      </c>
      <c r="Q130" s="203">
        <v>51.454408811851444</v>
      </c>
      <c r="R130" s="203">
        <v>43.801703066117184</v>
      </c>
      <c r="S130" s="203">
        <v>43.010463526273355</v>
      </c>
      <c r="T130" s="203">
        <v>38.508740509115604</v>
      </c>
      <c r="U130" s="203">
        <v>38.433347265811996</v>
      </c>
      <c r="V130" s="203">
        <v>38.433347265811996</v>
      </c>
      <c r="W130" s="203">
        <v>38.433347265811996</v>
      </c>
      <c r="X130" s="203">
        <v>37.8472983559423</v>
      </c>
      <c r="Y130" s="203">
        <v>36.199761299538103</v>
      </c>
      <c r="Z130" s="203">
        <v>33.561223662027729</v>
      </c>
      <c r="AA130" s="203">
        <v>30.685305016021491</v>
      </c>
      <c r="AB130" s="16">
        <f>AB129*(1+Assumptions!$L$13/12)</f>
        <v>1.064333217066864</v>
      </c>
      <c r="AC130" s="16">
        <f t="shared" si="46"/>
        <v>0</v>
      </c>
      <c r="AD130" s="18">
        <f t="shared" si="47"/>
        <v>429.77958121829101</v>
      </c>
      <c r="AE130" s="18">
        <f t="shared" si="47"/>
        <v>1985.5626792411545</v>
      </c>
      <c r="AF130" s="5">
        <f>IF(Assumptions!D$21=1,0,1)</f>
        <v>1</v>
      </c>
      <c r="AG130" s="73">
        <f t="shared" si="48"/>
        <v>1.125</v>
      </c>
      <c r="AH130" s="16">
        <f>Assumptions!$E$21*Assumptions!H23</f>
        <v>4.1438819564154672</v>
      </c>
      <c r="AI130" s="16">
        <f>Assumptions!$F$21*Assumptions!I23</f>
        <v>3.7142218467191683</v>
      </c>
      <c r="AJ130" s="16">
        <f t="shared" si="49"/>
        <v>2.4399542510000001</v>
      </c>
      <c r="AK130" s="16">
        <f t="shared" si="49"/>
        <v>7.2000000000000008E-2</v>
      </c>
      <c r="AL130" s="4"/>
    </row>
    <row r="131" spans="1:38" x14ac:dyDescent="0.2">
      <c r="A131" s="1">
        <f t="shared" si="34"/>
        <v>40190.040000000154</v>
      </c>
      <c r="B131" s="16">
        <f t="shared" si="32"/>
        <v>1.1412</v>
      </c>
      <c r="C131" s="17">
        <f t="shared" si="29"/>
        <v>11.4644952</v>
      </c>
      <c r="D131" s="16">
        <f t="shared" si="33"/>
        <v>1.0661071057619755</v>
      </c>
      <c r="E131" s="16">
        <f t="shared" si="30"/>
        <v>5.8580823257503205</v>
      </c>
      <c r="F131" s="16">
        <f t="shared" si="31"/>
        <v>0.68329076161725955</v>
      </c>
      <c r="G131" s="19" t="str">
        <f>IF('Peak Revenue'!$A$1="BL","-",SUM(C131:F131))</f>
        <v>-</v>
      </c>
      <c r="H131" s="203">
        <v>95.602555410203109</v>
      </c>
      <c r="I131" s="203">
        <v>95.602555410203109</v>
      </c>
      <c r="J131" s="203">
        <v>94.822623997170467</v>
      </c>
      <c r="K131" s="203">
        <v>89.437418265744199</v>
      </c>
      <c r="L131" s="203">
        <v>85.81036207007017</v>
      </c>
      <c r="M131" s="203">
        <v>84.957132398127087</v>
      </c>
      <c r="N131" s="203">
        <v>63.154996451716535</v>
      </c>
      <c r="O131" s="203">
        <v>54.596365992651755</v>
      </c>
      <c r="P131" s="203">
        <v>45.861199065702351</v>
      </c>
      <c r="Q131" s="203">
        <v>42.811652111274377</v>
      </c>
      <c r="R131" s="203">
        <v>41.76229063143699</v>
      </c>
      <c r="S131" s="203">
        <v>41.76229063143699</v>
      </c>
      <c r="T131" s="203">
        <v>41.49662958531097</v>
      </c>
      <c r="U131" s="203">
        <v>40.773401728632656</v>
      </c>
      <c r="V131" s="203">
        <v>40.733167054594567</v>
      </c>
      <c r="W131" s="203">
        <v>40.733167054594567</v>
      </c>
      <c r="X131" s="203">
        <v>40.733156716206388</v>
      </c>
      <c r="Y131" s="203">
        <v>40.732918902115564</v>
      </c>
      <c r="Z131" s="203">
        <v>40.666885257482576</v>
      </c>
      <c r="AA131" s="203">
        <v>32.212186980134781</v>
      </c>
      <c r="AB131" s="16">
        <f>AB130*(1+Assumptions!$L$13/12)</f>
        <v>1.0661071057619755</v>
      </c>
      <c r="AC131" s="16">
        <f>VLOOKUP($C$1,EnvVOM,13)</f>
        <v>0</v>
      </c>
      <c r="AD131" s="18">
        <f>Assumptions!B22</f>
        <v>477.98097313444265</v>
      </c>
      <c r="AE131" s="18">
        <f>Assumptions!C22</f>
        <v>1889.3389342835719</v>
      </c>
      <c r="AF131" s="5">
        <f>IF(Assumptions!D$22=1,0,1)</f>
        <v>1</v>
      </c>
      <c r="AG131" s="73">
        <f>VLOOKUP($C$1,Coal,13)</f>
        <v>1.1412</v>
      </c>
      <c r="AH131" s="16">
        <f>Assumptions!$E$22*Assumptions!H12</f>
        <v>4.1589984704213947</v>
      </c>
      <c r="AI131" s="16">
        <f>Assumptions!$F$22*Assumptions!I12</f>
        <v>3.8664951930115166</v>
      </c>
      <c r="AJ131" s="16">
        <f>VLOOKUP($C$1,SO2Rate,13)</f>
        <v>2.4399542510000001</v>
      </c>
      <c r="AK131" s="16">
        <f>VLOOKUP($C$1,NOxRate,13)</f>
        <v>7.2000000000000008E-2</v>
      </c>
      <c r="AL131" s="4"/>
    </row>
    <row r="132" spans="1:38" x14ac:dyDescent="0.2">
      <c r="A132" s="1">
        <f t="shared" si="34"/>
        <v>40220.457000000155</v>
      </c>
      <c r="B132" s="16">
        <f t="shared" si="32"/>
        <v>1.1412</v>
      </c>
      <c r="C132" s="17">
        <f t="shared" si="29"/>
        <v>11.4644952</v>
      </c>
      <c r="D132" s="16">
        <f t="shared" si="33"/>
        <v>1.0678839509382456</v>
      </c>
      <c r="E132" s="16">
        <f t="shared" si="30"/>
        <v>5.8580823257503205</v>
      </c>
      <c r="F132" s="16">
        <f t="shared" si="31"/>
        <v>0.68329076161725955</v>
      </c>
      <c r="G132" s="19" t="str">
        <f>IF('Peak Revenue'!$A$1="BL","-",SUM(C132:F132))</f>
        <v>-</v>
      </c>
      <c r="H132" s="203">
        <v>112.15096669241625</v>
      </c>
      <c r="I132" s="203">
        <v>95.611421352834697</v>
      </c>
      <c r="J132" s="203">
        <v>92.21000373437478</v>
      </c>
      <c r="K132" s="203">
        <v>87.07953884822706</v>
      </c>
      <c r="L132" s="203">
        <v>82.5976074675294</v>
      </c>
      <c r="M132" s="203">
        <v>79.695117912865953</v>
      </c>
      <c r="N132" s="203">
        <v>77.531046726256164</v>
      </c>
      <c r="O132" s="203">
        <v>64.175675199341654</v>
      </c>
      <c r="P132" s="203">
        <v>52.901952179198908</v>
      </c>
      <c r="Q132" s="203">
        <v>44.837396220195174</v>
      </c>
      <c r="R132" s="203">
        <v>42.357334910052877</v>
      </c>
      <c r="S132" s="203">
        <v>38.301203974297032</v>
      </c>
      <c r="T132" s="203">
        <v>38.298744504829216</v>
      </c>
      <c r="U132" s="203">
        <v>38.298649372694278</v>
      </c>
      <c r="V132" s="203">
        <v>38.298527568233602</v>
      </c>
      <c r="W132" s="203">
        <v>36.06620490194927</v>
      </c>
      <c r="X132" s="203">
        <v>33.230595875063351</v>
      </c>
      <c r="Y132" s="203">
        <v>32.600880275653338</v>
      </c>
      <c r="Z132" s="203">
        <v>31.715358152675776</v>
      </c>
      <c r="AA132" s="203">
        <v>30.054506920649963</v>
      </c>
      <c r="AB132" s="16">
        <f>AB131*(1+Assumptions!$L$13/12)</f>
        <v>1.0678839509382456</v>
      </c>
      <c r="AC132" s="16">
        <f>AC131</f>
        <v>0</v>
      </c>
      <c r="AD132" s="18">
        <f>AD131</f>
        <v>477.98097313444265</v>
      </c>
      <c r="AE132" s="18">
        <f>AE131</f>
        <v>1889.3389342835719</v>
      </c>
      <c r="AF132" s="5">
        <f>IF(Assumptions!D$22=1,0,1)</f>
        <v>1</v>
      </c>
      <c r="AG132" s="73">
        <f>AG131</f>
        <v>1.1412</v>
      </c>
      <c r="AH132" s="16">
        <f>Assumptions!$E$22*Assumptions!H13</f>
        <v>3.7276129907766222</v>
      </c>
      <c r="AI132" s="16">
        <f>Assumptions!$F$22*Assumptions!I13</f>
        <v>3.8306943115947432</v>
      </c>
      <c r="AJ132" s="16">
        <f>AJ131</f>
        <v>2.4399542510000001</v>
      </c>
      <c r="AK132" s="16">
        <f>AK131</f>
        <v>7.2000000000000008E-2</v>
      </c>
      <c r="AL132" s="4"/>
    </row>
    <row r="133" spans="1:38" x14ac:dyDescent="0.2">
      <c r="A133" s="1">
        <f t="shared" si="34"/>
        <v>40250.874000000156</v>
      </c>
      <c r="B133" s="16">
        <f t="shared" si="32"/>
        <v>1.1412</v>
      </c>
      <c r="C133" s="17">
        <f t="shared" si="29"/>
        <v>11.4644952</v>
      </c>
      <c r="D133" s="16">
        <f t="shared" si="33"/>
        <v>1.0696637575231427</v>
      </c>
      <c r="E133" s="16">
        <f t="shared" si="30"/>
        <v>5.8580823257503205</v>
      </c>
      <c r="F133" s="16">
        <f t="shared" si="31"/>
        <v>0.68329076161725955</v>
      </c>
      <c r="G133" s="19" t="str">
        <f>IF('Peak Revenue'!$A$1="BL","-",SUM(C133:F133))</f>
        <v>-</v>
      </c>
      <c r="H133" s="203">
        <v>82.232709187311201</v>
      </c>
      <c r="I133" s="203">
        <v>79.193967554951811</v>
      </c>
      <c r="J133" s="203">
        <v>77.162058341010948</v>
      </c>
      <c r="K133" s="203">
        <v>72.165170433625491</v>
      </c>
      <c r="L133" s="203">
        <v>70.047983224002778</v>
      </c>
      <c r="M133" s="203">
        <v>69.428508554324125</v>
      </c>
      <c r="N133" s="203">
        <v>60.10976998723828</v>
      </c>
      <c r="O133" s="203">
        <v>48.689183699881951</v>
      </c>
      <c r="P133" s="203">
        <v>45.702215257722443</v>
      </c>
      <c r="Q133" s="203">
        <v>40.955221250680133</v>
      </c>
      <c r="R133" s="203">
        <v>39.692257719468145</v>
      </c>
      <c r="S133" s="203">
        <v>39.109713538355635</v>
      </c>
      <c r="T133" s="203">
        <v>37.051739410730811</v>
      </c>
      <c r="U133" s="203">
        <v>36.151153053485892</v>
      </c>
      <c r="V133" s="203">
        <v>35.138823172631739</v>
      </c>
      <c r="W133" s="203">
        <v>34.928578874163762</v>
      </c>
      <c r="X133" s="203">
        <v>34.928578874163762</v>
      </c>
      <c r="Y133" s="203">
        <v>34.928578874163762</v>
      </c>
      <c r="Z133" s="203">
        <v>34.928578874163762</v>
      </c>
      <c r="AA133" s="203">
        <v>34.297624617382951</v>
      </c>
      <c r="AB133" s="16">
        <f>AB132*(1+Assumptions!$L$13/12)</f>
        <v>1.0696637575231427</v>
      </c>
      <c r="AC133" s="16">
        <f t="shared" ref="AC133:AC142" si="50">AC132</f>
        <v>0</v>
      </c>
      <c r="AD133" s="18">
        <f t="shared" ref="AD133:AE142" si="51">AD132</f>
        <v>477.98097313444265</v>
      </c>
      <c r="AE133" s="18">
        <f t="shared" si="51"/>
        <v>1889.3389342835719</v>
      </c>
      <c r="AF133" s="5">
        <f>IF(Assumptions!D$22=1,0,1)</f>
        <v>1</v>
      </c>
      <c r="AG133" s="73">
        <f t="shared" ref="AG133:AG142" si="52">AG132</f>
        <v>1.1412</v>
      </c>
      <c r="AH133" s="16">
        <f>Assumptions!$E$22*Assumptions!H14</f>
        <v>3.6649330492897754</v>
      </c>
      <c r="AI133" s="16">
        <f>Assumptions!$F$22*Assumptions!I14</f>
        <v>3.68749078592765</v>
      </c>
      <c r="AJ133" s="16">
        <f t="shared" ref="AJ133:AK142" si="53">AJ132</f>
        <v>2.4399542510000001</v>
      </c>
      <c r="AK133" s="16">
        <f t="shared" si="53"/>
        <v>7.2000000000000008E-2</v>
      </c>
      <c r="AL133" s="4"/>
    </row>
    <row r="134" spans="1:38" x14ac:dyDescent="0.2">
      <c r="A134" s="1">
        <f t="shared" si="34"/>
        <v>40281.291000000158</v>
      </c>
      <c r="B134" s="16">
        <f t="shared" si="32"/>
        <v>1.1412</v>
      </c>
      <c r="C134" s="17">
        <f t="shared" si="29"/>
        <v>11.4644952</v>
      </c>
      <c r="D134" s="16">
        <f t="shared" si="33"/>
        <v>1.0714465304523479</v>
      </c>
      <c r="E134" s="16">
        <f t="shared" si="30"/>
        <v>5.8580823257503205</v>
      </c>
      <c r="F134" s="16">
        <f t="shared" si="31"/>
        <v>0.68329076161725955</v>
      </c>
      <c r="G134" s="19" t="str">
        <f>IF('Peak Revenue'!$A$1="BL","-",SUM(C134:F134))</f>
        <v>-</v>
      </c>
      <c r="H134" s="203">
        <v>76.526684097384774</v>
      </c>
      <c r="I134" s="203">
        <v>74.01379581152554</v>
      </c>
      <c r="J134" s="203">
        <v>70.727309704574864</v>
      </c>
      <c r="K134" s="203">
        <v>68.623343704959808</v>
      </c>
      <c r="L134" s="203">
        <v>68.349598867398754</v>
      </c>
      <c r="M134" s="203">
        <v>52.600588937286815</v>
      </c>
      <c r="N134" s="203">
        <v>45.406473449121201</v>
      </c>
      <c r="O134" s="203">
        <v>39.369882637858545</v>
      </c>
      <c r="P134" s="203">
        <v>37.722645854764991</v>
      </c>
      <c r="Q134" s="203">
        <v>35.860887276832486</v>
      </c>
      <c r="R134" s="203">
        <v>34.856411034688691</v>
      </c>
      <c r="S134" s="203">
        <v>34.169375814090557</v>
      </c>
      <c r="T134" s="203">
        <v>34.122775954950235</v>
      </c>
      <c r="U134" s="203">
        <v>34.030286118831498</v>
      </c>
      <c r="V134" s="203">
        <v>33.69946368581104</v>
      </c>
      <c r="W134" s="203">
        <v>33.316813667904448</v>
      </c>
      <c r="X134" s="203">
        <v>33.316418209550456</v>
      </c>
      <c r="Y134" s="203">
        <v>33.316418209550456</v>
      </c>
      <c r="Z134" s="203">
        <v>33.316365358824058</v>
      </c>
      <c r="AA134" s="203">
        <v>32.412108427060737</v>
      </c>
      <c r="AB134" s="16">
        <f>AB133*(1+Assumptions!$L$13/12)</f>
        <v>1.0714465304523479</v>
      </c>
      <c r="AC134" s="16">
        <f t="shared" si="50"/>
        <v>0</v>
      </c>
      <c r="AD134" s="18">
        <f t="shared" si="51"/>
        <v>477.98097313444265</v>
      </c>
      <c r="AE134" s="18">
        <f t="shared" si="51"/>
        <v>1889.3389342835719</v>
      </c>
      <c r="AF134" s="5">
        <f>IF(Assumptions!D$22=1,0,1)</f>
        <v>1</v>
      </c>
      <c r="AG134" s="73">
        <f t="shared" si="52"/>
        <v>1.1412</v>
      </c>
      <c r="AH134" s="16">
        <f>Assumptions!$E$22*Assumptions!H15</f>
        <v>3.4842673355923917</v>
      </c>
      <c r="AI134" s="16">
        <f>Assumptions!$F$22*Assumptions!I15</f>
        <v>3.5442872602605564</v>
      </c>
      <c r="AJ134" s="16">
        <f t="shared" si="53"/>
        <v>2.4399542510000001</v>
      </c>
      <c r="AK134" s="16">
        <f t="shared" si="53"/>
        <v>7.2000000000000008E-2</v>
      </c>
      <c r="AL134" s="4"/>
    </row>
    <row r="135" spans="1:38" x14ac:dyDescent="0.2">
      <c r="A135" s="1">
        <f t="shared" si="34"/>
        <v>40311.708000000159</v>
      </c>
      <c r="B135" s="16">
        <f t="shared" si="32"/>
        <v>1.1412</v>
      </c>
      <c r="C135" s="17">
        <f t="shared" si="29"/>
        <v>11.4644952</v>
      </c>
      <c r="D135" s="16">
        <f t="shared" si="33"/>
        <v>1.0732322746697687</v>
      </c>
      <c r="E135" s="16">
        <f t="shared" si="30"/>
        <v>5.8580823257503205</v>
      </c>
      <c r="F135" s="16">
        <f t="shared" si="31"/>
        <v>0.68329076161725955</v>
      </c>
      <c r="G135" s="19" t="str">
        <f>IF('Peak Revenue'!$A$1="BL","-",SUM(C135:F135))</f>
        <v>-</v>
      </c>
      <c r="H135" s="203">
        <v>124.93346361631616</v>
      </c>
      <c r="I135" s="203">
        <v>73.59242924191696</v>
      </c>
      <c r="J135" s="203">
        <v>69.007382182021587</v>
      </c>
      <c r="K135" s="203">
        <v>63.527759204352165</v>
      </c>
      <c r="L135" s="203">
        <v>61.121298018987169</v>
      </c>
      <c r="M135" s="203">
        <v>59.046725168158432</v>
      </c>
      <c r="N135" s="203">
        <v>45.483070995411701</v>
      </c>
      <c r="O135" s="203">
        <v>42.060063181532534</v>
      </c>
      <c r="P135" s="203">
        <v>38.952828875076058</v>
      </c>
      <c r="Q135" s="203">
        <v>36.926327993182198</v>
      </c>
      <c r="R135" s="203">
        <v>35.440084082930113</v>
      </c>
      <c r="S135" s="203">
        <v>34.931837530252878</v>
      </c>
      <c r="T135" s="203">
        <v>34.744588270164236</v>
      </c>
      <c r="U135" s="203">
        <v>34.310152745733262</v>
      </c>
      <c r="V135" s="203">
        <v>33.76711774979826</v>
      </c>
      <c r="W135" s="203">
        <v>32.803179235919636</v>
      </c>
      <c r="X135" s="203">
        <v>31.878176018821442</v>
      </c>
      <c r="Y135" s="203">
        <v>31.347905766764534</v>
      </c>
      <c r="Z135" s="203">
        <v>30.663095367242626</v>
      </c>
      <c r="AA135" s="203">
        <v>30.266274236120147</v>
      </c>
      <c r="AB135" s="16">
        <f>AB134*(1+Assumptions!$L$13/12)</f>
        <v>1.0732322746697687</v>
      </c>
      <c r="AC135" s="16">
        <f t="shared" si="50"/>
        <v>0</v>
      </c>
      <c r="AD135" s="18">
        <f t="shared" si="51"/>
        <v>477.98097313444265</v>
      </c>
      <c r="AE135" s="18">
        <f t="shared" si="51"/>
        <v>1889.3389342835719</v>
      </c>
      <c r="AF135" s="5">
        <v>1</v>
      </c>
      <c r="AG135" s="73">
        <f t="shared" si="52"/>
        <v>1.1412</v>
      </c>
      <c r="AH135" s="16">
        <f>Assumptions!$E$22*Assumptions!H16</f>
        <v>3.6686201046713545</v>
      </c>
      <c r="AI135" s="16">
        <f>Assumptions!$F$22*Assumptions!I16</f>
        <v>3.4010837345934632</v>
      </c>
      <c r="AJ135" s="16">
        <f t="shared" si="53"/>
        <v>2.4399542510000001</v>
      </c>
      <c r="AK135" s="16">
        <f t="shared" si="53"/>
        <v>7.2000000000000008E-2</v>
      </c>
      <c r="AL135" s="4"/>
    </row>
    <row r="136" spans="1:38" x14ac:dyDescent="0.2">
      <c r="A136" s="1">
        <f t="shared" si="34"/>
        <v>40342.12500000016</v>
      </c>
      <c r="B136" s="16">
        <f t="shared" si="32"/>
        <v>1.1412</v>
      </c>
      <c r="C136" s="17">
        <f t="shared" si="29"/>
        <v>11.4644952</v>
      </c>
      <c r="D136" s="16">
        <f t="shared" si="33"/>
        <v>1.0750209951275516</v>
      </c>
      <c r="E136" s="16">
        <f t="shared" si="30"/>
        <v>5.8580823257503205</v>
      </c>
      <c r="F136" s="16">
        <f t="shared" si="31"/>
        <v>0.68329076161725955</v>
      </c>
      <c r="G136" s="19" t="str">
        <f>IF('Peak Revenue'!$A$1="BL","-",SUM(C136:F136))</f>
        <v>-</v>
      </c>
      <c r="H136" s="203">
        <v>165.51462742880122</v>
      </c>
      <c r="I136" s="203">
        <v>151.36636599170225</v>
      </c>
      <c r="J136" s="203">
        <v>112.00788652844794</v>
      </c>
      <c r="K136" s="203">
        <v>93.049089762563057</v>
      </c>
      <c r="L136" s="203">
        <v>87.232620831347418</v>
      </c>
      <c r="M136" s="203">
        <v>59.351176680268807</v>
      </c>
      <c r="N136" s="203">
        <v>48.587195318317754</v>
      </c>
      <c r="O136" s="203">
        <v>43.603133626345894</v>
      </c>
      <c r="P136" s="203">
        <v>43.603133626345894</v>
      </c>
      <c r="Q136" s="203">
        <v>43.603091847177367</v>
      </c>
      <c r="R136" s="203">
        <v>43.602909925562869</v>
      </c>
      <c r="S136" s="203">
        <v>43.602741522732444</v>
      </c>
      <c r="T136" s="203">
        <v>43.60228981690635</v>
      </c>
      <c r="U136" s="203">
        <v>40.313493909676581</v>
      </c>
      <c r="V136" s="203">
        <v>36.546922088000215</v>
      </c>
      <c r="W136" s="203">
        <v>34.545463189935163</v>
      </c>
      <c r="X136" s="203">
        <v>33.285399124296546</v>
      </c>
      <c r="Y136" s="203">
        <v>32.334411401882427</v>
      </c>
      <c r="Z136" s="203">
        <v>30.974390605380712</v>
      </c>
      <c r="AA136" s="203">
        <v>28.7551484747306</v>
      </c>
      <c r="AB136" s="16">
        <f>AB135*(1+Assumptions!$L$13/12)</f>
        <v>1.0750209951275516</v>
      </c>
      <c r="AC136" s="16">
        <f t="shared" si="50"/>
        <v>0</v>
      </c>
      <c r="AD136" s="18">
        <f t="shared" si="51"/>
        <v>477.98097313444265</v>
      </c>
      <c r="AE136" s="18">
        <f t="shared" si="51"/>
        <v>1889.3389342835719</v>
      </c>
      <c r="AF136" s="5">
        <v>1</v>
      </c>
      <c r="AG136" s="73">
        <f t="shared" si="52"/>
        <v>1.1412</v>
      </c>
      <c r="AH136" s="16">
        <f>Assumptions!$E$22*Assumptions!H17</f>
        <v>3.4953285017371298</v>
      </c>
      <c r="AI136" s="16">
        <f>Assumptions!$F$22*Assumptions!I17</f>
        <v>3.4010837345934632</v>
      </c>
      <c r="AJ136" s="16">
        <f t="shared" si="53"/>
        <v>2.4399542510000001</v>
      </c>
      <c r="AK136" s="16">
        <f t="shared" si="53"/>
        <v>7.2000000000000008E-2</v>
      </c>
      <c r="AL136" s="4"/>
    </row>
    <row r="137" spans="1:38" x14ac:dyDescent="0.2">
      <c r="A137" s="1">
        <f t="shared" si="34"/>
        <v>40372.542000000161</v>
      </c>
      <c r="B137" s="16">
        <f t="shared" si="32"/>
        <v>1.1412</v>
      </c>
      <c r="C137" s="17">
        <f t="shared" si="29"/>
        <v>11.4644952</v>
      </c>
      <c r="D137" s="16">
        <f t="shared" si="33"/>
        <v>1.0768126967860976</v>
      </c>
      <c r="E137" s="16">
        <f t="shared" si="30"/>
        <v>5.8580823257503205</v>
      </c>
      <c r="F137" s="16">
        <f t="shared" si="31"/>
        <v>0.68329076161725955</v>
      </c>
      <c r="G137" s="19" t="str">
        <f>IF('Peak Revenue'!$A$1="BL","-",SUM(C137:F137))</f>
        <v>-</v>
      </c>
      <c r="H137" s="203">
        <v>380.07803475693788</v>
      </c>
      <c r="I137" s="203">
        <v>286.03864301716806</v>
      </c>
      <c r="J137" s="203">
        <v>251.62706395491244</v>
      </c>
      <c r="K137" s="203">
        <v>213.5962150441714</v>
      </c>
      <c r="L137" s="203">
        <v>183.48965545116766</v>
      </c>
      <c r="M137" s="203">
        <v>158.67870391435457</v>
      </c>
      <c r="N137" s="203">
        <v>85.268130630218778</v>
      </c>
      <c r="O137" s="203">
        <v>49.988564146770621</v>
      </c>
      <c r="P137" s="203">
        <v>44.785480921582476</v>
      </c>
      <c r="Q137" s="203">
        <v>42.255611755462375</v>
      </c>
      <c r="R137" s="203">
        <v>40.146396845016071</v>
      </c>
      <c r="S137" s="203">
        <v>33.18585734847769</v>
      </c>
      <c r="T137" s="203">
        <v>30.980770283146875</v>
      </c>
      <c r="U137" s="203">
        <v>29.588879848107378</v>
      </c>
      <c r="V137" s="203">
        <v>28.516660685777133</v>
      </c>
      <c r="W137" s="203">
        <v>27.643552165761403</v>
      </c>
      <c r="X137" s="203">
        <v>26.837665457522384</v>
      </c>
      <c r="Y137" s="203">
        <v>26.385051581471558</v>
      </c>
      <c r="Z137" s="203">
        <v>25.599668998445125</v>
      </c>
      <c r="AA137" s="203">
        <v>24.38370813147608</v>
      </c>
      <c r="AB137" s="16">
        <f>AB136*(1+Assumptions!$L$13/12)</f>
        <v>1.0768126967860976</v>
      </c>
      <c r="AC137" s="16">
        <f t="shared" si="50"/>
        <v>0</v>
      </c>
      <c r="AD137" s="18">
        <f t="shared" si="51"/>
        <v>477.98097313444265</v>
      </c>
      <c r="AE137" s="18">
        <f t="shared" si="51"/>
        <v>1889.3389342835719</v>
      </c>
      <c r="AF137" s="5">
        <v>1</v>
      </c>
      <c r="AG137" s="73">
        <f t="shared" si="52"/>
        <v>1.1412</v>
      </c>
      <c r="AH137" s="16">
        <f>Assumptions!$E$22*Assumptions!H18</f>
        <v>3.4842673355923917</v>
      </c>
      <c r="AI137" s="16">
        <f>Assumptions!$F$22*Assumptions!I18</f>
        <v>3.4010837345934632</v>
      </c>
      <c r="AJ137" s="16">
        <f t="shared" si="53"/>
        <v>2.4399542510000001</v>
      </c>
      <c r="AK137" s="16">
        <f t="shared" si="53"/>
        <v>7.2000000000000008E-2</v>
      </c>
      <c r="AL137" s="4"/>
    </row>
    <row r="138" spans="1:38" x14ac:dyDescent="0.2">
      <c r="A138" s="1">
        <f t="shared" si="34"/>
        <v>40402.959000000163</v>
      </c>
      <c r="B138" s="16">
        <f t="shared" si="32"/>
        <v>1.1412</v>
      </c>
      <c r="C138" s="17">
        <f t="shared" si="29"/>
        <v>11.4644952</v>
      </c>
      <c r="D138" s="16">
        <f t="shared" si="33"/>
        <v>1.0786073846140745</v>
      </c>
      <c r="E138" s="16">
        <f t="shared" si="30"/>
        <v>5.8580823257503205</v>
      </c>
      <c r="F138" s="16">
        <f t="shared" si="31"/>
        <v>0.68329076161725955</v>
      </c>
      <c r="G138" s="19" t="str">
        <f>IF('Peak Revenue'!$A$1="BL","-",SUM(C138:F138))</f>
        <v>-</v>
      </c>
      <c r="H138" s="203">
        <v>619.99146407794501</v>
      </c>
      <c r="I138" s="203">
        <v>364.25396988685236</v>
      </c>
      <c r="J138" s="203">
        <v>285.70345878985898</v>
      </c>
      <c r="K138" s="203">
        <v>234.9387700281321</v>
      </c>
      <c r="L138" s="203">
        <v>197.48264112947678</v>
      </c>
      <c r="M138" s="203">
        <v>166.71204218362917</v>
      </c>
      <c r="N138" s="203">
        <v>123.79955007115127</v>
      </c>
      <c r="O138" s="203">
        <v>36.282371251387126</v>
      </c>
      <c r="P138" s="203">
        <v>32.923292261722516</v>
      </c>
      <c r="Q138" s="203">
        <v>31.679430643610978</v>
      </c>
      <c r="R138" s="203">
        <v>30.738859750237214</v>
      </c>
      <c r="S138" s="203">
        <v>29.816617516530361</v>
      </c>
      <c r="T138" s="203">
        <v>29.22829881360185</v>
      </c>
      <c r="U138" s="203">
        <v>28.338554140912308</v>
      </c>
      <c r="V138" s="203">
        <v>27.720523071024441</v>
      </c>
      <c r="W138" s="203">
        <v>27.220412380657734</v>
      </c>
      <c r="X138" s="203">
        <v>26.830926037964485</v>
      </c>
      <c r="Y138" s="203">
        <v>26.526360859848442</v>
      </c>
      <c r="Z138" s="203">
        <v>26.337869441725832</v>
      </c>
      <c r="AA138" s="203">
        <v>25.660925388313405</v>
      </c>
      <c r="AB138" s="16">
        <f>AB137*(1+Assumptions!$L$13/12)</f>
        <v>1.0786073846140745</v>
      </c>
      <c r="AC138" s="16">
        <f t="shared" si="50"/>
        <v>0</v>
      </c>
      <c r="AD138" s="18">
        <f t="shared" si="51"/>
        <v>477.98097313444265</v>
      </c>
      <c r="AE138" s="18">
        <f t="shared" si="51"/>
        <v>1889.3389342835719</v>
      </c>
      <c r="AF138" s="5">
        <v>1</v>
      </c>
      <c r="AG138" s="73">
        <f t="shared" si="52"/>
        <v>1.1412</v>
      </c>
      <c r="AH138" s="16">
        <f>Assumptions!$E$22*Assumptions!H19</f>
        <v>3.3036016218950088</v>
      </c>
      <c r="AI138" s="16">
        <f>Assumptions!$F$22*Assumptions!I19</f>
        <v>3.4010837345934632</v>
      </c>
      <c r="AJ138" s="16">
        <f t="shared" si="53"/>
        <v>2.4399542510000001</v>
      </c>
      <c r="AK138" s="16">
        <f t="shared" si="53"/>
        <v>7.2000000000000008E-2</v>
      </c>
      <c r="AL138" s="4"/>
    </row>
    <row r="139" spans="1:38" x14ac:dyDescent="0.2">
      <c r="A139" s="1">
        <f t="shared" si="34"/>
        <v>40433.376000000164</v>
      </c>
      <c r="B139" s="16">
        <f t="shared" si="32"/>
        <v>1.1412</v>
      </c>
      <c r="C139" s="17">
        <f t="shared" ref="C139:C202" si="54">(B139*$B$1*1000)/1000000</f>
        <v>11.4644952</v>
      </c>
      <c r="D139" s="16">
        <f t="shared" si="33"/>
        <v>1.0804050635884312</v>
      </c>
      <c r="E139" s="16">
        <f t="shared" ref="E139:E202" si="55">(($AJ139*$B$1*AD139*1000)/2000)/1000000</f>
        <v>5.8580823257503205</v>
      </c>
      <c r="F139" s="16">
        <f t="shared" ref="F139:F202" si="56">AF139*(($AK139*$B$1*AE139*1000)/2000)/1000000</f>
        <v>0.68329076161725955</v>
      </c>
      <c r="G139" s="19" t="str">
        <f>IF('Peak Revenue'!$A$1="BL","-",SUM(C139:F139))</f>
        <v>-</v>
      </c>
      <c r="H139" s="203">
        <v>155.0016517428229</v>
      </c>
      <c r="I139" s="203">
        <v>129.09102681413873</v>
      </c>
      <c r="J139" s="203">
        <v>96.902673528768702</v>
      </c>
      <c r="K139" s="203">
        <v>85.65710818466755</v>
      </c>
      <c r="L139" s="203">
        <v>80.068526738367623</v>
      </c>
      <c r="M139" s="203">
        <v>78.024479353368605</v>
      </c>
      <c r="N139" s="203">
        <v>58.582239463320924</v>
      </c>
      <c r="O139" s="203">
        <v>47.353515885192202</v>
      </c>
      <c r="P139" s="203">
        <v>44.657031072418818</v>
      </c>
      <c r="Q139" s="203">
        <v>39.425327325801163</v>
      </c>
      <c r="R139" s="203">
        <v>38.801454352726466</v>
      </c>
      <c r="S139" s="203">
        <v>38.497102131757991</v>
      </c>
      <c r="T139" s="203">
        <v>37.872479483113423</v>
      </c>
      <c r="U139" s="203">
        <v>35.986879270525947</v>
      </c>
      <c r="V139" s="203">
        <v>34.718771764389594</v>
      </c>
      <c r="W139" s="203">
        <v>33.59457697164278</v>
      </c>
      <c r="X139" s="203">
        <v>32.437844970366477</v>
      </c>
      <c r="Y139" s="203">
        <v>32.047493668879781</v>
      </c>
      <c r="Z139" s="203">
        <v>30.968100824632312</v>
      </c>
      <c r="AA139" s="203">
        <v>29.024518181189102</v>
      </c>
      <c r="AB139" s="16">
        <f>AB138*(1+Assumptions!$L$13/12)</f>
        <v>1.0804050635884312</v>
      </c>
      <c r="AC139" s="16">
        <f t="shared" si="50"/>
        <v>0</v>
      </c>
      <c r="AD139" s="18">
        <f t="shared" si="51"/>
        <v>477.98097313444265</v>
      </c>
      <c r="AE139" s="18">
        <f t="shared" si="51"/>
        <v>1889.3389342835719</v>
      </c>
      <c r="AF139" s="5">
        <v>1</v>
      </c>
      <c r="AG139" s="73">
        <f t="shared" si="52"/>
        <v>1.1412</v>
      </c>
      <c r="AH139" s="16">
        <f>Assumptions!$E$22*Assumptions!H20</f>
        <v>3.2925404557502711</v>
      </c>
      <c r="AI139" s="16">
        <f>Assumptions!$F$22*Assumptions!I20</f>
        <v>3.4010837345934632</v>
      </c>
      <c r="AJ139" s="16">
        <f t="shared" si="53"/>
        <v>2.4399542510000001</v>
      </c>
      <c r="AK139" s="16">
        <f t="shared" si="53"/>
        <v>7.2000000000000008E-2</v>
      </c>
      <c r="AL139" s="4"/>
    </row>
    <row r="140" spans="1:38" x14ac:dyDescent="0.2">
      <c r="A140" s="1">
        <f t="shared" si="34"/>
        <v>40463.793000000165</v>
      </c>
      <c r="B140" s="16">
        <f t="shared" ref="B140:B203" si="57">IF($B$9="Coal",AG140,IF($B$9="Gas",AH140,IF($B$9="Oil",AI140,0)))</f>
        <v>1.1412</v>
      </c>
      <c r="C140" s="17">
        <f t="shared" si="54"/>
        <v>11.4644952</v>
      </c>
      <c r="D140" s="16">
        <f t="shared" ref="D140:D203" si="58">AB140+AC140</f>
        <v>1.0822057386944119</v>
      </c>
      <c r="E140" s="16">
        <f t="shared" si="55"/>
        <v>5.8580823257503205</v>
      </c>
      <c r="F140" s="16">
        <f t="shared" si="56"/>
        <v>0.68329076161725955</v>
      </c>
      <c r="G140" s="19" t="str">
        <f>IF('Peak Revenue'!$A$1="BL","-",SUM(C140:F140))</f>
        <v>-</v>
      </c>
      <c r="H140" s="203">
        <v>79.823399891773917</v>
      </c>
      <c r="I140" s="203">
        <v>74.577063780254861</v>
      </c>
      <c r="J140" s="203">
        <v>73.105225677034667</v>
      </c>
      <c r="K140" s="203">
        <v>69.038586315104027</v>
      </c>
      <c r="L140" s="203">
        <v>66.204410229348127</v>
      </c>
      <c r="M140" s="203">
        <v>65.858526285010129</v>
      </c>
      <c r="N140" s="203">
        <v>62.671733782588959</v>
      </c>
      <c r="O140" s="203">
        <v>46.949645327317164</v>
      </c>
      <c r="P140" s="203">
        <v>44.005364813822837</v>
      </c>
      <c r="Q140" s="203">
        <v>40.383065442404224</v>
      </c>
      <c r="R140" s="203">
        <v>39.88111380489304</v>
      </c>
      <c r="S140" s="203">
        <v>36.133381037218889</v>
      </c>
      <c r="T140" s="203">
        <v>34.609183683282559</v>
      </c>
      <c r="U140" s="203">
        <v>33.308597994365002</v>
      </c>
      <c r="V140" s="203">
        <v>32.527174590125639</v>
      </c>
      <c r="W140" s="203">
        <v>32.480103381603726</v>
      </c>
      <c r="X140" s="203">
        <v>32.480103381603726</v>
      </c>
      <c r="Y140" s="203">
        <v>32.480103381603726</v>
      </c>
      <c r="Z140" s="203">
        <v>32.279794822547387</v>
      </c>
      <c r="AA140" s="203">
        <v>31.292083666909452</v>
      </c>
      <c r="AB140" s="16">
        <f>AB139*(1+Assumptions!$L$13/12)</f>
        <v>1.0822057386944119</v>
      </c>
      <c r="AC140" s="16">
        <f t="shared" si="50"/>
        <v>0</v>
      </c>
      <c r="AD140" s="18">
        <f t="shared" si="51"/>
        <v>477.98097313444265</v>
      </c>
      <c r="AE140" s="18">
        <f t="shared" si="51"/>
        <v>1889.3389342835719</v>
      </c>
      <c r="AF140" s="5">
        <f>IF(Assumptions!D$22=1,0,1)</f>
        <v>1</v>
      </c>
      <c r="AG140" s="73">
        <f t="shared" si="52"/>
        <v>1.1412</v>
      </c>
      <c r="AH140" s="16">
        <f>Assumptions!$E$22*Assumptions!H21</f>
        <v>3.646497772381879</v>
      </c>
      <c r="AI140" s="16">
        <f>Assumptions!$F$22*Assumptions!I21</f>
        <v>3.4010837345934632</v>
      </c>
      <c r="AJ140" s="16">
        <f t="shared" si="53"/>
        <v>2.4399542510000001</v>
      </c>
      <c r="AK140" s="16">
        <f t="shared" si="53"/>
        <v>7.2000000000000008E-2</v>
      </c>
      <c r="AL140" s="4"/>
    </row>
    <row r="141" spans="1:38" x14ac:dyDescent="0.2">
      <c r="A141" s="1">
        <f t="shared" ref="A141:A204" si="59">A140+30.417</f>
        <v>40494.210000000166</v>
      </c>
      <c r="B141" s="16">
        <f t="shared" si="57"/>
        <v>1.1412</v>
      </c>
      <c r="C141" s="17">
        <f t="shared" si="54"/>
        <v>11.4644952</v>
      </c>
      <c r="D141" s="16">
        <f t="shared" si="58"/>
        <v>1.0840094149255692</v>
      </c>
      <c r="E141" s="16">
        <f t="shared" si="55"/>
        <v>5.8580823257503205</v>
      </c>
      <c r="F141" s="16">
        <f t="shared" si="56"/>
        <v>0.68329076161725955</v>
      </c>
      <c r="G141" s="19" t="str">
        <f>IF('Peak Revenue'!$A$1="BL","-",SUM(C141:F141))</f>
        <v>-</v>
      </c>
      <c r="H141" s="203">
        <v>118.54167108900542</v>
      </c>
      <c r="I141" s="203">
        <v>118.54023947829877</v>
      </c>
      <c r="J141" s="203">
        <v>117.98103945686474</v>
      </c>
      <c r="K141" s="203">
        <v>108.08391359401155</v>
      </c>
      <c r="L141" s="203">
        <v>82.095932178796332</v>
      </c>
      <c r="M141" s="203">
        <v>71.704146118378318</v>
      </c>
      <c r="N141" s="203">
        <v>65.554794388426018</v>
      </c>
      <c r="O141" s="203">
        <v>55.597166787563488</v>
      </c>
      <c r="P141" s="203">
        <v>55.118284895354812</v>
      </c>
      <c r="Q141" s="203">
        <v>55.118137611633657</v>
      </c>
      <c r="R141" s="203">
        <v>55.118029242536892</v>
      </c>
      <c r="S141" s="203">
        <v>55.118029242536892</v>
      </c>
      <c r="T141" s="203">
        <v>43.666120002878309</v>
      </c>
      <c r="U141" s="203">
        <v>35.931170804151392</v>
      </c>
      <c r="V141" s="203">
        <v>34.249037835702509</v>
      </c>
      <c r="W141" s="203">
        <v>32.747963818390012</v>
      </c>
      <c r="X141" s="203">
        <v>32.041198144467344</v>
      </c>
      <c r="Y141" s="203">
        <v>31.339425176321516</v>
      </c>
      <c r="Z141" s="203">
        <v>30.321620945690082</v>
      </c>
      <c r="AA141" s="203">
        <v>28.523682560452048</v>
      </c>
      <c r="AB141" s="16">
        <f>AB140*(1+Assumptions!$L$13/12)</f>
        <v>1.0840094149255692</v>
      </c>
      <c r="AC141" s="16">
        <f t="shared" si="50"/>
        <v>0</v>
      </c>
      <c r="AD141" s="18">
        <f t="shared" si="51"/>
        <v>477.98097313444265</v>
      </c>
      <c r="AE141" s="18">
        <f t="shared" si="51"/>
        <v>1889.3389342835719</v>
      </c>
      <c r="AF141" s="5">
        <f>IF(Assumptions!D$22=1,0,1)</f>
        <v>1</v>
      </c>
      <c r="AG141" s="73">
        <f t="shared" si="52"/>
        <v>1.1412</v>
      </c>
      <c r="AH141" s="16">
        <f>Assumptions!$E$22*Assumptions!H22</f>
        <v>3.9930809782503287</v>
      </c>
      <c r="AI141" s="16">
        <f>Assumptions!$F$22*Assumptions!I22</f>
        <v>3.68749078592765</v>
      </c>
      <c r="AJ141" s="16">
        <f t="shared" si="53"/>
        <v>2.4399542510000001</v>
      </c>
      <c r="AK141" s="16">
        <f t="shared" si="53"/>
        <v>7.2000000000000008E-2</v>
      </c>
      <c r="AL141" s="4"/>
    </row>
    <row r="142" spans="1:38" x14ac:dyDescent="0.2">
      <c r="A142" s="1">
        <f t="shared" si="59"/>
        <v>40524.627000000168</v>
      </c>
      <c r="B142" s="16">
        <f t="shared" si="57"/>
        <v>1.1412</v>
      </c>
      <c r="C142" s="17">
        <f t="shared" si="54"/>
        <v>11.4644952</v>
      </c>
      <c r="D142" s="16">
        <f t="shared" si="58"/>
        <v>1.0858160972837785</v>
      </c>
      <c r="E142" s="16">
        <f t="shared" si="55"/>
        <v>5.8580823257503205</v>
      </c>
      <c r="F142" s="16">
        <f t="shared" si="56"/>
        <v>0.68329076161725955</v>
      </c>
      <c r="G142" s="19" t="str">
        <f>IF('Peak Revenue'!$A$1="BL","-",SUM(C142:F142))</f>
        <v>-</v>
      </c>
      <c r="H142" s="203">
        <v>135.74849435323455</v>
      </c>
      <c r="I142" s="203">
        <v>116.12961445979636</v>
      </c>
      <c r="J142" s="203">
        <v>99.413158665431268</v>
      </c>
      <c r="K142" s="203">
        <v>92.296965160133936</v>
      </c>
      <c r="L142" s="203">
        <v>86.80724473431863</v>
      </c>
      <c r="M142" s="203">
        <v>82.788418355184035</v>
      </c>
      <c r="N142" s="203">
        <v>82.190257951723339</v>
      </c>
      <c r="O142" s="203">
        <v>75.821548594856793</v>
      </c>
      <c r="P142" s="203">
        <v>58.173409261769542</v>
      </c>
      <c r="Q142" s="203">
        <v>52.095566857217861</v>
      </c>
      <c r="R142" s="203">
        <v>46.419520991136686</v>
      </c>
      <c r="S142" s="203">
        <v>44.549342704088787</v>
      </c>
      <c r="T142" s="203">
        <v>40.295502675340018</v>
      </c>
      <c r="U142" s="203">
        <v>40.035693551102966</v>
      </c>
      <c r="V142" s="203">
        <v>39.728099783351333</v>
      </c>
      <c r="W142" s="203">
        <v>39.63166903970172</v>
      </c>
      <c r="X142" s="203">
        <v>39.631636106161125</v>
      </c>
      <c r="Y142" s="203">
        <v>39.631636106161125</v>
      </c>
      <c r="Z142" s="203">
        <v>37.94812604483576</v>
      </c>
      <c r="AA142" s="203">
        <v>33.521164613714141</v>
      </c>
      <c r="AB142" s="16">
        <f>AB141*(1+Assumptions!$L$13/12)</f>
        <v>1.0858160972837785</v>
      </c>
      <c r="AC142" s="16">
        <f t="shared" si="50"/>
        <v>0</v>
      </c>
      <c r="AD142" s="18">
        <f t="shared" si="51"/>
        <v>477.98097313444265</v>
      </c>
      <c r="AE142" s="18">
        <f t="shared" si="51"/>
        <v>1889.3389342835719</v>
      </c>
      <c r="AF142" s="5">
        <f>IF(Assumptions!D$22=1,0,1)</f>
        <v>1</v>
      </c>
      <c r="AG142" s="73">
        <f t="shared" si="52"/>
        <v>1.1412</v>
      </c>
      <c r="AH142" s="16">
        <f>Assumptions!$E$22*Assumptions!H23</f>
        <v>4.321228907210882</v>
      </c>
      <c r="AI142" s="16">
        <f>Assumptions!$F$22*Assumptions!I23</f>
        <v>3.8664951930115166</v>
      </c>
      <c r="AJ142" s="16">
        <f t="shared" si="53"/>
        <v>2.4399542510000001</v>
      </c>
      <c r="AK142" s="16">
        <f t="shared" si="53"/>
        <v>7.2000000000000008E-2</v>
      </c>
      <c r="AL142" s="4"/>
    </row>
    <row r="143" spans="1:38" x14ac:dyDescent="0.2">
      <c r="A143" s="1">
        <f t="shared" si="59"/>
        <v>40555.044000000169</v>
      </c>
      <c r="B143" s="16">
        <f t="shared" si="57"/>
        <v>1.1604000000000001</v>
      </c>
      <c r="C143" s="17">
        <f t="shared" si="54"/>
        <v>11.657378400000002</v>
      </c>
      <c r="D143" s="16">
        <f t="shared" si="58"/>
        <v>1.0876257907792515</v>
      </c>
      <c r="E143" s="16">
        <f t="shared" si="55"/>
        <v>6.4531206920313986</v>
      </c>
      <c r="F143" s="16">
        <f t="shared" si="56"/>
        <v>0.70286077218320631</v>
      </c>
      <c r="G143" s="19" t="str">
        <f>IF('Peak Revenue'!$A$1="BL","-",SUM(C143:F143))</f>
        <v>-</v>
      </c>
      <c r="H143" s="203">
        <v>164.2371995400384</v>
      </c>
      <c r="I143" s="203">
        <v>157.93154079770085</v>
      </c>
      <c r="J143" s="203">
        <v>153.19974174968567</v>
      </c>
      <c r="K143" s="203">
        <v>124.75598776358501</v>
      </c>
      <c r="L143" s="203">
        <v>81.889860366992977</v>
      </c>
      <c r="M143" s="203">
        <v>75.956505132246562</v>
      </c>
      <c r="N143" s="203">
        <v>69.820366551246352</v>
      </c>
      <c r="O143" s="203">
        <v>69.215147673414521</v>
      </c>
      <c r="P143" s="203">
        <v>65.658576380337593</v>
      </c>
      <c r="Q143" s="203">
        <v>50.458494230946044</v>
      </c>
      <c r="R143" s="203">
        <v>44.632922657497673</v>
      </c>
      <c r="S143" s="203">
        <v>39.311077948113677</v>
      </c>
      <c r="T143" s="203">
        <v>38.120360288603059</v>
      </c>
      <c r="U143" s="203">
        <v>34.81179169917273</v>
      </c>
      <c r="V143" s="203">
        <v>34.481763459177891</v>
      </c>
      <c r="W143" s="203">
        <v>34.135650992187962</v>
      </c>
      <c r="X143" s="203">
        <v>33.932711571092696</v>
      </c>
      <c r="Y143" s="203">
        <v>33.932659906923945</v>
      </c>
      <c r="Z143" s="203">
        <v>33.932629788046498</v>
      </c>
      <c r="AA143" s="203">
        <v>32.251440716103616</v>
      </c>
      <c r="AB143" s="16">
        <f>AB142*(1+Assumptions!$L$13/12)</f>
        <v>1.0876257907792515</v>
      </c>
      <c r="AC143" s="16">
        <f>VLOOKUP($C$1,EnvVOM,14)</f>
        <v>0</v>
      </c>
      <c r="AD143" s="18">
        <f>Assumptions!B23</f>
        <v>526.53218862643894</v>
      </c>
      <c r="AE143" s="18">
        <f>Assumptions!C23</f>
        <v>1943.451158513079</v>
      </c>
      <c r="AF143" s="5">
        <f>IF(Assumptions!D$23=1,0,1)</f>
        <v>1</v>
      </c>
      <c r="AG143" s="73">
        <f>VLOOKUP($C$1,Coal,14)</f>
        <v>1.1604000000000001</v>
      </c>
      <c r="AH143" s="16">
        <f>Assumptions!$E$23*Assumptions!H12</f>
        <v>4.2451246779926199</v>
      </c>
      <c r="AI143" s="16">
        <f>Assumptions!$F$23*Assumptions!I12</f>
        <v>3.9483837807100315</v>
      </c>
      <c r="AJ143" s="16">
        <f>VLOOKUP($C$1,SO2Rate,14)</f>
        <v>2.4399542510000001</v>
      </c>
      <c r="AK143" s="16">
        <f>VLOOKUP($C$1,NOxRate,14)</f>
        <v>7.2000000000000008E-2</v>
      </c>
      <c r="AL143" s="4"/>
    </row>
    <row r="144" spans="1:38" x14ac:dyDescent="0.2">
      <c r="A144" s="1">
        <f t="shared" si="59"/>
        <v>40585.46100000017</v>
      </c>
      <c r="B144" s="16">
        <f t="shared" si="57"/>
        <v>1.1604000000000001</v>
      </c>
      <c r="C144" s="17">
        <f t="shared" si="54"/>
        <v>11.657378400000002</v>
      </c>
      <c r="D144" s="16">
        <f t="shared" si="58"/>
        <v>1.0894385004305502</v>
      </c>
      <c r="E144" s="16">
        <f t="shared" si="55"/>
        <v>6.4531206920313986</v>
      </c>
      <c r="F144" s="16">
        <f t="shared" si="56"/>
        <v>0.70286077218320631</v>
      </c>
      <c r="G144" s="19" t="str">
        <f>IF('Peak Revenue'!$A$1="BL","-",SUM(C144:F144))</f>
        <v>-</v>
      </c>
      <c r="H144" s="203">
        <v>144.14655867251236</v>
      </c>
      <c r="I144" s="203">
        <v>114.52021660062201</v>
      </c>
      <c r="J144" s="203">
        <v>96.882018459658127</v>
      </c>
      <c r="K144" s="203">
        <v>90.298012670119462</v>
      </c>
      <c r="L144" s="203">
        <v>85.262875064264776</v>
      </c>
      <c r="M144" s="203">
        <v>78.926596081350482</v>
      </c>
      <c r="N144" s="203">
        <v>77.684068530985982</v>
      </c>
      <c r="O144" s="203">
        <v>68.035890241360534</v>
      </c>
      <c r="P144" s="203">
        <v>54.098774829248974</v>
      </c>
      <c r="Q144" s="203">
        <v>49.791658875063987</v>
      </c>
      <c r="R144" s="203">
        <v>44.924173461246248</v>
      </c>
      <c r="S144" s="203">
        <v>44.047410668657399</v>
      </c>
      <c r="T144" s="203">
        <v>42.525815371453632</v>
      </c>
      <c r="U144" s="203">
        <v>41.37232754377586</v>
      </c>
      <c r="V144" s="203">
        <v>40.466892700463852</v>
      </c>
      <c r="W144" s="203">
        <v>38.824852082022325</v>
      </c>
      <c r="X144" s="203">
        <v>38.611971548513857</v>
      </c>
      <c r="Y144" s="203">
        <v>38.611971548513857</v>
      </c>
      <c r="Z144" s="203">
        <v>38.611971548513857</v>
      </c>
      <c r="AA144" s="203">
        <v>38.008319327881914</v>
      </c>
      <c r="AB144" s="16">
        <f>AB143*(1+Assumptions!$L$13/12)</f>
        <v>1.0894385004305502</v>
      </c>
      <c r="AC144" s="16">
        <f>AC143</f>
        <v>0</v>
      </c>
      <c r="AD144" s="18">
        <f>AD143</f>
        <v>526.53218862643894</v>
      </c>
      <c r="AE144" s="18">
        <f>AE143</f>
        <v>1943.451158513079</v>
      </c>
      <c r="AF144" s="5">
        <f>IF(Assumptions!D$23=1,0,1)</f>
        <v>1</v>
      </c>
      <c r="AG144" s="73">
        <f>AG143</f>
        <v>1.1604000000000001</v>
      </c>
      <c r="AH144" s="16">
        <f>Assumptions!$E$23*Assumptions!H13</f>
        <v>3.8048058949029602</v>
      </c>
      <c r="AI144" s="16">
        <f>Assumptions!$F$23*Assumptions!I13</f>
        <v>3.911824671629383</v>
      </c>
      <c r="AJ144" s="16">
        <f>AJ143</f>
        <v>2.4399542510000001</v>
      </c>
      <c r="AK144" s="16">
        <f>AK143</f>
        <v>7.2000000000000008E-2</v>
      </c>
      <c r="AL144" s="4"/>
    </row>
    <row r="145" spans="1:38" x14ac:dyDescent="0.2">
      <c r="A145" s="1">
        <f t="shared" si="59"/>
        <v>40615.878000000172</v>
      </c>
      <c r="B145" s="16">
        <f t="shared" si="57"/>
        <v>1.1604000000000001</v>
      </c>
      <c r="C145" s="17">
        <f t="shared" si="54"/>
        <v>11.657378400000002</v>
      </c>
      <c r="D145" s="16">
        <f t="shared" si="58"/>
        <v>1.0912542312646012</v>
      </c>
      <c r="E145" s="16">
        <f t="shared" si="55"/>
        <v>6.4531206920313986</v>
      </c>
      <c r="F145" s="16">
        <f t="shared" si="56"/>
        <v>0.70286077218320631</v>
      </c>
      <c r="G145" s="19" t="str">
        <f>IF('Peak Revenue'!$A$1="BL","-",SUM(C145:F145))</f>
        <v>-</v>
      </c>
      <c r="H145" s="203">
        <v>135.10060666663111</v>
      </c>
      <c r="I145" s="203">
        <v>110.980835189247</v>
      </c>
      <c r="J145" s="203">
        <v>85.213278254058523</v>
      </c>
      <c r="K145" s="203">
        <v>75.92200093584492</v>
      </c>
      <c r="L145" s="203">
        <v>71.5744139272024</v>
      </c>
      <c r="M145" s="203">
        <v>67.171411308157289</v>
      </c>
      <c r="N145" s="203">
        <v>66.803655477711175</v>
      </c>
      <c r="O145" s="203">
        <v>62.758580603872566</v>
      </c>
      <c r="P145" s="203">
        <v>50.097967535726589</v>
      </c>
      <c r="Q145" s="203">
        <v>46.740548744635532</v>
      </c>
      <c r="R145" s="203">
        <v>44.406325568225853</v>
      </c>
      <c r="S145" s="203">
        <v>41.338156406276752</v>
      </c>
      <c r="T145" s="203">
        <v>39.252841604128079</v>
      </c>
      <c r="U145" s="203">
        <v>38.477692781957373</v>
      </c>
      <c r="V145" s="203">
        <v>38.010894714836795</v>
      </c>
      <c r="W145" s="203">
        <v>37.882926963303603</v>
      </c>
      <c r="X145" s="203">
        <v>37.121538581606515</v>
      </c>
      <c r="Y145" s="203">
        <v>35.934555984599953</v>
      </c>
      <c r="Z145" s="203">
        <v>34.124396210102951</v>
      </c>
      <c r="AA145" s="203">
        <v>32.999394923710845</v>
      </c>
      <c r="AB145" s="16">
        <f>AB144*(1+Assumptions!$L$13/12)</f>
        <v>1.0912542312646012</v>
      </c>
      <c r="AC145" s="16">
        <f t="shared" ref="AC145:AC154" si="60">AC144</f>
        <v>0</v>
      </c>
      <c r="AD145" s="18">
        <f t="shared" ref="AD145:AE154" si="61">AD144</f>
        <v>526.53218862643894</v>
      </c>
      <c r="AE145" s="18">
        <f t="shared" si="61"/>
        <v>1943.451158513079</v>
      </c>
      <c r="AF145" s="5">
        <f>IF(Assumptions!D$23=1,0,1)</f>
        <v>1</v>
      </c>
      <c r="AG145" s="73">
        <f t="shared" ref="AG145:AG154" si="62">AG144</f>
        <v>1.1604000000000001</v>
      </c>
      <c r="AH145" s="16">
        <f>Assumptions!$E$23*Assumptions!H14</f>
        <v>3.7408279520608732</v>
      </c>
      <c r="AI145" s="16">
        <f>Assumptions!$F$23*Assumptions!I14</f>
        <v>3.7655882353067893</v>
      </c>
      <c r="AJ145" s="16">
        <f t="shared" ref="AJ145:AK154" si="63">AJ144</f>
        <v>2.4399542510000001</v>
      </c>
      <c r="AK145" s="16">
        <f t="shared" si="63"/>
        <v>7.2000000000000008E-2</v>
      </c>
      <c r="AL145" s="4"/>
    </row>
    <row r="146" spans="1:38" x14ac:dyDescent="0.2">
      <c r="A146" s="1">
        <f t="shared" si="59"/>
        <v>40646.295000000173</v>
      </c>
      <c r="B146" s="16">
        <f t="shared" si="57"/>
        <v>1.1604000000000001</v>
      </c>
      <c r="C146" s="17">
        <f t="shared" si="54"/>
        <v>11.657378400000002</v>
      </c>
      <c r="D146" s="16">
        <f t="shared" si="58"/>
        <v>1.093072988316709</v>
      </c>
      <c r="E146" s="16">
        <f t="shared" si="55"/>
        <v>6.4531206920313986</v>
      </c>
      <c r="F146" s="16">
        <f t="shared" si="56"/>
        <v>0.70286077218320631</v>
      </c>
      <c r="G146" s="19" t="str">
        <f>IF('Peak Revenue'!$A$1="BL","-",SUM(C146:F146))</f>
        <v>-</v>
      </c>
      <c r="H146" s="203">
        <v>80.476876650215118</v>
      </c>
      <c r="I146" s="203">
        <v>77.557688106336869</v>
      </c>
      <c r="J146" s="203">
        <v>72.823797338940537</v>
      </c>
      <c r="K146" s="203">
        <v>70.329338613199326</v>
      </c>
      <c r="L146" s="203">
        <v>70.152085276467616</v>
      </c>
      <c r="M146" s="203">
        <v>61.482809684593306</v>
      </c>
      <c r="N146" s="203">
        <v>48.928006001203087</v>
      </c>
      <c r="O146" s="203">
        <v>42.612778163804364</v>
      </c>
      <c r="P146" s="203">
        <v>39.842313927039648</v>
      </c>
      <c r="Q146" s="203">
        <v>39.433612340750457</v>
      </c>
      <c r="R146" s="203">
        <v>37.531868889709457</v>
      </c>
      <c r="S146" s="203">
        <v>36.402124046560587</v>
      </c>
      <c r="T146" s="203">
        <v>35.455859365724415</v>
      </c>
      <c r="U146" s="203">
        <v>34.750155172850157</v>
      </c>
      <c r="V146" s="203">
        <v>34.317842454204325</v>
      </c>
      <c r="W146" s="203">
        <v>34.276255055216637</v>
      </c>
      <c r="X146" s="203">
        <v>34.276255055216637</v>
      </c>
      <c r="Y146" s="203">
        <v>34.276255055216637</v>
      </c>
      <c r="Z146" s="203">
        <v>34.276255055216637</v>
      </c>
      <c r="AA146" s="203">
        <v>33.849071826408235</v>
      </c>
      <c r="AB146" s="16">
        <f>AB145*(1+Assumptions!$L$13/12)</f>
        <v>1.093072988316709</v>
      </c>
      <c r="AC146" s="16">
        <f t="shared" si="60"/>
        <v>0</v>
      </c>
      <c r="AD146" s="18">
        <f t="shared" si="61"/>
        <v>526.53218862643894</v>
      </c>
      <c r="AE146" s="18">
        <f t="shared" si="61"/>
        <v>1943.451158513079</v>
      </c>
      <c r="AF146" s="5">
        <f>IF(Assumptions!D$23=1,0,1)</f>
        <v>1</v>
      </c>
      <c r="AG146" s="73">
        <f t="shared" si="62"/>
        <v>1.1604000000000001</v>
      </c>
      <c r="AH146" s="16">
        <f>Assumptions!$E$23*Assumptions!H15</f>
        <v>3.5564209403395624</v>
      </c>
      <c r="AI146" s="16">
        <f>Assumptions!$F$23*Assumptions!I15</f>
        <v>3.6193517989841952</v>
      </c>
      <c r="AJ146" s="16">
        <f t="shared" si="63"/>
        <v>2.4399542510000001</v>
      </c>
      <c r="AK146" s="16">
        <f t="shared" si="63"/>
        <v>7.2000000000000008E-2</v>
      </c>
      <c r="AL146" s="4"/>
    </row>
    <row r="147" spans="1:38" x14ac:dyDescent="0.2">
      <c r="A147" s="1">
        <f t="shared" si="59"/>
        <v>40676.712000000174</v>
      </c>
      <c r="B147" s="16">
        <f t="shared" si="57"/>
        <v>1.1604000000000001</v>
      </c>
      <c r="C147" s="17">
        <f t="shared" si="54"/>
        <v>11.657378400000002</v>
      </c>
      <c r="D147" s="16">
        <f t="shared" si="58"/>
        <v>1.0948947766305701</v>
      </c>
      <c r="E147" s="16">
        <f t="shared" si="55"/>
        <v>6.4531206920313986</v>
      </c>
      <c r="F147" s="16">
        <f t="shared" si="56"/>
        <v>0.70286077218320631</v>
      </c>
      <c r="G147" s="19" t="str">
        <f>IF('Peak Revenue'!$A$1="BL","-",SUM(C147:F147))</f>
        <v>-</v>
      </c>
      <c r="H147" s="203">
        <v>101.89636211594757</v>
      </c>
      <c r="I147" s="203">
        <v>79.526395444723192</v>
      </c>
      <c r="J147" s="203">
        <v>68.235862048869464</v>
      </c>
      <c r="K147" s="203">
        <v>64.850996088115977</v>
      </c>
      <c r="L147" s="203">
        <v>64.015441540186913</v>
      </c>
      <c r="M147" s="203">
        <v>60.631713504545608</v>
      </c>
      <c r="N147" s="203">
        <v>58.10004269835273</v>
      </c>
      <c r="O147" s="203">
        <v>45.403358235344633</v>
      </c>
      <c r="P147" s="203">
        <v>42.503860801297201</v>
      </c>
      <c r="Q147" s="203">
        <v>40.621087032964716</v>
      </c>
      <c r="R147" s="203">
        <v>38.254330183085486</v>
      </c>
      <c r="S147" s="203">
        <v>37.113603240666947</v>
      </c>
      <c r="T147" s="203">
        <v>36.079533555925309</v>
      </c>
      <c r="U147" s="203">
        <v>35.010215125207125</v>
      </c>
      <c r="V147" s="203">
        <v>34.217476645121266</v>
      </c>
      <c r="W147" s="203">
        <v>32.125489826401157</v>
      </c>
      <c r="X147" s="203">
        <v>30.394746599368602</v>
      </c>
      <c r="Y147" s="203">
        <v>30.088543003614401</v>
      </c>
      <c r="Z147" s="203">
        <v>29.956911132349401</v>
      </c>
      <c r="AA147" s="203">
        <v>29.941111074405338</v>
      </c>
      <c r="AB147" s="16">
        <f>AB146*(1+Assumptions!$L$13/12)</f>
        <v>1.0948947766305701</v>
      </c>
      <c r="AC147" s="16">
        <f t="shared" si="60"/>
        <v>0</v>
      </c>
      <c r="AD147" s="18">
        <f t="shared" si="61"/>
        <v>526.53218862643894</v>
      </c>
      <c r="AE147" s="18">
        <f t="shared" si="61"/>
        <v>1943.451158513079</v>
      </c>
      <c r="AF147" s="5">
        <v>1</v>
      </c>
      <c r="AG147" s="73">
        <f t="shared" si="62"/>
        <v>1.1604000000000001</v>
      </c>
      <c r="AH147" s="16">
        <f>Assumptions!$E$23*Assumptions!H16</f>
        <v>3.7445913604633487</v>
      </c>
      <c r="AI147" s="16">
        <f>Assumptions!$F$23*Assumptions!I16</f>
        <v>3.4731153626616016</v>
      </c>
      <c r="AJ147" s="16">
        <f t="shared" si="63"/>
        <v>2.4399542510000001</v>
      </c>
      <c r="AK147" s="16">
        <f t="shared" si="63"/>
        <v>7.2000000000000008E-2</v>
      </c>
      <c r="AL147" s="4"/>
    </row>
    <row r="148" spans="1:38" x14ac:dyDescent="0.2">
      <c r="A148" s="1">
        <f t="shared" si="59"/>
        <v>40707.129000000175</v>
      </c>
      <c r="B148" s="16">
        <f t="shared" si="57"/>
        <v>1.1604000000000001</v>
      </c>
      <c r="C148" s="17">
        <f t="shared" si="54"/>
        <v>11.657378400000002</v>
      </c>
      <c r="D148" s="16">
        <f t="shared" si="58"/>
        <v>1.0967196012582878</v>
      </c>
      <c r="E148" s="16">
        <f t="shared" si="55"/>
        <v>6.4531206920313986</v>
      </c>
      <c r="F148" s="16">
        <f t="shared" si="56"/>
        <v>0.70286077218320631</v>
      </c>
      <c r="G148" s="19" t="str">
        <f>IF('Peak Revenue'!$A$1="BL","-",SUM(C148:F148))</f>
        <v>-</v>
      </c>
      <c r="H148" s="203">
        <v>234.59405531764565</v>
      </c>
      <c r="I148" s="203">
        <v>207.93787188123702</v>
      </c>
      <c r="J148" s="203">
        <v>187.21581770523463</v>
      </c>
      <c r="K148" s="203">
        <v>163.56201400333723</v>
      </c>
      <c r="L148" s="203">
        <v>146.55180574253018</v>
      </c>
      <c r="M148" s="203">
        <v>81.528927733095955</v>
      </c>
      <c r="N148" s="203">
        <v>52.67597068377134</v>
      </c>
      <c r="O148" s="203">
        <v>46.978747489759755</v>
      </c>
      <c r="P148" s="203">
        <v>45.588303166584282</v>
      </c>
      <c r="Q148" s="203">
        <v>38.494006337312484</v>
      </c>
      <c r="R148" s="203">
        <v>33.415381557157787</v>
      </c>
      <c r="S148" s="203">
        <v>32.130255365246761</v>
      </c>
      <c r="T148" s="203">
        <v>31.120053424882048</v>
      </c>
      <c r="U148" s="203">
        <v>30.049401588429724</v>
      </c>
      <c r="V148" s="203">
        <v>28.767080111486411</v>
      </c>
      <c r="W148" s="203">
        <v>27.28325536959229</v>
      </c>
      <c r="X148" s="203">
        <v>26.844215424460948</v>
      </c>
      <c r="Y148" s="203">
        <v>26.454376341362</v>
      </c>
      <c r="Z148" s="203">
        <v>25.199966464237512</v>
      </c>
      <c r="AA148" s="203">
        <v>24.081192460446793</v>
      </c>
      <c r="AB148" s="16">
        <f>AB147*(1+Assumptions!$L$13/12)</f>
        <v>1.0967196012582878</v>
      </c>
      <c r="AC148" s="16">
        <f t="shared" si="60"/>
        <v>0</v>
      </c>
      <c r="AD148" s="18">
        <f t="shared" si="61"/>
        <v>526.53218862643894</v>
      </c>
      <c r="AE148" s="18">
        <f t="shared" si="61"/>
        <v>1943.451158513079</v>
      </c>
      <c r="AF148" s="5">
        <v>1</v>
      </c>
      <c r="AG148" s="73">
        <f t="shared" si="62"/>
        <v>1.1604000000000001</v>
      </c>
      <c r="AH148" s="16">
        <f>Assumptions!$E$23*Assumptions!H17</f>
        <v>3.5677111655469895</v>
      </c>
      <c r="AI148" s="16">
        <f>Assumptions!$F$23*Assumptions!I17</f>
        <v>3.4731153626616016</v>
      </c>
      <c r="AJ148" s="16">
        <f t="shared" si="63"/>
        <v>2.4399542510000001</v>
      </c>
      <c r="AK148" s="16">
        <f t="shared" si="63"/>
        <v>7.2000000000000008E-2</v>
      </c>
      <c r="AL148" s="4"/>
    </row>
    <row r="149" spans="1:38" x14ac:dyDescent="0.2">
      <c r="A149" s="1">
        <f t="shared" si="59"/>
        <v>40737.546000000177</v>
      </c>
      <c r="B149" s="16">
        <f t="shared" si="57"/>
        <v>1.1604000000000001</v>
      </c>
      <c r="C149" s="17">
        <f t="shared" si="54"/>
        <v>11.657378400000002</v>
      </c>
      <c r="D149" s="16">
        <f t="shared" si="58"/>
        <v>1.098547467260385</v>
      </c>
      <c r="E149" s="16">
        <f t="shared" si="55"/>
        <v>6.4531206920313986</v>
      </c>
      <c r="F149" s="16">
        <f t="shared" si="56"/>
        <v>0.70286077218320631</v>
      </c>
      <c r="G149" s="19" t="str">
        <f>IF('Peak Revenue'!$A$1="BL","-",SUM(C149:F149))</f>
        <v>-</v>
      </c>
      <c r="H149" s="203">
        <v>230.27658285104758</v>
      </c>
      <c r="I149" s="203">
        <v>199.32503320900952</v>
      </c>
      <c r="J149" s="203">
        <v>178.12800297216648</v>
      </c>
      <c r="K149" s="203">
        <v>156.56442594048914</v>
      </c>
      <c r="L149" s="203">
        <v>131.55866241571033</v>
      </c>
      <c r="M149" s="203">
        <v>101.29015752785438</v>
      </c>
      <c r="N149" s="203">
        <v>94.883320611658689</v>
      </c>
      <c r="O149" s="203">
        <v>75.899390289559491</v>
      </c>
      <c r="P149" s="203">
        <v>58.123710684185276</v>
      </c>
      <c r="Q149" s="203">
        <v>51.868000612319207</v>
      </c>
      <c r="R149" s="203">
        <v>45.419988919890088</v>
      </c>
      <c r="S149" s="203">
        <v>45.243790416329588</v>
      </c>
      <c r="T149" s="203">
        <v>45.2435837418994</v>
      </c>
      <c r="U149" s="203">
        <v>44.525120456453564</v>
      </c>
      <c r="V149" s="203">
        <v>40.267016046992644</v>
      </c>
      <c r="W149" s="203">
        <v>38.070108633677364</v>
      </c>
      <c r="X149" s="203">
        <v>36.473638410222222</v>
      </c>
      <c r="Y149" s="203">
        <v>35.529340407522007</v>
      </c>
      <c r="Z149" s="203">
        <v>34.894175900572527</v>
      </c>
      <c r="AA149" s="203">
        <v>31.465020354819504</v>
      </c>
      <c r="AB149" s="16">
        <f>AB148*(1+Assumptions!$L$13/12)</f>
        <v>1.098547467260385</v>
      </c>
      <c r="AC149" s="16">
        <f t="shared" si="60"/>
        <v>0</v>
      </c>
      <c r="AD149" s="18">
        <f t="shared" si="61"/>
        <v>526.53218862643894</v>
      </c>
      <c r="AE149" s="18">
        <f t="shared" si="61"/>
        <v>1943.451158513079</v>
      </c>
      <c r="AF149" s="5">
        <v>1</v>
      </c>
      <c r="AG149" s="73">
        <f t="shared" si="62"/>
        <v>1.1604000000000001</v>
      </c>
      <c r="AH149" s="16">
        <f>Assumptions!$E$23*Assumptions!H18</f>
        <v>3.5564209403395624</v>
      </c>
      <c r="AI149" s="16">
        <f>Assumptions!$F$23*Assumptions!I18</f>
        <v>3.4731153626616016</v>
      </c>
      <c r="AJ149" s="16">
        <f t="shared" si="63"/>
        <v>2.4399542510000001</v>
      </c>
      <c r="AK149" s="16">
        <f t="shared" si="63"/>
        <v>7.2000000000000008E-2</v>
      </c>
      <c r="AL149" s="4"/>
    </row>
    <row r="150" spans="1:38" x14ac:dyDescent="0.2">
      <c r="A150" s="1">
        <f t="shared" si="59"/>
        <v>40767.963000000178</v>
      </c>
      <c r="B150" s="16">
        <f t="shared" si="57"/>
        <v>1.1604000000000001</v>
      </c>
      <c r="C150" s="17">
        <f t="shared" si="54"/>
        <v>11.657378400000002</v>
      </c>
      <c r="D150" s="16">
        <f t="shared" si="58"/>
        <v>1.1003783797058191</v>
      </c>
      <c r="E150" s="16">
        <f t="shared" si="55"/>
        <v>6.4531206920313986</v>
      </c>
      <c r="F150" s="16">
        <f t="shared" si="56"/>
        <v>0.70286077218320631</v>
      </c>
      <c r="G150" s="19" t="str">
        <f>IF('Peak Revenue'!$A$1="BL","-",SUM(C150:F150))</f>
        <v>-</v>
      </c>
      <c r="H150" s="203">
        <v>228.53908887598845</v>
      </c>
      <c r="I150" s="203">
        <v>196.06649134614173</v>
      </c>
      <c r="J150" s="203">
        <v>176.71225112673298</v>
      </c>
      <c r="K150" s="203">
        <v>156.53127822798803</v>
      </c>
      <c r="L150" s="203">
        <v>143.5610450764805</v>
      </c>
      <c r="M150" s="203">
        <v>128.05497300343123</v>
      </c>
      <c r="N150" s="203">
        <v>81.501960413169655</v>
      </c>
      <c r="O150" s="203">
        <v>66.765741107566328</v>
      </c>
      <c r="P150" s="203">
        <v>62.862866327445083</v>
      </c>
      <c r="Q150" s="203">
        <v>61.53456151181318</v>
      </c>
      <c r="R150" s="203">
        <v>61.22100189493775</v>
      </c>
      <c r="S150" s="203">
        <v>59.32205913387687</v>
      </c>
      <c r="T150" s="203">
        <v>46.751301266619848</v>
      </c>
      <c r="U150" s="203">
        <v>43.29353930370074</v>
      </c>
      <c r="V150" s="203">
        <v>41.506714009725286</v>
      </c>
      <c r="W150" s="203">
        <v>39.864390654304934</v>
      </c>
      <c r="X150" s="203">
        <v>39.028395374263063</v>
      </c>
      <c r="Y150" s="203">
        <v>36.757800312717237</v>
      </c>
      <c r="Z150" s="203">
        <v>33.830851772711895</v>
      </c>
      <c r="AA150" s="203">
        <v>31.116387845486585</v>
      </c>
      <c r="AB150" s="16">
        <f>AB149*(1+Assumptions!$L$13/12)</f>
        <v>1.1003783797058191</v>
      </c>
      <c r="AC150" s="16">
        <f t="shared" si="60"/>
        <v>0</v>
      </c>
      <c r="AD150" s="18">
        <f t="shared" si="61"/>
        <v>526.53218862643894</v>
      </c>
      <c r="AE150" s="18">
        <f t="shared" si="61"/>
        <v>1943.451158513079</v>
      </c>
      <c r="AF150" s="5">
        <v>1</v>
      </c>
      <c r="AG150" s="73">
        <f t="shared" si="62"/>
        <v>1.1604000000000001</v>
      </c>
      <c r="AH150" s="16">
        <f>Assumptions!$E$23*Assumptions!H19</f>
        <v>3.372013928618252</v>
      </c>
      <c r="AI150" s="16">
        <f>Assumptions!$F$23*Assumptions!I19</f>
        <v>3.4731153626616016</v>
      </c>
      <c r="AJ150" s="16">
        <f t="shared" si="63"/>
        <v>2.4399542510000001</v>
      </c>
      <c r="AK150" s="16">
        <f t="shared" si="63"/>
        <v>7.2000000000000008E-2</v>
      </c>
      <c r="AL150" s="4"/>
    </row>
    <row r="151" spans="1:38" x14ac:dyDescent="0.2">
      <c r="A151" s="1">
        <f t="shared" si="59"/>
        <v>40798.380000000179</v>
      </c>
      <c r="B151" s="16">
        <f t="shared" si="57"/>
        <v>1.1604000000000001</v>
      </c>
      <c r="C151" s="17">
        <f t="shared" si="54"/>
        <v>11.657378400000002</v>
      </c>
      <c r="D151" s="16">
        <f t="shared" si="58"/>
        <v>1.1022123436719955</v>
      </c>
      <c r="E151" s="16">
        <f t="shared" si="55"/>
        <v>6.4531206920313986</v>
      </c>
      <c r="F151" s="16">
        <f t="shared" si="56"/>
        <v>0.70286077218320631</v>
      </c>
      <c r="G151" s="19" t="str">
        <f>IF('Peak Revenue'!$A$1="BL","-",SUM(C151:F151))</f>
        <v>-</v>
      </c>
      <c r="H151" s="203">
        <v>153.40312088335128</v>
      </c>
      <c r="I151" s="203">
        <v>103.5362210905095</v>
      </c>
      <c r="J151" s="203">
        <v>80.808635558573627</v>
      </c>
      <c r="K151" s="203">
        <v>73.936099307268321</v>
      </c>
      <c r="L151" s="203">
        <v>68.583112043983888</v>
      </c>
      <c r="M151" s="203">
        <v>67.046242767902157</v>
      </c>
      <c r="N151" s="203">
        <v>54.844375171574079</v>
      </c>
      <c r="O151" s="203">
        <v>47.581302190240983</v>
      </c>
      <c r="P151" s="203">
        <v>44.888400432469382</v>
      </c>
      <c r="Q151" s="203">
        <v>42.315855051878216</v>
      </c>
      <c r="R151" s="203">
        <v>40.61476044694178</v>
      </c>
      <c r="S151" s="203">
        <v>39.140717780573745</v>
      </c>
      <c r="T151" s="203">
        <v>38.672670465339152</v>
      </c>
      <c r="U151" s="203">
        <v>37.366007989273115</v>
      </c>
      <c r="V151" s="203">
        <v>34.516407618380896</v>
      </c>
      <c r="W151" s="203">
        <v>33.792178782648577</v>
      </c>
      <c r="X151" s="203">
        <v>33.447465020477338</v>
      </c>
      <c r="Y151" s="203">
        <v>33.447465020477338</v>
      </c>
      <c r="Z151" s="203">
        <v>33.447465020477338</v>
      </c>
      <c r="AA151" s="203">
        <v>33.242324430087493</v>
      </c>
      <c r="AB151" s="16">
        <f>AB150*(1+Assumptions!$L$13/12)</f>
        <v>1.1022123436719955</v>
      </c>
      <c r="AC151" s="16">
        <f t="shared" si="60"/>
        <v>0</v>
      </c>
      <c r="AD151" s="18">
        <f t="shared" si="61"/>
        <v>526.53218862643894</v>
      </c>
      <c r="AE151" s="18">
        <f t="shared" si="61"/>
        <v>1943.451158513079</v>
      </c>
      <c r="AF151" s="5">
        <v>1</v>
      </c>
      <c r="AG151" s="73">
        <f t="shared" si="62"/>
        <v>1.1604000000000001</v>
      </c>
      <c r="AH151" s="16">
        <f>Assumptions!$E$23*Assumptions!H20</f>
        <v>3.3607237034108248</v>
      </c>
      <c r="AI151" s="16">
        <f>Assumptions!$F$23*Assumptions!I20</f>
        <v>3.4731153626616016</v>
      </c>
      <c r="AJ151" s="16">
        <f t="shared" si="63"/>
        <v>2.4399542510000001</v>
      </c>
      <c r="AK151" s="16">
        <f t="shared" si="63"/>
        <v>7.2000000000000008E-2</v>
      </c>
      <c r="AL151" s="4"/>
    </row>
    <row r="152" spans="1:38" x14ac:dyDescent="0.2">
      <c r="A152" s="1">
        <f t="shared" si="59"/>
        <v>40828.797000000181</v>
      </c>
      <c r="B152" s="16">
        <f t="shared" si="57"/>
        <v>1.1604000000000001</v>
      </c>
      <c r="C152" s="17">
        <f t="shared" si="54"/>
        <v>11.657378400000002</v>
      </c>
      <c r="D152" s="16">
        <f t="shared" si="58"/>
        <v>1.1040493642447822</v>
      </c>
      <c r="E152" s="16">
        <f t="shared" si="55"/>
        <v>6.4531206920313986</v>
      </c>
      <c r="F152" s="16">
        <f t="shared" si="56"/>
        <v>0.70286077218320631</v>
      </c>
      <c r="G152" s="19" t="str">
        <f>IF('Peak Revenue'!$A$1="BL","-",SUM(C152:F152))</f>
        <v>-</v>
      </c>
      <c r="H152" s="203">
        <v>80.989311061908126</v>
      </c>
      <c r="I152" s="203">
        <v>79.488146860457704</v>
      </c>
      <c r="J152" s="203">
        <v>77.572256743873794</v>
      </c>
      <c r="K152" s="203">
        <v>72.925292048971613</v>
      </c>
      <c r="L152" s="203">
        <v>70.449384126332717</v>
      </c>
      <c r="M152" s="203">
        <v>69.518771085264433</v>
      </c>
      <c r="N152" s="203">
        <v>52.55150398157808</v>
      </c>
      <c r="O152" s="203">
        <v>49.191819765339453</v>
      </c>
      <c r="P152" s="203">
        <v>44.603777219646311</v>
      </c>
      <c r="Q152" s="203">
        <v>37.829235033683567</v>
      </c>
      <c r="R152" s="203">
        <v>35.491747227024831</v>
      </c>
      <c r="S152" s="203">
        <v>35.018782541379544</v>
      </c>
      <c r="T152" s="203">
        <v>34.803447997878258</v>
      </c>
      <c r="U152" s="203">
        <v>34.581713581572721</v>
      </c>
      <c r="V152" s="203">
        <v>34.462394593547657</v>
      </c>
      <c r="W152" s="203">
        <v>34.190348024407257</v>
      </c>
      <c r="X152" s="203">
        <v>34.18805364118154</v>
      </c>
      <c r="Y152" s="203">
        <v>34.18805364118154</v>
      </c>
      <c r="Z152" s="203">
        <v>34.18805364118154</v>
      </c>
      <c r="AA152" s="203">
        <v>32.026606509992305</v>
      </c>
      <c r="AB152" s="16">
        <f>AB151*(1+Assumptions!$L$13/12)</f>
        <v>1.1040493642447822</v>
      </c>
      <c r="AC152" s="16">
        <f t="shared" si="60"/>
        <v>0</v>
      </c>
      <c r="AD152" s="18">
        <f t="shared" si="61"/>
        <v>526.53218862643894</v>
      </c>
      <c r="AE152" s="18">
        <f t="shared" si="61"/>
        <v>1943.451158513079</v>
      </c>
      <c r="AF152" s="5">
        <f>IF(Assumptions!D$23=1,0,1)</f>
        <v>1</v>
      </c>
      <c r="AG152" s="73">
        <f t="shared" si="62"/>
        <v>1.1604000000000001</v>
      </c>
      <c r="AH152" s="16">
        <f>Assumptions!$E$23*Assumptions!H21</f>
        <v>3.7220109100484944</v>
      </c>
      <c r="AI152" s="16">
        <f>Assumptions!$F$23*Assumptions!I21</f>
        <v>3.4731153626616016</v>
      </c>
      <c r="AJ152" s="16">
        <f t="shared" si="63"/>
        <v>2.4399542510000001</v>
      </c>
      <c r="AK152" s="16">
        <f t="shared" si="63"/>
        <v>7.2000000000000008E-2</v>
      </c>
      <c r="AL152" s="4"/>
    </row>
    <row r="153" spans="1:38" x14ac:dyDescent="0.2">
      <c r="A153" s="1">
        <f t="shared" si="59"/>
        <v>40859.214000000182</v>
      </c>
      <c r="B153" s="16">
        <f t="shared" si="57"/>
        <v>1.1604000000000001</v>
      </c>
      <c r="C153" s="17">
        <f t="shared" si="54"/>
        <v>11.657378400000002</v>
      </c>
      <c r="D153" s="16">
        <f t="shared" si="58"/>
        <v>1.1058894465185236</v>
      </c>
      <c r="E153" s="16">
        <f t="shared" si="55"/>
        <v>6.4531206920313986</v>
      </c>
      <c r="F153" s="16">
        <f t="shared" si="56"/>
        <v>0.70286077218320631</v>
      </c>
      <c r="G153" s="19" t="str">
        <f>IF('Peak Revenue'!$A$1="BL","-",SUM(C153:F153))</f>
        <v>-</v>
      </c>
      <c r="H153" s="203">
        <v>154.00667831236206</v>
      </c>
      <c r="I153" s="203">
        <v>149.11245405540186</v>
      </c>
      <c r="J153" s="203">
        <v>94.564231863608398</v>
      </c>
      <c r="K153" s="203">
        <v>81.046352283992505</v>
      </c>
      <c r="L153" s="203">
        <v>68.701238971475988</v>
      </c>
      <c r="M153" s="203">
        <v>64.94249024103874</v>
      </c>
      <c r="N153" s="203">
        <v>60.649022856667635</v>
      </c>
      <c r="O153" s="203">
        <v>59.063814341616244</v>
      </c>
      <c r="P153" s="203">
        <v>57.77525812124729</v>
      </c>
      <c r="Q153" s="203">
        <v>47.413062717840809</v>
      </c>
      <c r="R153" s="203">
        <v>42.139879532875156</v>
      </c>
      <c r="S153" s="203">
        <v>41.464693390018752</v>
      </c>
      <c r="T153" s="203">
        <v>41.129353314867991</v>
      </c>
      <c r="U153" s="203">
        <v>40.019052888653803</v>
      </c>
      <c r="V153" s="203">
        <v>38.680366244117671</v>
      </c>
      <c r="W153" s="203">
        <v>37.147888118214645</v>
      </c>
      <c r="X153" s="203">
        <v>35.063783593331316</v>
      </c>
      <c r="Y153" s="203">
        <v>32.024881136817825</v>
      </c>
      <c r="Z153" s="203">
        <v>30.137562726617048</v>
      </c>
      <c r="AA153" s="203">
        <v>29.440995642570378</v>
      </c>
      <c r="AB153" s="16">
        <f>AB152*(1+Assumptions!$L$13/12)</f>
        <v>1.1058894465185236</v>
      </c>
      <c r="AC153" s="16">
        <f t="shared" si="60"/>
        <v>0</v>
      </c>
      <c r="AD153" s="18">
        <f t="shared" si="61"/>
        <v>526.53218862643894</v>
      </c>
      <c r="AE153" s="18">
        <f t="shared" si="61"/>
        <v>1943.451158513079</v>
      </c>
      <c r="AF153" s="5">
        <f>IF(Assumptions!D$23=1,0,1)</f>
        <v>1</v>
      </c>
      <c r="AG153" s="73">
        <f t="shared" si="62"/>
        <v>1.1604000000000001</v>
      </c>
      <c r="AH153" s="16">
        <f>Assumptions!$E$23*Assumptions!H22</f>
        <v>4.0757712998812128</v>
      </c>
      <c r="AI153" s="16">
        <f>Assumptions!$F$23*Assumptions!I22</f>
        <v>3.7655882353067893</v>
      </c>
      <c r="AJ153" s="16">
        <f t="shared" si="63"/>
        <v>2.4399542510000001</v>
      </c>
      <c r="AK153" s="16">
        <f t="shared" si="63"/>
        <v>7.2000000000000008E-2</v>
      </c>
      <c r="AL153" s="4"/>
    </row>
    <row r="154" spans="1:38" x14ac:dyDescent="0.2">
      <c r="A154" s="1">
        <f t="shared" si="59"/>
        <v>40889.631000000183</v>
      </c>
      <c r="B154" s="16">
        <f t="shared" si="57"/>
        <v>1.1604000000000001</v>
      </c>
      <c r="C154" s="17">
        <f t="shared" si="54"/>
        <v>11.657378400000002</v>
      </c>
      <c r="D154" s="16">
        <f t="shared" si="58"/>
        <v>1.1077325955960546</v>
      </c>
      <c r="E154" s="16">
        <f t="shared" si="55"/>
        <v>6.4531206920313986</v>
      </c>
      <c r="F154" s="16">
        <f t="shared" si="56"/>
        <v>0.70286077218320631</v>
      </c>
      <c r="G154" s="19" t="str">
        <f>IF('Peak Revenue'!$A$1="BL","-",SUM(C154:F154))</f>
        <v>-</v>
      </c>
      <c r="H154" s="203">
        <v>100.69393339247577</v>
      </c>
      <c r="I154" s="203">
        <v>95.409868007824528</v>
      </c>
      <c r="J154" s="203">
        <v>92.265422456538985</v>
      </c>
      <c r="K154" s="203">
        <v>86.171448592757855</v>
      </c>
      <c r="L154" s="203">
        <v>84.621118789963447</v>
      </c>
      <c r="M154" s="203">
        <v>83.142099913272816</v>
      </c>
      <c r="N154" s="203">
        <v>67.282735250050592</v>
      </c>
      <c r="O154" s="203">
        <v>57.38750781694241</v>
      </c>
      <c r="P154" s="203">
        <v>48.670488815453062</v>
      </c>
      <c r="Q154" s="203">
        <v>47.46459668798051</v>
      </c>
      <c r="R154" s="203">
        <v>45.300532472887333</v>
      </c>
      <c r="S154" s="203">
        <v>41.947124432012814</v>
      </c>
      <c r="T154" s="203">
        <v>41.196983755251892</v>
      </c>
      <c r="U154" s="203">
        <v>41.050654306435852</v>
      </c>
      <c r="V154" s="203">
        <v>40.929050903642967</v>
      </c>
      <c r="W154" s="203">
        <v>40.591899809761969</v>
      </c>
      <c r="X154" s="203">
        <v>40.372912809125829</v>
      </c>
      <c r="Y154" s="203">
        <v>40.372912809125829</v>
      </c>
      <c r="Z154" s="203">
        <v>40.372912809125829</v>
      </c>
      <c r="AA154" s="203">
        <v>38.655372510866719</v>
      </c>
      <c r="AB154" s="16">
        <f>AB153*(1+Assumptions!$L$13/12)</f>
        <v>1.1077325955960546</v>
      </c>
      <c r="AC154" s="16">
        <f t="shared" si="60"/>
        <v>0</v>
      </c>
      <c r="AD154" s="18">
        <f t="shared" si="61"/>
        <v>526.53218862643894</v>
      </c>
      <c r="AE154" s="18">
        <f t="shared" si="61"/>
        <v>1943.451158513079</v>
      </c>
      <c r="AF154" s="5">
        <f>IF(Assumptions!D$23=1,0,1)</f>
        <v>1</v>
      </c>
      <c r="AG154" s="73">
        <f t="shared" si="62"/>
        <v>1.1604000000000001</v>
      </c>
      <c r="AH154" s="16">
        <f>Assumptions!$E$23*Assumptions!H23</f>
        <v>4.4107146477015524</v>
      </c>
      <c r="AI154" s="16">
        <f>Assumptions!$F$23*Assumptions!I23</f>
        <v>3.9483837807100315</v>
      </c>
      <c r="AJ154" s="16">
        <f t="shared" si="63"/>
        <v>2.4399542510000001</v>
      </c>
      <c r="AK154" s="16">
        <f t="shared" si="63"/>
        <v>7.2000000000000008E-2</v>
      </c>
      <c r="AL154" s="4"/>
    </row>
    <row r="155" spans="1:38" x14ac:dyDescent="0.2">
      <c r="A155" s="1">
        <f t="shared" si="59"/>
        <v>40920.048000000184</v>
      </c>
      <c r="B155" s="16">
        <f t="shared" si="57"/>
        <v>1.1668000000000001</v>
      </c>
      <c r="C155" s="17">
        <f t="shared" si="54"/>
        <v>11.7216728</v>
      </c>
      <c r="D155" s="16">
        <f t="shared" si="58"/>
        <v>1.1095788165887148</v>
      </c>
      <c r="E155" s="16">
        <f t="shared" si="55"/>
        <v>7.1498642563620738</v>
      </c>
      <c r="F155" s="16">
        <f t="shared" si="56"/>
        <v>0.72108656487453526</v>
      </c>
      <c r="G155" s="19" t="str">
        <f>IF('Peak Revenue'!$A$1="BL","-",SUM(C155:F155))</f>
        <v>-</v>
      </c>
      <c r="H155" s="203">
        <v>101.80138962797244</v>
      </c>
      <c r="I155" s="203">
        <v>98.892738075501796</v>
      </c>
      <c r="J155" s="203">
        <v>98.879241285826708</v>
      </c>
      <c r="K155" s="203">
        <v>96.614371800105843</v>
      </c>
      <c r="L155" s="203">
        <v>82.109662942181785</v>
      </c>
      <c r="M155" s="203">
        <v>64.158115594853101</v>
      </c>
      <c r="N155" s="203">
        <v>55.068928685774246</v>
      </c>
      <c r="O155" s="203">
        <v>49.903983359294507</v>
      </c>
      <c r="P155" s="203">
        <v>47.545760635636839</v>
      </c>
      <c r="Q155" s="203">
        <v>47.545760635636839</v>
      </c>
      <c r="R155" s="203">
        <v>47.545760635636839</v>
      </c>
      <c r="S155" s="203">
        <v>47.545760635636839</v>
      </c>
      <c r="T155" s="203">
        <v>47.368120370484448</v>
      </c>
      <c r="U155" s="203">
        <v>47.143600399945477</v>
      </c>
      <c r="V155" s="203">
        <v>47.143600399945477</v>
      </c>
      <c r="W155" s="203">
        <v>47.143600399945477</v>
      </c>
      <c r="X155" s="203">
        <v>47.083803592241992</v>
      </c>
      <c r="Y155" s="203">
        <v>42.439348900627905</v>
      </c>
      <c r="Z155" s="203">
        <v>38.439950950998274</v>
      </c>
      <c r="AA155" s="203">
        <v>35.392833109331299</v>
      </c>
      <c r="AB155" s="16">
        <f>AB154*(1+Assumptions!$L$13/12)</f>
        <v>1.1095788165887148</v>
      </c>
      <c r="AC155" s="16">
        <f>VLOOKUP($C$1,EnvVOM,15)</f>
        <v>0</v>
      </c>
      <c r="AD155" s="18">
        <f>Assumptions!B24</f>
        <v>583.38187908572775</v>
      </c>
      <c r="AE155" s="18">
        <f>Assumptions!C24</f>
        <v>1993.8465416709116</v>
      </c>
      <c r="AF155" s="5">
        <f>IF(Assumptions!D$24=1,0,1)</f>
        <v>1</v>
      </c>
      <c r="AG155" s="73">
        <f>VLOOKUP($C$1,Coal,15)</f>
        <v>1.1668000000000001</v>
      </c>
      <c r="AH155" s="16">
        <f>Assumptions!$E$24*Assumptions!H12</f>
        <v>4.2352224987668006</v>
      </c>
      <c r="AI155" s="16">
        <f>Assumptions!$F$24*Assumptions!I12</f>
        <v>3.9414998675294424</v>
      </c>
      <c r="AJ155" s="16">
        <f>VLOOKUP($C$1,SO2Rate,15)</f>
        <v>2.4399542510000001</v>
      </c>
      <c r="AK155" s="16">
        <f>VLOOKUP($C$1,NOxRate,15)</f>
        <v>7.2000000000000008E-2</v>
      </c>
      <c r="AL155" s="4"/>
    </row>
    <row r="156" spans="1:38" x14ac:dyDescent="0.2">
      <c r="A156" s="1">
        <f t="shared" si="59"/>
        <v>40950.465000000186</v>
      </c>
      <c r="B156" s="16">
        <f t="shared" si="57"/>
        <v>1.1668000000000001</v>
      </c>
      <c r="C156" s="17">
        <f t="shared" si="54"/>
        <v>11.7216728</v>
      </c>
      <c r="D156" s="16">
        <f t="shared" si="58"/>
        <v>1.1114281146163627</v>
      </c>
      <c r="E156" s="16">
        <f t="shared" si="55"/>
        <v>7.1498642563620738</v>
      </c>
      <c r="F156" s="16">
        <f t="shared" si="56"/>
        <v>0.72108656487453526</v>
      </c>
      <c r="G156" s="19" t="str">
        <f>IF('Peak Revenue'!$A$1="BL","-",SUM(C156:F156))</f>
        <v>-</v>
      </c>
      <c r="H156" s="203">
        <v>116.74726532738207</v>
      </c>
      <c r="I156" s="203">
        <v>102.54942948098486</v>
      </c>
      <c r="J156" s="203">
        <v>97.827781807842698</v>
      </c>
      <c r="K156" s="203">
        <v>91.101032161248256</v>
      </c>
      <c r="L156" s="203">
        <v>85.615726874316422</v>
      </c>
      <c r="M156" s="203">
        <v>84.948525306334744</v>
      </c>
      <c r="N156" s="203">
        <v>74.639995501293583</v>
      </c>
      <c r="O156" s="203">
        <v>57.879810484065409</v>
      </c>
      <c r="P156" s="203">
        <v>48.035070253966651</v>
      </c>
      <c r="Q156" s="203">
        <v>45.69337356780418</v>
      </c>
      <c r="R156" s="203">
        <v>41.766334932207343</v>
      </c>
      <c r="S156" s="203">
        <v>41.402223171628634</v>
      </c>
      <c r="T156" s="203">
        <v>41.204208203489188</v>
      </c>
      <c r="U156" s="203">
        <v>40.960747821406549</v>
      </c>
      <c r="V156" s="203">
        <v>40.861099538486002</v>
      </c>
      <c r="W156" s="203">
        <v>40.861031379715811</v>
      </c>
      <c r="X156" s="203">
        <v>38.748688359627543</v>
      </c>
      <c r="Y156" s="203">
        <v>35.140988079169134</v>
      </c>
      <c r="Z156" s="203">
        <v>33.430375397130838</v>
      </c>
      <c r="AA156" s="203">
        <v>31.076464030516775</v>
      </c>
      <c r="AB156" s="16">
        <f>AB155*(1+Assumptions!$L$13/12)</f>
        <v>1.1114281146163627</v>
      </c>
      <c r="AC156" s="16">
        <f>AC155</f>
        <v>0</v>
      </c>
      <c r="AD156" s="18">
        <f>AD155</f>
        <v>583.38187908572775</v>
      </c>
      <c r="AE156" s="18">
        <f>AE155</f>
        <v>1993.8465416709116</v>
      </c>
      <c r="AF156" s="5">
        <f>IF(Assumptions!D$24=1,0,1)</f>
        <v>1</v>
      </c>
      <c r="AG156" s="73">
        <f>AG155</f>
        <v>1.1668000000000001</v>
      </c>
      <c r="AH156" s="16">
        <f>Assumptions!$E$24*Assumptions!H13</f>
        <v>3.7959308034159887</v>
      </c>
      <c r="AI156" s="16">
        <f>Assumptions!$F$24*Assumptions!I13</f>
        <v>3.9050044983856513</v>
      </c>
      <c r="AJ156" s="16">
        <f>AJ155</f>
        <v>2.4399542510000001</v>
      </c>
      <c r="AK156" s="16">
        <f>AK155</f>
        <v>7.2000000000000008E-2</v>
      </c>
      <c r="AL156" s="4"/>
    </row>
    <row r="157" spans="1:38" x14ac:dyDescent="0.2">
      <c r="A157" s="1">
        <f t="shared" si="59"/>
        <v>40980.882000000187</v>
      </c>
      <c r="B157" s="16">
        <f t="shared" si="57"/>
        <v>1.1668000000000001</v>
      </c>
      <c r="C157" s="17">
        <f t="shared" si="54"/>
        <v>11.7216728</v>
      </c>
      <c r="D157" s="16">
        <f t="shared" si="58"/>
        <v>1.11328049480739</v>
      </c>
      <c r="E157" s="16">
        <f t="shared" si="55"/>
        <v>7.1498642563620738</v>
      </c>
      <c r="F157" s="16">
        <f t="shared" si="56"/>
        <v>0.72108656487453526</v>
      </c>
      <c r="G157" s="19" t="str">
        <f>IF('Peak Revenue'!$A$1="BL","-",SUM(C157:F157))</f>
        <v>-</v>
      </c>
      <c r="H157" s="203">
        <v>106.08524223961545</v>
      </c>
      <c r="I157" s="203">
        <v>93.855913290547974</v>
      </c>
      <c r="J157" s="203">
        <v>89.538848825766891</v>
      </c>
      <c r="K157" s="203">
        <v>83.649045506607493</v>
      </c>
      <c r="L157" s="203">
        <v>78.462418109163778</v>
      </c>
      <c r="M157" s="203">
        <v>78.144786871768275</v>
      </c>
      <c r="N157" s="203">
        <v>67.265039771490876</v>
      </c>
      <c r="O157" s="203">
        <v>53.915614759077172</v>
      </c>
      <c r="P157" s="203">
        <v>44.474216495366093</v>
      </c>
      <c r="Q157" s="203">
        <v>44.062541496120708</v>
      </c>
      <c r="R157" s="203">
        <v>40.870214244876863</v>
      </c>
      <c r="S157" s="203">
        <v>38.5395007982005</v>
      </c>
      <c r="T157" s="203">
        <v>38.190640227854999</v>
      </c>
      <c r="U157" s="203">
        <v>37.823806687179015</v>
      </c>
      <c r="V157" s="203">
        <v>37.823806687179015</v>
      </c>
      <c r="W157" s="203">
        <v>37.823479065941108</v>
      </c>
      <c r="X157" s="203">
        <v>37.822697097807435</v>
      </c>
      <c r="Y157" s="203">
        <v>37.238169625337846</v>
      </c>
      <c r="Z157" s="203">
        <v>35.051473330062926</v>
      </c>
      <c r="AA157" s="203">
        <v>31.422966110598868</v>
      </c>
      <c r="AB157" s="16">
        <f>AB156*(1+Assumptions!$L$13/12)</f>
        <v>1.11328049480739</v>
      </c>
      <c r="AC157" s="16">
        <f t="shared" ref="AC157:AC166" si="64">AC156</f>
        <v>0</v>
      </c>
      <c r="AD157" s="18">
        <f t="shared" ref="AD157:AE166" si="65">AD156</f>
        <v>583.38187908572775</v>
      </c>
      <c r="AE157" s="18">
        <f t="shared" si="65"/>
        <v>1993.8465416709116</v>
      </c>
      <c r="AF157" s="5">
        <f>IF(Assumptions!D$24=1,0,1)</f>
        <v>1</v>
      </c>
      <c r="AG157" s="73">
        <f t="shared" ref="AG157:AG166" si="66">AG156</f>
        <v>1.1668000000000001</v>
      </c>
      <c r="AH157" s="16">
        <f>Assumptions!$E$24*Assumptions!H14</f>
        <v>3.7321020955445037</v>
      </c>
      <c r="AI157" s="16">
        <f>Assumptions!$F$24*Assumptions!I14</f>
        <v>3.7590230218104868</v>
      </c>
      <c r="AJ157" s="16">
        <f t="shared" ref="AJ157:AK166" si="67">AJ156</f>
        <v>2.4399542510000001</v>
      </c>
      <c r="AK157" s="16">
        <f t="shared" si="67"/>
        <v>7.2000000000000008E-2</v>
      </c>
      <c r="AL157" s="4"/>
    </row>
    <row r="158" spans="1:38" x14ac:dyDescent="0.2">
      <c r="A158" s="1">
        <f t="shared" si="59"/>
        <v>41011.299000000188</v>
      </c>
      <c r="B158" s="16">
        <f t="shared" si="57"/>
        <v>1.1668000000000001</v>
      </c>
      <c r="C158" s="17">
        <f t="shared" si="54"/>
        <v>11.7216728</v>
      </c>
      <c r="D158" s="16">
        <f t="shared" si="58"/>
        <v>1.1151359622987358</v>
      </c>
      <c r="E158" s="16">
        <f t="shared" si="55"/>
        <v>7.1498642563620738</v>
      </c>
      <c r="F158" s="16">
        <f t="shared" si="56"/>
        <v>0.72108656487453526</v>
      </c>
      <c r="G158" s="19" t="str">
        <f>IF('Peak Revenue'!$A$1="BL","-",SUM(C158:F158))</f>
        <v>-</v>
      </c>
      <c r="H158" s="203">
        <v>79.499188281107266</v>
      </c>
      <c r="I158" s="203">
        <v>77.846372079782611</v>
      </c>
      <c r="J158" s="203">
        <v>77.846372079782611</v>
      </c>
      <c r="K158" s="203">
        <v>71.499352714787292</v>
      </c>
      <c r="L158" s="203">
        <v>54.227077896561269</v>
      </c>
      <c r="M158" s="203">
        <v>50.231505844310767</v>
      </c>
      <c r="N158" s="203">
        <v>43.913690053752688</v>
      </c>
      <c r="O158" s="203">
        <v>43.587721450948486</v>
      </c>
      <c r="P158" s="203">
        <v>40.556287058541244</v>
      </c>
      <c r="Q158" s="203">
        <v>39.028680173224444</v>
      </c>
      <c r="R158" s="203">
        <v>38.373600363940525</v>
      </c>
      <c r="S158" s="203">
        <v>37.967651696111027</v>
      </c>
      <c r="T158" s="203">
        <v>37.835878567046507</v>
      </c>
      <c r="U158" s="203">
        <v>37.835878567046507</v>
      </c>
      <c r="V158" s="203">
        <v>37.54751845808488</v>
      </c>
      <c r="W158" s="203">
        <v>37.525588353804373</v>
      </c>
      <c r="X158" s="203">
        <v>37.525588353804373</v>
      </c>
      <c r="Y158" s="203">
        <v>37.525588353804373</v>
      </c>
      <c r="Z158" s="203">
        <v>37.525508874649844</v>
      </c>
      <c r="AA158" s="203">
        <v>34.638516732444501</v>
      </c>
      <c r="AB158" s="16">
        <f>AB157*(1+Assumptions!$L$13/12)</f>
        <v>1.1151359622987358</v>
      </c>
      <c r="AC158" s="16">
        <f t="shared" si="64"/>
        <v>0</v>
      </c>
      <c r="AD158" s="18">
        <f t="shared" si="65"/>
        <v>583.38187908572775</v>
      </c>
      <c r="AE158" s="18">
        <f t="shared" si="65"/>
        <v>1993.8465416709116</v>
      </c>
      <c r="AF158" s="5">
        <f>IF(Assumptions!D$24=1,0,1)</f>
        <v>1</v>
      </c>
      <c r="AG158" s="73">
        <f t="shared" si="66"/>
        <v>1.1668000000000001</v>
      </c>
      <c r="AH158" s="16">
        <f>Assumptions!$E$24*Assumptions!H15</f>
        <v>3.5481252316796335</v>
      </c>
      <c r="AI158" s="16">
        <f>Assumptions!$F$24*Assumptions!I15</f>
        <v>3.6130415452353222</v>
      </c>
      <c r="AJ158" s="16">
        <f t="shared" si="67"/>
        <v>2.4399542510000001</v>
      </c>
      <c r="AK158" s="16">
        <f t="shared" si="67"/>
        <v>7.2000000000000008E-2</v>
      </c>
      <c r="AL158" s="4"/>
    </row>
    <row r="159" spans="1:38" x14ac:dyDescent="0.2">
      <c r="A159" s="1">
        <f t="shared" si="59"/>
        <v>41041.71600000019</v>
      </c>
      <c r="B159" s="16">
        <f t="shared" si="57"/>
        <v>1.1668000000000001</v>
      </c>
      <c r="C159" s="17">
        <f t="shared" si="54"/>
        <v>11.7216728</v>
      </c>
      <c r="D159" s="16">
        <f t="shared" si="58"/>
        <v>1.1169945222359003</v>
      </c>
      <c r="E159" s="16">
        <f t="shared" si="55"/>
        <v>7.1498642563620738</v>
      </c>
      <c r="F159" s="16">
        <f t="shared" si="56"/>
        <v>0.72108656487453526</v>
      </c>
      <c r="G159" s="19" t="str">
        <f>IF('Peak Revenue'!$A$1="BL","-",SUM(C159:F159))</f>
        <v>-</v>
      </c>
      <c r="H159" s="203">
        <v>155.15641540975386</v>
      </c>
      <c r="I159" s="203">
        <v>133.47859990904385</v>
      </c>
      <c r="J159" s="203">
        <v>83.364089370712364</v>
      </c>
      <c r="K159" s="203">
        <v>72.43039993990935</v>
      </c>
      <c r="L159" s="203">
        <v>68.463294593411234</v>
      </c>
      <c r="M159" s="203">
        <v>63.604487820680689</v>
      </c>
      <c r="N159" s="203">
        <v>62.247578814494872</v>
      </c>
      <c r="O159" s="203">
        <v>51.350398654423408</v>
      </c>
      <c r="P159" s="203">
        <v>43.536349881404142</v>
      </c>
      <c r="Q159" s="203">
        <v>36.8163202813247</v>
      </c>
      <c r="R159" s="203">
        <v>35.571787132394519</v>
      </c>
      <c r="S159" s="203">
        <v>34.877770894105957</v>
      </c>
      <c r="T159" s="203">
        <v>33.201570777894759</v>
      </c>
      <c r="U159" s="203">
        <v>32.130237995223034</v>
      </c>
      <c r="V159" s="203">
        <v>31.099168162975975</v>
      </c>
      <c r="W159" s="203">
        <v>30.927510894303246</v>
      </c>
      <c r="X159" s="203">
        <v>30.772766587156898</v>
      </c>
      <c r="Y159" s="203">
        <v>30.69830647161216</v>
      </c>
      <c r="Z159" s="203">
        <v>29.645588613872771</v>
      </c>
      <c r="AA159" s="203">
        <v>26.180342438013913</v>
      </c>
      <c r="AB159" s="16">
        <f>AB158*(1+Assumptions!$L$13/12)</f>
        <v>1.1169945222359003</v>
      </c>
      <c r="AC159" s="16">
        <f t="shared" si="64"/>
        <v>0</v>
      </c>
      <c r="AD159" s="18">
        <f t="shared" si="65"/>
        <v>583.38187908572775</v>
      </c>
      <c r="AE159" s="18">
        <f t="shared" si="65"/>
        <v>1993.8465416709116</v>
      </c>
      <c r="AF159" s="5">
        <v>1</v>
      </c>
      <c r="AG159" s="73">
        <f t="shared" si="66"/>
        <v>1.1668000000000001</v>
      </c>
      <c r="AH159" s="16">
        <f>Assumptions!$E$24*Assumptions!H16</f>
        <v>3.7358567254192967</v>
      </c>
      <c r="AI159" s="16">
        <f>Assumptions!$F$24*Assumptions!I16</f>
        <v>3.4670600686601576</v>
      </c>
      <c r="AJ159" s="16">
        <f t="shared" si="67"/>
        <v>2.4399542510000001</v>
      </c>
      <c r="AK159" s="16">
        <f t="shared" si="67"/>
        <v>7.2000000000000008E-2</v>
      </c>
      <c r="AL159" s="4"/>
    </row>
    <row r="160" spans="1:38" x14ac:dyDescent="0.2">
      <c r="A160" s="1">
        <f t="shared" si="59"/>
        <v>41072.133000000191</v>
      </c>
      <c r="B160" s="16">
        <f t="shared" si="57"/>
        <v>1.1668000000000001</v>
      </c>
      <c r="C160" s="17">
        <f t="shared" si="54"/>
        <v>11.7216728</v>
      </c>
      <c r="D160" s="16">
        <f t="shared" si="58"/>
        <v>1.1188561797729601</v>
      </c>
      <c r="E160" s="16">
        <f t="shared" si="55"/>
        <v>7.1498642563620738</v>
      </c>
      <c r="F160" s="16">
        <f t="shared" si="56"/>
        <v>0.72108656487453526</v>
      </c>
      <c r="G160" s="19" t="str">
        <f>IF('Peak Revenue'!$A$1="BL","-",SUM(C160:F160))</f>
        <v>-</v>
      </c>
      <c r="H160" s="203">
        <v>193.41396022699371</v>
      </c>
      <c r="I160" s="203">
        <v>175.45002272086407</v>
      </c>
      <c r="J160" s="203">
        <v>160.13783305695773</v>
      </c>
      <c r="K160" s="203">
        <v>134.013322525219</v>
      </c>
      <c r="L160" s="203">
        <v>89.996429713672441</v>
      </c>
      <c r="M160" s="203">
        <v>78.377258606598787</v>
      </c>
      <c r="N160" s="203">
        <v>52.780794870434114</v>
      </c>
      <c r="O160" s="203">
        <v>46.764066941035395</v>
      </c>
      <c r="P160" s="203">
        <v>41.936270770363059</v>
      </c>
      <c r="Q160" s="203">
        <v>41.308021736294535</v>
      </c>
      <c r="R160" s="203">
        <v>40.902587286563993</v>
      </c>
      <c r="S160" s="203">
        <v>40.154797172001366</v>
      </c>
      <c r="T160" s="203">
        <v>37.600475154500266</v>
      </c>
      <c r="U160" s="203">
        <v>36.06618054811743</v>
      </c>
      <c r="V160" s="203">
        <v>34.443721848577802</v>
      </c>
      <c r="W160" s="203">
        <v>33.598235725127381</v>
      </c>
      <c r="X160" s="203">
        <v>32.878663774958916</v>
      </c>
      <c r="Y160" s="203">
        <v>31.983337340474197</v>
      </c>
      <c r="Z160" s="203">
        <v>30.471569911889283</v>
      </c>
      <c r="AA160" s="203">
        <v>27.435421757011238</v>
      </c>
      <c r="AB160" s="16">
        <f>AB159*(1+Assumptions!$L$13/12)</f>
        <v>1.1188561797729601</v>
      </c>
      <c r="AC160" s="16">
        <f t="shared" si="64"/>
        <v>0</v>
      </c>
      <c r="AD160" s="18">
        <f t="shared" si="65"/>
        <v>583.38187908572775</v>
      </c>
      <c r="AE160" s="18">
        <f t="shared" si="65"/>
        <v>1993.8465416709116</v>
      </c>
      <c r="AF160" s="5">
        <v>1</v>
      </c>
      <c r="AG160" s="73">
        <f t="shared" si="66"/>
        <v>1.1668000000000001</v>
      </c>
      <c r="AH160" s="16">
        <f>Assumptions!$E$24*Assumptions!H17</f>
        <v>3.5593891213040134</v>
      </c>
      <c r="AI160" s="16">
        <f>Assumptions!$F$24*Assumptions!I17</f>
        <v>3.4670600686601576</v>
      </c>
      <c r="AJ160" s="16">
        <f t="shared" si="67"/>
        <v>2.4399542510000001</v>
      </c>
      <c r="AK160" s="16">
        <f t="shared" si="67"/>
        <v>7.2000000000000008E-2</v>
      </c>
      <c r="AL160" s="4"/>
    </row>
    <row r="161" spans="1:38" x14ac:dyDescent="0.2">
      <c r="A161" s="1">
        <f t="shared" si="59"/>
        <v>41102.550000000192</v>
      </c>
      <c r="B161" s="16">
        <f t="shared" si="57"/>
        <v>1.1668000000000001</v>
      </c>
      <c r="C161" s="17">
        <f t="shared" si="54"/>
        <v>11.7216728</v>
      </c>
      <c r="D161" s="16">
        <f t="shared" si="58"/>
        <v>1.1207209400725817</v>
      </c>
      <c r="E161" s="16">
        <f t="shared" si="55"/>
        <v>7.1498642563620738</v>
      </c>
      <c r="F161" s="16">
        <f t="shared" si="56"/>
        <v>0.72108656487453526</v>
      </c>
      <c r="G161" s="19" t="str">
        <f>IF('Peak Revenue'!$A$1="BL","-",SUM(C161:F161))</f>
        <v>-</v>
      </c>
      <c r="H161" s="203">
        <v>227.84862916884771</v>
      </c>
      <c r="I161" s="203">
        <v>200.27690175261336</v>
      </c>
      <c r="J161" s="203">
        <v>181.31802141756731</v>
      </c>
      <c r="K161" s="203">
        <v>160.22339857620062</v>
      </c>
      <c r="L161" s="203">
        <v>146.10840201860879</v>
      </c>
      <c r="M161" s="203">
        <v>99.780406367115887</v>
      </c>
      <c r="N161" s="203">
        <v>84.72791395108068</v>
      </c>
      <c r="O161" s="203">
        <v>80.682389194499834</v>
      </c>
      <c r="P161" s="203">
        <v>69.872720258240818</v>
      </c>
      <c r="Q161" s="203">
        <v>53.732029536383678</v>
      </c>
      <c r="R161" s="203">
        <v>45.610982419180246</v>
      </c>
      <c r="S161" s="203">
        <v>43.78033070851297</v>
      </c>
      <c r="T161" s="203">
        <v>40.555614081283736</v>
      </c>
      <c r="U161" s="203">
        <v>39.501525962796777</v>
      </c>
      <c r="V161" s="203">
        <v>39.277136673946949</v>
      </c>
      <c r="W161" s="203">
        <v>39.263103594550714</v>
      </c>
      <c r="X161" s="203">
        <v>38.958339167204549</v>
      </c>
      <c r="Y161" s="203">
        <v>38.913297276288056</v>
      </c>
      <c r="Z161" s="203">
        <v>38.634598376436251</v>
      </c>
      <c r="AA161" s="203">
        <v>34.873943583409869</v>
      </c>
      <c r="AB161" s="16">
        <f>AB160*(1+Assumptions!$L$13/12)</f>
        <v>1.1207209400725817</v>
      </c>
      <c r="AC161" s="16">
        <f t="shared" si="64"/>
        <v>0</v>
      </c>
      <c r="AD161" s="18">
        <f t="shared" si="65"/>
        <v>583.38187908572775</v>
      </c>
      <c r="AE161" s="18">
        <f t="shared" si="65"/>
        <v>1993.8465416709116</v>
      </c>
      <c r="AF161" s="5">
        <v>1</v>
      </c>
      <c r="AG161" s="73">
        <f t="shared" si="66"/>
        <v>1.1668000000000001</v>
      </c>
      <c r="AH161" s="16">
        <f>Assumptions!$E$24*Assumptions!H18</f>
        <v>3.5481252316796335</v>
      </c>
      <c r="AI161" s="16">
        <f>Assumptions!$F$24*Assumptions!I18</f>
        <v>3.4670600686601576</v>
      </c>
      <c r="AJ161" s="16">
        <f t="shared" si="67"/>
        <v>2.4399542510000001</v>
      </c>
      <c r="AK161" s="16">
        <f t="shared" si="67"/>
        <v>7.2000000000000008E-2</v>
      </c>
      <c r="AL161" s="4"/>
    </row>
    <row r="162" spans="1:38" x14ac:dyDescent="0.2">
      <c r="A162" s="1">
        <f t="shared" si="59"/>
        <v>41132.967000000193</v>
      </c>
      <c r="B162" s="16">
        <f t="shared" si="57"/>
        <v>1.1668000000000001</v>
      </c>
      <c r="C162" s="17">
        <f t="shared" si="54"/>
        <v>11.7216728</v>
      </c>
      <c r="D162" s="16">
        <f t="shared" si="58"/>
        <v>1.122588808306036</v>
      </c>
      <c r="E162" s="16">
        <f t="shared" si="55"/>
        <v>7.1498642563620738</v>
      </c>
      <c r="F162" s="16">
        <f t="shared" si="56"/>
        <v>0.72108656487453526</v>
      </c>
      <c r="G162" s="19" t="str">
        <f>IF('Peak Revenue'!$A$1="BL","-",SUM(C162:F162))</f>
        <v>-</v>
      </c>
      <c r="H162" s="203">
        <v>454.14938756880395</v>
      </c>
      <c r="I162" s="203">
        <v>290.03607276374976</v>
      </c>
      <c r="J162" s="203">
        <v>242.26371480781131</v>
      </c>
      <c r="K162" s="203">
        <v>207.85361151623783</v>
      </c>
      <c r="L162" s="203">
        <v>180.5851462266821</v>
      </c>
      <c r="M162" s="203">
        <v>156.77382073319328</v>
      </c>
      <c r="N162" s="203">
        <v>104.49636490074205</v>
      </c>
      <c r="O162" s="203">
        <v>57.479641204128299</v>
      </c>
      <c r="P162" s="203">
        <v>49.125231532201255</v>
      </c>
      <c r="Q162" s="203">
        <v>45.077428574058985</v>
      </c>
      <c r="R162" s="203">
        <v>42.374763034030742</v>
      </c>
      <c r="S162" s="203">
        <v>38.904402211568815</v>
      </c>
      <c r="T162" s="203">
        <v>36.242303683143462</v>
      </c>
      <c r="U162" s="203">
        <v>34.606593865541996</v>
      </c>
      <c r="V162" s="203">
        <v>33.346134325633031</v>
      </c>
      <c r="W162" s="203">
        <v>32.482720559594043</v>
      </c>
      <c r="X162" s="203">
        <v>30.430315754955178</v>
      </c>
      <c r="Y162" s="203">
        <v>29.039001683511195</v>
      </c>
      <c r="Z162" s="203">
        <v>28.097863701336298</v>
      </c>
      <c r="AA162" s="203">
        <v>26.658583095990725</v>
      </c>
      <c r="AB162" s="16">
        <f>AB161*(1+Assumptions!$L$13/12)</f>
        <v>1.122588808306036</v>
      </c>
      <c r="AC162" s="16">
        <f t="shared" si="64"/>
        <v>0</v>
      </c>
      <c r="AD162" s="18">
        <f t="shared" si="65"/>
        <v>583.38187908572775</v>
      </c>
      <c r="AE162" s="18">
        <f t="shared" si="65"/>
        <v>1993.8465416709116</v>
      </c>
      <c r="AF162" s="5">
        <v>1</v>
      </c>
      <c r="AG162" s="73">
        <f t="shared" si="66"/>
        <v>1.1668000000000001</v>
      </c>
      <c r="AH162" s="16">
        <f>Assumptions!$E$24*Assumptions!H19</f>
        <v>3.3641483678147637</v>
      </c>
      <c r="AI162" s="16">
        <f>Assumptions!$F$24*Assumptions!I19</f>
        <v>3.4670600686601576</v>
      </c>
      <c r="AJ162" s="16">
        <f t="shared" si="67"/>
        <v>2.4399542510000001</v>
      </c>
      <c r="AK162" s="16">
        <f t="shared" si="67"/>
        <v>7.2000000000000008E-2</v>
      </c>
      <c r="AL162" s="4"/>
    </row>
    <row r="163" spans="1:38" x14ac:dyDescent="0.2">
      <c r="A163" s="1">
        <f t="shared" si="59"/>
        <v>41163.384000000195</v>
      </c>
      <c r="B163" s="16">
        <f t="shared" si="57"/>
        <v>1.1668000000000001</v>
      </c>
      <c r="C163" s="17">
        <f t="shared" si="54"/>
        <v>11.7216728</v>
      </c>
      <c r="D163" s="16">
        <f t="shared" si="58"/>
        <v>1.1244597896532127</v>
      </c>
      <c r="E163" s="16">
        <f t="shared" si="55"/>
        <v>7.1498642563620738</v>
      </c>
      <c r="F163" s="16">
        <f t="shared" si="56"/>
        <v>0.72108656487453526</v>
      </c>
      <c r="G163" s="19" t="str">
        <f>IF('Peak Revenue'!$A$1="BL","-",SUM(C163:F163))</f>
        <v>-</v>
      </c>
      <c r="H163" s="203">
        <v>176.8019585806974</v>
      </c>
      <c r="I163" s="203">
        <v>159.7011453442756</v>
      </c>
      <c r="J163" s="203">
        <v>150.51259114802792</v>
      </c>
      <c r="K163" s="203">
        <v>90.947213013725744</v>
      </c>
      <c r="L163" s="203">
        <v>76.649718108444702</v>
      </c>
      <c r="M163" s="203">
        <v>73.550002279010158</v>
      </c>
      <c r="N163" s="203">
        <v>54.206323554958374</v>
      </c>
      <c r="O163" s="203">
        <v>47.745714881461666</v>
      </c>
      <c r="P163" s="203">
        <v>42.348218859640681</v>
      </c>
      <c r="Q163" s="203">
        <v>41.846944476147904</v>
      </c>
      <c r="R163" s="203">
        <v>40.344741109560928</v>
      </c>
      <c r="S163" s="203">
        <v>39.402590580135623</v>
      </c>
      <c r="T163" s="203">
        <v>37.683033767627286</v>
      </c>
      <c r="U163" s="203">
        <v>36.580858024611764</v>
      </c>
      <c r="V163" s="203">
        <v>36.421419927955455</v>
      </c>
      <c r="W163" s="203">
        <v>36.267432926496653</v>
      </c>
      <c r="X163" s="203">
        <v>36.125285667902652</v>
      </c>
      <c r="Y163" s="203">
        <v>36.125285667902652</v>
      </c>
      <c r="Z163" s="203">
        <v>36.125273990001951</v>
      </c>
      <c r="AA163" s="203">
        <v>34.554802150871957</v>
      </c>
      <c r="AB163" s="16">
        <f>AB162*(1+Assumptions!$L$13/12)</f>
        <v>1.1244597896532127</v>
      </c>
      <c r="AC163" s="16">
        <f t="shared" si="64"/>
        <v>0</v>
      </c>
      <c r="AD163" s="18">
        <f t="shared" si="65"/>
        <v>583.38187908572775</v>
      </c>
      <c r="AE163" s="18">
        <f t="shared" si="65"/>
        <v>1993.8465416709116</v>
      </c>
      <c r="AF163" s="5">
        <v>1</v>
      </c>
      <c r="AG163" s="73">
        <f t="shared" si="66"/>
        <v>1.1668000000000001</v>
      </c>
      <c r="AH163" s="16">
        <f>Assumptions!$E$24*Assumptions!H20</f>
        <v>3.3528844781903842</v>
      </c>
      <c r="AI163" s="16">
        <f>Assumptions!$F$24*Assumptions!I20</f>
        <v>3.4670600686601576</v>
      </c>
      <c r="AJ163" s="16">
        <f t="shared" si="67"/>
        <v>2.4399542510000001</v>
      </c>
      <c r="AK163" s="16">
        <f t="shared" si="67"/>
        <v>7.2000000000000008E-2</v>
      </c>
      <c r="AL163" s="4"/>
    </row>
    <row r="164" spans="1:38" x14ac:dyDescent="0.2">
      <c r="A164" s="1">
        <f t="shared" si="59"/>
        <v>41193.801000000196</v>
      </c>
      <c r="B164" s="16">
        <f t="shared" si="57"/>
        <v>1.1668000000000001</v>
      </c>
      <c r="C164" s="17">
        <f t="shared" si="54"/>
        <v>11.7216728</v>
      </c>
      <c r="D164" s="16">
        <f t="shared" si="58"/>
        <v>1.1263338893026347</v>
      </c>
      <c r="E164" s="16">
        <f t="shared" si="55"/>
        <v>7.1498642563620738</v>
      </c>
      <c r="F164" s="16">
        <f t="shared" si="56"/>
        <v>0.72108656487453526</v>
      </c>
      <c r="G164" s="19" t="str">
        <f>IF('Peak Revenue'!$A$1="BL","-",SUM(C164:F164))</f>
        <v>-</v>
      </c>
      <c r="H164" s="203">
        <v>113.9764424835931</v>
      </c>
      <c r="I164" s="203">
        <v>95.726348316431626</v>
      </c>
      <c r="J164" s="203">
        <v>90.032341758727085</v>
      </c>
      <c r="K164" s="203">
        <v>78.984540913025612</v>
      </c>
      <c r="L164" s="203">
        <v>69.387244219364135</v>
      </c>
      <c r="M164" s="203">
        <v>65.083929179109845</v>
      </c>
      <c r="N164" s="203">
        <v>60.304998210874793</v>
      </c>
      <c r="O164" s="203">
        <v>59.720263465376107</v>
      </c>
      <c r="P164" s="203">
        <v>49.597320012292073</v>
      </c>
      <c r="Q164" s="203">
        <v>45.397713357823399</v>
      </c>
      <c r="R164" s="203">
        <v>42.412746353039488</v>
      </c>
      <c r="S164" s="203">
        <v>37.899222099633661</v>
      </c>
      <c r="T164" s="203">
        <v>32.851892060740752</v>
      </c>
      <c r="U164" s="203">
        <v>31.486190284037967</v>
      </c>
      <c r="V164" s="203">
        <v>30.514435321612687</v>
      </c>
      <c r="W164" s="203">
        <v>30.472210713429458</v>
      </c>
      <c r="X164" s="203">
        <v>30.172685520183776</v>
      </c>
      <c r="Y164" s="203">
        <v>29.775148096785124</v>
      </c>
      <c r="Z164" s="203">
        <v>29.775148096785124</v>
      </c>
      <c r="AA164" s="203">
        <v>29.767154027057842</v>
      </c>
      <c r="AB164" s="16">
        <f>AB163*(1+Assumptions!$L$13/12)</f>
        <v>1.1263338893026347</v>
      </c>
      <c r="AC164" s="16">
        <f t="shared" si="64"/>
        <v>0</v>
      </c>
      <c r="AD164" s="18">
        <f t="shared" si="65"/>
        <v>583.38187908572775</v>
      </c>
      <c r="AE164" s="18">
        <f t="shared" si="65"/>
        <v>1993.8465416709116</v>
      </c>
      <c r="AF164" s="5">
        <f>IF(Assumptions!D$24=1,0,1)</f>
        <v>1</v>
      </c>
      <c r="AG164" s="73">
        <f t="shared" si="66"/>
        <v>1.1668000000000001</v>
      </c>
      <c r="AH164" s="16">
        <f>Assumptions!$E$24*Assumptions!H21</f>
        <v>3.7133289461705372</v>
      </c>
      <c r="AI164" s="16">
        <f>Assumptions!$F$24*Assumptions!I21</f>
        <v>3.4670600686601576</v>
      </c>
      <c r="AJ164" s="16">
        <f t="shared" si="67"/>
        <v>2.4399542510000001</v>
      </c>
      <c r="AK164" s="16">
        <f t="shared" si="67"/>
        <v>7.2000000000000008E-2</v>
      </c>
      <c r="AL164" s="4"/>
    </row>
    <row r="165" spans="1:38" x14ac:dyDescent="0.2">
      <c r="A165" s="1">
        <f t="shared" si="59"/>
        <v>41224.218000000197</v>
      </c>
      <c r="B165" s="16">
        <f t="shared" si="57"/>
        <v>1.1668000000000001</v>
      </c>
      <c r="C165" s="17">
        <f t="shared" si="54"/>
        <v>11.7216728</v>
      </c>
      <c r="D165" s="16">
        <f t="shared" si="58"/>
        <v>1.1282111124514724</v>
      </c>
      <c r="E165" s="16">
        <f t="shared" si="55"/>
        <v>7.1498642563620738</v>
      </c>
      <c r="F165" s="16">
        <f t="shared" si="56"/>
        <v>0.72108656487453526</v>
      </c>
      <c r="G165" s="19" t="str">
        <f>IF('Peak Revenue'!$A$1="BL","-",SUM(C165:F165))</f>
        <v>-</v>
      </c>
      <c r="H165" s="203">
        <v>150.94312074135209</v>
      </c>
      <c r="I165" s="203">
        <v>141.87364004814847</v>
      </c>
      <c r="J165" s="203">
        <v>117.83406294120584</v>
      </c>
      <c r="K165" s="203">
        <v>86.004926470161351</v>
      </c>
      <c r="L165" s="203">
        <v>76.644330463569943</v>
      </c>
      <c r="M165" s="203">
        <v>73.049881675657758</v>
      </c>
      <c r="N165" s="203">
        <v>66.029839536720885</v>
      </c>
      <c r="O165" s="203">
        <v>51.776036292460311</v>
      </c>
      <c r="P165" s="203">
        <v>51.389700393309155</v>
      </c>
      <c r="Q165" s="203">
        <v>50.223365628530118</v>
      </c>
      <c r="R165" s="203">
        <v>41.575141531708766</v>
      </c>
      <c r="S165" s="203">
        <v>40.706317905344122</v>
      </c>
      <c r="T165" s="203">
        <v>37.089893689292509</v>
      </c>
      <c r="U165" s="203">
        <v>36.100443176539784</v>
      </c>
      <c r="V165" s="203">
        <v>35.845602208937706</v>
      </c>
      <c r="W165" s="203">
        <v>35.796159189260322</v>
      </c>
      <c r="X165" s="203">
        <v>35.796159189260322</v>
      </c>
      <c r="Y165" s="203">
        <v>35.744139678765748</v>
      </c>
      <c r="Z165" s="203">
        <v>35.222548354049643</v>
      </c>
      <c r="AA165" s="203">
        <v>34.593899620999487</v>
      </c>
      <c r="AB165" s="16">
        <f>AB164*(1+Assumptions!$L$13/12)</f>
        <v>1.1282111124514724</v>
      </c>
      <c r="AC165" s="16">
        <f t="shared" si="64"/>
        <v>0</v>
      </c>
      <c r="AD165" s="18">
        <f t="shared" si="65"/>
        <v>583.38187908572775</v>
      </c>
      <c r="AE165" s="18">
        <f t="shared" si="65"/>
        <v>1993.8465416709116</v>
      </c>
      <c r="AF165" s="5">
        <f>IF(Assumptions!D$24=1,0,1)</f>
        <v>1</v>
      </c>
      <c r="AG165" s="73">
        <f t="shared" si="66"/>
        <v>1.1668000000000001</v>
      </c>
      <c r="AH165" s="16">
        <f>Assumptions!$E$24*Assumptions!H22</f>
        <v>4.0662641544011038</v>
      </c>
      <c r="AI165" s="16">
        <f>Assumptions!$F$24*Assumptions!I22</f>
        <v>3.7590230218104868</v>
      </c>
      <c r="AJ165" s="16">
        <f t="shared" si="67"/>
        <v>2.4399542510000001</v>
      </c>
      <c r="AK165" s="16">
        <f t="shared" si="67"/>
        <v>7.2000000000000008E-2</v>
      </c>
      <c r="AL165" s="4"/>
    </row>
    <row r="166" spans="1:38" x14ac:dyDescent="0.2">
      <c r="A166" s="1">
        <f t="shared" si="59"/>
        <v>41254.635000000198</v>
      </c>
      <c r="B166" s="16">
        <f t="shared" si="57"/>
        <v>1.1668000000000001</v>
      </c>
      <c r="C166" s="17">
        <f t="shared" si="54"/>
        <v>11.7216728</v>
      </c>
      <c r="D166" s="16">
        <f t="shared" si="58"/>
        <v>1.1300914643055582</v>
      </c>
      <c r="E166" s="16">
        <f t="shared" si="55"/>
        <v>7.1498642563620738</v>
      </c>
      <c r="F166" s="16">
        <f t="shared" si="56"/>
        <v>0.72108656487453526</v>
      </c>
      <c r="G166" s="19" t="str">
        <f>IF('Peak Revenue'!$A$1="BL","-",SUM(C166:F166))</f>
        <v>-</v>
      </c>
      <c r="H166" s="203">
        <v>151.55627780310641</v>
      </c>
      <c r="I166" s="203">
        <v>148.07690728240505</v>
      </c>
      <c r="J166" s="203">
        <v>102.49287749641624</v>
      </c>
      <c r="K166" s="203">
        <v>93.011128274355002</v>
      </c>
      <c r="L166" s="203">
        <v>87.067592105519381</v>
      </c>
      <c r="M166" s="203">
        <v>84.029523567702384</v>
      </c>
      <c r="N166" s="203">
        <v>82.463495726401447</v>
      </c>
      <c r="O166" s="203">
        <v>68.281487727704999</v>
      </c>
      <c r="P166" s="203">
        <v>57.14464164778186</v>
      </c>
      <c r="Q166" s="203">
        <v>47.686365273820833</v>
      </c>
      <c r="R166" s="203">
        <v>46.80022528618602</v>
      </c>
      <c r="S166" s="203">
        <v>41.645760666771153</v>
      </c>
      <c r="T166" s="203">
        <v>41.036742651639223</v>
      </c>
      <c r="U166" s="203">
        <v>41.036742651639223</v>
      </c>
      <c r="V166" s="203">
        <v>41.036742651639223</v>
      </c>
      <c r="W166" s="203">
        <v>41.036742651639223</v>
      </c>
      <c r="X166" s="203">
        <v>40.705390418143573</v>
      </c>
      <c r="Y166" s="203">
        <v>40.698734579925976</v>
      </c>
      <c r="Z166" s="203">
        <v>40.698734579925976</v>
      </c>
      <c r="AA166" s="203">
        <v>37.37936014422511</v>
      </c>
      <c r="AB166" s="16">
        <f>AB165*(1+Assumptions!$L$13/12)</f>
        <v>1.1300914643055582</v>
      </c>
      <c r="AC166" s="16">
        <f t="shared" si="64"/>
        <v>0</v>
      </c>
      <c r="AD166" s="18">
        <f t="shared" si="65"/>
        <v>583.38187908572775</v>
      </c>
      <c r="AE166" s="18">
        <f t="shared" si="65"/>
        <v>1993.8465416709116</v>
      </c>
      <c r="AF166" s="5">
        <f>IF(Assumptions!D$24=1,0,1)</f>
        <v>1</v>
      </c>
      <c r="AG166" s="73">
        <f t="shared" si="66"/>
        <v>1.1668000000000001</v>
      </c>
      <c r="AH166" s="16">
        <f>Assumptions!$E$24*Assumptions!H23</f>
        <v>4.4004262132577043</v>
      </c>
      <c r="AI166" s="16">
        <f>Assumptions!$F$24*Assumptions!I23</f>
        <v>3.9414998675294424</v>
      </c>
      <c r="AJ166" s="16">
        <f t="shared" si="67"/>
        <v>2.4399542510000001</v>
      </c>
      <c r="AK166" s="16">
        <f t="shared" si="67"/>
        <v>7.2000000000000008E-2</v>
      </c>
      <c r="AL166" s="4"/>
    </row>
    <row r="167" spans="1:38" x14ac:dyDescent="0.2">
      <c r="A167" s="1">
        <f t="shared" si="59"/>
        <v>41285.0520000002</v>
      </c>
      <c r="B167" s="16">
        <f t="shared" si="57"/>
        <v>1.1665000000000001</v>
      </c>
      <c r="C167" s="17">
        <f t="shared" si="54"/>
        <v>11.718659000000002</v>
      </c>
      <c r="D167" s="16">
        <f t="shared" si="58"/>
        <v>1.1319749500794007</v>
      </c>
      <c r="E167" s="16">
        <f t="shared" si="55"/>
        <v>8.0168786727282555</v>
      </c>
      <c r="F167" s="16">
        <f t="shared" si="56"/>
        <v>0.64408159143643295</v>
      </c>
      <c r="G167" s="19" t="str">
        <f>IF('Peak Revenue'!$A$1="BL","-",SUM(C167:F167))</f>
        <v>-</v>
      </c>
      <c r="H167" s="203">
        <v>106.12619029558753</v>
      </c>
      <c r="I167" s="203">
        <v>102.51069987331269</v>
      </c>
      <c r="J167" s="203">
        <v>98.122766843722871</v>
      </c>
      <c r="K167" s="203">
        <v>93.81794732113832</v>
      </c>
      <c r="L167" s="203">
        <v>93.600351090235961</v>
      </c>
      <c r="M167" s="203">
        <v>87.240003831409297</v>
      </c>
      <c r="N167" s="203">
        <v>63.624450731978321</v>
      </c>
      <c r="O167" s="203">
        <v>57.03791724863104</v>
      </c>
      <c r="P167" s="203">
        <v>52.29446650583639</v>
      </c>
      <c r="Q167" s="203">
        <v>44.884107361873056</v>
      </c>
      <c r="R167" s="203">
        <v>44.884107361873056</v>
      </c>
      <c r="S167" s="203">
        <v>44.884107361873056</v>
      </c>
      <c r="T167" s="203">
        <v>44.883975991450939</v>
      </c>
      <c r="U167" s="203">
        <v>44.506032806250929</v>
      </c>
      <c r="V167" s="203">
        <v>44.504710288822203</v>
      </c>
      <c r="W167" s="203">
        <v>44.504710288822203</v>
      </c>
      <c r="X167" s="203">
        <v>44.504710288822203</v>
      </c>
      <c r="Y167" s="203">
        <v>44.504688158917631</v>
      </c>
      <c r="Z167" s="203">
        <v>44.504550516071816</v>
      </c>
      <c r="AA167" s="203">
        <v>37.573813892644687</v>
      </c>
      <c r="AB167" s="16">
        <f>AB166*(1+Assumptions!$L$13/12)</f>
        <v>1.1319749500794007</v>
      </c>
      <c r="AC167" s="16">
        <f>VLOOKUP($C$1,EnvVOM,16)</f>
        <v>0</v>
      </c>
      <c r="AD167" s="18">
        <f>Assumptions!B25</f>
        <v>654.12455073352146</v>
      </c>
      <c r="AE167" s="18">
        <f>Assumptions!C25</f>
        <v>1780.92328465844</v>
      </c>
      <c r="AF167" s="5">
        <f>IF(Assumptions!D$25=1,0,1)</f>
        <v>1</v>
      </c>
      <c r="AG167" s="73">
        <f>VLOOKUP($C$1,Coal,16)</f>
        <v>1.1665000000000001</v>
      </c>
      <c r="AH167" s="16">
        <f>Assumptions!$E$25*Assumptions!H12</f>
        <v>4.4208538096916277</v>
      </c>
      <c r="AI167" s="16">
        <f>Assumptions!$F$25*Assumptions!I12</f>
        <v>4.1231816791224452</v>
      </c>
      <c r="AJ167" s="16">
        <f>VLOOKUP($C$1,SO2Rate,16)</f>
        <v>2.4399542510000001</v>
      </c>
      <c r="AK167" s="16">
        <f>VLOOKUP($C$1,NOxRate,16)</f>
        <v>7.2000000000000008E-2</v>
      </c>
      <c r="AL167" s="4"/>
    </row>
    <row r="168" spans="1:38" x14ac:dyDescent="0.2">
      <c r="A168" s="1">
        <f t="shared" si="59"/>
        <v>41315.469000000201</v>
      </c>
      <c r="B168" s="16">
        <f t="shared" si="57"/>
        <v>1.1665000000000001</v>
      </c>
      <c r="C168" s="17">
        <f t="shared" si="54"/>
        <v>11.718659000000002</v>
      </c>
      <c r="D168" s="16">
        <f t="shared" si="58"/>
        <v>1.1338615749961998</v>
      </c>
      <c r="E168" s="16">
        <f t="shared" si="55"/>
        <v>8.0168786727282555</v>
      </c>
      <c r="F168" s="16">
        <f t="shared" si="56"/>
        <v>0.64408159143643295</v>
      </c>
      <c r="G168" s="19" t="str">
        <f>IF('Peak Revenue'!$A$1="BL","-",SUM(C168:F168))</f>
        <v>-</v>
      </c>
      <c r="H168" s="203">
        <v>151.79412228291909</v>
      </c>
      <c r="I168" s="203">
        <v>133.19880500863957</v>
      </c>
      <c r="J168" s="203">
        <v>96.077602482325162</v>
      </c>
      <c r="K168" s="203">
        <v>80.664747690849907</v>
      </c>
      <c r="L168" s="203">
        <v>75.75716139465878</v>
      </c>
      <c r="M168" s="203">
        <v>70.545563342924353</v>
      </c>
      <c r="N168" s="203">
        <v>66.054733208214245</v>
      </c>
      <c r="O168" s="203">
        <v>65.723298501791106</v>
      </c>
      <c r="P168" s="203">
        <v>60.221955529800674</v>
      </c>
      <c r="Q168" s="203">
        <v>46.840869945777683</v>
      </c>
      <c r="R168" s="203">
        <v>45.156117074188117</v>
      </c>
      <c r="S168" s="203">
        <v>40.863585989495718</v>
      </c>
      <c r="T168" s="203">
        <v>38.725340015393087</v>
      </c>
      <c r="U168" s="203">
        <v>37.720555375358394</v>
      </c>
      <c r="V168" s="203">
        <v>37.457670360863801</v>
      </c>
      <c r="W168" s="203">
        <v>37.027424641575514</v>
      </c>
      <c r="X168" s="203">
        <v>36.0558100360089</v>
      </c>
      <c r="Y168" s="203">
        <v>35.219147083769741</v>
      </c>
      <c r="Z168" s="203">
        <v>33.701301137199707</v>
      </c>
      <c r="AA168" s="203">
        <v>32.672672087765861</v>
      </c>
      <c r="AB168" s="16">
        <f>AB167*(1+Assumptions!$L$13/12)</f>
        <v>1.1338615749961998</v>
      </c>
      <c r="AC168" s="16">
        <f>AC167</f>
        <v>0</v>
      </c>
      <c r="AD168" s="18">
        <f>AD167</f>
        <v>654.12455073352146</v>
      </c>
      <c r="AE168" s="18">
        <f>AE167</f>
        <v>1780.92328465844</v>
      </c>
      <c r="AF168" s="5">
        <f>IF(Assumptions!D$25=1,0,1)</f>
        <v>1</v>
      </c>
      <c r="AG168" s="73">
        <f>AG167</f>
        <v>1.1665000000000001</v>
      </c>
      <c r="AH168" s="16">
        <f>Assumptions!$E$25*Assumptions!H13</f>
        <v>3.9623078028353156</v>
      </c>
      <c r="AI168" s="16">
        <f>Assumptions!$F$25*Assumptions!I13</f>
        <v>4.0850040709824222</v>
      </c>
      <c r="AJ168" s="16">
        <f>AJ167</f>
        <v>2.4399542510000001</v>
      </c>
      <c r="AK168" s="16">
        <f>AK167</f>
        <v>7.2000000000000008E-2</v>
      </c>
      <c r="AL168" s="4"/>
    </row>
    <row r="169" spans="1:38" x14ac:dyDescent="0.2">
      <c r="A169" s="1">
        <f t="shared" si="59"/>
        <v>41345.886000000202</v>
      </c>
      <c r="B169" s="16">
        <f t="shared" si="57"/>
        <v>1.1665000000000001</v>
      </c>
      <c r="C169" s="17">
        <f t="shared" si="54"/>
        <v>11.718659000000002</v>
      </c>
      <c r="D169" s="16">
        <f t="shared" si="58"/>
        <v>1.1357513442878602</v>
      </c>
      <c r="E169" s="16">
        <f t="shared" si="55"/>
        <v>8.0168786727282555</v>
      </c>
      <c r="F169" s="16">
        <f t="shared" si="56"/>
        <v>0.64408159143643295</v>
      </c>
      <c r="G169" s="19" t="str">
        <f>IF('Peak Revenue'!$A$1="BL","-",SUM(C169:F169))</f>
        <v>-</v>
      </c>
      <c r="H169" s="203">
        <v>130.92490215329627</v>
      </c>
      <c r="I169" s="203">
        <v>87.001019970655065</v>
      </c>
      <c r="J169" s="203">
        <v>79.422978509404174</v>
      </c>
      <c r="K169" s="203">
        <v>74.163895660650496</v>
      </c>
      <c r="L169" s="203">
        <v>68.901190838586842</v>
      </c>
      <c r="M169" s="203">
        <v>68.407416647255786</v>
      </c>
      <c r="N169" s="203">
        <v>65.035602548860965</v>
      </c>
      <c r="O169" s="203">
        <v>52.668081081010861</v>
      </c>
      <c r="P169" s="203">
        <v>47.86419868144867</v>
      </c>
      <c r="Q169" s="203">
        <v>46.526266527805305</v>
      </c>
      <c r="R169" s="203">
        <v>43.466590296662119</v>
      </c>
      <c r="S169" s="203">
        <v>41.748134265386497</v>
      </c>
      <c r="T169" s="203">
        <v>40.240618087042641</v>
      </c>
      <c r="U169" s="203">
        <v>39.600190275219298</v>
      </c>
      <c r="V169" s="203">
        <v>38.982926102938997</v>
      </c>
      <c r="W169" s="203">
        <v>38.827860690597319</v>
      </c>
      <c r="X169" s="203">
        <v>38.106203689253043</v>
      </c>
      <c r="Y169" s="203">
        <v>37.05582737238695</v>
      </c>
      <c r="Z169" s="203">
        <v>36.184842411621361</v>
      </c>
      <c r="AA169" s="203">
        <v>33.824241385890879</v>
      </c>
      <c r="AB169" s="16">
        <f>AB168*(1+Assumptions!$L$13/12)</f>
        <v>1.1357513442878602</v>
      </c>
      <c r="AC169" s="16">
        <f t="shared" ref="AC169:AC178" si="68">AC168</f>
        <v>0</v>
      </c>
      <c r="AD169" s="18">
        <f t="shared" ref="AD169:AE178" si="69">AD168</f>
        <v>654.12455073352146</v>
      </c>
      <c r="AE169" s="18">
        <f t="shared" si="69"/>
        <v>1780.92328465844</v>
      </c>
      <c r="AF169" s="5">
        <f>IF(Assumptions!D$25=1,0,1)</f>
        <v>1</v>
      </c>
      <c r="AG169" s="73">
        <f t="shared" ref="AG169:AG178" si="70">AG168</f>
        <v>1.1665000000000001</v>
      </c>
      <c r="AH169" s="16">
        <f>Assumptions!$E$25*Assumptions!H14</f>
        <v>3.8956814599587575</v>
      </c>
      <c r="AI169" s="16">
        <f>Assumptions!$F$25*Assumptions!I14</f>
        <v>3.9322936384223315</v>
      </c>
      <c r="AJ169" s="16">
        <f t="shared" ref="AJ169:AK178" si="71">AJ168</f>
        <v>2.4399542510000001</v>
      </c>
      <c r="AK169" s="16">
        <f t="shared" si="71"/>
        <v>7.2000000000000008E-2</v>
      </c>
      <c r="AL169" s="4"/>
    </row>
    <row r="170" spans="1:38" x14ac:dyDescent="0.2">
      <c r="A170" s="1">
        <f t="shared" si="59"/>
        <v>41376.303000000204</v>
      </c>
      <c r="B170" s="16">
        <f t="shared" si="57"/>
        <v>1.1665000000000001</v>
      </c>
      <c r="C170" s="17">
        <f t="shared" si="54"/>
        <v>11.718659000000002</v>
      </c>
      <c r="D170" s="16">
        <f t="shared" si="58"/>
        <v>1.1376442631950066</v>
      </c>
      <c r="E170" s="16">
        <f t="shared" si="55"/>
        <v>8.0168786727282555</v>
      </c>
      <c r="F170" s="16">
        <f t="shared" si="56"/>
        <v>0.64408159143643295</v>
      </c>
      <c r="G170" s="19" t="str">
        <f>IF('Peak Revenue'!$A$1="BL","-",SUM(C170:F170))</f>
        <v>-</v>
      </c>
      <c r="H170" s="203">
        <v>75.291892039941132</v>
      </c>
      <c r="I170" s="203">
        <v>70.581250141746182</v>
      </c>
      <c r="J170" s="203">
        <v>68.31126073704695</v>
      </c>
      <c r="K170" s="203">
        <v>65.225737772520759</v>
      </c>
      <c r="L170" s="203">
        <v>61.404912834763252</v>
      </c>
      <c r="M170" s="203">
        <v>58.620357969240253</v>
      </c>
      <c r="N170" s="203">
        <v>58.361511152154229</v>
      </c>
      <c r="O170" s="203">
        <v>53.672410899136089</v>
      </c>
      <c r="P170" s="203">
        <v>45.608147886351745</v>
      </c>
      <c r="Q170" s="203">
        <v>41.769217538050952</v>
      </c>
      <c r="R170" s="203">
        <v>41.115368010847888</v>
      </c>
      <c r="S170" s="203">
        <v>39.39818458834656</v>
      </c>
      <c r="T170" s="203">
        <v>38.338946631017656</v>
      </c>
      <c r="U170" s="203">
        <v>37.379865102629466</v>
      </c>
      <c r="V170" s="203">
        <v>36.371999511171218</v>
      </c>
      <c r="W170" s="203">
        <v>35.456565317216636</v>
      </c>
      <c r="X170" s="203">
        <v>34.112064138170624</v>
      </c>
      <c r="Y170" s="203">
        <v>33.50577852834283</v>
      </c>
      <c r="Z170" s="203">
        <v>32.802783894527714</v>
      </c>
      <c r="AA170" s="203">
        <v>30.719553812868668</v>
      </c>
      <c r="AB170" s="16">
        <f>AB169*(1+Assumptions!$L$13/12)</f>
        <v>1.1376442631950066</v>
      </c>
      <c r="AC170" s="16">
        <f t="shared" si="68"/>
        <v>0</v>
      </c>
      <c r="AD170" s="18">
        <f t="shared" si="69"/>
        <v>654.12455073352146</v>
      </c>
      <c r="AE170" s="18">
        <f t="shared" si="69"/>
        <v>1780.92328465844</v>
      </c>
      <c r="AF170" s="5">
        <f>IF(Assumptions!D$25=1,0,1)</f>
        <v>1</v>
      </c>
      <c r="AG170" s="73">
        <f t="shared" si="70"/>
        <v>1.1665000000000001</v>
      </c>
      <c r="AH170" s="16">
        <f>Assumptions!$E$25*Assumptions!H15</f>
        <v>3.7036408246086778</v>
      </c>
      <c r="AI170" s="16">
        <f>Assumptions!$F$25*Assumptions!I15</f>
        <v>3.7795832058622412</v>
      </c>
      <c r="AJ170" s="16">
        <f t="shared" si="71"/>
        <v>2.4399542510000001</v>
      </c>
      <c r="AK170" s="16">
        <f t="shared" si="71"/>
        <v>7.2000000000000008E-2</v>
      </c>
      <c r="AL170" s="4"/>
    </row>
    <row r="171" spans="1:38" x14ac:dyDescent="0.2">
      <c r="A171" s="1">
        <f t="shared" si="59"/>
        <v>41406.720000000205</v>
      </c>
      <c r="B171" s="16">
        <f t="shared" si="57"/>
        <v>1.1665000000000001</v>
      </c>
      <c r="C171" s="17">
        <f t="shared" si="54"/>
        <v>11.718659000000002</v>
      </c>
      <c r="D171" s="16">
        <f t="shared" si="58"/>
        <v>1.1395403369669983</v>
      </c>
      <c r="E171" s="16">
        <f t="shared" si="55"/>
        <v>8.0168786727282555</v>
      </c>
      <c r="F171" s="16">
        <f t="shared" si="56"/>
        <v>0.64408159143643295</v>
      </c>
      <c r="G171" s="19" t="str">
        <f>IF('Peak Revenue'!$A$1="BL","-",SUM(C171:F171))</f>
        <v>-</v>
      </c>
      <c r="H171" s="203">
        <v>132.28228071017253</v>
      </c>
      <c r="I171" s="203">
        <v>80.18925154711323</v>
      </c>
      <c r="J171" s="203">
        <v>66.638000116404868</v>
      </c>
      <c r="K171" s="203">
        <v>63.279614137145018</v>
      </c>
      <c r="L171" s="203">
        <v>55.732111064533548</v>
      </c>
      <c r="M171" s="203">
        <v>52.009475870491571</v>
      </c>
      <c r="N171" s="203">
        <v>49.268575495557343</v>
      </c>
      <c r="O171" s="203">
        <v>48.4844852037332</v>
      </c>
      <c r="P171" s="203">
        <v>45.571894278449413</v>
      </c>
      <c r="Q171" s="203">
        <v>43.995092651676458</v>
      </c>
      <c r="R171" s="203">
        <v>42.051786628095577</v>
      </c>
      <c r="S171" s="203">
        <v>40.851203685406084</v>
      </c>
      <c r="T171" s="203">
        <v>38.839610399867674</v>
      </c>
      <c r="U171" s="203">
        <v>36.112850101280848</v>
      </c>
      <c r="V171" s="203">
        <v>34.878241701971405</v>
      </c>
      <c r="W171" s="203">
        <v>33.387547805886221</v>
      </c>
      <c r="X171" s="203">
        <v>32.892617618123992</v>
      </c>
      <c r="Y171" s="203">
        <v>32.327800895859752</v>
      </c>
      <c r="Z171" s="203">
        <v>31.867461279521343</v>
      </c>
      <c r="AA171" s="203">
        <v>31.172742701152334</v>
      </c>
      <c r="AB171" s="16">
        <f>AB170*(1+Assumptions!$L$13/12)</f>
        <v>1.1395403369669983</v>
      </c>
      <c r="AC171" s="16">
        <f t="shared" si="68"/>
        <v>0</v>
      </c>
      <c r="AD171" s="18">
        <f t="shared" si="69"/>
        <v>654.12455073352146</v>
      </c>
      <c r="AE171" s="18">
        <f t="shared" si="69"/>
        <v>1780.92328465844</v>
      </c>
      <c r="AF171" s="5">
        <v>1</v>
      </c>
      <c r="AG171" s="73">
        <f t="shared" si="70"/>
        <v>1.1665000000000001</v>
      </c>
      <c r="AH171" s="16">
        <f>Assumptions!$E$25*Assumptions!H16</f>
        <v>3.899600656598555</v>
      </c>
      <c r="AI171" s="16">
        <f>Assumptions!$F$25*Assumptions!I16</f>
        <v>3.6268727733021504</v>
      </c>
      <c r="AJ171" s="16">
        <f t="shared" si="71"/>
        <v>2.4399542510000001</v>
      </c>
      <c r="AK171" s="16">
        <f t="shared" si="71"/>
        <v>7.2000000000000008E-2</v>
      </c>
      <c r="AL171" s="4"/>
    </row>
    <row r="172" spans="1:38" x14ac:dyDescent="0.2">
      <c r="A172" s="1">
        <f t="shared" si="59"/>
        <v>41437.137000000206</v>
      </c>
      <c r="B172" s="16">
        <f t="shared" si="57"/>
        <v>1.1665000000000001</v>
      </c>
      <c r="C172" s="17">
        <f t="shared" si="54"/>
        <v>11.718659000000002</v>
      </c>
      <c r="D172" s="16">
        <f t="shared" si="58"/>
        <v>1.1414395708619434</v>
      </c>
      <c r="E172" s="16">
        <f t="shared" si="55"/>
        <v>8.0168786727282555</v>
      </c>
      <c r="F172" s="16">
        <f t="shared" si="56"/>
        <v>0.64408159143643295</v>
      </c>
      <c r="G172" s="19" t="str">
        <f>IF('Peak Revenue'!$A$1="BL","-",SUM(C172:F172))</f>
        <v>-</v>
      </c>
      <c r="H172" s="203">
        <v>168.09606373165417</v>
      </c>
      <c r="I172" s="203">
        <v>154.25327328371779</v>
      </c>
      <c r="J172" s="203">
        <v>138.54527631722073</v>
      </c>
      <c r="K172" s="203">
        <v>102.56348084116306</v>
      </c>
      <c r="L172" s="203">
        <v>83.793337279215194</v>
      </c>
      <c r="M172" s="203">
        <v>75.589130310194093</v>
      </c>
      <c r="N172" s="203">
        <v>69.084408718717128</v>
      </c>
      <c r="O172" s="203">
        <v>55.660713317052632</v>
      </c>
      <c r="P172" s="203">
        <v>48.915293425598101</v>
      </c>
      <c r="Q172" s="203">
        <v>38.376569606544521</v>
      </c>
      <c r="R172" s="203">
        <v>36.130195808241524</v>
      </c>
      <c r="S172" s="203">
        <v>35.80654368949827</v>
      </c>
      <c r="T172" s="203">
        <v>35.806533408160618</v>
      </c>
      <c r="U172" s="203">
        <v>35.806533408160618</v>
      </c>
      <c r="V172" s="203">
        <v>35.806447837393513</v>
      </c>
      <c r="W172" s="203">
        <v>35.806124031889844</v>
      </c>
      <c r="X172" s="203">
        <v>35.806124031889844</v>
      </c>
      <c r="Y172" s="203">
        <v>35.799929648437782</v>
      </c>
      <c r="Z172" s="203">
        <v>34.661370336667538</v>
      </c>
      <c r="AA172" s="203">
        <v>30.61628090706964</v>
      </c>
      <c r="AB172" s="16">
        <f>AB171*(1+Assumptions!$L$13/12)</f>
        <v>1.1414395708619434</v>
      </c>
      <c r="AC172" s="16">
        <f t="shared" si="68"/>
        <v>0</v>
      </c>
      <c r="AD172" s="18">
        <f t="shared" si="69"/>
        <v>654.12455073352146</v>
      </c>
      <c r="AE172" s="18">
        <f t="shared" si="69"/>
        <v>1780.92328465844</v>
      </c>
      <c r="AF172" s="5">
        <v>1</v>
      </c>
      <c r="AG172" s="73">
        <f t="shared" si="70"/>
        <v>1.1665000000000001</v>
      </c>
      <c r="AH172" s="16">
        <f>Assumptions!$E$25*Assumptions!H17</f>
        <v>3.7153984145280705</v>
      </c>
      <c r="AI172" s="16">
        <f>Assumptions!$F$25*Assumptions!I17</f>
        <v>3.6268727733021504</v>
      </c>
      <c r="AJ172" s="16">
        <f t="shared" si="71"/>
        <v>2.4399542510000001</v>
      </c>
      <c r="AK172" s="16">
        <f t="shared" si="71"/>
        <v>7.2000000000000008E-2</v>
      </c>
      <c r="AL172" s="4"/>
    </row>
    <row r="173" spans="1:38" x14ac:dyDescent="0.2">
      <c r="A173" s="1">
        <f t="shared" si="59"/>
        <v>41467.554000000207</v>
      </c>
      <c r="B173" s="16">
        <f t="shared" si="57"/>
        <v>1.1665000000000001</v>
      </c>
      <c r="C173" s="17">
        <f t="shared" si="54"/>
        <v>11.718659000000002</v>
      </c>
      <c r="D173" s="16">
        <f t="shared" si="58"/>
        <v>1.1433419701467133</v>
      </c>
      <c r="E173" s="16">
        <f t="shared" si="55"/>
        <v>8.0168786727282555</v>
      </c>
      <c r="F173" s="16">
        <f t="shared" si="56"/>
        <v>0.64408159143643295</v>
      </c>
      <c r="G173" s="19" t="str">
        <f>IF('Peak Revenue'!$A$1="BL","-",SUM(C173:F173))</f>
        <v>-</v>
      </c>
      <c r="H173" s="203">
        <v>298.63661482082802</v>
      </c>
      <c r="I173" s="203">
        <v>237.3647255403433</v>
      </c>
      <c r="J173" s="203">
        <v>216.47180674722722</v>
      </c>
      <c r="K173" s="203">
        <v>192.95765691791664</v>
      </c>
      <c r="L173" s="203">
        <v>173.50174306456341</v>
      </c>
      <c r="M173" s="203">
        <v>155.96324396993808</v>
      </c>
      <c r="N173" s="203">
        <v>105.92085459967311</v>
      </c>
      <c r="O173" s="203">
        <v>59.739791665613723</v>
      </c>
      <c r="P173" s="203">
        <v>50.601360874670469</v>
      </c>
      <c r="Q173" s="203">
        <v>47.357554626350961</v>
      </c>
      <c r="R173" s="203">
        <v>43.902470740626875</v>
      </c>
      <c r="S173" s="203">
        <v>40.736164139721417</v>
      </c>
      <c r="T173" s="203">
        <v>36.7858350671236</v>
      </c>
      <c r="U173" s="203">
        <v>34.813319277347503</v>
      </c>
      <c r="V173" s="203">
        <v>34.448405095786448</v>
      </c>
      <c r="W173" s="203">
        <v>33.510514169990664</v>
      </c>
      <c r="X173" s="203">
        <v>32.069069954726736</v>
      </c>
      <c r="Y173" s="203">
        <v>30.273451704588176</v>
      </c>
      <c r="Z173" s="203">
        <v>28.537090388263181</v>
      </c>
      <c r="AA173" s="203">
        <v>26.411742303466482</v>
      </c>
      <c r="AB173" s="16">
        <f>AB172*(1+Assumptions!$L$13/12)</f>
        <v>1.1433419701467133</v>
      </c>
      <c r="AC173" s="16">
        <f t="shared" si="68"/>
        <v>0</v>
      </c>
      <c r="AD173" s="18">
        <f t="shared" si="69"/>
        <v>654.12455073352146</v>
      </c>
      <c r="AE173" s="18">
        <f t="shared" si="69"/>
        <v>1780.92328465844</v>
      </c>
      <c r="AF173" s="5">
        <v>1</v>
      </c>
      <c r="AG173" s="73">
        <f t="shared" si="70"/>
        <v>1.1665000000000001</v>
      </c>
      <c r="AH173" s="16">
        <f>Assumptions!$E$25*Assumptions!H18</f>
        <v>3.7036408246086778</v>
      </c>
      <c r="AI173" s="16">
        <f>Assumptions!$F$25*Assumptions!I18</f>
        <v>3.6268727733021504</v>
      </c>
      <c r="AJ173" s="16">
        <f t="shared" si="71"/>
        <v>2.4399542510000001</v>
      </c>
      <c r="AK173" s="16">
        <f t="shared" si="71"/>
        <v>7.2000000000000008E-2</v>
      </c>
      <c r="AL173" s="4"/>
    </row>
    <row r="174" spans="1:38" x14ac:dyDescent="0.2">
      <c r="A174" s="1">
        <f t="shared" si="59"/>
        <v>41497.971000000209</v>
      </c>
      <c r="B174" s="16">
        <f t="shared" si="57"/>
        <v>1.1665000000000001</v>
      </c>
      <c r="C174" s="17">
        <f t="shared" si="54"/>
        <v>11.718659000000002</v>
      </c>
      <c r="D174" s="16">
        <f t="shared" si="58"/>
        <v>1.1452475400969579</v>
      </c>
      <c r="E174" s="16">
        <f t="shared" si="55"/>
        <v>8.0168786727282555</v>
      </c>
      <c r="F174" s="16">
        <f t="shared" si="56"/>
        <v>0.64408159143643295</v>
      </c>
      <c r="G174" s="19" t="str">
        <f>IF('Peak Revenue'!$A$1="BL","-",SUM(C174:F174))</f>
        <v>-</v>
      </c>
      <c r="H174" s="203">
        <v>341.28113903947849</v>
      </c>
      <c r="I174" s="203">
        <v>241.3095177368422</v>
      </c>
      <c r="J174" s="203">
        <v>215.79056994617281</v>
      </c>
      <c r="K174" s="203">
        <v>187.89759172677657</v>
      </c>
      <c r="L174" s="203">
        <v>165.43996852887716</v>
      </c>
      <c r="M174" s="203">
        <v>140.65123220525521</v>
      </c>
      <c r="N174" s="203">
        <v>90.547253916649382</v>
      </c>
      <c r="O174" s="203">
        <v>74.404962587321734</v>
      </c>
      <c r="P174" s="203">
        <v>67.890385779976242</v>
      </c>
      <c r="Q174" s="203">
        <v>52.873303049155041</v>
      </c>
      <c r="R174" s="203">
        <v>45.251020360648653</v>
      </c>
      <c r="S174" s="203">
        <v>37.934796967229637</v>
      </c>
      <c r="T174" s="203">
        <v>35.762293025344732</v>
      </c>
      <c r="U174" s="203">
        <v>34.801937788912745</v>
      </c>
      <c r="V174" s="203">
        <v>34.58903599568589</v>
      </c>
      <c r="W174" s="203">
        <v>34.58903599568589</v>
      </c>
      <c r="X174" s="203">
        <v>34.58903599568589</v>
      </c>
      <c r="Y174" s="203">
        <v>34.58881150222421</v>
      </c>
      <c r="Z174" s="203">
        <v>34.588624897768895</v>
      </c>
      <c r="AA174" s="203">
        <v>31.887074446212232</v>
      </c>
      <c r="AB174" s="16">
        <f>AB173*(1+Assumptions!$L$13/12)</f>
        <v>1.1452475400969579</v>
      </c>
      <c r="AC174" s="16">
        <f t="shared" si="68"/>
        <v>0</v>
      </c>
      <c r="AD174" s="18">
        <f t="shared" si="69"/>
        <v>654.12455073352146</v>
      </c>
      <c r="AE174" s="18">
        <f t="shared" si="69"/>
        <v>1780.92328465844</v>
      </c>
      <c r="AF174" s="5">
        <v>1</v>
      </c>
      <c r="AG174" s="73">
        <f t="shared" si="70"/>
        <v>1.1665000000000001</v>
      </c>
      <c r="AH174" s="16">
        <f>Assumptions!$E$25*Assumptions!H19</f>
        <v>3.5116001892585986</v>
      </c>
      <c r="AI174" s="16">
        <f>Assumptions!$F$25*Assumptions!I19</f>
        <v>3.6268727733021504</v>
      </c>
      <c r="AJ174" s="16">
        <f t="shared" si="71"/>
        <v>2.4399542510000001</v>
      </c>
      <c r="AK174" s="16">
        <f t="shared" si="71"/>
        <v>7.2000000000000008E-2</v>
      </c>
      <c r="AL174" s="4"/>
    </row>
    <row r="175" spans="1:38" x14ac:dyDescent="0.2">
      <c r="A175" s="1">
        <f t="shared" si="59"/>
        <v>41528.38800000021</v>
      </c>
      <c r="B175" s="16">
        <f t="shared" si="57"/>
        <v>1.1665000000000001</v>
      </c>
      <c r="C175" s="17">
        <f t="shared" si="54"/>
        <v>11.718659000000002</v>
      </c>
      <c r="D175" s="16">
        <f t="shared" si="58"/>
        <v>1.1471562859971196</v>
      </c>
      <c r="E175" s="16">
        <f t="shared" si="55"/>
        <v>8.0168786727282555</v>
      </c>
      <c r="F175" s="16">
        <f t="shared" si="56"/>
        <v>0.64408159143643295</v>
      </c>
      <c r="G175" s="19" t="str">
        <f>IF('Peak Revenue'!$A$1="BL","-",SUM(C175:F175))</f>
        <v>-</v>
      </c>
      <c r="H175" s="203">
        <v>165.29192387135453</v>
      </c>
      <c r="I175" s="203">
        <v>152.62558254516222</v>
      </c>
      <c r="J175" s="203">
        <v>127.27208642200291</v>
      </c>
      <c r="K175" s="203">
        <v>92.37402080049192</v>
      </c>
      <c r="L175" s="203">
        <v>79.738950026255651</v>
      </c>
      <c r="M175" s="203">
        <v>73.896511230716229</v>
      </c>
      <c r="N175" s="203">
        <v>71.052869923052342</v>
      </c>
      <c r="O175" s="203">
        <v>51.148359208803654</v>
      </c>
      <c r="P175" s="203">
        <v>47.547184338088144</v>
      </c>
      <c r="Q175" s="203">
        <v>42.642986506523556</v>
      </c>
      <c r="R175" s="203">
        <v>37.14976886337832</v>
      </c>
      <c r="S175" s="203">
        <v>35.517309109508567</v>
      </c>
      <c r="T175" s="203">
        <v>35.456865361375577</v>
      </c>
      <c r="U175" s="203">
        <v>35.456849811220728</v>
      </c>
      <c r="V175" s="203">
        <v>35.456849811220728</v>
      </c>
      <c r="W175" s="203">
        <v>35.456849811220728</v>
      </c>
      <c r="X175" s="203">
        <v>35.456587918089824</v>
      </c>
      <c r="Y175" s="203">
        <v>35.456437849767354</v>
      </c>
      <c r="Z175" s="203">
        <v>35.456437849767354</v>
      </c>
      <c r="AA175" s="203">
        <v>33.499471519597883</v>
      </c>
      <c r="AB175" s="16">
        <f>AB174*(1+Assumptions!$L$13/12)</f>
        <v>1.1471562859971196</v>
      </c>
      <c r="AC175" s="16">
        <f t="shared" si="68"/>
        <v>0</v>
      </c>
      <c r="AD175" s="18">
        <f t="shared" si="69"/>
        <v>654.12455073352146</v>
      </c>
      <c r="AE175" s="18">
        <f t="shared" si="69"/>
        <v>1780.92328465844</v>
      </c>
      <c r="AF175" s="5">
        <v>1</v>
      </c>
      <c r="AG175" s="73">
        <f t="shared" si="70"/>
        <v>1.1665000000000001</v>
      </c>
      <c r="AH175" s="16">
        <f>Assumptions!$E$25*Assumptions!H20</f>
        <v>3.4998425993392059</v>
      </c>
      <c r="AI175" s="16">
        <f>Assumptions!$F$25*Assumptions!I20</f>
        <v>3.6268727733021504</v>
      </c>
      <c r="AJ175" s="16">
        <f t="shared" si="71"/>
        <v>2.4399542510000001</v>
      </c>
      <c r="AK175" s="16">
        <f t="shared" si="71"/>
        <v>7.2000000000000008E-2</v>
      </c>
      <c r="AL175" s="4"/>
    </row>
    <row r="176" spans="1:38" x14ac:dyDescent="0.2">
      <c r="A176" s="1">
        <f t="shared" si="59"/>
        <v>41558.805000000211</v>
      </c>
      <c r="B176" s="16">
        <f t="shared" si="57"/>
        <v>1.1665000000000001</v>
      </c>
      <c r="C176" s="17">
        <f t="shared" si="54"/>
        <v>11.718659000000002</v>
      </c>
      <c r="D176" s="16">
        <f t="shared" si="58"/>
        <v>1.1490682131404482</v>
      </c>
      <c r="E176" s="16">
        <f t="shared" si="55"/>
        <v>8.0168786727282555</v>
      </c>
      <c r="F176" s="16">
        <f t="shared" si="56"/>
        <v>0.64408159143643295</v>
      </c>
      <c r="G176" s="19" t="str">
        <f>IF('Peak Revenue'!$A$1="BL","-",SUM(C176:F176))</f>
        <v>-</v>
      </c>
      <c r="H176" s="203">
        <v>69.707755930463264</v>
      </c>
      <c r="I176" s="203">
        <v>67.379477696210571</v>
      </c>
      <c r="J176" s="203">
        <v>67.201604902022922</v>
      </c>
      <c r="K176" s="203">
        <v>67.017370820195964</v>
      </c>
      <c r="L176" s="203">
        <v>59.800665518553572</v>
      </c>
      <c r="M176" s="203">
        <v>51.156679375445066</v>
      </c>
      <c r="N176" s="203">
        <v>47.268389115259268</v>
      </c>
      <c r="O176" s="203">
        <v>46.633271929313544</v>
      </c>
      <c r="P176" s="203">
        <v>44.891850179937364</v>
      </c>
      <c r="Q176" s="203">
        <v>44.244981995692328</v>
      </c>
      <c r="R176" s="203">
        <v>43.655461967144852</v>
      </c>
      <c r="S176" s="203">
        <v>43.140512313031344</v>
      </c>
      <c r="T176" s="203">
        <v>42.38777402166869</v>
      </c>
      <c r="U176" s="203">
        <v>40.556111916073959</v>
      </c>
      <c r="V176" s="203">
        <v>38.426945019728265</v>
      </c>
      <c r="W176" s="203">
        <v>37.768700211907039</v>
      </c>
      <c r="X176" s="203">
        <v>35.470909991731773</v>
      </c>
      <c r="Y176" s="203">
        <v>35.05339076742203</v>
      </c>
      <c r="Z176" s="203">
        <v>34.345473747950088</v>
      </c>
      <c r="AA176" s="203">
        <v>33.409058290154995</v>
      </c>
      <c r="AB176" s="16">
        <f>AB175*(1+Assumptions!$L$13/12)</f>
        <v>1.1490682131404482</v>
      </c>
      <c r="AC176" s="16">
        <f t="shared" si="68"/>
        <v>0</v>
      </c>
      <c r="AD176" s="18">
        <f t="shared" si="69"/>
        <v>654.12455073352146</v>
      </c>
      <c r="AE176" s="18">
        <f t="shared" si="69"/>
        <v>1780.92328465844</v>
      </c>
      <c r="AF176" s="5">
        <f>IF(Assumptions!D$25=1,0,1)</f>
        <v>1</v>
      </c>
      <c r="AG176" s="73">
        <f t="shared" si="70"/>
        <v>1.1665000000000001</v>
      </c>
      <c r="AH176" s="16">
        <f>Assumptions!$E$25*Assumptions!H21</f>
        <v>3.8760854767597697</v>
      </c>
      <c r="AI176" s="16">
        <f>Assumptions!$F$25*Assumptions!I21</f>
        <v>3.6268727733021504</v>
      </c>
      <c r="AJ176" s="16">
        <f t="shared" si="71"/>
        <v>2.4399542510000001</v>
      </c>
      <c r="AK176" s="16">
        <f t="shared" si="71"/>
        <v>7.2000000000000008E-2</v>
      </c>
      <c r="AL176" s="4"/>
    </row>
    <row r="177" spans="1:38" x14ac:dyDescent="0.2">
      <c r="A177" s="1">
        <f t="shared" si="59"/>
        <v>41589.222000000213</v>
      </c>
      <c r="B177" s="16">
        <f t="shared" si="57"/>
        <v>1.1665000000000001</v>
      </c>
      <c r="C177" s="17">
        <f t="shared" si="54"/>
        <v>11.718659000000002</v>
      </c>
      <c r="D177" s="16">
        <f t="shared" si="58"/>
        <v>1.1509833268290157</v>
      </c>
      <c r="E177" s="16">
        <f t="shared" si="55"/>
        <v>8.0168786727282555</v>
      </c>
      <c r="F177" s="16">
        <f t="shared" si="56"/>
        <v>0.64408159143643295</v>
      </c>
      <c r="G177" s="19" t="str">
        <f>IF('Peak Revenue'!$A$1="BL","-",SUM(C177:F177))</f>
        <v>-</v>
      </c>
      <c r="H177" s="203">
        <v>164.42422053051379</v>
      </c>
      <c r="I177" s="203">
        <v>156.80530225642536</v>
      </c>
      <c r="J177" s="203">
        <v>151.61086447207882</v>
      </c>
      <c r="K177" s="203">
        <v>119.15215539230744</v>
      </c>
      <c r="L177" s="203">
        <v>82.62861827296247</v>
      </c>
      <c r="M177" s="203">
        <v>71.559210620776767</v>
      </c>
      <c r="N177" s="203">
        <v>65.679738875689594</v>
      </c>
      <c r="O177" s="203">
        <v>60.764943268267302</v>
      </c>
      <c r="P177" s="203">
        <v>59.918662506005511</v>
      </c>
      <c r="Q177" s="203">
        <v>57.351860476603825</v>
      </c>
      <c r="R177" s="203">
        <v>45.472976570209973</v>
      </c>
      <c r="S177" s="203">
        <v>41.96038133873833</v>
      </c>
      <c r="T177" s="203">
        <v>37.381988066413626</v>
      </c>
      <c r="U177" s="203">
        <v>34.483564536988276</v>
      </c>
      <c r="V177" s="203">
        <v>34.23392387733773</v>
      </c>
      <c r="W177" s="203">
        <v>33.355438151268878</v>
      </c>
      <c r="X177" s="203">
        <v>32.309416020112664</v>
      </c>
      <c r="Y177" s="203">
        <v>31.441069779236518</v>
      </c>
      <c r="Z177" s="203">
        <v>30.77961066860659</v>
      </c>
      <c r="AA177" s="203">
        <v>30.383954935699744</v>
      </c>
      <c r="AB177" s="16">
        <f>AB176*(1+Assumptions!$L$13/12)</f>
        <v>1.1509833268290157</v>
      </c>
      <c r="AC177" s="16">
        <f t="shared" si="68"/>
        <v>0</v>
      </c>
      <c r="AD177" s="18">
        <f t="shared" si="69"/>
        <v>654.12455073352146</v>
      </c>
      <c r="AE177" s="18">
        <f t="shared" si="69"/>
        <v>1780.92328465844</v>
      </c>
      <c r="AF177" s="5">
        <f>IF(Assumptions!D$25=1,0,1)</f>
        <v>1</v>
      </c>
      <c r="AG177" s="73">
        <f t="shared" si="70"/>
        <v>1.1665000000000001</v>
      </c>
      <c r="AH177" s="16">
        <f>Assumptions!$E$25*Assumptions!H22</f>
        <v>4.2444899609007392</v>
      </c>
      <c r="AI177" s="16">
        <f>Assumptions!$F$25*Assumptions!I22</f>
        <v>3.9322936384223315</v>
      </c>
      <c r="AJ177" s="16">
        <f t="shared" si="71"/>
        <v>2.4399542510000001</v>
      </c>
      <c r="AK177" s="16">
        <f t="shared" si="71"/>
        <v>7.2000000000000008E-2</v>
      </c>
      <c r="AL177" s="4"/>
    </row>
    <row r="178" spans="1:38" x14ac:dyDescent="0.2">
      <c r="A178" s="1">
        <f t="shared" si="59"/>
        <v>41619.639000000214</v>
      </c>
      <c r="B178" s="16">
        <f t="shared" si="57"/>
        <v>1.1665000000000001</v>
      </c>
      <c r="C178" s="17">
        <f t="shared" si="54"/>
        <v>11.718659000000002</v>
      </c>
      <c r="D178" s="16">
        <f t="shared" si="58"/>
        <v>1.1529016323737309</v>
      </c>
      <c r="E178" s="16">
        <f t="shared" si="55"/>
        <v>8.0168786727282555</v>
      </c>
      <c r="F178" s="16">
        <f t="shared" si="56"/>
        <v>0.64408159143643295</v>
      </c>
      <c r="G178" s="19" t="str">
        <f>IF('Peak Revenue'!$A$1="BL","-",SUM(C178:F178))</f>
        <v>-</v>
      </c>
      <c r="H178" s="203">
        <v>164.5969150961472</v>
      </c>
      <c r="I178" s="203">
        <v>157.440732637368</v>
      </c>
      <c r="J178" s="203">
        <v>152.39807989968685</v>
      </c>
      <c r="K178" s="203">
        <v>132.34605284718495</v>
      </c>
      <c r="L178" s="203">
        <v>92.971594203991302</v>
      </c>
      <c r="M178" s="203">
        <v>80.108800792317112</v>
      </c>
      <c r="N178" s="203">
        <v>74.478592059869044</v>
      </c>
      <c r="O178" s="203">
        <v>69.044299053463817</v>
      </c>
      <c r="P178" s="203">
        <v>67.220421680113006</v>
      </c>
      <c r="Q178" s="203">
        <v>66.541341363842875</v>
      </c>
      <c r="R178" s="203">
        <v>57.071778153213941</v>
      </c>
      <c r="S178" s="203">
        <v>46.932541836578842</v>
      </c>
      <c r="T178" s="203">
        <v>40.995905668131797</v>
      </c>
      <c r="U178" s="203">
        <v>38.184224896060272</v>
      </c>
      <c r="V178" s="203">
        <v>36.588651825876354</v>
      </c>
      <c r="W178" s="203">
        <v>34.152480555786255</v>
      </c>
      <c r="X178" s="203">
        <v>33.959912644761374</v>
      </c>
      <c r="Y178" s="203">
        <v>33.725476316269379</v>
      </c>
      <c r="Z178" s="203">
        <v>33.617276710837778</v>
      </c>
      <c r="AA178" s="203">
        <v>33.256738784879566</v>
      </c>
      <c r="AB178" s="16">
        <f>AB177*(1+Assumptions!$L$13/12)</f>
        <v>1.1529016323737309</v>
      </c>
      <c r="AC178" s="16">
        <f t="shared" si="68"/>
        <v>0</v>
      </c>
      <c r="AD178" s="18">
        <f t="shared" si="69"/>
        <v>654.12455073352146</v>
      </c>
      <c r="AE178" s="18">
        <f t="shared" si="69"/>
        <v>1780.92328465844</v>
      </c>
      <c r="AF178" s="5">
        <f>IF(Assumptions!D$25=1,0,1)</f>
        <v>1</v>
      </c>
      <c r="AG178" s="73">
        <f t="shared" si="70"/>
        <v>1.1665000000000001</v>
      </c>
      <c r="AH178" s="16">
        <f>Assumptions!$E$25*Assumptions!H23</f>
        <v>4.5932984618427195</v>
      </c>
      <c r="AI178" s="16">
        <f>Assumptions!$F$25*Assumptions!I23</f>
        <v>4.1231816791224452</v>
      </c>
      <c r="AJ178" s="16">
        <f t="shared" si="71"/>
        <v>2.4399542510000001</v>
      </c>
      <c r="AK178" s="16">
        <f t="shared" si="71"/>
        <v>7.2000000000000008E-2</v>
      </c>
      <c r="AL178" s="4"/>
    </row>
    <row r="179" spans="1:38" x14ac:dyDescent="0.2">
      <c r="A179" s="1">
        <f t="shared" si="59"/>
        <v>41650.056000000215</v>
      </c>
      <c r="B179" s="16">
        <f t="shared" si="57"/>
        <v>1.175</v>
      </c>
      <c r="C179" s="17">
        <f t="shared" si="54"/>
        <v>11.804050000000002</v>
      </c>
      <c r="D179" s="16">
        <f t="shared" si="58"/>
        <v>1.1548231350943539</v>
      </c>
      <c r="E179" s="16">
        <f t="shared" si="55"/>
        <v>8.9240369727591755</v>
      </c>
      <c r="F179" s="16">
        <f t="shared" si="56"/>
        <v>0.66711052168499285</v>
      </c>
      <c r="G179" s="19" t="str">
        <f>IF('Peak Revenue'!$A$1="BL","-",SUM(C179:F179))</f>
        <v>-</v>
      </c>
      <c r="H179" s="203">
        <v>109.82603319045629</v>
      </c>
      <c r="I179" s="203">
        <v>104.55585066025624</v>
      </c>
      <c r="J179" s="203">
        <v>99.49484997094109</v>
      </c>
      <c r="K179" s="203">
        <v>93.043531442572487</v>
      </c>
      <c r="L179" s="203">
        <v>90.634097334046174</v>
      </c>
      <c r="M179" s="203">
        <v>88.806111929192056</v>
      </c>
      <c r="N179" s="203">
        <v>70.772696620415374</v>
      </c>
      <c r="O179" s="203">
        <v>60.172064529039503</v>
      </c>
      <c r="P179" s="203">
        <v>51.362452309756996</v>
      </c>
      <c r="Q179" s="203">
        <v>50.570927112483119</v>
      </c>
      <c r="R179" s="203">
        <v>46.125902751911049</v>
      </c>
      <c r="S179" s="203">
        <v>43.438926051239505</v>
      </c>
      <c r="T179" s="203">
        <v>43.220903713790392</v>
      </c>
      <c r="U179" s="203">
        <v>43.22090028516353</v>
      </c>
      <c r="V179" s="203">
        <v>43.22090028516353</v>
      </c>
      <c r="W179" s="203">
        <v>43.220814300246765</v>
      </c>
      <c r="X179" s="203">
        <v>43.220774638469095</v>
      </c>
      <c r="Y179" s="203">
        <v>43.220576691474839</v>
      </c>
      <c r="Z179" s="203">
        <v>43.092740469522781</v>
      </c>
      <c r="AA179" s="203">
        <v>39.884316048370962</v>
      </c>
      <c r="AB179" s="16">
        <f>AB178*(1+Assumptions!$L$13/12)</f>
        <v>1.1548231350943539</v>
      </c>
      <c r="AC179" s="16">
        <f>VLOOKUP($C$1,EnvVOM,17)</f>
        <v>0</v>
      </c>
      <c r="AD179" s="18">
        <f>Assumptions!B26</f>
        <v>728.14269915212174</v>
      </c>
      <c r="AE179" s="18">
        <f>Assumptions!C26</f>
        <v>1844.5996241870525</v>
      </c>
      <c r="AF179" s="5">
        <f>IF(Assumptions!D$26=1,0,1)</f>
        <v>1</v>
      </c>
      <c r="AG179" s="73">
        <f>VLOOKUP($C$1,Coal,17)</f>
        <v>1.175</v>
      </c>
      <c r="AH179" s="16">
        <f>Assumptions!$E$26*Assumptions!H12</f>
        <v>4.446069791556674</v>
      </c>
      <c r="AI179" s="16">
        <f>Assumptions!$F$26*Assumptions!I12</f>
        <v>4.1170667682255786</v>
      </c>
      <c r="AJ179" s="16">
        <f>VLOOKUP($C$1,SO2Rate,17)</f>
        <v>2.4399542510000001</v>
      </c>
      <c r="AK179" s="16">
        <f>VLOOKUP($C$1,NOxRate,17)</f>
        <v>7.2000000000000008E-2</v>
      </c>
      <c r="AL179" s="4"/>
    </row>
    <row r="180" spans="1:38" x14ac:dyDescent="0.2">
      <c r="A180" s="1">
        <f t="shared" si="59"/>
        <v>41680.473000000216</v>
      </c>
      <c r="B180" s="16">
        <f t="shared" si="57"/>
        <v>1.175</v>
      </c>
      <c r="C180" s="17">
        <f t="shared" si="54"/>
        <v>11.804050000000002</v>
      </c>
      <c r="D180" s="16">
        <f t="shared" si="58"/>
        <v>1.1567478403195111</v>
      </c>
      <c r="E180" s="16">
        <f t="shared" si="55"/>
        <v>8.9240369727591755</v>
      </c>
      <c r="F180" s="16">
        <f t="shared" si="56"/>
        <v>0.66711052168499285</v>
      </c>
      <c r="G180" s="19" t="str">
        <f>IF('Peak Revenue'!$A$1="BL","-",SUM(C180:F180))</f>
        <v>-</v>
      </c>
      <c r="H180" s="203">
        <v>155.97591288110416</v>
      </c>
      <c r="I180" s="203">
        <v>150.63059767426657</v>
      </c>
      <c r="J180" s="203">
        <v>146.60912651878201</v>
      </c>
      <c r="K180" s="203">
        <v>115.78911540606396</v>
      </c>
      <c r="L180" s="203">
        <v>91.316282985969934</v>
      </c>
      <c r="M180" s="203">
        <v>83.743631408923036</v>
      </c>
      <c r="N180" s="203">
        <v>79.250971427648963</v>
      </c>
      <c r="O180" s="203">
        <v>77.489871835454224</v>
      </c>
      <c r="P180" s="203">
        <v>62.217889359486207</v>
      </c>
      <c r="Q180" s="203">
        <v>53.693400317281586</v>
      </c>
      <c r="R180" s="203">
        <v>45.866944944736034</v>
      </c>
      <c r="S180" s="203">
        <v>44.597726012365818</v>
      </c>
      <c r="T180" s="203">
        <v>42.017699872431947</v>
      </c>
      <c r="U180" s="203">
        <v>39.595811221774682</v>
      </c>
      <c r="V180" s="203">
        <v>39.025343732601563</v>
      </c>
      <c r="W180" s="203">
        <v>38.691477475644483</v>
      </c>
      <c r="X180" s="203">
        <v>38.604106601985123</v>
      </c>
      <c r="Y180" s="203">
        <v>38.317360727730978</v>
      </c>
      <c r="Z180" s="203">
        <v>38.2899914366552</v>
      </c>
      <c r="AA180" s="203">
        <v>36.819425087394443</v>
      </c>
      <c r="AB180" s="16">
        <f>AB179*(1+Assumptions!$L$13/12)</f>
        <v>1.1567478403195111</v>
      </c>
      <c r="AC180" s="16">
        <f>AC179</f>
        <v>0</v>
      </c>
      <c r="AD180" s="18">
        <f>AD179</f>
        <v>728.14269915212174</v>
      </c>
      <c r="AE180" s="18">
        <f>AE179</f>
        <v>1844.5996241870525</v>
      </c>
      <c r="AF180" s="5">
        <f>IF(Assumptions!D$26=1,0,1)</f>
        <v>1</v>
      </c>
      <c r="AG180" s="73">
        <f>AG179</f>
        <v>1.175</v>
      </c>
      <c r="AH180" s="16">
        <f>Assumptions!$E$26*Assumptions!H13</f>
        <v>3.9849082972196785</v>
      </c>
      <c r="AI180" s="16">
        <f>Assumptions!$F$26*Assumptions!I13</f>
        <v>4.0789457796308977</v>
      </c>
      <c r="AJ180" s="16">
        <f>AJ179</f>
        <v>2.4399542510000001</v>
      </c>
      <c r="AK180" s="16">
        <f>AK179</f>
        <v>7.2000000000000008E-2</v>
      </c>
      <c r="AL180" s="4"/>
    </row>
    <row r="181" spans="1:38" x14ac:dyDescent="0.2">
      <c r="A181" s="1">
        <f t="shared" si="59"/>
        <v>41710.890000000218</v>
      </c>
      <c r="B181" s="16">
        <f t="shared" si="57"/>
        <v>1.175</v>
      </c>
      <c r="C181" s="17">
        <f t="shared" si="54"/>
        <v>11.804050000000002</v>
      </c>
      <c r="D181" s="16">
        <f t="shared" si="58"/>
        <v>1.1586757533867102</v>
      </c>
      <c r="E181" s="16">
        <f t="shared" si="55"/>
        <v>8.9240369727591755</v>
      </c>
      <c r="F181" s="16">
        <f t="shared" si="56"/>
        <v>0.66711052168499285</v>
      </c>
      <c r="G181" s="19" t="str">
        <f>IF('Peak Revenue'!$A$1="BL","-",SUM(C181:F181))</f>
        <v>-</v>
      </c>
      <c r="H181" s="203">
        <v>100.7835717034397</v>
      </c>
      <c r="I181" s="203">
        <v>97.094478008528526</v>
      </c>
      <c r="J181" s="203">
        <v>89.832152978694111</v>
      </c>
      <c r="K181" s="203">
        <v>80.341722453617095</v>
      </c>
      <c r="L181" s="203">
        <v>76.885992287169131</v>
      </c>
      <c r="M181" s="203">
        <v>72.380059362528328</v>
      </c>
      <c r="N181" s="203">
        <v>70.66688585421565</v>
      </c>
      <c r="O181" s="203">
        <v>69.621927871848669</v>
      </c>
      <c r="P181" s="203">
        <v>53.169246310411403</v>
      </c>
      <c r="Q181" s="203">
        <v>48.562280484963694</v>
      </c>
      <c r="R181" s="203">
        <v>46.934293657209743</v>
      </c>
      <c r="S181" s="203">
        <v>44.260288718941133</v>
      </c>
      <c r="T181" s="203">
        <v>36.665910617272814</v>
      </c>
      <c r="U181" s="203">
        <v>34.681913205928495</v>
      </c>
      <c r="V181" s="203">
        <v>34.6075591352703</v>
      </c>
      <c r="W181" s="203">
        <v>34.6075591352703</v>
      </c>
      <c r="X181" s="203">
        <v>34.607361432596093</v>
      </c>
      <c r="Y181" s="203">
        <v>34.607294069303848</v>
      </c>
      <c r="Z181" s="203">
        <v>34.607174864594825</v>
      </c>
      <c r="AA181" s="203">
        <v>32.390098817633593</v>
      </c>
      <c r="AB181" s="16">
        <f>AB180*(1+Assumptions!$L$13/12)</f>
        <v>1.1586757533867102</v>
      </c>
      <c r="AC181" s="16">
        <f t="shared" ref="AC181:AC190" si="72">AC180</f>
        <v>0</v>
      </c>
      <c r="AD181" s="18">
        <f t="shared" ref="AD181:AE190" si="73">AD180</f>
        <v>728.14269915212174</v>
      </c>
      <c r="AE181" s="18">
        <f t="shared" si="73"/>
        <v>1844.5996241870525</v>
      </c>
      <c r="AF181" s="5">
        <f>IF(Assumptions!D$26=1,0,1)</f>
        <v>1</v>
      </c>
      <c r="AG181" s="73">
        <f t="shared" ref="AG181:AG190" si="74">AG180</f>
        <v>1.175</v>
      </c>
      <c r="AH181" s="16">
        <f>Assumptions!$E$26*Assumptions!H14</f>
        <v>3.9179019262476369</v>
      </c>
      <c r="AI181" s="16">
        <f>Assumptions!$F$26*Assumptions!I14</f>
        <v>3.9264618252521726</v>
      </c>
      <c r="AJ181" s="16">
        <f t="shared" ref="AJ181:AK190" si="75">AJ180</f>
        <v>2.4399542510000001</v>
      </c>
      <c r="AK181" s="16">
        <f t="shared" si="75"/>
        <v>7.2000000000000008E-2</v>
      </c>
      <c r="AL181" s="4"/>
    </row>
    <row r="182" spans="1:38" x14ac:dyDescent="0.2">
      <c r="A182" s="1">
        <f t="shared" si="59"/>
        <v>41741.307000000219</v>
      </c>
      <c r="B182" s="16">
        <f t="shared" si="57"/>
        <v>1.175</v>
      </c>
      <c r="C182" s="17">
        <f t="shared" si="54"/>
        <v>11.804050000000002</v>
      </c>
      <c r="D182" s="16">
        <f t="shared" si="58"/>
        <v>1.1606068796423548</v>
      </c>
      <c r="E182" s="16">
        <f t="shared" si="55"/>
        <v>8.9240369727591755</v>
      </c>
      <c r="F182" s="16">
        <f t="shared" si="56"/>
        <v>0.66711052168499285</v>
      </c>
      <c r="G182" s="19" t="str">
        <f>IF('Peak Revenue'!$A$1="BL","-",SUM(C182:F182))</f>
        <v>-</v>
      </c>
      <c r="H182" s="203">
        <v>142.07362676675203</v>
      </c>
      <c r="I182" s="203">
        <v>98.360975711699552</v>
      </c>
      <c r="J182" s="203">
        <v>70.319777232616971</v>
      </c>
      <c r="K182" s="203">
        <v>65.120243952977333</v>
      </c>
      <c r="L182" s="203">
        <v>60.935432836931</v>
      </c>
      <c r="M182" s="203">
        <v>58.364003051848201</v>
      </c>
      <c r="N182" s="203">
        <v>57.806650721974549</v>
      </c>
      <c r="O182" s="203">
        <v>52.101750353612672</v>
      </c>
      <c r="P182" s="203">
        <v>46.306505491459703</v>
      </c>
      <c r="Q182" s="203">
        <v>42.429278156940057</v>
      </c>
      <c r="R182" s="203">
        <v>41.491762913935474</v>
      </c>
      <c r="S182" s="203">
        <v>40.666747207619892</v>
      </c>
      <c r="T182" s="203">
        <v>39.005825485383738</v>
      </c>
      <c r="U182" s="203">
        <v>37.112368148867489</v>
      </c>
      <c r="V182" s="203">
        <v>35.502270096843382</v>
      </c>
      <c r="W182" s="203">
        <v>34.104720456199352</v>
      </c>
      <c r="X182" s="203">
        <v>33.407551026966267</v>
      </c>
      <c r="Y182" s="203">
        <v>32.608050830092438</v>
      </c>
      <c r="Z182" s="203">
        <v>31.403925888818058</v>
      </c>
      <c r="AA182" s="203">
        <v>30.403183131075785</v>
      </c>
      <c r="AB182" s="16">
        <f>AB181*(1+Assumptions!$L$13/12)</f>
        <v>1.1606068796423548</v>
      </c>
      <c r="AC182" s="16">
        <f t="shared" si="72"/>
        <v>0</v>
      </c>
      <c r="AD182" s="18">
        <f t="shared" si="73"/>
        <v>728.14269915212174</v>
      </c>
      <c r="AE182" s="18">
        <f t="shared" si="73"/>
        <v>1844.5996241870525</v>
      </c>
      <c r="AF182" s="5">
        <f>IF(Assumptions!D$26=1,0,1)</f>
        <v>1</v>
      </c>
      <c r="AG182" s="73">
        <f t="shared" si="74"/>
        <v>1.175</v>
      </c>
      <c r="AH182" s="16">
        <f>Assumptions!$E$26*Assumptions!H15</f>
        <v>3.7247659157988093</v>
      </c>
      <c r="AI182" s="16">
        <f>Assumptions!$F$26*Assumptions!I15</f>
        <v>3.773977870873447</v>
      </c>
      <c r="AJ182" s="16">
        <f t="shared" si="75"/>
        <v>2.4399542510000001</v>
      </c>
      <c r="AK182" s="16">
        <f t="shared" si="75"/>
        <v>7.2000000000000008E-2</v>
      </c>
      <c r="AL182" s="4"/>
    </row>
    <row r="183" spans="1:38" x14ac:dyDescent="0.2">
      <c r="A183" s="1">
        <f t="shared" si="59"/>
        <v>41771.72400000022</v>
      </c>
      <c r="B183" s="16">
        <f t="shared" si="57"/>
        <v>1.175</v>
      </c>
      <c r="C183" s="17">
        <f t="shared" si="54"/>
        <v>11.804050000000002</v>
      </c>
      <c r="D183" s="16">
        <f t="shared" si="58"/>
        <v>1.1625412244417588</v>
      </c>
      <c r="E183" s="16">
        <f t="shared" si="55"/>
        <v>8.9240369727591755</v>
      </c>
      <c r="F183" s="16">
        <f t="shared" si="56"/>
        <v>0.66711052168499285</v>
      </c>
      <c r="G183" s="19" t="str">
        <f>IF('Peak Revenue'!$A$1="BL","-",SUM(C183:F183))</f>
        <v>-</v>
      </c>
      <c r="H183" s="203">
        <v>116.391545867172</v>
      </c>
      <c r="I183" s="203">
        <v>88.586790578852842</v>
      </c>
      <c r="J183" s="203">
        <v>72.185090542950434</v>
      </c>
      <c r="K183" s="203">
        <v>65.911673362933627</v>
      </c>
      <c r="L183" s="203">
        <v>60.527687617362417</v>
      </c>
      <c r="M183" s="203">
        <v>59.566030937225534</v>
      </c>
      <c r="N183" s="203">
        <v>52.550818553457681</v>
      </c>
      <c r="O183" s="203">
        <v>46.518628896543298</v>
      </c>
      <c r="P183" s="203">
        <v>43.678376926315146</v>
      </c>
      <c r="Q183" s="203">
        <v>42.571403556606143</v>
      </c>
      <c r="R183" s="203">
        <v>41.96643088846092</v>
      </c>
      <c r="S183" s="203">
        <v>40.62919976256341</v>
      </c>
      <c r="T183" s="203">
        <v>38.472282050266692</v>
      </c>
      <c r="U183" s="203">
        <v>36.084595743072569</v>
      </c>
      <c r="V183" s="203">
        <v>34.677900700130586</v>
      </c>
      <c r="W183" s="203">
        <v>34.305942226550961</v>
      </c>
      <c r="X183" s="203">
        <v>34.095500406752549</v>
      </c>
      <c r="Y183" s="203">
        <v>33.581785556630081</v>
      </c>
      <c r="Z183" s="203">
        <v>33.159300431514325</v>
      </c>
      <c r="AA183" s="203">
        <v>32.339017426585848</v>
      </c>
      <c r="AB183" s="16">
        <f>AB182*(1+Assumptions!$L$13/12)</f>
        <v>1.1625412244417588</v>
      </c>
      <c r="AC183" s="16">
        <f t="shared" si="72"/>
        <v>0</v>
      </c>
      <c r="AD183" s="18">
        <f t="shared" si="73"/>
        <v>728.14269915212174</v>
      </c>
      <c r="AE183" s="18">
        <f t="shared" si="73"/>
        <v>1844.5996241870525</v>
      </c>
      <c r="AF183" s="5">
        <v>1</v>
      </c>
      <c r="AG183" s="73">
        <f t="shared" si="74"/>
        <v>1.175</v>
      </c>
      <c r="AH183" s="16">
        <f>Assumptions!$E$26*Assumptions!H16</f>
        <v>3.9218434774812865</v>
      </c>
      <c r="AI183" s="16">
        <f>Assumptions!$F$26*Assumptions!I16</f>
        <v>3.621493916494722</v>
      </c>
      <c r="AJ183" s="16">
        <f t="shared" si="75"/>
        <v>2.4399542510000001</v>
      </c>
      <c r="AK183" s="16">
        <f t="shared" si="75"/>
        <v>7.2000000000000008E-2</v>
      </c>
      <c r="AL183" s="4"/>
    </row>
    <row r="184" spans="1:38" x14ac:dyDescent="0.2">
      <c r="A184" s="1">
        <f t="shared" si="59"/>
        <v>41802.141000000222</v>
      </c>
      <c r="B184" s="16">
        <f t="shared" si="57"/>
        <v>1.175</v>
      </c>
      <c r="C184" s="17">
        <f t="shared" si="54"/>
        <v>11.804050000000002</v>
      </c>
      <c r="D184" s="16">
        <f t="shared" si="58"/>
        <v>1.1644787931491618</v>
      </c>
      <c r="E184" s="16">
        <f t="shared" si="55"/>
        <v>8.9240369727591755</v>
      </c>
      <c r="F184" s="16">
        <f t="shared" si="56"/>
        <v>0.66711052168499285</v>
      </c>
      <c r="G184" s="19" t="str">
        <f>IF('Peak Revenue'!$A$1="BL","-",SUM(C184:F184))</f>
        <v>-</v>
      </c>
      <c r="H184" s="203">
        <v>206.23707649838542</v>
      </c>
      <c r="I184" s="203">
        <v>188.85869398425933</v>
      </c>
      <c r="J184" s="203">
        <v>174.84067891896723</v>
      </c>
      <c r="K184" s="203">
        <v>158.31392023022937</v>
      </c>
      <c r="L184" s="203">
        <v>144.18539230917608</v>
      </c>
      <c r="M184" s="203">
        <v>77.003375088077604</v>
      </c>
      <c r="N184" s="203">
        <v>62.878192808756715</v>
      </c>
      <c r="O184" s="203">
        <v>59.130728188328121</v>
      </c>
      <c r="P184" s="203">
        <v>44.77314631049093</v>
      </c>
      <c r="Q184" s="203">
        <v>38.837745245494283</v>
      </c>
      <c r="R184" s="203">
        <v>35.336698911972483</v>
      </c>
      <c r="S184" s="203">
        <v>34.854694607791551</v>
      </c>
      <c r="T184" s="203">
        <v>33.764501059323095</v>
      </c>
      <c r="U184" s="203">
        <v>32.230903578979522</v>
      </c>
      <c r="V184" s="203">
        <v>30.876866273163035</v>
      </c>
      <c r="W184" s="203">
        <v>30.64384496909495</v>
      </c>
      <c r="X184" s="203">
        <v>30.643827954183006</v>
      </c>
      <c r="Y184" s="203">
        <v>30.643658471734796</v>
      </c>
      <c r="Z184" s="203">
        <v>30.643292591165704</v>
      </c>
      <c r="AA184" s="203">
        <v>29.934477062726177</v>
      </c>
      <c r="AB184" s="16">
        <f>AB183*(1+Assumptions!$L$13/12)</f>
        <v>1.1644787931491618</v>
      </c>
      <c r="AC184" s="16">
        <f t="shared" si="72"/>
        <v>0</v>
      </c>
      <c r="AD184" s="18">
        <f t="shared" si="73"/>
        <v>728.14269915212174</v>
      </c>
      <c r="AE184" s="18">
        <f t="shared" si="73"/>
        <v>1844.5996241870525</v>
      </c>
      <c r="AF184" s="5">
        <v>1</v>
      </c>
      <c r="AG184" s="73">
        <f t="shared" si="74"/>
        <v>1.175</v>
      </c>
      <c r="AH184" s="16">
        <f>Assumptions!$E$26*Assumptions!H17</f>
        <v>3.7365905694997581</v>
      </c>
      <c r="AI184" s="16">
        <f>Assumptions!$F$26*Assumptions!I17</f>
        <v>3.621493916494722</v>
      </c>
      <c r="AJ184" s="16">
        <f t="shared" si="75"/>
        <v>2.4399542510000001</v>
      </c>
      <c r="AK184" s="16">
        <f t="shared" si="75"/>
        <v>7.2000000000000008E-2</v>
      </c>
      <c r="AL184" s="4"/>
    </row>
    <row r="185" spans="1:38" x14ac:dyDescent="0.2">
      <c r="A185" s="1">
        <f t="shared" si="59"/>
        <v>41832.558000000223</v>
      </c>
      <c r="B185" s="16">
        <f t="shared" si="57"/>
        <v>1.175</v>
      </c>
      <c r="C185" s="17">
        <f t="shared" si="54"/>
        <v>11.804050000000002</v>
      </c>
      <c r="D185" s="16">
        <f t="shared" si="58"/>
        <v>1.1664195911377437</v>
      </c>
      <c r="E185" s="16">
        <f t="shared" si="55"/>
        <v>8.9240369727591755</v>
      </c>
      <c r="F185" s="16">
        <f t="shared" si="56"/>
        <v>0.66711052168499285</v>
      </c>
      <c r="G185" s="19" t="str">
        <f>IF('Peak Revenue'!$A$1="BL","-",SUM(C185:F185))</f>
        <v>-</v>
      </c>
      <c r="H185" s="203">
        <v>315.51242661623917</v>
      </c>
      <c r="I185" s="203">
        <v>235.67946877144249</v>
      </c>
      <c r="J185" s="203">
        <v>216.45438739760752</v>
      </c>
      <c r="K185" s="203">
        <v>195.04003375373162</v>
      </c>
      <c r="L185" s="203">
        <v>178.34605537547444</v>
      </c>
      <c r="M185" s="203">
        <v>161.3951677079678</v>
      </c>
      <c r="N185" s="203">
        <v>139.68141914734613</v>
      </c>
      <c r="O185" s="203">
        <v>52.648152712481235</v>
      </c>
      <c r="P185" s="203">
        <v>47.278212728380389</v>
      </c>
      <c r="Q185" s="203">
        <v>45.25248661023744</v>
      </c>
      <c r="R185" s="203">
        <v>42.54420223093377</v>
      </c>
      <c r="S185" s="203">
        <v>38.566379909972511</v>
      </c>
      <c r="T185" s="203">
        <v>35.773010827389207</v>
      </c>
      <c r="U185" s="203">
        <v>34.66203930699313</v>
      </c>
      <c r="V185" s="203">
        <v>33.562065261131934</v>
      </c>
      <c r="W185" s="203">
        <v>33.079838117527444</v>
      </c>
      <c r="X185" s="203">
        <v>32.361803539988387</v>
      </c>
      <c r="Y185" s="203">
        <v>31.833774404792109</v>
      </c>
      <c r="Z185" s="203">
        <v>30.497846655305089</v>
      </c>
      <c r="AA185" s="203">
        <v>27.821714105750882</v>
      </c>
      <c r="AB185" s="16">
        <f>AB184*(1+Assumptions!$L$13/12)</f>
        <v>1.1664195911377437</v>
      </c>
      <c r="AC185" s="16">
        <f t="shared" si="72"/>
        <v>0</v>
      </c>
      <c r="AD185" s="18">
        <f t="shared" si="73"/>
        <v>728.14269915212174</v>
      </c>
      <c r="AE185" s="18">
        <f t="shared" si="73"/>
        <v>1844.5996241870525</v>
      </c>
      <c r="AF185" s="5">
        <v>1</v>
      </c>
      <c r="AG185" s="73">
        <f t="shared" si="74"/>
        <v>1.175</v>
      </c>
      <c r="AH185" s="16">
        <f>Assumptions!$E$26*Assumptions!H18</f>
        <v>3.7247659157988093</v>
      </c>
      <c r="AI185" s="16">
        <f>Assumptions!$F$26*Assumptions!I18</f>
        <v>3.621493916494722</v>
      </c>
      <c r="AJ185" s="16">
        <f t="shared" si="75"/>
        <v>2.4399542510000001</v>
      </c>
      <c r="AK185" s="16">
        <f t="shared" si="75"/>
        <v>7.2000000000000008E-2</v>
      </c>
      <c r="AL185" s="4"/>
    </row>
    <row r="186" spans="1:38" x14ac:dyDescent="0.2">
      <c r="A186" s="1">
        <f t="shared" si="59"/>
        <v>41862.975000000224</v>
      </c>
      <c r="B186" s="16">
        <f t="shared" si="57"/>
        <v>1.175</v>
      </c>
      <c r="C186" s="17">
        <f t="shared" si="54"/>
        <v>11.804050000000002</v>
      </c>
      <c r="D186" s="16">
        <f t="shared" si="58"/>
        <v>1.16836362378964</v>
      </c>
      <c r="E186" s="16">
        <f t="shared" si="55"/>
        <v>8.9240369727591755</v>
      </c>
      <c r="F186" s="16">
        <f t="shared" si="56"/>
        <v>0.66711052168499285</v>
      </c>
      <c r="G186" s="19" t="str">
        <f>IF('Peak Revenue'!$A$1="BL","-",SUM(C186:F186))</f>
        <v>-</v>
      </c>
      <c r="H186" s="203">
        <v>323.76121366185509</v>
      </c>
      <c r="I186" s="203">
        <v>230.99318060147033</v>
      </c>
      <c r="J186" s="203">
        <v>208.410855759459</v>
      </c>
      <c r="K186" s="203">
        <v>183.49002919269304</v>
      </c>
      <c r="L186" s="203">
        <v>163.19707216132599</v>
      </c>
      <c r="M186" s="203">
        <v>144.27141004904854</v>
      </c>
      <c r="N186" s="203">
        <v>103.14657448475775</v>
      </c>
      <c r="O186" s="203">
        <v>92.399356789436496</v>
      </c>
      <c r="P186" s="203">
        <v>76.761990104837309</v>
      </c>
      <c r="Q186" s="203">
        <v>60.844838826560512</v>
      </c>
      <c r="R186" s="203">
        <v>52.696028061181217</v>
      </c>
      <c r="S186" s="203">
        <v>45.459716862602008</v>
      </c>
      <c r="T186" s="203">
        <v>44.16641373474512</v>
      </c>
      <c r="U186" s="203">
        <v>41.169911833901459</v>
      </c>
      <c r="V186" s="203">
        <v>39.324026289178036</v>
      </c>
      <c r="W186" s="203">
        <v>36.891862742635269</v>
      </c>
      <c r="X186" s="203">
        <v>34.808236037764068</v>
      </c>
      <c r="Y186" s="203">
        <v>33.590155817733191</v>
      </c>
      <c r="Z186" s="203">
        <v>30.712421241896728</v>
      </c>
      <c r="AA186" s="203">
        <v>28.799231271978051</v>
      </c>
      <c r="AB186" s="16">
        <f>AB185*(1+Assumptions!$L$13/12)</f>
        <v>1.16836362378964</v>
      </c>
      <c r="AC186" s="16">
        <f t="shared" si="72"/>
        <v>0</v>
      </c>
      <c r="AD186" s="18">
        <f t="shared" si="73"/>
        <v>728.14269915212174</v>
      </c>
      <c r="AE186" s="18">
        <f t="shared" si="73"/>
        <v>1844.5996241870525</v>
      </c>
      <c r="AF186" s="5">
        <v>1</v>
      </c>
      <c r="AG186" s="73">
        <f t="shared" si="74"/>
        <v>1.175</v>
      </c>
      <c r="AH186" s="16">
        <f>Assumptions!$E$26*Assumptions!H19</f>
        <v>3.5316299053499827</v>
      </c>
      <c r="AI186" s="16">
        <f>Assumptions!$F$26*Assumptions!I19</f>
        <v>3.621493916494722</v>
      </c>
      <c r="AJ186" s="16">
        <f t="shared" si="75"/>
        <v>2.4399542510000001</v>
      </c>
      <c r="AK186" s="16">
        <f t="shared" si="75"/>
        <v>7.2000000000000008E-2</v>
      </c>
      <c r="AL186" s="4"/>
    </row>
    <row r="187" spans="1:38" x14ac:dyDescent="0.2">
      <c r="A187" s="1">
        <f t="shared" si="59"/>
        <v>41893.392000000225</v>
      </c>
      <c r="B187" s="16">
        <f t="shared" si="57"/>
        <v>1.175</v>
      </c>
      <c r="C187" s="17">
        <f t="shared" si="54"/>
        <v>11.804050000000002</v>
      </c>
      <c r="D187" s="16">
        <f t="shared" si="58"/>
        <v>1.1703108964959561</v>
      </c>
      <c r="E187" s="16">
        <f t="shared" si="55"/>
        <v>8.9240369727591755</v>
      </c>
      <c r="F187" s="16">
        <f t="shared" si="56"/>
        <v>0.66711052168499285</v>
      </c>
      <c r="G187" s="19" t="str">
        <f>IF('Peak Revenue'!$A$1="BL","-",SUM(C187:F187))</f>
        <v>-</v>
      </c>
      <c r="H187" s="203">
        <v>199.59282375298287</v>
      </c>
      <c r="I187" s="203">
        <v>183.30873356705189</v>
      </c>
      <c r="J187" s="203">
        <v>170.29458219867857</v>
      </c>
      <c r="K187" s="203">
        <v>155.59726237203316</v>
      </c>
      <c r="L187" s="203">
        <v>123.12222295517969</v>
      </c>
      <c r="M187" s="203">
        <v>58.288024787661982</v>
      </c>
      <c r="N187" s="203">
        <v>51.0990133089145</v>
      </c>
      <c r="O187" s="203">
        <v>47.376652868345779</v>
      </c>
      <c r="P187" s="203">
        <v>46.329996515603938</v>
      </c>
      <c r="Q187" s="203">
        <v>42.10064764197061</v>
      </c>
      <c r="R187" s="203">
        <v>38.527135974224379</v>
      </c>
      <c r="S187" s="203">
        <v>36.300299201309166</v>
      </c>
      <c r="T187" s="203">
        <v>35.133626944028848</v>
      </c>
      <c r="U187" s="203">
        <v>34.440598363142861</v>
      </c>
      <c r="V187" s="203">
        <v>33.949663841587167</v>
      </c>
      <c r="W187" s="203">
        <v>33.54257332651072</v>
      </c>
      <c r="X187" s="203">
        <v>32.223809937946768</v>
      </c>
      <c r="Y187" s="203">
        <v>30.504174362945502</v>
      </c>
      <c r="Z187" s="203">
        <v>29.821875108395588</v>
      </c>
      <c r="AA187" s="203">
        <v>28.381901025716584</v>
      </c>
      <c r="AB187" s="16">
        <f>AB186*(1+Assumptions!$L$13/12)</f>
        <v>1.1703108964959561</v>
      </c>
      <c r="AC187" s="16">
        <f t="shared" si="72"/>
        <v>0</v>
      </c>
      <c r="AD187" s="18">
        <f t="shared" si="73"/>
        <v>728.14269915212174</v>
      </c>
      <c r="AE187" s="18">
        <f t="shared" si="73"/>
        <v>1844.5996241870525</v>
      </c>
      <c r="AF187" s="5">
        <v>1</v>
      </c>
      <c r="AG187" s="73">
        <f t="shared" si="74"/>
        <v>1.175</v>
      </c>
      <c r="AH187" s="16">
        <f>Assumptions!$E$26*Assumptions!H20</f>
        <v>3.5198052516490339</v>
      </c>
      <c r="AI187" s="16">
        <f>Assumptions!$F$26*Assumptions!I20</f>
        <v>3.621493916494722</v>
      </c>
      <c r="AJ187" s="16">
        <f t="shared" si="75"/>
        <v>2.4399542510000001</v>
      </c>
      <c r="AK187" s="16">
        <f t="shared" si="75"/>
        <v>7.2000000000000008E-2</v>
      </c>
      <c r="AL187" s="4"/>
    </row>
    <row r="188" spans="1:38" x14ac:dyDescent="0.2">
      <c r="A188" s="1">
        <f t="shared" si="59"/>
        <v>41923.809000000227</v>
      </c>
      <c r="B188" s="16">
        <f t="shared" si="57"/>
        <v>1.175</v>
      </c>
      <c r="C188" s="17">
        <f t="shared" si="54"/>
        <v>11.804050000000002</v>
      </c>
      <c r="D188" s="16">
        <f t="shared" si="58"/>
        <v>1.1722614146567827</v>
      </c>
      <c r="E188" s="16">
        <f t="shared" si="55"/>
        <v>8.9240369727591755</v>
      </c>
      <c r="F188" s="16">
        <f t="shared" si="56"/>
        <v>0.66711052168499285</v>
      </c>
      <c r="G188" s="19" t="str">
        <f>IF('Peak Revenue'!$A$1="BL","-",SUM(C188:F188))</f>
        <v>-</v>
      </c>
      <c r="H188" s="203">
        <v>66.097959540897435</v>
      </c>
      <c r="I188" s="203">
        <v>64.501524253662026</v>
      </c>
      <c r="J188" s="203">
        <v>58.224930892862247</v>
      </c>
      <c r="K188" s="203">
        <v>52.100866737618787</v>
      </c>
      <c r="L188" s="203">
        <v>50.89369375042557</v>
      </c>
      <c r="M188" s="203">
        <v>50.297789790894129</v>
      </c>
      <c r="N188" s="203">
        <v>49.538384472079521</v>
      </c>
      <c r="O188" s="203">
        <v>49.029278986887235</v>
      </c>
      <c r="P188" s="203">
        <v>48.737829651845217</v>
      </c>
      <c r="Q188" s="203">
        <v>48.337233467308799</v>
      </c>
      <c r="R188" s="203">
        <v>47.832014745339983</v>
      </c>
      <c r="S188" s="203">
        <v>47.092275195138185</v>
      </c>
      <c r="T188" s="203">
        <v>46.38094283755246</v>
      </c>
      <c r="U188" s="203">
        <v>46.191581809250899</v>
      </c>
      <c r="V188" s="203">
        <v>45.430424678446236</v>
      </c>
      <c r="W188" s="203">
        <v>41.780645364639625</v>
      </c>
      <c r="X188" s="203">
        <v>40.090034923943492</v>
      </c>
      <c r="Y188" s="203">
        <v>38.321670068357925</v>
      </c>
      <c r="Z188" s="203">
        <v>37.599979893221835</v>
      </c>
      <c r="AA188" s="203">
        <v>35.998205883930424</v>
      </c>
      <c r="AB188" s="16">
        <f>AB187*(1+Assumptions!$L$13/12)</f>
        <v>1.1722614146567827</v>
      </c>
      <c r="AC188" s="16">
        <f t="shared" si="72"/>
        <v>0</v>
      </c>
      <c r="AD188" s="18">
        <f t="shared" si="73"/>
        <v>728.14269915212174</v>
      </c>
      <c r="AE188" s="18">
        <f t="shared" si="73"/>
        <v>1844.5996241870525</v>
      </c>
      <c r="AF188" s="5">
        <f>IF(Assumptions!D$26=1,0,1)</f>
        <v>1</v>
      </c>
      <c r="AG188" s="73">
        <f t="shared" si="74"/>
        <v>1.175</v>
      </c>
      <c r="AH188" s="16">
        <f>Assumptions!$E$26*Assumptions!H21</f>
        <v>3.898194170079389</v>
      </c>
      <c r="AI188" s="16">
        <f>Assumptions!$F$26*Assumptions!I21</f>
        <v>3.621493916494722</v>
      </c>
      <c r="AJ188" s="16">
        <f t="shared" si="75"/>
        <v>2.4399542510000001</v>
      </c>
      <c r="AK188" s="16">
        <f t="shared" si="75"/>
        <v>7.2000000000000008E-2</v>
      </c>
      <c r="AL188" s="4"/>
    </row>
    <row r="189" spans="1:38" x14ac:dyDescent="0.2">
      <c r="A189" s="1">
        <f t="shared" si="59"/>
        <v>41954.226000000228</v>
      </c>
      <c r="B189" s="16">
        <f t="shared" si="57"/>
        <v>1.175</v>
      </c>
      <c r="C189" s="17">
        <f t="shared" si="54"/>
        <v>11.804050000000002</v>
      </c>
      <c r="D189" s="16">
        <f t="shared" si="58"/>
        <v>1.1742151836812107</v>
      </c>
      <c r="E189" s="16">
        <f t="shared" si="55"/>
        <v>8.9240369727591755</v>
      </c>
      <c r="F189" s="16">
        <f t="shared" si="56"/>
        <v>0.66711052168499285</v>
      </c>
      <c r="G189" s="19" t="str">
        <f>IF('Peak Revenue'!$A$1="BL","-",SUM(C189:F189))</f>
        <v>-</v>
      </c>
      <c r="H189" s="203">
        <v>148.86482618779189</v>
      </c>
      <c r="I189" s="203">
        <v>107.41031634640714</v>
      </c>
      <c r="J189" s="203">
        <v>89.037798568724114</v>
      </c>
      <c r="K189" s="203">
        <v>83.522321273113079</v>
      </c>
      <c r="L189" s="203">
        <v>77.68287176932121</v>
      </c>
      <c r="M189" s="203">
        <v>76.974124471892509</v>
      </c>
      <c r="N189" s="203">
        <v>73.802860757210254</v>
      </c>
      <c r="O189" s="203">
        <v>57.069518133530337</v>
      </c>
      <c r="P189" s="203">
        <v>51.614765140679324</v>
      </c>
      <c r="Q189" s="203">
        <v>44.44642013183558</v>
      </c>
      <c r="R189" s="203">
        <v>43.398327195523891</v>
      </c>
      <c r="S189" s="203">
        <v>42.241388729854421</v>
      </c>
      <c r="T189" s="203">
        <v>40.006880263506901</v>
      </c>
      <c r="U189" s="203">
        <v>38.433057705058829</v>
      </c>
      <c r="V189" s="203">
        <v>37.959054208100554</v>
      </c>
      <c r="W189" s="203">
        <v>37.947208320081707</v>
      </c>
      <c r="X189" s="203">
        <v>37.67793678325593</v>
      </c>
      <c r="Y189" s="203">
        <v>37.332657264638115</v>
      </c>
      <c r="Z189" s="203">
        <v>37.332657264638115</v>
      </c>
      <c r="AA189" s="203">
        <v>34.2918368354987</v>
      </c>
      <c r="AB189" s="16">
        <f>AB188*(1+Assumptions!$L$13/12)</f>
        <v>1.1742151836812107</v>
      </c>
      <c r="AC189" s="16">
        <f t="shared" si="72"/>
        <v>0</v>
      </c>
      <c r="AD189" s="18">
        <f t="shared" si="73"/>
        <v>728.14269915212174</v>
      </c>
      <c r="AE189" s="18">
        <f t="shared" si="73"/>
        <v>1844.5996241870525</v>
      </c>
      <c r="AF189" s="5">
        <f>IF(Assumptions!D$26=1,0,1)</f>
        <v>1</v>
      </c>
      <c r="AG189" s="73">
        <f t="shared" si="74"/>
        <v>1.175</v>
      </c>
      <c r="AH189" s="16">
        <f>Assumptions!$E$26*Assumptions!H22</f>
        <v>4.2686999860424448</v>
      </c>
      <c r="AI189" s="16">
        <f>Assumptions!$F$26*Assumptions!I22</f>
        <v>3.9264618252521726</v>
      </c>
      <c r="AJ189" s="16">
        <f t="shared" si="75"/>
        <v>2.4399542510000001</v>
      </c>
      <c r="AK189" s="16">
        <f t="shared" si="75"/>
        <v>7.2000000000000008E-2</v>
      </c>
      <c r="AL189" s="4"/>
    </row>
    <row r="190" spans="1:38" x14ac:dyDescent="0.2">
      <c r="A190" s="1">
        <f t="shared" si="59"/>
        <v>41984.643000000229</v>
      </c>
      <c r="B190" s="16">
        <f t="shared" si="57"/>
        <v>1.175</v>
      </c>
      <c r="C190" s="17">
        <f t="shared" si="54"/>
        <v>11.804050000000002</v>
      </c>
      <c r="D190" s="16">
        <f t="shared" si="58"/>
        <v>1.1761722089873461</v>
      </c>
      <c r="E190" s="16">
        <f t="shared" si="55"/>
        <v>8.9240369727591755</v>
      </c>
      <c r="F190" s="16">
        <f t="shared" si="56"/>
        <v>0.66711052168499285</v>
      </c>
      <c r="G190" s="19" t="str">
        <f>IF('Peak Revenue'!$A$1="BL","-",SUM(C190:F190))</f>
        <v>-</v>
      </c>
      <c r="H190" s="203">
        <v>152.62290847950433</v>
      </c>
      <c r="I190" s="203">
        <v>149.21839596946182</v>
      </c>
      <c r="J190" s="203">
        <v>134.4230584151137</v>
      </c>
      <c r="K190" s="203">
        <v>101.76836705879228</v>
      </c>
      <c r="L190" s="203">
        <v>95.241261537934633</v>
      </c>
      <c r="M190" s="203">
        <v>88.262164633878996</v>
      </c>
      <c r="N190" s="203">
        <v>86.371807184600044</v>
      </c>
      <c r="O190" s="203">
        <v>79.883161172977836</v>
      </c>
      <c r="P190" s="203">
        <v>60.476465707758848</v>
      </c>
      <c r="Q190" s="203">
        <v>50.92610753477279</v>
      </c>
      <c r="R190" s="203">
        <v>47.318686837991216</v>
      </c>
      <c r="S190" s="203">
        <v>42.964530673870961</v>
      </c>
      <c r="T190" s="203">
        <v>42.964530673870961</v>
      </c>
      <c r="U190" s="203">
        <v>42.845842016519484</v>
      </c>
      <c r="V190" s="203">
        <v>42.615416512270542</v>
      </c>
      <c r="W190" s="203">
        <v>42.615416512270542</v>
      </c>
      <c r="X190" s="203">
        <v>42.615416512270542</v>
      </c>
      <c r="Y190" s="203">
        <v>42.414493944055614</v>
      </c>
      <c r="Z190" s="203">
        <v>41.79745192051216</v>
      </c>
      <c r="AA190" s="203">
        <v>41.435587346096796</v>
      </c>
      <c r="AB190" s="16">
        <f>AB189*(1+Assumptions!$L$13/12)</f>
        <v>1.1761722089873461</v>
      </c>
      <c r="AC190" s="16">
        <f t="shared" si="72"/>
        <v>0</v>
      </c>
      <c r="AD190" s="18">
        <f t="shared" si="73"/>
        <v>728.14269915212174</v>
      </c>
      <c r="AE190" s="18">
        <f t="shared" si="73"/>
        <v>1844.5996241870525</v>
      </c>
      <c r="AF190" s="5">
        <f>IF(Assumptions!D$26=1,0,1)</f>
        <v>1</v>
      </c>
      <c r="AG190" s="73">
        <f t="shared" si="74"/>
        <v>1.175</v>
      </c>
      <c r="AH190" s="16">
        <f>Assumptions!$E$26*Assumptions!H23</f>
        <v>4.6194980458372532</v>
      </c>
      <c r="AI190" s="16">
        <f>Assumptions!$F$26*Assumptions!I23</f>
        <v>4.1170667682255786</v>
      </c>
      <c r="AJ190" s="16">
        <f t="shared" si="75"/>
        <v>2.4399542510000001</v>
      </c>
      <c r="AK190" s="16">
        <f t="shared" si="75"/>
        <v>7.2000000000000008E-2</v>
      </c>
      <c r="AL190" s="4"/>
    </row>
    <row r="191" spans="1:38" x14ac:dyDescent="0.2">
      <c r="A191" s="1">
        <f t="shared" si="59"/>
        <v>42015.060000000231</v>
      </c>
      <c r="B191" s="16">
        <f t="shared" si="57"/>
        <v>1.1800999999999999</v>
      </c>
      <c r="C191" s="17">
        <f t="shared" si="54"/>
        <v>11.855284599999999</v>
      </c>
      <c r="D191" s="16">
        <f t="shared" si="58"/>
        <v>1.1781324960023249</v>
      </c>
      <c r="E191" s="16">
        <f t="shared" si="55"/>
        <v>9.8851068302206162</v>
      </c>
      <c r="F191" s="16">
        <f t="shared" si="56"/>
        <v>0.6808966149192337</v>
      </c>
      <c r="G191" s="19" t="str">
        <f>IF('Peak Revenue'!$A$1="BL","-",SUM(C191:F191))</f>
        <v>-</v>
      </c>
      <c r="H191" s="203">
        <v>111.93226183302843</v>
      </c>
      <c r="I191" s="203">
        <v>103.21829734814199</v>
      </c>
      <c r="J191" s="203">
        <v>98.663601362089992</v>
      </c>
      <c r="K191" s="203">
        <v>91.423123935195662</v>
      </c>
      <c r="L191" s="203">
        <v>90.91208189617403</v>
      </c>
      <c r="M191" s="203">
        <v>83.095148002341517</v>
      </c>
      <c r="N191" s="203">
        <v>66.508355853374141</v>
      </c>
      <c r="O191" s="203">
        <v>65.840444119046197</v>
      </c>
      <c r="P191" s="203">
        <v>65.083069755351659</v>
      </c>
      <c r="Q191" s="203">
        <v>64.509972245371557</v>
      </c>
      <c r="R191" s="203">
        <v>62.596046650909578</v>
      </c>
      <c r="S191" s="203">
        <v>55.697796273847729</v>
      </c>
      <c r="T191" s="203">
        <v>49.175225281913413</v>
      </c>
      <c r="U191" s="203">
        <v>44.665963579169457</v>
      </c>
      <c r="V191" s="203">
        <v>44.347683628711934</v>
      </c>
      <c r="W191" s="203">
        <v>44.052457326105078</v>
      </c>
      <c r="X191" s="203">
        <v>43.608488764645323</v>
      </c>
      <c r="Y191" s="203">
        <v>43.608469046783092</v>
      </c>
      <c r="Z191" s="203">
        <v>43.608460187087651</v>
      </c>
      <c r="AA191" s="203">
        <v>43.581335497607277</v>
      </c>
      <c r="AB191" s="16">
        <f>AB190*(1+Assumptions!$L$13/12)</f>
        <v>1.1781324960023249</v>
      </c>
      <c r="AC191" s="16">
        <f>VLOOKUP($C$1,EnvVOM,18)</f>
        <v>0</v>
      </c>
      <c r="AD191" s="18">
        <f>Assumptions!B27</f>
        <v>806.55967593313017</v>
      </c>
      <c r="AE191" s="18">
        <f>Assumptions!C27</f>
        <v>1882.7189785852679</v>
      </c>
      <c r="AF191" s="5">
        <f>IF(Assumptions!D$27=1,0,1)</f>
        <v>1</v>
      </c>
      <c r="AG191" s="73">
        <f>VLOOKUP($C$1,Coal,18)</f>
        <v>1.1800999999999999</v>
      </c>
      <c r="AH191" s="16">
        <f>Assumptions!$E$27*Assumptions!H12</f>
        <v>4.8568850063716944</v>
      </c>
      <c r="AI191" s="16">
        <f>Assumptions!$F$27*Assumptions!I12</f>
        <v>4.5531551926412224</v>
      </c>
      <c r="AJ191" s="16">
        <f>VLOOKUP($C$1,SO2Rate,18)</f>
        <v>2.4399542510000001</v>
      </c>
      <c r="AK191" s="16">
        <f>VLOOKUP($C$1,NOxRate,18)</f>
        <v>7.2000000000000008E-2</v>
      </c>
      <c r="AL191" s="4"/>
    </row>
    <row r="192" spans="1:38" x14ac:dyDescent="0.2">
      <c r="A192" s="1">
        <f t="shared" si="59"/>
        <v>42045.477000000232</v>
      </c>
      <c r="B192" s="16">
        <f t="shared" si="57"/>
        <v>1.1800999999999999</v>
      </c>
      <c r="C192" s="17">
        <f t="shared" si="54"/>
        <v>11.855284599999999</v>
      </c>
      <c r="D192" s="16">
        <f t="shared" si="58"/>
        <v>1.1800960501623288</v>
      </c>
      <c r="E192" s="16">
        <f t="shared" si="55"/>
        <v>9.8851068302206162</v>
      </c>
      <c r="F192" s="16">
        <f t="shared" si="56"/>
        <v>0.6808966149192337</v>
      </c>
      <c r="G192" s="19" t="str">
        <f>IF('Peak Revenue'!$A$1="BL","-",SUM(C192:F192))</f>
        <v>-</v>
      </c>
      <c r="H192" s="203">
        <v>150.37436330333634</v>
      </c>
      <c r="I192" s="203">
        <v>145.53692115261202</v>
      </c>
      <c r="J192" s="203">
        <v>127.97560286855087</v>
      </c>
      <c r="K192" s="203">
        <v>103.83409686887225</v>
      </c>
      <c r="L192" s="203">
        <v>95.837569689838489</v>
      </c>
      <c r="M192" s="203">
        <v>89.625363919320776</v>
      </c>
      <c r="N192" s="203">
        <v>84.495793728076336</v>
      </c>
      <c r="O192" s="203">
        <v>62.951308286622599</v>
      </c>
      <c r="P192" s="203">
        <v>52.268332376339188</v>
      </c>
      <c r="Q192" s="203">
        <v>49.622013965961273</v>
      </c>
      <c r="R192" s="203">
        <v>45.058212119151854</v>
      </c>
      <c r="S192" s="203">
        <v>43.604270944545057</v>
      </c>
      <c r="T192" s="203">
        <v>43.604270944545057</v>
      </c>
      <c r="U192" s="203">
        <v>43.251413320611768</v>
      </c>
      <c r="V192" s="203">
        <v>43.113201744831386</v>
      </c>
      <c r="W192" s="203">
        <v>42.879775754796924</v>
      </c>
      <c r="X192" s="203">
        <v>42.879738822635034</v>
      </c>
      <c r="Y192" s="203">
        <v>42.879706794513268</v>
      </c>
      <c r="Z192" s="203">
        <v>42.879517281958115</v>
      </c>
      <c r="AA192" s="203">
        <v>42.857946473673607</v>
      </c>
      <c r="AB192" s="16">
        <f>AB191*(1+Assumptions!$L$13/12)</f>
        <v>1.1800960501623288</v>
      </c>
      <c r="AC192" s="16">
        <f>AC191</f>
        <v>0</v>
      </c>
      <c r="AD192" s="18">
        <f>AD191</f>
        <v>806.55967593313017</v>
      </c>
      <c r="AE192" s="18">
        <f>AE191</f>
        <v>1882.7189785852679</v>
      </c>
      <c r="AF192" s="5">
        <f>IF(Assumptions!D$27=1,0,1)</f>
        <v>1</v>
      </c>
      <c r="AG192" s="73">
        <f>AG191</f>
        <v>1.1800999999999999</v>
      </c>
      <c r="AH192" s="16">
        <f>Assumptions!$E$27*Assumptions!H13</f>
        <v>4.3531123594342045</v>
      </c>
      <c r="AI192" s="16">
        <f>Assumptions!$F$27*Assumptions!I13</f>
        <v>4.5109963482649142</v>
      </c>
      <c r="AJ192" s="16">
        <f>AJ191</f>
        <v>2.4399542510000001</v>
      </c>
      <c r="AK192" s="16">
        <f>AK191</f>
        <v>7.2000000000000008E-2</v>
      </c>
      <c r="AL192" s="4"/>
    </row>
    <row r="193" spans="1:38" x14ac:dyDescent="0.2">
      <c r="A193" s="1">
        <f t="shared" si="59"/>
        <v>42075.894000000233</v>
      </c>
      <c r="B193" s="16">
        <f t="shared" si="57"/>
        <v>1.1800999999999999</v>
      </c>
      <c r="C193" s="17">
        <f t="shared" si="54"/>
        <v>11.855284599999999</v>
      </c>
      <c r="D193" s="16">
        <f t="shared" si="58"/>
        <v>1.1820628769125994</v>
      </c>
      <c r="E193" s="16">
        <f t="shared" si="55"/>
        <v>9.8851068302206162</v>
      </c>
      <c r="F193" s="16">
        <f t="shared" si="56"/>
        <v>0.6808966149192337</v>
      </c>
      <c r="G193" s="19" t="str">
        <f>IF('Peak Revenue'!$A$1="BL","-",SUM(C193:F193))</f>
        <v>-</v>
      </c>
      <c r="H193" s="203">
        <v>100.13312426541765</v>
      </c>
      <c r="I193" s="203">
        <v>96.396474737934412</v>
      </c>
      <c r="J193" s="203">
        <v>96.231057988736922</v>
      </c>
      <c r="K193" s="203">
        <v>94.621359697733027</v>
      </c>
      <c r="L193" s="203">
        <v>82.818961603687185</v>
      </c>
      <c r="M193" s="203">
        <v>65.731077548411378</v>
      </c>
      <c r="N193" s="203">
        <v>57.149043022496905</v>
      </c>
      <c r="O193" s="203">
        <v>53.656564260659692</v>
      </c>
      <c r="P193" s="203">
        <v>53.008814765541416</v>
      </c>
      <c r="Q193" s="203">
        <v>49.217090334084354</v>
      </c>
      <c r="R193" s="203">
        <v>46.956449843711425</v>
      </c>
      <c r="S193" s="203">
        <v>46.616920404783635</v>
      </c>
      <c r="T193" s="203">
        <v>46.448431764303109</v>
      </c>
      <c r="U193" s="203">
        <v>46.448431764303109</v>
      </c>
      <c r="V193" s="203">
        <v>46.4202646873037</v>
      </c>
      <c r="W193" s="203">
        <v>45.73634919974667</v>
      </c>
      <c r="X193" s="203">
        <v>45.667408327752369</v>
      </c>
      <c r="Y193" s="203">
        <v>45.667408327752369</v>
      </c>
      <c r="Z193" s="203">
        <v>45.667408327752369</v>
      </c>
      <c r="AA193" s="203">
        <v>45.080243060620731</v>
      </c>
      <c r="AB193" s="16">
        <f>AB192*(1+Assumptions!$L$13/12)</f>
        <v>1.1820628769125994</v>
      </c>
      <c r="AC193" s="16">
        <f t="shared" ref="AC193:AC202" si="76">AC192</f>
        <v>0</v>
      </c>
      <c r="AD193" s="18">
        <f t="shared" ref="AD193:AE202" si="77">AD192</f>
        <v>806.55967593313017</v>
      </c>
      <c r="AE193" s="18">
        <f t="shared" si="77"/>
        <v>1882.7189785852679</v>
      </c>
      <c r="AF193" s="5">
        <f>IF(Assumptions!D$27=1,0,1)</f>
        <v>1</v>
      </c>
      <c r="AG193" s="73">
        <f t="shared" ref="AG193:AG202" si="78">AG192</f>
        <v>1.1800999999999999</v>
      </c>
      <c r="AH193" s="16">
        <f>Assumptions!$E$27*Assumptions!H14</f>
        <v>4.2799146244091002</v>
      </c>
      <c r="AI193" s="16">
        <f>Assumptions!$F$27*Assumptions!I14</f>
        <v>4.3423609707596835</v>
      </c>
      <c r="AJ193" s="16">
        <f t="shared" ref="AJ193:AK202" si="79">AJ192</f>
        <v>2.4399542510000001</v>
      </c>
      <c r="AK193" s="16">
        <f t="shared" si="79"/>
        <v>7.2000000000000008E-2</v>
      </c>
      <c r="AL193" s="4"/>
    </row>
    <row r="194" spans="1:38" x14ac:dyDescent="0.2">
      <c r="A194" s="1">
        <f t="shared" si="59"/>
        <v>42106.311000000234</v>
      </c>
      <c r="B194" s="16">
        <f t="shared" si="57"/>
        <v>1.1800999999999999</v>
      </c>
      <c r="C194" s="17">
        <f t="shared" si="54"/>
        <v>11.855284599999999</v>
      </c>
      <c r="D194" s="16">
        <f t="shared" si="58"/>
        <v>1.1840329817074537</v>
      </c>
      <c r="E194" s="16">
        <f t="shared" si="55"/>
        <v>9.8851068302206162</v>
      </c>
      <c r="F194" s="16">
        <f t="shared" si="56"/>
        <v>0.6808966149192337</v>
      </c>
      <c r="G194" s="19" t="str">
        <f>IF('Peak Revenue'!$A$1="BL","-",SUM(C194:F194))</f>
        <v>-</v>
      </c>
      <c r="H194" s="203">
        <v>77.282340511171881</v>
      </c>
      <c r="I194" s="203">
        <v>74.454734963792703</v>
      </c>
      <c r="J194" s="203">
        <v>71.670802658602469</v>
      </c>
      <c r="K194" s="203">
        <v>68.332897018206154</v>
      </c>
      <c r="L194" s="203">
        <v>63.800930277221255</v>
      </c>
      <c r="M194" s="203">
        <v>63.256572785208064</v>
      </c>
      <c r="N194" s="203">
        <v>59.370724419975396</v>
      </c>
      <c r="O194" s="203">
        <v>53.775130510404907</v>
      </c>
      <c r="P194" s="203">
        <v>50.980523256100575</v>
      </c>
      <c r="Q194" s="203">
        <v>49.446639646811541</v>
      </c>
      <c r="R194" s="203">
        <v>48.110836664732062</v>
      </c>
      <c r="S194" s="203">
        <v>46.325308707262636</v>
      </c>
      <c r="T194" s="203">
        <v>44.769121856718712</v>
      </c>
      <c r="U194" s="203">
        <v>42.483061077832282</v>
      </c>
      <c r="V194" s="203">
        <v>38.544709759154145</v>
      </c>
      <c r="W194" s="203">
        <v>37.259995791033553</v>
      </c>
      <c r="X194" s="203">
        <v>36.331070075161378</v>
      </c>
      <c r="Y194" s="203">
        <v>36.09286206234647</v>
      </c>
      <c r="Z194" s="203">
        <v>35.805724894405706</v>
      </c>
      <c r="AA194" s="203">
        <v>34.606480964200884</v>
      </c>
      <c r="AB194" s="16">
        <f>AB193*(1+Assumptions!$L$13/12)</f>
        <v>1.1840329817074537</v>
      </c>
      <c r="AC194" s="16">
        <f t="shared" si="76"/>
        <v>0</v>
      </c>
      <c r="AD194" s="18">
        <f t="shared" si="77"/>
        <v>806.55967593313017</v>
      </c>
      <c r="AE194" s="18">
        <f t="shared" si="77"/>
        <v>1882.7189785852679</v>
      </c>
      <c r="AF194" s="5">
        <f>IF(Assumptions!D$27=1,0,1)</f>
        <v>1</v>
      </c>
      <c r="AG194" s="73">
        <f t="shared" si="78"/>
        <v>1.1800999999999999</v>
      </c>
      <c r="AH194" s="16">
        <f>Assumptions!$E$27*Assumptions!H15</f>
        <v>4.068932917572031</v>
      </c>
      <c r="AI194" s="16">
        <f>Assumptions!$F$27*Assumptions!I15</f>
        <v>4.1737255932544537</v>
      </c>
      <c r="AJ194" s="16">
        <f t="shared" si="79"/>
        <v>2.4399542510000001</v>
      </c>
      <c r="AK194" s="16">
        <f t="shared" si="79"/>
        <v>7.2000000000000008E-2</v>
      </c>
      <c r="AL194" s="4"/>
    </row>
    <row r="195" spans="1:38" x14ac:dyDescent="0.2">
      <c r="A195" s="1">
        <f t="shared" si="59"/>
        <v>42136.728000000236</v>
      </c>
      <c r="B195" s="16">
        <f t="shared" si="57"/>
        <v>1.1800999999999999</v>
      </c>
      <c r="C195" s="17">
        <f t="shared" si="54"/>
        <v>11.855284599999999</v>
      </c>
      <c r="D195" s="16">
        <f t="shared" si="58"/>
        <v>1.1860063700102996</v>
      </c>
      <c r="E195" s="16">
        <f t="shared" si="55"/>
        <v>9.8851068302206162</v>
      </c>
      <c r="F195" s="16">
        <f t="shared" si="56"/>
        <v>0.6808966149192337</v>
      </c>
      <c r="G195" s="19" t="str">
        <f>IF('Peak Revenue'!$A$1="BL","-",SUM(C195:F195))</f>
        <v>-</v>
      </c>
      <c r="H195" s="203">
        <v>166.16560831435271</v>
      </c>
      <c r="I195" s="203">
        <v>155.69376146428641</v>
      </c>
      <c r="J195" s="203">
        <v>149.55282637732628</v>
      </c>
      <c r="K195" s="203">
        <v>83.440217866533388</v>
      </c>
      <c r="L195" s="203">
        <v>68.663128732701949</v>
      </c>
      <c r="M195" s="203">
        <v>63.125265075641401</v>
      </c>
      <c r="N195" s="203">
        <v>62.145951210491617</v>
      </c>
      <c r="O195" s="203">
        <v>53.685672038528359</v>
      </c>
      <c r="P195" s="203">
        <v>44.985686473001081</v>
      </c>
      <c r="Q195" s="203">
        <v>44.031290076043263</v>
      </c>
      <c r="R195" s="203">
        <v>42.719384049103063</v>
      </c>
      <c r="S195" s="203">
        <v>41.537799661707417</v>
      </c>
      <c r="T195" s="203">
        <v>39.860414206811328</v>
      </c>
      <c r="U195" s="203">
        <v>37.669390218182166</v>
      </c>
      <c r="V195" s="203">
        <v>36.217853549707364</v>
      </c>
      <c r="W195" s="203">
        <v>35.61959600776764</v>
      </c>
      <c r="X195" s="203">
        <v>34.770195993720407</v>
      </c>
      <c r="Y195" s="203">
        <v>32.339520577679529</v>
      </c>
      <c r="Z195" s="203">
        <v>31.597715794391796</v>
      </c>
      <c r="AA195" s="203">
        <v>31.231141583091883</v>
      </c>
      <c r="AB195" s="16">
        <f>AB194*(1+Assumptions!$L$13/12)</f>
        <v>1.1860063700102996</v>
      </c>
      <c r="AC195" s="16">
        <f t="shared" si="76"/>
        <v>0</v>
      </c>
      <c r="AD195" s="18">
        <f t="shared" si="77"/>
        <v>806.55967593313017</v>
      </c>
      <c r="AE195" s="18">
        <f t="shared" si="77"/>
        <v>1882.7189785852679</v>
      </c>
      <c r="AF195" s="5">
        <v>1</v>
      </c>
      <c r="AG195" s="73">
        <f t="shared" si="78"/>
        <v>1.1800999999999999</v>
      </c>
      <c r="AH195" s="16">
        <f>Assumptions!$E$27*Assumptions!H16</f>
        <v>4.2842203735282238</v>
      </c>
      <c r="AI195" s="16">
        <f>Assumptions!$F$27*Assumptions!I16</f>
        <v>4.005090215749223</v>
      </c>
      <c r="AJ195" s="16">
        <f t="shared" si="79"/>
        <v>2.4399542510000001</v>
      </c>
      <c r="AK195" s="16">
        <f t="shared" si="79"/>
        <v>7.2000000000000008E-2</v>
      </c>
      <c r="AL195" s="4"/>
    </row>
    <row r="196" spans="1:38" x14ac:dyDescent="0.2">
      <c r="A196" s="1">
        <f t="shared" si="59"/>
        <v>42167.145000000237</v>
      </c>
      <c r="B196" s="16">
        <f t="shared" si="57"/>
        <v>1.1800999999999999</v>
      </c>
      <c r="C196" s="17">
        <f t="shared" si="54"/>
        <v>11.855284599999999</v>
      </c>
      <c r="D196" s="16">
        <f t="shared" si="58"/>
        <v>1.1879830472936501</v>
      </c>
      <c r="E196" s="16">
        <f t="shared" si="55"/>
        <v>9.8851068302206162</v>
      </c>
      <c r="F196" s="16">
        <f t="shared" si="56"/>
        <v>0.6808966149192337</v>
      </c>
      <c r="G196" s="19" t="str">
        <f>IF('Peak Revenue'!$A$1="BL","-",SUM(C196:F196))</f>
        <v>-</v>
      </c>
      <c r="H196" s="203">
        <v>193.03010379065501</v>
      </c>
      <c r="I196" s="203">
        <v>178.07227204157724</v>
      </c>
      <c r="J196" s="203">
        <v>165.43524610344434</v>
      </c>
      <c r="K196" s="203">
        <v>152.27326166666947</v>
      </c>
      <c r="L196" s="203">
        <v>122.32468874581056</v>
      </c>
      <c r="M196" s="203">
        <v>89.07991890029399</v>
      </c>
      <c r="N196" s="203">
        <v>68.451134976030048</v>
      </c>
      <c r="O196" s="203">
        <v>61.753004704110687</v>
      </c>
      <c r="P196" s="203">
        <v>59.894296205883151</v>
      </c>
      <c r="Q196" s="203">
        <v>51.822113400085108</v>
      </c>
      <c r="R196" s="203">
        <v>47.185244841887382</v>
      </c>
      <c r="S196" s="203">
        <v>41.979098347552402</v>
      </c>
      <c r="T196" s="203">
        <v>38.260560456471488</v>
      </c>
      <c r="U196" s="203">
        <v>36.538105232519897</v>
      </c>
      <c r="V196" s="203">
        <v>35.233740324737241</v>
      </c>
      <c r="W196" s="203">
        <v>33.9466905810513</v>
      </c>
      <c r="X196" s="203">
        <v>32.172879112619071</v>
      </c>
      <c r="Y196" s="203">
        <v>30.679252676788138</v>
      </c>
      <c r="Z196" s="203">
        <v>30.535058037067991</v>
      </c>
      <c r="AA196" s="203">
        <v>28.099223244744675</v>
      </c>
      <c r="AB196" s="16">
        <f>AB195*(1+Assumptions!$L$13/12)</f>
        <v>1.1879830472936501</v>
      </c>
      <c r="AC196" s="16">
        <f t="shared" si="76"/>
        <v>0</v>
      </c>
      <c r="AD196" s="18">
        <f t="shared" si="77"/>
        <v>806.55967593313017</v>
      </c>
      <c r="AE196" s="18">
        <f t="shared" si="77"/>
        <v>1882.7189785852679</v>
      </c>
      <c r="AF196" s="5">
        <v>1</v>
      </c>
      <c r="AG196" s="73">
        <f t="shared" si="78"/>
        <v>1.1800999999999999</v>
      </c>
      <c r="AH196" s="16">
        <f>Assumptions!$E$27*Assumptions!H17</f>
        <v>4.0818501649294028</v>
      </c>
      <c r="AI196" s="16">
        <f>Assumptions!$F$27*Assumptions!I17</f>
        <v>4.005090215749223</v>
      </c>
      <c r="AJ196" s="16">
        <f t="shared" si="79"/>
        <v>2.4399542510000001</v>
      </c>
      <c r="AK196" s="16">
        <f t="shared" si="79"/>
        <v>7.2000000000000008E-2</v>
      </c>
      <c r="AL196" s="4"/>
    </row>
    <row r="197" spans="1:38" x14ac:dyDescent="0.2">
      <c r="A197" s="1">
        <f t="shared" si="59"/>
        <v>42197.562000000238</v>
      </c>
      <c r="B197" s="16">
        <f t="shared" si="57"/>
        <v>1.1800999999999999</v>
      </c>
      <c r="C197" s="17">
        <f t="shared" si="54"/>
        <v>11.855284599999999</v>
      </c>
      <c r="D197" s="16">
        <f t="shared" si="58"/>
        <v>1.1899630190391395</v>
      </c>
      <c r="E197" s="16">
        <f t="shared" si="55"/>
        <v>9.8851068302206162</v>
      </c>
      <c r="F197" s="16">
        <f t="shared" si="56"/>
        <v>0.6808966149192337</v>
      </c>
      <c r="G197" s="19" t="str">
        <f>IF('Peak Revenue'!$A$1="BL","-",SUM(C197:F197))</f>
        <v>-</v>
      </c>
      <c r="H197" s="203">
        <v>323.6976984259407</v>
      </c>
      <c r="I197" s="203">
        <v>237.36640972119503</v>
      </c>
      <c r="J197" s="203">
        <v>214.71537026531846</v>
      </c>
      <c r="K197" s="203">
        <v>195.01716422155536</v>
      </c>
      <c r="L197" s="203">
        <v>178.44034076288179</v>
      </c>
      <c r="M197" s="203">
        <v>161.91302356766391</v>
      </c>
      <c r="N197" s="203">
        <v>148.31225670055807</v>
      </c>
      <c r="O197" s="203">
        <v>76.185430812381952</v>
      </c>
      <c r="P197" s="203">
        <v>59.379773134017661</v>
      </c>
      <c r="Q197" s="203">
        <v>53.53335417493399</v>
      </c>
      <c r="R197" s="203">
        <v>49.2476547817257</v>
      </c>
      <c r="S197" s="203">
        <v>39.446744359708738</v>
      </c>
      <c r="T197" s="203">
        <v>38.398099830965549</v>
      </c>
      <c r="U197" s="203">
        <v>37.1386735758526</v>
      </c>
      <c r="V197" s="203">
        <v>35.83671533148754</v>
      </c>
      <c r="W197" s="203">
        <v>34.231179858786831</v>
      </c>
      <c r="X197" s="203">
        <v>32.260967616558446</v>
      </c>
      <c r="Y197" s="203">
        <v>30.956288166343295</v>
      </c>
      <c r="Z197" s="203">
        <v>28.620290117514035</v>
      </c>
      <c r="AA197" s="203">
        <v>27.11760291078766</v>
      </c>
      <c r="AB197" s="16">
        <f>AB196*(1+Assumptions!$L$13/12)</f>
        <v>1.1899630190391395</v>
      </c>
      <c r="AC197" s="16">
        <f t="shared" si="76"/>
        <v>0</v>
      </c>
      <c r="AD197" s="18">
        <f t="shared" si="77"/>
        <v>806.55967593313017</v>
      </c>
      <c r="AE197" s="18">
        <f t="shared" si="77"/>
        <v>1882.7189785852679</v>
      </c>
      <c r="AF197" s="5">
        <v>1</v>
      </c>
      <c r="AG197" s="73">
        <f t="shared" si="78"/>
        <v>1.1800999999999999</v>
      </c>
      <c r="AH197" s="16">
        <f>Assumptions!$E$27*Assumptions!H18</f>
        <v>4.068932917572031</v>
      </c>
      <c r="AI197" s="16">
        <f>Assumptions!$F$27*Assumptions!I18</f>
        <v>4.005090215749223</v>
      </c>
      <c r="AJ197" s="16">
        <f t="shared" si="79"/>
        <v>2.4399542510000001</v>
      </c>
      <c r="AK197" s="16">
        <f t="shared" si="79"/>
        <v>7.2000000000000008E-2</v>
      </c>
      <c r="AL197" s="4"/>
    </row>
    <row r="198" spans="1:38" x14ac:dyDescent="0.2">
      <c r="A198" s="1">
        <f t="shared" si="59"/>
        <v>42227.979000000239</v>
      </c>
      <c r="B198" s="16">
        <f t="shared" si="57"/>
        <v>1.1800999999999999</v>
      </c>
      <c r="C198" s="17">
        <f t="shared" si="54"/>
        <v>11.855284599999999</v>
      </c>
      <c r="D198" s="16">
        <f t="shared" si="58"/>
        <v>1.191946290737538</v>
      </c>
      <c r="E198" s="16">
        <f t="shared" si="55"/>
        <v>9.8851068302206162</v>
      </c>
      <c r="F198" s="16">
        <f t="shared" si="56"/>
        <v>0.6808966149192337</v>
      </c>
      <c r="G198" s="19" t="str">
        <f>IF('Peak Revenue'!$A$1="BL","-",SUM(C198:F198))</f>
        <v>-</v>
      </c>
      <c r="H198" s="203">
        <v>329.42661047463639</v>
      </c>
      <c r="I198" s="203">
        <v>232.76734441193207</v>
      </c>
      <c r="J198" s="203">
        <v>210.0541900213193</v>
      </c>
      <c r="K198" s="203">
        <v>187.54203086288743</v>
      </c>
      <c r="L198" s="203">
        <v>169.23864604761667</v>
      </c>
      <c r="M198" s="203">
        <v>152.74266210307169</v>
      </c>
      <c r="N198" s="203">
        <v>100.29037812738979</v>
      </c>
      <c r="O198" s="203">
        <v>84.41564436222545</v>
      </c>
      <c r="P198" s="203">
        <v>57.773962297264916</v>
      </c>
      <c r="Q198" s="203">
        <v>49.317396925991019</v>
      </c>
      <c r="R198" s="203">
        <v>46.560379872813193</v>
      </c>
      <c r="S198" s="203">
        <v>43.713250152026923</v>
      </c>
      <c r="T198" s="203">
        <v>43.116857274179871</v>
      </c>
      <c r="U198" s="203">
        <v>42.844803271758451</v>
      </c>
      <c r="V198" s="203">
        <v>42.844803271758451</v>
      </c>
      <c r="W198" s="203">
        <v>42.844803271758451</v>
      </c>
      <c r="X198" s="203">
        <v>42.389851077235065</v>
      </c>
      <c r="Y198" s="203">
        <v>42.134941224464242</v>
      </c>
      <c r="Z198" s="203">
        <v>42.134882069788617</v>
      </c>
      <c r="AA198" s="203">
        <v>40.836320434434889</v>
      </c>
      <c r="AB198" s="16">
        <f>AB197*(1+Assumptions!$L$13/12)</f>
        <v>1.191946290737538</v>
      </c>
      <c r="AC198" s="16">
        <f t="shared" si="76"/>
        <v>0</v>
      </c>
      <c r="AD198" s="18">
        <f t="shared" si="77"/>
        <v>806.55967593313017</v>
      </c>
      <c r="AE198" s="18">
        <f t="shared" si="77"/>
        <v>1882.7189785852679</v>
      </c>
      <c r="AF198" s="5">
        <v>1</v>
      </c>
      <c r="AG198" s="73">
        <f t="shared" si="78"/>
        <v>1.1800999999999999</v>
      </c>
      <c r="AH198" s="16">
        <f>Assumptions!$E$27*Assumptions!H19</f>
        <v>3.8579512107349632</v>
      </c>
      <c r="AI198" s="16">
        <f>Assumptions!$F$27*Assumptions!I19</f>
        <v>4.005090215749223</v>
      </c>
      <c r="AJ198" s="16">
        <f t="shared" si="79"/>
        <v>2.4399542510000001</v>
      </c>
      <c r="AK198" s="16">
        <f t="shared" si="79"/>
        <v>7.2000000000000008E-2</v>
      </c>
      <c r="AL198" s="4"/>
    </row>
    <row r="199" spans="1:38" x14ac:dyDescent="0.2">
      <c r="A199" s="1">
        <f t="shared" si="59"/>
        <v>42258.396000000241</v>
      </c>
      <c r="B199" s="16">
        <f t="shared" si="57"/>
        <v>1.1800999999999999</v>
      </c>
      <c r="C199" s="17">
        <f t="shared" si="54"/>
        <v>11.855284599999999</v>
      </c>
      <c r="D199" s="16">
        <f t="shared" si="58"/>
        <v>1.1939328678887673</v>
      </c>
      <c r="E199" s="16">
        <f t="shared" si="55"/>
        <v>9.8851068302206162</v>
      </c>
      <c r="F199" s="16">
        <f t="shared" si="56"/>
        <v>0.6808966149192337</v>
      </c>
      <c r="G199" s="19" t="str">
        <f>IF('Peak Revenue'!$A$1="BL","-",SUM(C199:F199))</f>
        <v>-</v>
      </c>
      <c r="H199" s="203">
        <v>152.87369570685161</v>
      </c>
      <c r="I199" s="203">
        <v>134.41131845920481</v>
      </c>
      <c r="J199" s="203">
        <v>103.51536629488585</v>
      </c>
      <c r="K199" s="203">
        <v>94.266992859290781</v>
      </c>
      <c r="L199" s="203">
        <v>82.978360950099841</v>
      </c>
      <c r="M199" s="203">
        <v>59.266426657879059</v>
      </c>
      <c r="N199" s="203">
        <v>52.104018716577805</v>
      </c>
      <c r="O199" s="203">
        <v>48.349487966188903</v>
      </c>
      <c r="P199" s="203">
        <v>46.147662764151278</v>
      </c>
      <c r="Q199" s="203">
        <v>45.796901492895415</v>
      </c>
      <c r="R199" s="203">
        <v>45.437859777275882</v>
      </c>
      <c r="S199" s="203">
        <v>45.437859777275882</v>
      </c>
      <c r="T199" s="203">
        <v>45.437859777275882</v>
      </c>
      <c r="U199" s="203">
        <v>45.399730037553134</v>
      </c>
      <c r="V199" s="203">
        <v>44.84182053649333</v>
      </c>
      <c r="W199" s="203">
        <v>44.67721668215485</v>
      </c>
      <c r="X199" s="203">
        <v>44.677211234074484</v>
      </c>
      <c r="Y199" s="203">
        <v>44.677072815745646</v>
      </c>
      <c r="Z199" s="203">
        <v>44.67706572896698</v>
      </c>
      <c r="AA199" s="203">
        <v>43.676048255595639</v>
      </c>
      <c r="AB199" s="16">
        <f>AB198*(1+Assumptions!$L$13/12)</f>
        <v>1.1939328678887673</v>
      </c>
      <c r="AC199" s="16">
        <f t="shared" si="76"/>
        <v>0</v>
      </c>
      <c r="AD199" s="18">
        <f t="shared" si="77"/>
        <v>806.55967593313017</v>
      </c>
      <c r="AE199" s="18">
        <f t="shared" si="77"/>
        <v>1882.7189785852679</v>
      </c>
      <c r="AF199" s="5">
        <v>1</v>
      </c>
      <c r="AG199" s="73">
        <f t="shared" si="78"/>
        <v>1.1800999999999999</v>
      </c>
      <c r="AH199" s="16">
        <f>Assumptions!$E$27*Assumptions!H20</f>
        <v>3.8450339633775918</v>
      </c>
      <c r="AI199" s="16">
        <f>Assumptions!$F$27*Assumptions!I20</f>
        <v>4.005090215749223</v>
      </c>
      <c r="AJ199" s="16">
        <f t="shared" si="79"/>
        <v>2.4399542510000001</v>
      </c>
      <c r="AK199" s="16">
        <f t="shared" si="79"/>
        <v>7.2000000000000008E-2</v>
      </c>
      <c r="AL199" s="4"/>
    </row>
    <row r="200" spans="1:38" x14ac:dyDescent="0.2">
      <c r="A200" s="1">
        <f t="shared" si="59"/>
        <v>42288.813000000242</v>
      </c>
      <c r="B200" s="16">
        <f t="shared" si="57"/>
        <v>1.1800999999999999</v>
      </c>
      <c r="C200" s="17">
        <f t="shared" si="54"/>
        <v>11.855284599999999</v>
      </c>
      <c r="D200" s="16">
        <f t="shared" si="58"/>
        <v>1.1959227560019152</v>
      </c>
      <c r="E200" s="16">
        <f t="shared" si="55"/>
        <v>9.8851068302206162</v>
      </c>
      <c r="F200" s="16">
        <f t="shared" si="56"/>
        <v>0.6808966149192337</v>
      </c>
      <c r="G200" s="19" t="str">
        <f>IF('Peak Revenue'!$A$1="BL","-",SUM(C200:F200))</f>
        <v>-</v>
      </c>
      <c r="H200" s="203">
        <v>149.27952951040905</v>
      </c>
      <c r="I200" s="203">
        <v>143.29374751230054</v>
      </c>
      <c r="J200" s="203">
        <v>105.95878367961009</v>
      </c>
      <c r="K200" s="203">
        <v>89.639348682929622</v>
      </c>
      <c r="L200" s="203">
        <v>82.561158906594429</v>
      </c>
      <c r="M200" s="203">
        <v>81.969222727745702</v>
      </c>
      <c r="N200" s="203">
        <v>69.913721166388001</v>
      </c>
      <c r="O200" s="203">
        <v>56.063895203936205</v>
      </c>
      <c r="P200" s="203">
        <v>46.578108668961796</v>
      </c>
      <c r="Q200" s="203">
        <v>46.032325906078093</v>
      </c>
      <c r="R200" s="203">
        <v>41.210914657702673</v>
      </c>
      <c r="S200" s="203">
        <v>39.639832010491816</v>
      </c>
      <c r="T200" s="203">
        <v>39.639832010491816</v>
      </c>
      <c r="U200" s="203">
        <v>39.639658351668267</v>
      </c>
      <c r="V200" s="203">
        <v>39.6390965972613</v>
      </c>
      <c r="W200" s="203">
        <v>39.6390965972613</v>
      </c>
      <c r="X200" s="203">
        <v>39.6390965972613</v>
      </c>
      <c r="Y200" s="203">
        <v>39.6390965972613</v>
      </c>
      <c r="Z200" s="203">
        <v>38.233324578063176</v>
      </c>
      <c r="AA200" s="203">
        <v>33.808184962603249</v>
      </c>
      <c r="AB200" s="16">
        <f>AB199*(1+Assumptions!$L$13/12)</f>
        <v>1.1959227560019152</v>
      </c>
      <c r="AC200" s="16">
        <f t="shared" si="76"/>
        <v>0</v>
      </c>
      <c r="AD200" s="18">
        <f t="shared" si="77"/>
        <v>806.55967593313017</v>
      </c>
      <c r="AE200" s="18">
        <f t="shared" si="77"/>
        <v>1882.7189785852679</v>
      </c>
      <c r="AF200" s="5">
        <f>IF(Assumptions!D$27=1,0,1)</f>
        <v>1</v>
      </c>
      <c r="AG200" s="73">
        <f t="shared" si="78"/>
        <v>1.1800999999999999</v>
      </c>
      <c r="AH200" s="16">
        <f>Assumptions!$E$27*Assumptions!H21</f>
        <v>4.2583858788134803</v>
      </c>
      <c r="AI200" s="16">
        <f>Assumptions!$F$27*Assumptions!I21</f>
        <v>4.005090215749223</v>
      </c>
      <c r="AJ200" s="16">
        <f t="shared" si="79"/>
        <v>2.4399542510000001</v>
      </c>
      <c r="AK200" s="16">
        <f t="shared" si="79"/>
        <v>7.2000000000000008E-2</v>
      </c>
      <c r="AL200" s="4"/>
    </row>
    <row r="201" spans="1:38" x14ac:dyDescent="0.2">
      <c r="A201" s="1">
        <f t="shared" si="59"/>
        <v>42319.230000000243</v>
      </c>
      <c r="B201" s="16">
        <f t="shared" si="57"/>
        <v>1.1800999999999999</v>
      </c>
      <c r="C201" s="17">
        <f t="shared" si="54"/>
        <v>11.855284599999999</v>
      </c>
      <c r="D201" s="16">
        <f t="shared" si="58"/>
        <v>1.1979159605952518</v>
      </c>
      <c r="E201" s="16">
        <f t="shared" si="55"/>
        <v>9.8851068302206162</v>
      </c>
      <c r="F201" s="16">
        <f t="shared" si="56"/>
        <v>0.6808966149192337</v>
      </c>
      <c r="G201" s="19" t="str">
        <f>IF('Peak Revenue'!$A$1="BL","-",SUM(C201:F201))</f>
        <v>-</v>
      </c>
      <c r="H201" s="203">
        <v>105.97240129332765</v>
      </c>
      <c r="I201" s="203">
        <v>101.36841584941581</v>
      </c>
      <c r="J201" s="203">
        <v>97.956555900083828</v>
      </c>
      <c r="K201" s="203">
        <v>92.677255139738719</v>
      </c>
      <c r="L201" s="203">
        <v>91.780293614065343</v>
      </c>
      <c r="M201" s="203">
        <v>89.414986671302671</v>
      </c>
      <c r="N201" s="203">
        <v>68.600338491839977</v>
      </c>
      <c r="O201" s="203">
        <v>61.741221777219607</v>
      </c>
      <c r="P201" s="203">
        <v>56.794869678319024</v>
      </c>
      <c r="Q201" s="203">
        <v>56.273511698761595</v>
      </c>
      <c r="R201" s="203">
        <v>51.581081049814244</v>
      </c>
      <c r="S201" s="203">
        <v>48.834461454869938</v>
      </c>
      <c r="T201" s="203">
        <v>47.298624555477595</v>
      </c>
      <c r="U201" s="203">
        <v>45.283488357582392</v>
      </c>
      <c r="V201" s="203">
        <v>44.617693334078261</v>
      </c>
      <c r="W201" s="203">
        <v>44.617693334078261</v>
      </c>
      <c r="X201" s="203">
        <v>44.617693334078261</v>
      </c>
      <c r="Y201" s="203">
        <v>44.617693334078261</v>
      </c>
      <c r="Z201" s="203">
        <v>44.617693334078261</v>
      </c>
      <c r="AA201" s="203">
        <v>44.172136887998576</v>
      </c>
      <c r="AB201" s="16">
        <f>AB200*(1+Assumptions!$L$13/12)</f>
        <v>1.1979159605952518</v>
      </c>
      <c r="AC201" s="16">
        <f t="shared" si="76"/>
        <v>0</v>
      </c>
      <c r="AD201" s="18">
        <f t="shared" si="77"/>
        <v>806.55967593313017</v>
      </c>
      <c r="AE201" s="18">
        <f t="shared" si="77"/>
        <v>1882.7189785852679</v>
      </c>
      <c r="AF201" s="5">
        <f>IF(Assumptions!D$27=1,0,1)</f>
        <v>1</v>
      </c>
      <c r="AG201" s="73">
        <f t="shared" si="78"/>
        <v>1.1800999999999999</v>
      </c>
      <c r="AH201" s="16">
        <f>Assumptions!$E$27*Assumptions!H22</f>
        <v>4.6631262960111215</v>
      </c>
      <c r="AI201" s="16">
        <f>Assumptions!$F$27*Assumptions!I22</f>
        <v>4.3423609707596835</v>
      </c>
      <c r="AJ201" s="16">
        <f t="shared" si="79"/>
        <v>2.4399542510000001</v>
      </c>
      <c r="AK201" s="16">
        <f t="shared" si="79"/>
        <v>7.2000000000000008E-2</v>
      </c>
      <c r="AL201" s="4"/>
    </row>
    <row r="202" spans="1:38" x14ac:dyDescent="0.2">
      <c r="A202" s="1">
        <f t="shared" si="59"/>
        <v>42349.647000000245</v>
      </c>
      <c r="B202" s="16">
        <f t="shared" si="57"/>
        <v>1.1800999999999999</v>
      </c>
      <c r="C202" s="17">
        <f t="shared" si="54"/>
        <v>11.855284599999999</v>
      </c>
      <c r="D202" s="16">
        <f t="shared" si="58"/>
        <v>1.1999124871962439</v>
      </c>
      <c r="E202" s="16">
        <f t="shared" si="55"/>
        <v>9.8851068302206162</v>
      </c>
      <c r="F202" s="16">
        <f t="shared" si="56"/>
        <v>0.6808966149192337</v>
      </c>
      <c r="G202" s="19" t="str">
        <f>IF('Peak Revenue'!$A$1="BL","-",SUM(C202:F202))</f>
        <v>-</v>
      </c>
      <c r="H202" s="203">
        <v>112.52244706353581</v>
      </c>
      <c r="I202" s="203">
        <v>105.84176122143603</v>
      </c>
      <c r="J202" s="203">
        <v>103.7438520677875</v>
      </c>
      <c r="K202" s="203">
        <v>97.673076524202799</v>
      </c>
      <c r="L202" s="203">
        <v>95.688659952352751</v>
      </c>
      <c r="M202" s="203">
        <v>95.061582515874278</v>
      </c>
      <c r="N202" s="203">
        <v>78.938638668910201</v>
      </c>
      <c r="O202" s="203">
        <v>65.29155915206006</v>
      </c>
      <c r="P202" s="203">
        <v>61.396313875134965</v>
      </c>
      <c r="Q202" s="203">
        <v>60.493981141644738</v>
      </c>
      <c r="R202" s="203">
        <v>56.325858430516313</v>
      </c>
      <c r="S202" s="203">
        <v>51.517172197587229</v>
      </c>
      <c r="T202" s="203">
        <v>49.650039648766864</v>
      </c>
      <c r="U202" s="203">
        <v>47.711657704620144</v>
      </c>
      <c r="V202" s="203">
        <v>46.341513755244307</v>
      </c>
      <c r="W202" s="203">
        <v>46.339391784963659</v>
      </c>
      <c r="X202" s="203">
        <v>46.339391784963659</v>
      </c>
      <c r="Y202" s="203">
        <v>46.339391784963659</v>
      </c>
      <c r="Z202" s="203">
        <v>46.339391784963659</v>
      </c>
      <c r="AA202" s="203">
        <v>46.034217144582982</v>
      </c>
      <c r="AB202" s="16">
        <f>AB201*(1+Assumptions!$L$13/12)</f>
        <v>1.1999124871962439</v>
      </c>
      <c r="AC202" s="16">
        <f t="shared" si="76"/>
        <v>0</v>
      </c>
      <c r="AD202" s="18">
        <f t="shared" si="77"/>
        <v>806.55967593313017</v>
      </c>
      <c r="AE202" s="18">
        <f t="shared" si="77"/>
        <v>1882.7189785852679</v>
      </c>
      <c r="AF202" s="5">
        <f>IF(Assumptions!D$27=1,0,1)</f>
        <v>1</v>
      </c>
      <c r="AG202" s="73">
        <f t="shared" si="78"/>
        <v>1.1800999999999999</v>
      </c>
      <c r="AH202" s="16">
        <f>Assumptions!$E$27*Assumptions!H23</f>
        <v>5.0463379676131437</v>
      </c>
      <c r="AI202" s="16">
        <f>Assumptions!$F$27*Assumptions!I23</f>
        <v>4.5531551926412224</v>
      </c>
      <c r="AJ202" s="16">
        <f t="shared" si="79"/>
        <v>2.4399542510000001</v>
      </c>
      <c r="AK202" s="16">
        <f t="shared" si="79"/>
        <v>7.2000000000000008E-2</v>
      </c>
      <c r="AL202" s="4"/>
    </row>
    <row r="203" spans="1:38" x14ac:dyDescent="0.2">
      <c r="A203" s="1">
        <f t="shared" si="59"/>
        <v>42380.064000000246</v>
      </c>
      <c r="B203" s="16">
        <f t="shared" si="57"/>
        <v>1.1894</v>
      </c>
      <c r="C203" s="17">
        <f t="shared" ref="C203:C250" si="80">(B203*$B$1*1000)/1000000</f>
        <v>11.9487124</v>
      </c>
      <c r="D203" s="16">
        <f t="shared" si="58"/>
        <v>1.2019123413415711</v>
      </c>
      <c r="E203" s="16">
        <f t="shared" ref="E203:E250" si="81">(($AJ203*$B$1*AD203*1000)/2000)/1000000</f>
        <v>10.853835143267576</v>
      </c>
      <c r="F203" s="16">
        <f t="shared" ref="F203:F250" si="82">AF203*(($AK203*$B$1*AE203*1000)/2000)/1000000</f>
        <v>0.72306436644082983</v>
      </c>
      <c r="G203" s="19" t="str">
        <f>IF('Peak Revenue'!$A$1="BL","-",SUM(C203:F203))</f>
        <v>-</v>
      </c>
      <c r="H203" s="203">
        <v>113.70047050481307</v>
      </c>
      <c r="I203" s="203">
        <v>105.39802270195474</v>
      </c>
      <c r="J203" s="203">
        <v>98.710555397649188</v>
      </c>
      <c r="K203" s="203">
        <v>93.35890612354423</v>
      </c>
      <c r="L203" s="203">
        <v>89.023441644186931</v>
      </c>
      <c r="M203" s="203">
        <v>87.792218173406198</v>
      </c>
      <c r="N203" s="203">
        <v>72.767973991290091</v>
      </c>
      <c r="O203" s="203">
        <v>60.970968470645701</v>
      </c>
      <c r="P203" s="203">
        <v>57.76307902430284</v>
      </c>
      <c r="Q203" s="203">
        <v>54.583881624827477</v>
      </c>
      <c r="R203" s="203">
        <v>54.221387718349391</v>
      </c>
      <c r="S203" s="203">
        <v>53.026313912040322</v>
      </c>
      <c r="T203" s="203">
        <v>51.060722597472093</v>
      </c>
      <c r="U203" s="203">
        <v>48.686497378298824</v>
      </c>
      <c r="V203" s="203">
        <v>45.092517094221968</v>
      </c>
      <c r="W203" s="203">
        <v>43.347648603815387</v>
      </c>
      <c r="X203" s="203">
        <v>43.347648603815387</v>
      </c>
      <c r="Y203" s="203">
        <v>43.347648603815387</v>
      </c>
      <c r="Z203" s="203">
        <v>43.347648603815387</v>
      </c>
      <c r="AA203" s="203">
        <v>42.279134505508416</v>
      </c>
      <c r="AB203" s="16">
        <f>AB202*(1+Assumptions!$L$13/12)</f>
        <v>1.2019123413415711</v>
      </c>
      <c r="AC203" s="16">
        <f>VLOOKUP($C$1,EnvVOM,19)</f>
        <v>0</v>
      </c>
      <c r="AD203" s="18">
        <f>Assumptions!B28</f>
        <v>885.60153229928596</v>
      </c>
      <c r="AE203" s="18">
        <f>Assumptions!C28</f>
        <v>1999.3152787201918</v>
      </c>
      <c r="AF203" s="5">
        <f>IF(Assumptions!D$28=1,0,1)</f>
        <v>1</v>
      </c>
      <c r="AG203" s="73">
        <f>VLOOKUP($C$1,Coal,19)</f>
        <v>1.1894</v>
      </c>
      <c r="AH203" s="16">
        <f>Assumptions!$E$28*Assumptions!H12</f>
        <v>5.0755463401030143</v>
      </c>
      <c r="AI203" s="16">
        <f>Assumptions!$F$28*Assumptions!I12</f>
        <v>4.7353537478480909</v>
      </c>
      <c r="AJ203" s="16">
        <f>VLOOKUP($C$1,SO2Rate,19)</f>
        <v>2.4399542510000001</v>
      </c>
      <c r="AK203" s="16">
        <f>VLOOKUP($C$1,NOxRate,19)</f>
        <v>7.2000000000000008E-2</v>
      </c>
      <c r="AL203" s="4"/>
    </row>
    <row r="204" spans="1:38" x14ac:dyDescent="0.2">
      <c r="A204" s="1">
        <f t="shared" si="59"/>
        <v>42410.481000000247</v>
      </c>
      <c r="B204" s="16">
        <f t="shared" ref="B204:B250" si="83">IF($B$9="Coal",AG204,IF($B$9="Gas",AH204,IF($B$9="Oil",AI204,0)))</f>
        <v>1.1894</v>
      </c>
      <c r="C204" s="17">
        <f t="shared" si="80"/>
        <v>11.9487124</v>
      </c>
      <c r="D204" s="16">
        <f t="shared" ref="D204:D250" si="84">AB204+AC204</f>
        <v>1.2039155285771403</v>
      </c>
      <c r="E204" s="16">
        <f t="shared" si="81"/>
        <v>10.853835143267576</v>
      </c>
      <c r="F204" s="16">
        <f t="shared" si="82"/>
        <v>0.72306436644082983</v>
      </c>
      <c r="G204" s="19" t="str">
        <f>IF('Peak Revenue'!$A$1="BL","-",SUM(C204:F204))</f>
        <v>-</v>
      </c>
      <c r="H204" s="203">
        <v>152.28454613479084</v>
      </c>
      <c r="I204" s="203">
        <v>147.99903550397974</v>
      </c>
      <c r="J204" s="203">
        <v>132.87633401601724</v>
      </c>
      <c r="K204" s="203">
        <v>105.20846299350377</v>
      </c>
      <c r="L204" s="203">
        <v>96.740177105018091</v>
      </c>
      <c r="M204" s="203">
        <v>89.500017447019545</v>
      </c>
      <c r="N204" s="203">
        <v>86.391956568653626</v>
      </c>
      <c r="O204" s="203">
        <v>82.972134581646174</v>
      </c>
      <c r="P204" s="203">
        <v>64.682912219099634</v>
      </c>
      <c r="Q204" s="203">
        <v>55.854235234662916</v>
      </c>
      <c r="R204" s="203">
        <v>48.409043503281929</v>
      </c>
      <c r="S204" s="203">
        <v>47.236566246562759</v>
      </c>
      <c r="T204" s="203">
        <v>43.0809250270135</v>
      </c>
      <c r="U204" s="203">
        <v>41.730593247665468</v>
      </c>
      <c r="V204" s="203">
        <v>41.53268768223829</v>
      </c>
      <c r="W204" s="203">
        <v>41.532684700111254</v>
      </c>
      <c r="X204" s="203">
        <v>41.532563783917404</v>
      </c>
      <c r="Y204" s="203">
        <v>41.532489671423669</v>
      </c>
      <c r="Z204" s="203">
        <v>41.433763298251989</v>
      </c>
      <c r="AA204" s="203">
        <v>38.742550572429558</v>
      </c>
      <c r="AB204" s="16">
        <f>AB203*(1+Assumptions!$L$13/12)</f>
        <v>1.2039155285771403</v>
      </c>
      <c r="AC204" s="16">
        <f>AC203</f>
        <v>0</v>
      </c>
      <c r="AD204" s="18">
        <f>AD203</f>
        <v>885.60153229928596</v>
      </c>
      <c r="AE204" s="18">
        <f>AE203</f>
        <v>1999.3152787201918</v>
      </c>
      <c r="AF204" s="5">
        <f>IF(Assumptions!D$28=1,0,1)</f>
        <v>1</v>
      </c>
      <c r="AG204" s="73">
        <f>AG203</f>
        <v>1.1894</v>
      </c>
      <c r="AH204" s="16">
        <f>Assumptions!$E$28*Assumptions!H13</f>
        <v>4.5490933952519033</v>
      </c>
      <c r="AI204" s="16">
        <f>Assumptions!$F$28*Assumptions!I13</f>
        <v>4.6915078798124608</v>
      </c>
      <c r="AJ204" s="16">
        <f>AJ203</f>
        <v>2.4399542510000001</v>
      </c>
      <c r="AK204" s="16">
        <f>AK203</f>
        <v>7.2000000000000008E-2</v>
      </c>
      <c r="AL204" s="4"/>
    </row>
    <row r="205" spans="1:38" x14ac:dyDescent="0.2">
      <c r="A205" s="1">
        <f t="shared" ref="A205:A250" si="85">A204+30.417</f>
        <v>42440.898000000248</v>
      </c>
      <c r="B205" s="16">
        <f t="shared" si="83"/>
        <v>1.1894</v>
      </c>
      <c r="C205" s="17">
        <f t="shared" si="80"/>
        <v>11.9487124</v>
      </c>
      <c r="D205" s="16">
        <f t="shared" si="84"/>
        <v>1.2059220544581022</v>
      </c>
      <c r="E205" s="16">
        <f t="shared" si="81"/>
        <v>10.853835143267576</v>
      </c>
      <c r="F205" s="16">
        <f t="shared" si="82"/>
        <v>0.72306436644082983</v>
      </c>
      <c r="G205" s="19" t="str">
        <f>IF('Peak Revenue'!$A$1="BL","-",SUM(C205:F205))</f>
        <v>-</v>
      </c>
      <c r="H205" s="203">
        <v>94.44802124734916</v>
      </c>
      <c r="I205" s="203">
        <v>92.353844461455907</v>
      </c>
      <c r="J205" s="203">
        <v>88.049382591425797</v>
      </c>
      <c r="K205" s="203">
        <v>83.944331450780197</v>
      </c>
      <c r="L205" s="203">
        <v>83.444602745642698</v>
      </c>
      <c r="M205" s="203">
        <v>80.637140777172931</v>
      </c>
      <c r="N205" s="203">
        <v>67.474253173596793</v>
      </c>
      <c r="O205" s="203">
        <v>57.661153763531424</v>
      </c>
      <c r="P205" s="203">
        <v>56.001186214683869</v>
      </c>
      <c r="Q205" s="203">
        <v>52.77296013351117</v>
      </c>
      <c r="R205" s="203">
        <v>50.432960180243882</v>
      </c>
      <c r="S205" s="203">
        <v>48.607412740651114</v>
      </c>
      <c r="T205" s="203">
        <v>47.636779283283076</v>
      </c>
      <c r="U205" s="203">
        <v>47.445923013266452</v>
      </c>
      <c r="V205" s="203">
        <v>47.152651585905694</v>
      </c>
      <c r="W205" s="203">
        <v>45.668156051601422</v>
      </c>
      <c r="X205" s="203">
        <v>44.026720783147752</v>
      </c>
      <c r="Y205" s="203">
        <v>42.797004283430468</v>
      </c>
      <c r="Z205" s="203">
        <v>40.998628569330414</v>
      </c>
      <c r="AA205" s="203">
        <v>40.882363241619387</v>
      </c>
      <c r="AB205" s="16">
        <f>AB204*(1+Assumptions!$L$13/12)</f>
        <v>1.2059220544581022</v>
      </c>
      <c r="AC205" s="16">
        <f t="shared" ref="AC205:AC214" si="86">AC204</f>
        <v>0</v>
      </c>
      <c r="AD205" s="18">
        <f t="shared" ref="AD205:AE214" si="87">AD204</f>
        <v>885.60153229928596</v>
      </c>
      <c r="AE205" s="18">
        <f t="shared" si="87"/>
        <v>1999.3152787201918</v>
      </c>
      <c r="AF205" s="5">
        <f>IF(Assumptions!D$28=1,0,1)</f>
        <v>1</v>
      </c>
      <c r="AG205" s="73">
        <f t="shared" ref="AG205:AG214" si="88">AG204</f>
        <v>1.1894</v>
      </c>
      <c r="AH205" s="16">
        <f>Assumptions!$E$28*Assumptions!H14</f>
        <v>4.4726002323248197</v>
      </c>
      <c r="AI205" s="16">
        <f>Assumptions!$F$28*Assumptions!I14</f>
        <v>4.5161244076699383</v>
      </c>
      <c r="AJ205" s="16">
        <f t="shared" ref="AJ205:AK214" si="89">AJ204</f>
        <v>2.4399542510000001</v>
      </c>
      <c r="AK205" s="16">
        <f t="shared" si="89"/>
        <v>7.2000000000000008E-2</v>
      </c>
      <c r="AL205" s="4"/>
    </row>
    <row r="206" spans="1:38" x14ac:dyDescent="0.2">
      <c r="A206" s="1">
        <f t="shared" si="85"/>
        <v>42471.31500000025</v>
      </c>
      <c r="B206" s="16">
        <f t="shared" si="83"/>
        <v>1.1894</v>
      </c>
      <c r="C206" s="17">
        <f t="shared" si="80"/>
        <v>11.9487124</v>
      </c>
      <c r="D206" s="16">
        <f t="shared" si="84"/>
        <v>1.2079319245488658</v>
      </c>
      <c r="E206" s="16">
        <f t="shared" si="81"/>
        <v>10.853835143267576</v>
      </c>
      <c r="F206" s="16">
        <f t="shared" si="82"/>
        <v>0.72306436644082983</v>
      </c>
      <c r="G206" s="19" t="str">
        <f>IF('Peak Revenue'!$A$1="BL","-",SUM(C206:F206))</f>
        <v>-</v>
      </c>
      <c r="H206" s="203">
        <v>123.44273432907684</v>
      </c>
      <c r="I206" s="203">
        <v>96.03420075860619</v>
      </c>
      <c r="J206" s="203">
        <v>89.391527026767704</v>
      </c>
      <c r="K206" s="203">
        <v>84.711135646892444</v>
      </c>
      <c r="L206" s="203">
        <v>84.41391471740323</v>
      </c>
      <c r="M206" s="203">
        <v>66.890024932942879</v>
      </c>
      <c r="N206" s="203">
        <v>53.583213353511539</v>
      </c>
      <c r="O206" s="203">
        <v>47.433039498465369</v>
      </c>
      <c r="P206" s="203">
        <v>45.740872927851719</v>
      </c>
      <c r="Q206" s="203">
        <v>40.934061221092506</v>
      </c>
      <c r="R206" s="203">
        <v>40.746312912266035</v>
      </c>
      <c r="S206" s="203">
        <v>40.746312912266035</v>
      </c>
      <c r="T206" s="203">
        <v>40.746294178599022</v>
      </c>
      <c r="U206" s="203">
        <v>40.745632701431425</v>
      </c>
      <c r="V206" s="203">
        <v>40.745568254168468</v>
      </c>
      <c r="W206" s="203">
        <v>40.745568254168468</v>
      </c>
      <c r="X206" s="203">
        <v>40.745568254168468</v>
      </c>
      <c r="Y206" s="203">
        <v>40.278733675441977</v>
      </c>
      <c r="Z206" s="203">
        <v>38.379382438319517</v>
      </c>
      <c r="AA206" s="203">
        <v>36.104342652063011</v>
      </c>
      <c r="AB206" s="16">
        <f>AB205*(1+Assumptions!$L$13/12)</f>
        <v>1.2079319245488658</v>
      </c>
      <c r="AC206" s="16">
        <f t="shared" si="86"/>
        <v>0</v>
      </c>
      <c r="AD206" s="18">
        <f t="shared" si="87"/>
        <v>885.60153229928596</v>
      </c>
      <c r="AE206" s="18">
        <f t="shared" si="87"/>
        <v>1999.3152787201918</v>
      </c>
      <c r="AF206" s="5">
        <f>IF(Assumptions!D$28=1,0,1)</f>
        <v>1</v>
      </c>
      <c r="AG206" s="73">
        <f t="shared" si="88"/>
        <v>1.1894</v>
      </c>
      <c r="AH206" s="16">
        <f>Assumptions!$E$28*Assumptions!H15</f>
        <v>4.2521199391820463</v>
      </c>
      <c r="AI206" s="16">
        <f>Assumptions!$F$28*Assumptions!I15</f>
        <v>4.3407409355274167</v>
      </c>
      <c r="AJ206" s="16">
        <f t="shared" si="89"/>
        <v>2.4399542510000001</v>
      </c>
      <c r="AK206" s="16">
        <f t="shared" si="89"/>
        <v>7.2000000000000008E-2</v>
      </c>
      <c r="AL206" s="4"/>
    </row>
    <row r="207" spans="1:38" x14ac:dyDescent="0.2">
      <c r="A207" s="1">
        <f t="shared" si="85"/>
        <v>42501.732000000251</v>
      </c>
      <c r="B207" s="16">
        <f t="shared" si="83"/>
        <v>1.1894</v>
      </c>
      <c r="C207" s="17">
        <f t="shared" si="80"/>
        <v>11.9487124</v>
      </c>
      <c r="D207" s="16">
        <f t="shared" si="84"/>
        <v>1.209945144423114</v>
      </c>
      <c r="E207" s="16">
        <f t="shared" si="81"/>
        <v>10.853835143267576</v>
      </c>
      <c r="F207" s="16">
        <f t="shared" si="82"/>
        <v>0.72306436644082983</v>
      </c>
      <c r="G207" s="19" t="str">
        <f>IF('Peak Revenue'!$A$1="BL","-",SUM(C207:F207))</f>
        <v>-</v>
      </c>
      <c r="H207" s="203">
        <v>84.467094938003484</v>
      </c>
      <c r="I207" s="203">
        <v>67.64437311357915</v>
      </c>
      <c r="J207" s="203">
        <v>61.509477530528258</v>
      </c>
      <c r="K207" s="203">
        <v>59.069595519817497</v>
      </c>
      <c r="L207" s="203">
        <v>57.368812229621867</v>
      </c>
      <c r="M207" s="203">
        <v>57.060892032964411</v>
      </c>
      <c r="N207" s="203">
        <v>55.569428792421448</v>
      </c>
      <c r="O207" s="203">
        <v>53.631566502423809</v>
      </c>
      <c r="P207" s="203">
        <v>52.320861274459496</v>
      </c>
      <c r="Q207" s="203">
        <v>51.928020428016659</v>
      </c>
      <c r="R207" s="203">
        <v>50.59117755508705</v>
      </c>
      <c r="S207" s="203">
        <v>48.570593993420331</v>
      </c>
      <c r="T207" s="203">
        <v>44.732396942612873</v>
      </c>
      <c r="U207" s="203">
        <v>41.952939514945385</v>
      </c>
      <c r="V207" s="203">
        <v>41.116290286231347</v>
      </c>
      <c r="W207" s="203">
        <v>38.398184683607255</v>
      </c>
      <c r="X207" s="203">
        <v>37.36101871278585</v>
      </c>
      <c r="Y207" s="203">
        <v>36.84837611472674</v>
      </c>
      <c r="Z207" s="203">
        <v>36.091258426722007</v>
      </c>
      <c r="AA207" s="203">
        <v>35.095027930219068</v>
      </c>
      <c r="AB207" s="16">
        <f>AB206*(1+Assumptions!$L$13/12)</f>
        <v>1.209945144423114</v>
      </c>
      <c r="AC207" s="16">
        <f t="shared" si="86"/>
        <v>0</v>
      </c>
      <c r="AD207" s="18">
        <f t="shared" si="87"/>
        <v>885.60153229928596</v>
      </c>
      <c r="AE207" s="18">
        <f t="shared" si="87"/>
        <v>1999.3152787201918</v>
      </c>
      <c r="AF207" s="5">
        <v>1</v>
      </c>
      <c r="AG207" s="73">
        <f t="shared" si="88"/>
        <v>1.1894</v>
      </c>
      <c r="AH207" s="16">
        <f>Assumptions!$E$28*Assumptions!H16</f>
        <v>4.4770998301440601</v>
      </c>
      <c r="AI207" s="16">
        <f>Assumptions!$F$28*Assumptions!I16</f>
        <v>4.1653574633848942</v>
      </c>
      <c r="AJ207" s="16">
        <f t="shared" si="89"/>
        <v>2.4399542510000001</v>
      </c>
      <c r="AK207" s="16">
        <f t="shared" si="89"/>
        <v>7.2000000000000008E-2</v>
      </c>
      <c r="AL207" s="4"/>
    </row>
    <row r="208" spans="1:38" x14ac:dyDescent="0.2">
      <c r="A208" s="1">
        <f t="shared" si="85"/>
        <v>42532.149000000252</v>
      </c>
      <c r="B208" s="16">
        <f t="shared" si="83"/>
        <v>1.1894</v>
      </c>
      <c r="C208" s="17">
        <f t="shared" si="80"/>
        <v>11.9487124</v>
      </c>
      <c r="D208" s="16">
        <f t="shared" si="84"/>
        <v>1.2119617196638193</v>
      </c>
      <c r="E208" s="16">
        <f t="shared" si="81"/>
        <v>10.853835143267576</v>
      </c>
      <c r="F208" s="16">
        <f t="shared" si="82"/>
        <v>0.72306436644082983</v>
      </c>
      <c r="G208" s="19" t="str">
        <f>IF('Peak Revenue'!$A$1="BL","-",SUM(C208:F208))</f>
        <v>-</v>
      </c>
      <c r="H208" s="203">
        <v>193.3874371834182</v>
      </c>
      <c r="I208" s="203">
        <v>179.98139439160084</v>
      </c>
      <c r="J208" s="203">
        <v>168.45653011533076</v>
      </c>
      <c r="K208" s="203">
        <v>155.28112888546079</v>
      </c>
      <c r="L208" s="203">
        <v>146.7828247506873</v>
      </c>
      <c r="M208" s="203">
        <v>84.764339473702634</v>
      </c>
      <c r="N208" s="203">
        <v>75.678646876914144</v>
      </c>
      <c r="O208" s="203">
        <v>55.584233009887676</v>
      </c>
      <c r="P208" s="203">
        <v>45.216871881507942</v>
      </c>
      <c r="Q208" s="203">
        <v>42.298825534210614</v>
      </c>
      <c r="R208" s="203">
        <v>38.663149410710759</v>
      </c>
      <c r="S208" s="203">
        <v>37.137158145592601</v>
      </c>
      <c r="T208" s="203">
        <v>37.009594336396248</v>
      </c>
      <c r="U208" s="203">
        <v>37.009575652626069</v>
      </c>
      <c r="V208" s="203">
        <v>37.008864401844349</v>
      </c>
      <c r="W208" s="203">
        <v>37.00884655876677</v>
      </c>
      <c r="X208" s="203">
        <v>37.00884655876677</v>
      </c>
      <c r="Y208" s="203">
        <v>36.966435273418107</v>
      </c>
      <c r="Z208" s="203">
        <v>36.521779955664059</v>
      </c>
      <c r="AA208" s="203">
        <v>33.000921403300659</v>
      </c>
      <c r="AB208" s="16">
        <f>AB207*(1+Assumptions!$L$13/12)</f>
        <v>1.2119617196638193</v>
      </c>
      <c r="AC208" s="16">
        <f t="shared" si="86"/>
        <v>0</v>
      </c>
      <c r="AD208" s="18">
        <f t="shared" si="87"/>
        <v>885.60153229928596</v>
      </c>
      <c r="AE208" s="18">
        <f t="shared" si="87"/>
        <v>1999.3152787201918</v>
      </c>
      <c r="AF208" s="5">
        <v>1</v>
      </c>
      <c r="AG208" s="73">
        <f t="shared" si="88"/>
        <v>1.1894</v>
      </c>
      <c r="AH208" s="16">
        <f>Assumptions!$E$28*Assumptions!H17</f>
        <v>4.2656187326397674</v>
      </c>
      <c r="AI208" s="16">
        <f>Assumptions!$F$28*Assumptions!I17</f>
        <v>4.1653574633848942</v>
      </c>
      <c r="AJ208" s="16">
        <f t="shared" si="89"/>
        <v>2.4399542510000001</v>
      </c>
      <c r="AK208" s="16">
        <f t="shared" si="89"/>
        <v>7.2000000000000008E-2</v>
      </c>
      <c r="AL208" s="4"/>
    </row>
    <row r="209" spans="1:38" x14ac:dyDescent="0.2">
      <c r="A209" s="1">
        <f t="shared" si="85"/>
        <v>42562.566000000254</v>
      </c>
      <c r="B209" s="16">
        <f t="shared" si="83"/>
        <v>1.1894</v>
      </c>
      <c r="C209" s="17">
        <f t="shared" si="80"/>
        <v>11.9487124</v>
      </c>
      <c r="D209" s="16">
        <f t="shared" si="84"/>
        <v>1.213981655863259</v>
      </c>
      <c r="E209" s="16">
        <f t="shared" si="81"/>
        <v>10.853835143267576</v>
      </c>
      <c r="F209" s="16">
        <f t="shared" si="82"/>
        <v>0.72306436644082983</v>
      </c>
      <c r="G209" s="19" t="str">
        <f>IF('Peak Revenue'!$A$1="BL","-",SUM(C209:F209))</f>
        <v>-</v>
      </c>
      <c r="H209" s="203">
        <v>202.90387912423154</v>
      </c>
      <c r="I209" s="203">
        <v>185.9026303095236</v>
      </c>
      <c r="J209" s="203">
        <v>173.4731472272579</v>
      </c>
      <c r="K209" s="203">
        <v>158.78780434260236</v>
      </c>
      <c r="L209" s="203">
        <v>149.27202004922205</v>
      </c>
      <c r="M209" s="203">
        <v>107.17567601626351</v>
      </c>
      <c r="N209" s="203">
        <v>80.065201526539511</v>
      </c>
      <c r="O209" s="203">
        <v>76.38851890787771</v>
      </c>
      <c r="P209" s="203">
        <v>61.373795207843088</v>
      </c>
      <c r="Q209" s="203">
        <v>57.662877713580109</v>
      </c>
      <c r="R209" s="203">
        <v>56.136502930412995</v>
      </c>
      <c r="S209" s="203">
        <v>55.66246003386793</v>
      </c>
      <c r="T209" s="203">
        <v>54.888702262151085</v>
      </c>
      <c r="U209" s="203">
        <v>54.298460722294635</v>
      </c>
      <c r="V209" s="203">
        <v>53.786024192391785</v>
      </c>
      <c r="W209" s="203">
        <v>51.449719217971236</v>
      </c>
      <c r="X209" s="203">
        <v>46.889188602804936</v>
      </c>
      <c r="Y209" s="203">
        <v>43.88093022503336</v>
      </c>
      <c r="Z209" s="203">
        <v>41.73397562411553</v>
      </c>
      <c r="AA209" s="203">
        <v>38.237024630181878</v>
      </c>
      <c r="AB209" s="16">
        <f>AB208*(1+Assumptions!$L$13/12)</f>
        <v>1.213981655863259</v>
      </c>
      <c r="AC209" s="16">
        <f t="shared" si="86"/>
        <v>0</v>
      </c>
      <c r="AD209" s="18">
        <f t="shared" si="87"/>
        <v>885.60153229928596</v>
      </c>
      <c r="AE209" s="18">
        <f t="shared" si="87"/>
        <v>1999.3152787201918</v>
      </c>
      <c r="AF209" s="5">
        <v>1</v>
      </c>
      <c r="AG209" s="73">
        <f t="shared" si="88"/>
        <v>1.1894</v>
      </c>
      <c r="AH209" s="16">
        <f>Assumptions!$E$28*Assumptions!H18</f>
        <v>4.2521199391820463</v>
      </c>
      <c r="AI209" s="16">
        <f>Assumptions!$F$28*Assumptions!I18</f>
        <v>4.1653574633848942</v>
      </c>
      <c r="AJ209" s="16">
        <f t="shared" si="89"/>
        <v>2.4399542510000001</v>
      </c>
      <c r="AK209" s="16">
        <f t="shared" si="89"/>
        <v>7.2000000000000008E-2</v>
      </c>
      <c r="AL209" s="4"/>
    </row>
    <row r="210" spans="1:38" x14ac:dyDescent="0.2">
      <c r="A210" s="1">
        <f t="shared" si="85"/>
        <v>42592.983000000255</v>
      </c>
      <c r="B210" s="16">
        <f t="shared" si="83"/>
        <v>1.1894</v>
      </c>
      <c r="C210" s="17">
        <f t="shared" si="80"/>
        <v>11.9487124</v>
      </c>
      <c r="D210" s="16">
        <f t="shared" si="84"/>
        <v>1.2160049586230313</v>
      </c>
      <c r="E210" s="16">
        <f t="shared" si="81"/>
        <v>10.853835143267576</v>
      </c>
      <c r="F210" s="16">
        <f t="shared" si="82"/>
        <v>0.72306436644082983</v>
      </c>
      <c r="G210" s="19" t="str">
        <f>IF('Peak Revenue'!$A$1="BL","-",SUM(C210:F210))</f>
        <v>-</v>
      </c>
      <c r="H210" s="203">
        <v>284.65740683805501</v>
      </c>
      <c r="I210" s="203">
        <v>214.06775853797294</v>
      </c>
      <c r="J210" s="203">
        <v>196.55168836945757</v>
      </c>
      <c r="K210" s="203">
        <v>177.22503286472829</v>
      </c>
      <c r="L210" s="203">
        <v>161.78142948217436</v>
      </c>
      <c r="M210" s="203">
        <v>147.78284842281295</v>
      </c>
      <c r="N210" s="203">
        <v>106.03941597526499</v>
      </c>
      <c r="O210" s="203">
        <v>89.621825917146978</v>
      </c>
      <c r="P210" s="203">
        <v>74.77332315740891</v>
      </c>
      <c r="Q210" s="203">
        <v>52.858398648004126</v>
      </c>
      <c r="R210" s="203">
        <v>44.097886670443785</v>
      </c>
      <c r="S210" s="203">
        <v>42.761098913264199</v>
      </c>
      <c r="T210" s="203">
        <v>42.761051179555395</v>
      </c>
      <c r="U210" s="203">
        <v>42.761031984846731</v>
      </c>
      <c r="V210" s="203">
        <v>42.760839841932068</v>
      </c>
      <c r="W210" s="203">
        <v>42.76074251545262</v>
      </c>
      <c r="X210" s="203">
        <v>42.506239279150208</v>
      </c>
      <c r="Y210" s="203">
        <v>38.88934832358553</v>
      </c>
      <c r="Z210" s="203">
        <v>36.856552065140093</v>
      </c>
      <c r="AA210" s="203">
        <v>30.950707130364695</v>
      </c>
      <c r="AB210" s="16">
        <f>AB209*(1+Assumptions!$L$13/12)</f>
        <v>1.2160049586230313</v>
      </c>
      <c r="AC210" s="16">
        <f t="shared" si="86"/>
        <v>0</v>
      </c>
      <c r="AD210" s="18">
        <f t="shared" si="87"/>
        <v>885.60153229928596</v>
      </c>
      <c r="AE210" s="18">
        <f t="shared" si="87"/>
        <v>1999.3152787201918</v>
      </c>
      <c r="AF210" s="5">
        <v>1</v>
      </c>
      <c r="AG210" s="73">
        <f t="shared" si="88"/>
        <v>1.1894</v>
      </c>
      <c r="AH210" s="16">
        <f>Assumptions!$E$28*Assumptions!H19</f>
        <v>4.0316396460392738</v>
      </c>
      <c r="AI210" s="16">
        <f>Assumptions!$F$28*Assumptions!I19</f>
        <v>4.1653574633848942</v>
      </c>
      <c r="AJ210" s="16">
        <f t="shared" si="89"/>
        <v>2.4399542510000001</v>
      </c>
      <c r="AK210" s="16">
        <f t="shared" si="89"/>
        <v>7.2000000000000008E-2</v>
      </c>
      <c r="AL210" s="4"/>
    </row>
    <row r="211" spans="1:38" x14ac:dyDescent="0.2">
      <c r="A211" s="1">
        <f t="shared" si="85"/>
        <v>42623.400000000256</v>
      </c>
      <c r="B211" s="16">
        <f t="shared" si="83"/>
        <v>1.1894</v>
      </c>
      <c r="C211" s="17">
        <f t="shared" si="80"/>
        <v>11.9487124</v>
      </c>
      <c r="D211" s="16">
        <f t="shared" si="84"/>
        <v>1.2180316335540697</v>
      </c>
      <c r="E211" s="16">
        <f t="shared" si="81"/>
        <v>10.853835143267576</v>
      </c>
      <c r="F211" s="16">
        <f t="shared" si="82"/>
        <v>0.72306436644082983</v>
      </c>
      <c r="G211" s="19" t="str">
        <f>IF('Peak Revenue'!$A$1="BL","-",SUM(C211:F211))</f>
        <v>-</v>
      </c>
      <c r="H211" s="203">
        <v>177.14419420706861</v>
      </c>
      <c r="I211" s="203">
        <v>165.02974701208271</v>
      </c>
      <c r="J211" s="203">
        <v>155.57787401245974</v>
      </c>
      <c r="K211" s="203">
        <v>147.34889888989949</v>
      </c>
      <c r="L211" s="203">
        <v>106.05099428469259</v>
      </c>
      <c r="M211" s="203">
        <v>70.33227042379076</v>
      </c>
      <c r="N211" s="203">
        <v>62.058979135768695</v>
      </c>
      <c r="O211" s="203">
        <v>60.422995023075586</v>
      </c>
      <c r="P211" s="203">
        <v>51.520577322739506</v>
      </c>
      <c r="Q211" s="203">
        <v>45.283234897351882</v>
      </c>
      <c r="R211" s="203">
        <v>43.443843808952607</v>
      </c>
      <c r="S211" s="203">
        <v>42.2580336422266</v>
      </c>
      <c r="T211" s="203">
        <v>39.959679207244626</v>
      </c>
      <c r="U211" s="203">
        <v>37.878889445876077</v>
      </c>
      <c r="V211" s="203">
        <v>35.172461383167288</v>
      </c>
      <c r="W211" s="203">
        <v>33.554483265456788</v>
      </c>
      <c r="X211" s="203">
        <v>31.883138827797779</v>
      </c>
      <c r="Y211" s="203">
        <v>31.307175970279935</v>
      </c>
      <c r="Z211" s="203">
        <v>30.664691455479755</v>
      </c>
      <c r="AA211" s="203">
        <v>30.468923252001385</v>
      </c>
      <c r="AB211" s="16">
        <f>AB210*(1+Assumptions!$L$13/12)</f>
        <v>1.2180316335540697</v>
      </c>
      <c r="AC211" s="16">
        <f t="shared" si="86"/>
        <v>0</v>
      </c>
      <c r="AD211" s="18">
        <f t="shared" si="87"/>
        <v>885.60153229928596</v>
      </c>
      <c r="AE211" s="18">
        <f t="shared" si="87"/>
        <v>1999.3152787201918</v>
      </c>
      <c r="AF211" s="5">
        <v>1</v>
      </c>
      <c r="AG211" s="73">
        <f t="shared" si="88"/>
        <v>1.1894</v>
      </c>
      <c r="AH211" s="16">
        <f>Assumptions!$E$28*Assumptions!H20</f>
        <v>4.0181408525815527</v>
      </c>
      <c r="AI211" s="16">
        <f>Assumptions!$F$28*Assumptions!I20</f>
        <v>4.1653574633848942</v>
      </c>
      <c r="AJ211" s="16">
        <f t="shared" si="89"/>
        <v>2.4399542510000001</v>
      </c>
      <c r="AK211" s="16">
        <f t="shared" si="89"/>
        <v>7.2000000000000008E-2</v>
      </c>
      <c r="AL211" s="4"/>
    </row>
    <row r="212" spans="1:38" x14ac:dyDescent="0.2">
      <c r="A212" s="1">
        <f t="shared" si="85"/>
        <v>42653.817000000257</v>
      </c>
      <c r="B212" s="16">
        <f t="shared" si="83"/>
        <v>1.1894</v>
      </c>
      <c r="C212" s="17">
        <f t="shared" si="80"/>
        <v>11.9487124</v>
      </c>
      <c r="D212" s="16">
        <f t="shared" si="84"/>
        <v>1.22006168627666</v>
      </c>
      <c r="E212" s="16">
        <f t="shared" si="81"/>
        <v>10.853835143267576</v>
      </c>
      <c r="F212" s="16">
        <f t="shared" si="82"/>
        <v>0.72306436644082983</v>
      </c>
      <c r="G212" s="19" t="str">
        <f>IF('Peak Revenue'!$A$1="BL","-",SUM(C212:F212))</f>
        <v>-</v>
      </c>
      <c r="H212" s="203">
        <v>90.092792266445599</v>
      </c>
      <c r="I212" s="203">
        <v>84.754453706076987</v>
      </c>
      <c r="J212" s="203">
        <v>82.022860740087324</v>
      </c>
      <c r="K212" s="203">
        <v>76.853914996445297</v>
      </c>
      <c r="L212" s="203">
        <v>74.489457410685006</v>
      </c>
      <c r="M212" s="203">
        <v>74.06689906203016</v>
      </c>
      <c r="N212" s="203">
        <v>64.911728566047444</v>
      </c>
      <c r="O212" s="203">
        <v>52.586002389529078</v>
      </c>
      <c r="P212" s="203">
        <v>50.987781038934379</v>
      </c>
      <c r="Q212" s="203">
        <v>46.403075512006339</v>
      </c>
      <c r="R212" s="203">
        <v>45.17332313548431</v>
      </c>
      <c r="S212" s="203">
        <v>44.047918164275998</v>
      </c>
      <c r="T212" s="203">
        <v>42.827968477798052</v>
      </c>
      <c r="U212" s="203">
        <v>42.061043952365338</v>
      </c>
      <c r="V212" s="203">
        <v>41.546881045990702</v>
      </c>
      <c r="W212" s="203">
        <v>39.554824943584535</v>
      </c>
      <c r="X212" s="203">
        <v>37.439453940563908</v>
      </c>
      <c r="Y212" s="203">
        <v>36.908840901310256</v>
      </c>
      <c r="Z212" s="203">
        <v>36.859159897036683</v>
      </c>
      <c r="AA212" s="203">
        <v>36.109642206274522</v>
      </c>
      <c r="AB212" s="16">
        <f>AB211*(1+Assumptions!$L$13/12)</f>
        <v>1.22006168627666</v>
      </c>
      <c r="AC212" s="16">
        <f t="shared" si="86"/>
        <v>0</v>
      </c>
      <c r="AD212" s="18">
        <f t="shared" si="87"/>
        <v>885.60153229928596</v>
      </c>
      <c r="AE212" s="18">
        <f t="shared" si="87"/>
        <v>1999.3152787201918</v>
      </c>
      <c r="AF212" s="5">
        <f>IF(Assumptions!D$28=1,0,1)</f>
        <v>1</v>
      </c>
      <c r="AG212" s="73">
        <f t="shared" si="88"/>
        <v>1.1894</v>
      </c>
      <c r="AH212" s="16">
        <f>Assumptions!$E$28*Assumptions!H21</f>
        <v>4.4501022432286179</v>
      </c>
      <c r="AI212" s="16">
        <f>Assumptions!$F$28*Assumptions!I21</f>
        <v>4.1653574633848942</v>
      </c>
      <c r="AJ212" s="16">
        <f t="shared" si="89"/>
        <v>2.4399542510000001</v>
      </c>
      <c r="AK212" s="16">
        <f t="shared" si="89"/>
        <v>7.2000000000000008E-2</v>
      </c>
      <c r="AL212" s="4"/>
    </row>
    <row r="213" spans="1:38" x14ac:dyDescent="0.2">
      <c r="A213" s="1">
        <f t="shared" si="85"/>
        <v>42684.234000000259</v>
      </c>
      <c r="B213" s="16">
        <f t="shared" si="83"/>
        <v>1.1894</v>
      </c>
      <c r="C213" s="17">
        <f t="shared" si="80"/>
        <v>11.9487124</v>
      </c>
      <c r="D213" s="16">
        <f t="shared" si="84"/>
        <v>1.2220951224204546</v>
      </c>
      <c r="E213" s="16">
        <f t="shared" si="81"/>
        <v>10.853835143267576</v>
      </c>
      <c r="F213" s="16">
        <f t="shared" si="82"/>
        <v>0.72306436644082983</v>
      </c>
      <c r="G213" s="19" t="str">
        <f>IF('Peak Revenue'!$A$1="BL","-",SUM(C213:F213))</f>
        <v>-</v>
      </c>
      <c r="H213" s="203">
        <v>154.08395727901848</v>
      </c>
      <c r="I213" s="203">
        <v>150.28955743883816</v>
      </c>
      <c r="J213" s="203">
        <v>145.11927631452286</v>
      </c>
      <c r="K213" s="203">
        <v>100.44735109318991</v>
      </c>
      <c r="L213" s="203">
        <v>90.7158749985322</v>
      </c>
      <c r="M213" s="203">
        <v>88.827923713628905</v>
      </c>
      <c r="N213" s="203">
        <v>76.856791458551683</v>
      </c>
      <c r="O213" s="203">
        <v>59.937946768740645</v>
      </c>
      <c r="P213" s="203">
        <v>49.762070392021073</v>
      </c>
      <c r="Q213" s="203">
        <v>48.868718214022962</v>
      </c>
      <c r="R213" s="203">
        <v>42.935252560628015</v>
      </c>
      <c r="S213" s="203">
        <v>42.645925400386197</v>
      </c>
      <c r="T213" s="203">
        <v>42.645925400386197</v>
      </c>
      <c r="U213" s="203">
        <v>42.645878313152402</v>
      </c>
      <c r="V213" s="203">
        <v>42.645169766632904</v>
      </c>
      <c r="W213" s="203">
        <v>42.645169766632904</v>
      </c>
      <c r="X213" s="203">
        <v>42.645169766632904</v>
      </c>
      <c r="Y213" s="203">
        <v>42.645169766632904</v>
      </c>
      <c r="Z213" s="203">
        <v>39.641064148749294</v>
      </c>
      <c r="AA213" s="203">
        <v>35.610161650957068</v>
      </c>
      <c r="AB213" s="16">
        <f>AB212*(1+Assumptions!$L$13/12)</f>
        <v>1.2220951224204546</v>
      </c>
      <c r="AC213" s="16">
        <f t="shared" si="86"/>
        <v>0</v>
      </c>
      <c r="AD213" s="18">
        <f t="shared" si="87"/>
        <v>885.60153229928596</v>
      </c>
      <c r="AE213" s="18">
        <f t="shared" si="87"/>
        <v>1999.3152787201918</v>
      </c>
      <c r="AF213" s="5">
        <f>IF(Assumptions!D$28=1,0,1)</f>
        <v>1</v>
      </c>
      <c r="AG213" s="73">
        <f t="shared" si="88"/>
        <v>1.1894</v>
      </c>
      <c r="AH213" s="16">
        <f>Assumptions!$E$28*Assumptions!H22</f>
        <v>4.8730644382372024</v>
      </c>
      <c r="AI213" s="16">
        <f>Assumptions!$F$28*Assumptions!I22</f>
        <v>4.5161244076699383</v>
      </c>
      <c r="AJ213" s="16">
        <f t="shared" si="89"/>
        <v>2.4399542510000001</v>
      </c>
      <c r="AK213" s="16">
        <f t="shared" si="89"/>
        <v>7.2000000000000008E-2</v>
      </c>
      <c r="AL213" s="4"/>
    </row>
    <row r="214" spans="1:38" x14ac:dyDescent="0.2">
      <c r="A214" s="1">
        <f t="shared" si="85"/>
        <v>42714.65100000026</v>
      </c>
      <c r="B214" s="16">
        <f t="shared" si="83"/>
        <v>1.1894</v>
      </c>
      <c r="C214" s="17">
        <f t="shared" si="80"/>
        <v>11.9487124</v>
      </c>
      <c r="D214" s="16">
        <f t="shared" si="84"/>
        <v>1.2241319476244887</v>
      </c>
      <c r="E214" s="16">
        <f t="shared" si="81"/>
        <v>10.853835143267576</v>
      </c>
      <c r="F214" s="16">
        <f t="shared" si="82"/>
        <v>0.72306436644082983</v>
      </c>
      <c r="G214" s="19" t="str">
        <f>IF('Peak Revenue'!$A$1="BL","-",SUM(C214:F214))</f>
        <v>-</v>
      </c>
      <c r="H214" s="203">
        <v>123.91791628360446</v>
      </c>
      <c r="I214" s="203">
        <v>119.48810100937283</v>
      </c>
      <c r="J214" s="203">
        <v>112.32089165398376</v>
      </c>
      <c r="K214" s="203">
        <v>110.805351646527</v>
      </c>
      <c r="L214" s="203">
        <v>109.34038570838879</v>
      </c>
      <c r="M214" s="203">
        <v>93.191074417714077</v>
      </c>
      <c r="N214" s="203">
        <v>73.4935904049063</v>
      </c>
      <c r="O214" s="203">
        <v>61.477581052389326</v>
      </c>
      <c r="P214" s="203">
        <v>60.49308318011127</v>
      </c>
      <c r="Q214" s="203">
        <v>53.311293841879667</v>
      </c>
      <c r="R214" s="203">
        <v>52.149828903672379</v>
      </c>
      <c r="S214" s="203">
        <v>52.149828903672379</v>
      </c>
      <c r="T214" s="203">
        <v>52.149828903672379</v>
      </c>
      <c r="U214" s="203">
        <v>52.149828903672379</v>
      </c>
      <c r="V214" s="203">
        <v>52.149828903672379</v>
      </c>
      <c r="W214" s="203">
        <v>52.149780680674354</v>
      </c>
      <c r="X214" s="203">
        <v>52.149223663447074</v>
      </c>
      <c r="Y214" s="203">
        <v>52.148459707063616</v>
      </c>
      <c r="Z214" s="203">
        <v>52.148459707063616</v>
      </c>
      <c r="AA214" s="203">
        <v>47.304983566361777</v>
      </c>
      <c r="AB214" s="16">
        <f>AB213*(1+Assumptions!$L$13/12)</f>
        <v>1.2241319476244887</v>
      </c>
      <c r="AC214" s="16">
        <f t="shared" si="86"/>
        <v>0</v>
      </c>
      <c r="AD214" s="18">
        <f t="shared" si="87"/>
        <v>885.60153229928596</v>
      </c>
      <c r="AE214" s="18">
        <f t="shared" si="87"/>
        <v>1999.3152787201918</v>
      </c>
      <c r="AF214" s="5">
        <f>IF(Assumptions!D$28=1,0,1)</f>
        <v>1</v>
      </c>
      <c r="AG214" s="73">
        <f t="shared" si="88"/>
        <v>1.1894</v>
      </c>
      <c r="AH214" s="16">
        <f>Assumptions!$E$28*Assumptions!H23</f>
        <v>5.2735286441495859</v>
      </c>
      <c r="AI214" s="16">
        <f>Assumptions!$F$28*Assumptions!I23</f>
        <v>4.7353537478480909</v>
      </c>
      <c r="AJ214" s="16">
        <f t="shared" si="89"/>
        <v>2.4399542510000001</v>
      </c>
      <c r="AK214" s="16">
        <f t="shared" si="89"/>
        <v>7.2000000000000008E-2</v>
      </c>
      <c r="AL214" s="4"/>
    </row>
    <row r="215" spans="1:38" x14ac:dyDescent="0.2">
      <c r="A215" s="1">
        <f t="shared" si="85"/>
        <v>42745.068000000261</v>
      </c>
      <c r="B215" s="16">
        <f t="shared" si="83"/>
        <v>1.1993</v>
      </c>
      <c r="C215" s="17">
        <f t="shared" si="80"/>
        <v>12.0481678</v>
      </c>
      <c r="D215" s="16">
        <f t="shared" si="84"/>
        <v>1.2261721675371962</v>
      </c>
      <c r="E215" s="16">
        <f t="shared" si="81"/>
        <v>10.663363878289642</v>
      </c>
      <c r="F215" s="16">
        <f t="shared" si="82"/>
        <v>0.67975549824285586</v>
      </c>
      <c r="G215" s="19" t="str">
        <f>IF('Peak Revenue'!$A$1="BL","-",SUM(C215:F215))</f>
        <v>-</v>
      </c>
      <c r="H215" s="203">
        <v>122.40409161104397</v>
      </c>
      <c r="I215" s="203">
        <v>115.92685277401458</v>
      </c>
      <c r="J215" s="203">
        <v>111.68854002796596</v>
      </c>
      <c r="K215" s="203">
        <v>104.40821548528888</v>
      </c>
      <c r="L215" s="203">
        <v>103.89649194148869</v>
      </c>
      <c r="M215" s="203">
        <v>95.994488245823234</v>
      </c>
      <c r="N215" s="203">
        <v>71.002632388235227</v>
      </c>
      <c r="O215" s="203">
        <v>58.468764117268073</v>
      </c>
      <c r="P215" s="203">
        <v>55.83853634011556</v>
      </c>
      <c r="Q215" s="203">
        <v>49.904919722192879</v>
      </c>
      <c r="R215" s="203">
        <v>49.904919722192879</v>
      </c>
      <c r="S215" s="203">
        <v>49.904919722192879</v>
      </c>
      <c r="T215" s="203">
        <v>49.772056585918506</v>
      </c>
      <c r="U215" s="203">
        <v>49.105480623066995</v>
      </c>
      <c r="V215" s="203">
        <v>49.057675550260043</v>
      </c>
      <c r="W215" s="203">
        <v>49.057675550260043</v>
      </c>
      <c r="X215" s="203">
        <v>49.057407616315814</v>
      </c>
      <c r="Y215" s="203">
        <v>49.05727450121524</v>
      </c>
      <c r="Z215" s="203">
        <v>48.96525684742339</v>
      </c>
      <c r="AA215" s="203">
        <v>40.058696300019903</v>
      </c>
      <c r="AB215" s="16">
        <f>AB214*(1+Assumptions!$L$13/12)</f>
        <v>1.2261721675371962</v>
      </c>
      <c r="AC215" s="16">
        <f>VLOOKUP($C$1,EnvVOM,20)</f>
        <v>0</v>
      </c>
      <c r="AD215" s="18">
        <f>Assumptions!B29</f>
        <v>870.0603303281033</v>
      </c>
      <c r="AE215" s="18">
        <f>Assumptions!C29</f>
        <v>1879.5637242099006</v>
      </c>
      <c r="AF215" s="5">
        <f>IF(Assumptions!D$29=1,0,1)</f>
        <v>1</v>
      </c>
      <c r="AG215" s="73">
        <f>VLOOKUP($C$1,Coal,20)</f>
        <v>1.1993</v>
      </c>
      <c r="AH215" s="16">
        <f>Assumptions!$E$29*Assumptions!H12</f>
        <v>5.2427545426260203</v>
      </c>
      <c r="AI215" s="16">
        <f>Assumptions!$F$29*Assumptions!I12</f>
        <v>4.8829106839621765</v>
      </c>
      <c r="AJ215" s="16">
        <f>VLOOKUP($C$1,SO2Rate,20)</f>
        <v>2.4399542510000001</v>
      </c>
      <c r="AK215" s="16">
        <f>VLOOKUP($C$1,NOxRate,20)</f>
        <v>7.2000000000000008E-2</v>
      </c>
      <c r="AL215" s="4"/>
    </row>
    <row r="216" spans="1:38" x14ac:dyDescent="0.2">
      <c r="A216" s="1">
        <f t="shared" si="85"/>
        <v>42775.485000000263</v>
      </c>
      <c r="B216" s="16">
        <f t="shared" si="83"/>
        <v>1.1993</v>
      </c>
      <c r="C216" s="17">
        <f t="shared" si="80"/>
        <v>12.0481678</v>
      </c>
      <c r="D216" s="16">
        <f t="shared" si="84"/>
        <v>1.2282157878164248</v>
      </c>
      <c r="E216" s="16">
        <f t="shared" si="81"/>
        <v>10.663363878289642</v>
      </c>
      <c r="F216" s="16">
        <f t="shared" si="82"/>
        <v>0.67975549824285586</v>
      </c>
      <c r="G216" s="19" t="str">
        <f>IF('Peak Revenue'!$A$1="BL","-",SUM(C216:F216))</f>
        <v>-</v>
      </c>
      <c r="H216" s="203">
        <v>146.84494019442008</v>
      </c>
      <c r="I216" s="203">
        <v>137.11560418693233</v>
      </c>
      <c r="J216" s="203">
        <v>119.92042322785156</v>
      </c>
      <c r="K216" s="203">
        <v>107.58711849285291</v>
      </c>
      <c r="L216" s="203">
        <v>100.39561704195141</v>
      </c>
      <c r="M216" s="203">
        <v>99.442256695480097</v>
      </c>
      <c r="N216" s="203">
        <v>85.498573232630889</v>
      </c>
      <c r="O216" s="203">
        <v>77.782578739588899</v>
      </c>
      <c r="P216" s="203">
        <v>66.704721998454289</v>
      </c>
      <c r="Q216" s="203">
        <v>50.831284192794975</v>
      </c>
      <c r="R216" s="203">
        <v>47.299935998982946</v>
      </c>
      <c r="S216" s="203">
        <v>47.291275842623797</v>
      </c>
      <c r="T216" s="203">
        <v>47.291275124289463</v>
      </c>
      <c r="U216" s="203">
        <v>47.291270363438336</v>
      </c>
      <c r="V216" s="203">
        <v>47.291261581020848</v>
      </c>
      <c r="W216" s="203">
        <v>47.291260780782068</v>
      </c>
      <c r="X216" s="203">
        <v>47.291248036541347</v>
      </c>
      <c r="Y216" s="203">
        <v>47.291248036541347</v>
      </c>
      <c r="Z216" s="203">
        <v>45.412558850865153</v>
      </c>
      <c r="AA216" s="203">
        <v>41.612991514335235</v>
      </c>
      <c r="AB216" s="16">
        <f>AB215*(1+Assumptions!$L$13/12)</f>
        <v>1.2282157878164248</v>
      </c>
      <c r="AC216" s="16">
        <f>AC215</f>
        <v>0</v>
      </c>
      <c r="AD216" s="18">
        <f>AD215</f>
        <v>870.0603303281033</v>
      </c>
      <c r="AE216" s="18">
        <f>AE215</f>
        <v>1879.5637242099006</v>
      </c>
      <c r="AF216" s="5">
        <f>IF(Assumptions!D$29=1,0,1)</f>
        <v>1</v>
      </c>
      <c r="AG216" s="73">
        <f>AG215</f>
        <v>1.1993</v>
      </c>
      <c r="AH216" s="16">
        <f>Assumptions!$E$29*Assumptions!H13</f>
        <v>4.6989581937898111</v>
      </c>
      <c r="AI216" s="16">
        <f>Assumptions!$F$29*Assumptions!I13</f>
        <v>4.8376985479995636</v>
      </c>
      <c r="AJ216" s="16">
        <f>AJ215</f>
        <v>2.4399542510000001</v>
      </c>
      <c r="AK216" s="16">
        <f>AK215</f>
        <v>7.2000000000000008E-2</v>
      </c>
      <c r="AL216" s="4"/>
    </row>
    <row r="217" spans="1:38" x14ac:dyDescent="0.2">
      <c r="A217" s="1">
        <f t="shared" si="85"/>
        <v>42805.902000000264</v>
      </c>
      <c r="B217" s="16">
        <f t="shared" si="83"/>
        <v>1.1993</v>
      </c>
      <c r="C217" s="17">
        <f t="shared" si="80"/>
        <v>12.0481678</v>
      </c>
      <c r="D217" s="16">
        <f t="shared" si="84"/>
        <v>1.2302628141294523</v>
      </c>
      <c r="E217" s="16">
        <f t="shared" si="81"/>
        <v>10.663363878289642</v>
      </c>
      <c r="F217" s="16">
        <f t="shared" si="82"/>
        <v>0.67975549824285586</v>
      </c>
      <c r="G217" s="19" t="str">
        <f>IF('Peak Revenue'!$A$1="BL","-",SUM(C217:F217))</f>
        <v>-</v>
      </c>
      <c r="H217" s="203">
        <v>106.54765768351039</v>
      </c>
      <c r="I217" s="203">
        <v>98.902465115547983</v>
      </c>
      <c r="J217" s="203">
        <v>94.50663087833324</v>
      </c>
      <c r="K217" s="203">
        <v>88.72485977696941</v>
      </c>
      <c r="L217" s="203">
        <v>88.360121581082467</v>
      </c>
      <c r="M217" s="203">
        <v>81.374679432161642</v>
      </c>
      <c r="N217" s="203">
        <v>61.986865912623216</v>
      </c>
      <c r="O217" s="203">
        <v>57.355037032676549</v>
      </c>
      <c r="P217" s="203">
        <v>50.628071478304705</v>
      </c>
      <c r="Q217" s="203">
        <v>49.523403309093311</v>
      </c>
      <c r="R217" s="203">
        <v>48.688301745874156</v>
      </c>
      <c r="S217" s="203">
        <v>47.052279237427598</v>
      </c>
      <c r="T217" s="203">
        <v>45.369751476594715</v>
      </c>
      <c r="U217" s="203">
        <v>43.727879301771353</v>
      </c>
      <c r="V217" s="203">
        <v>42.67973958511449</v>
      </c>
      <c r="W217" s="203">
        <v>42.444275175162204</v>
      </c>
      <c r="X217" s="203">
        <v>42.44422435235623</v>
      </c>
      <c r="Y217" s="203">
        <v>42.444139830265861</v>
      </c>
      <c r="Z217" s="203">
        <v>42.444005010398158</v>
      </c>
      <c r="AA217" s="203">
        <v>42.116612531981495</v>
      </c>
      <c r="AB217" s="16">
        <f>AB216*(1+Assumptions!$L$13/12)</f>
        <v>1.2302628141294523</v>
      </c>
      <c r="AC217" s="16">
        <f t="shared" ref="AC217:AC226" si="90">AC216</f>
        <v>0</v>
      </c>
      <c r="AD217" s="18">
        <f t="shared" ref="AD217:AE226" si="91">AD216</f>
        <v>870.0603303281033</v>
      </c>
      <c r="AE217" s="18">
        <f t="shared" si="91"/>
        <v>1879.5637242099006</v>
      </c>
      <c r="AF217" s="5">
        <f>IF(Assumptions!D$29=1,0,1)</f>
        <v>1</v>
      </c>
      <c r="AG217" s="73">
        <f t="shared" ref="AG217:AG226" si="92">AG216</f>
        <v>1.1993</v>
      </c>
      <c r="AH217" s="16">
        <f>Assumptions!$E$29*Assumptions!H14</f>
        <v>4.6199450490871143</v>
      </c>
      <c r="AI217" s="16">
        <f>Assumptions!$F$29*Assumptions!I14</f>
        <v>4.6568500041491125</v>
      </c>
      <c r="AJ217" s="16">
        <f t="shared" ref="AJ217:AK226" si="93">AJ216</f>
        <v>2.4399542510000001</v>
      </c>
      <c r="AK217" s="16">
        <f t="shared" si="93"/>
        <v>7.2000000000000008E-2</v>
      </c>
      <c r="AL217" s="4"/>
    </row>
    <row r="218" spans="1:38" x14ac:dyDescent="0.2">
      <c r="A218" s="1">
        <f t="shared" si="85"/>
        <v>42836.319000000265</v>
      </c>
      <c r="B218" s="16">
        <f t="shared" si="83"/>
        <v>1.1993</v>
      </c>
      <c r="C218" s="17">
        <f t="shared" si="80"/>
        <v>12.0481678</v>
      </c>
      <c r="D218" s="16">
        <f t="shared" si="84"/>
        <v>1.2323132521530014</v>
      </c>
      <c r="E218" s="16">
        <f t="shared" si="81"/>
        <v>10.663363878289642</v>
      </c>
      <c r="F218" s="16">
        <f t="shared" si="82"/>
        <v>0.67975549824285586</v>
      </c>
      <c r="G218" s="19" t="str">
        <f>IF('Peak Revenue'!$A$1="BL","-",SUM(C218:F218))</f>
        <v>-</v>
      </c>
      <c r="H218" s="203">
        <v>106.83512527222308</v>
      </c>
      <c r="I218" s="203">
        <v>93.06570106218949</v>
      </c>
      <c r="J218" s="203">
        <v>86.935972670100242</v>
      </c>
      <c r="K218" s="203">
        <v>84.332997704193531</v>
      </c>
      <c r="L218" s="203">
        <v>83.740267794722882</v>
      </c>
      <c r="M218" s="203">
        <v>62.424727507939679</v>
      </c>
      <c r="N218" s="203">
        <v>50.56232893513458</v>
      </c>
      <c r="O218" s="203">
        <v>47.310932108903216</v>
      </c>
      <c r="P218" s="203">
        <v>43.249868772901223</v>
      </c>
      <c r="Q218" s="203">
        <v>40.742446100753966</v>
      </c>
      <c r="R218" s="203">
        <v>40.742446100753966</v>
      </c>
      <c r="S218" s="203">
        <v>40.742446100753966</v>
      </c>
      <c r="T218" s="203">
        <v>40.742260591689273</v>
      </c>
      <c r="U218" s="203">
        <v>40.741682602817427</v>
      </c>
      <c r="V218" s="203">
        <v>40.741682602817427</v>
      </c>
      <c r="W218" s="203">
        <v>40.741682602817427</v>
      </c>
      <c r="X218" s="203">
        <v>40.741682602817427</v>
      </c>
      <c r="Y218" s="203">
        <v>39.669440739872748</v>
      </c>
      <c r="Z218" s="203">
        <v>37.221854930481449</v>
      </c>
      <c r="AA218" s="203">
        <v>33.488757736133095</v>
      </c>
      <c r="AB218" s="16">
        <f>AB217*(1+Assumptions!$L$13/12)</f>
        <v>1.2323132521530014</v>
      </c>
      <c r="AC218" s="16">
        <f t="shared" si="90"/>
        <v>0</v>
      </c>
      <c r="AD218" s="18">
        <f t="shared" si="91"/>
        <v>870.0603303281033</v>
      </c>
      <c r="AE218" s="18">
        <f t="shared" si="91"/>
        <v>1879.5637242099006</v>
      </c>
      <c r="AF218" s="5">
        <f>IF(Assumptions!D$29=1,0,1)</f>
        <v>1</v>
      </c>
      <c r="AG218" s="73">
        <f t="shared" si="92"/>
        <v>1.1993</v>
      </c>
      <c r="AH218" s="16">
        <f>Assumptions!$E$29*Assumptions!H15</f>
        <v>4.3922012790616929</v>
      </c>
      <c r="AI218" s="16">
        <f>Assumptions!$F$29*Assumptions!I15</f>
        <v>4.4760014602986615</v>
      </c>
      <c r="AJ218" s="16">
        <f t="shared" si="93"/>
        <v>2.4399542510000001</v>
      </c>
      <c r="AK218" s="16">
        <f t="shared" si="93"/>
        <v>7.2000000000000008E-2</v>
      </c>
      <c r="AL218" s="4"/>
    </row>
    <row r="219" spans="1:38" x14ac:dyDescent="0.2">
      <c r="A219" s="1">
        <f t="shared" si="85"/>
        <v>42866.736000000266</v>
      </c>
      <c r="B219" s="16">
        <f t="shared" si="83"/>
        <v>1.1993</v>
      </c>
      <c r="C219" s="17">
        <f t="shared" si="80"/>
        <v>12.0481678</v>
      </c>
      <c r="D219" s="16">
        <f t="shared" si="84"/>
        <v>1.2343671075732565</v>
      </c>
      <c r="E219" s="16">
        <f t="shared" si="81"/>
        <v>10.663363878289642</v>
      </c>
      <c r="F219" s="16">
        <f t="shared" si="82"/>
        <v>0.67975549824285586</v>
      </c>
      <c r="G219" s="19" t="str">
        <f>IF('Peak Revenue'!$A$1="BL","-",SUM(C219:F219))</f>
        <v>-</v>
      </c>
      <c r="H219" s="203">
        <v>143.61212491007498</v>
      </c>
      <c r="I219" s="203">
        <v>112.11515177041331</v>
      </c>
      <c r="J219" s="203">
        <v>94.133299321609471</v>
      </c>
      <c r="K219" s="203">
        <v>83.480119004208632</v>
      </c>
      <c r="L219" s="203">
        <v>75.982190825246917</v>
      </c>
      <c r="M219" s="203">
        <v>73.474137218015287</v>
      </c>
      <c r="N219" s="203">
        <v>56.581894735994183</v>
      </c>
      <c r="O219" s="203">
        <v>48.25408727734434</v>
      </c>
      <c r="P219" s="203">
        <v>42.550164945295101</v>
      </c>
      <c r="Q219" s="203">
        <v>41.604506955558449</v>
      </c>
      <c r="R219" s="203">
        <v>41.071065442119639</v>
      </c>
      <c r="S219" s="203">
        <v>39.490600082270412</v>
      </c>
      <c r="T219" s="203">
        <v>38.471859772856206</v>
      </c>
      <c r="U219" s="203">
        <v>36.628836586009918</v>
      </c>
      <c r="V219" s="203">
        <v>36.252146557026983</v>
      </c>
      <c r="W219" s="203">
        <v>35.982025942566011</v>
      </c>
      <c r="X219" s="203">
        <v>35.981712983095036</v>
      </c>
      <c r="Y219" s="203">
        <v>35.981687786574724</v>
      </c>
      <c r="Z219" s="203">
        <v>35.981687786574732</v>
      </c>
      <c r="AA219" s="203">
        <v>35.202382417315526</v>
      </c>
      <c r="AB219" s="16">
        <f>AB218*(1+Assumptions!$L$13/12)</f>
        <v>1.2343671075732565</v>
      </c>
      <c r="AC219" s="16">
        <f t="shared" si="90"/>
        <v>0</v>
      </c>
      <c r="AD219" s="18">
        <f t="shared" si="91"/>
        <v>870.0603303281033</v>
      </c>
      <c r="AE219" s="18">
        <f t="shared" si="91"/>
        <v>1879.5637242099006</v>
      </c>
      <c r="AF219" s="5">
        <v>1</v>
      </c>
      <c r="AG219" s="73">
        <f t="shared" si="92"/>
        <v>1.1993</v>
      </c>
      <c r="AH219" s="16">
        <f>Assumptions!$E$29*Assumptions!H16</f>
        <v>4.6245928811284491</v>
      </c>
      <c r="AI219" s="16">
        <f>Assumptions!$F$29*Assumptions!I16</f>
        <v>4.2951529164482105</v>
      </c>
      <c r="AJ219" s="16">
        <f t="shared" si="93"/>
        <v>2.4399542510000001</v>
      </c>
      <c r="AK219" s="16">
        <f t="shared" si="93"/>
        <v>7.2000000000000008E-2</v>
      </c>
      <c r="AL219" s="4"/>
    </row>
    <row r="220" spans="1:38" x14ac:dyDescent="0.2">
      <c r="A220" s="1">
        <f t="shared" si="85"/>
        <v>42897.153000000268</v>
      </c>
      <c r="B220" s="16">
        <f t="shared" si="83"/>
        <v>1.1993</v>
      </c>
      <c r="C220" s="17">
        <f t="shared" si="80"/>
        <v>12.0481678</v>
      </c>
      <c r="D220" s="16">
        <f t="shared" si="84"/>
        <v>1.2364243860858786</v>
      </c>
      <c r="E220" s="16">
        <f t="shared" si="81"/>
        <v>10.663363878289642</v>
      </c>
      <c r="F220" s="16">
        <f t="shared" si="82"/>
        <v>0.67975549824285586</v>
      </c>
      <c r="G220" s="19" t="str">
        <f>IF('Peak Revenue'!$A$1="BL","-",SUM(C220:F220))</f>
        <v>-</v>
      </c>
      <c r="H220" s="203">
        <v>154.23637346489789</v>
      </c>
      <c r="I220" s="203">
        <v>148.51302241087308</v>
      </c>
      <c r="J220" s="203">
        <v>101.46909808161431</v>
      </c>
      <c r="K220" s="203">
        <v>80.075012295327397</v>
      </c>
      <c r="L220" s="203">
        <v>77.581098681797954</v>
      </c>
      <c r="M220" s="203">
        <v>72.698838987937577</v>
      </c>
      <c r="N220" s="203">
        <v>70.12371630130113</v>
      </c>
      <c r="O220" s="203">
        <v>64.61159505180477</v>
      </c>
      <c r="P220" s="203">
        <v>59.063536060621189</v>
      </c>
      <c r="Q220" s="203">
        <v>55.308458031195983</v>
      </c>
      <c r="R220" s="203">
        <v>51.091402892334337</v>
      </c>
      <c r="S220" s="203">
        <v>46.284963325944076</v>
      </c>
      <c r="T220" s="203">
        <v>40.993410907864799</v>
      </c>
      <c r="U220" s="203">
        <v>39.917272762118564</v>
      </c>
      <c r="V220" s="203">
        <v>39.332181600860117</v>
      </c>
      <c r="W220" s="203">
        <v>38.921832642542213</v>
      </c>
      <c r="X220" s="203">
        <v>38.644697601530432</v>
      </c>
      <c r="Y220" s="203">
        <v>38.147314073980773</v>
      </c>
      <c r="Z220" s="203">
        <v>37.490900259089898</v>
      </c>
      <c r="AA220" s="203">
        <v>36.255922022251411</v>
      </c>
      <c r="AB220" s="16">
        <f>AB219*(1+Assumptions!$L$13/12)</f>
        <v>1.2364243860858786</v>
      </c>
      <c r="AC220" s="16">
        <f t="shared" si="90"/>
        <v>0</v>
      </c>
      <c r="AD220" s="18">
        <f t="shared" si="91"/>
        <v>870.0603303281033</v>
      </c>
      <c r="AE220" s="18">
        <f t="shared" si="91"/>
        <v>1879.5637242099006</v>
      </c>
      <c r="AF220" s="5">
        <v>1</v>
      </c>
      <c r="AG220" s="73">
        <f t="shared" si="92"/>
        <v>1.1993</v>
      </c>
      <c r="AH220" s="16">
        <f>Assumptions!$E$29*Assumptions!H17</f>
        <v>4.4061447751856981</v>
      </c>
      <c r="AI220" s="16">
        <f>Assumptions!$F$29*Assumptions!I17</f>
        <v>4.2951529164482105</v>
      </c>
      <c r="AJ220" s="16">
        <f t="shared" si="93"/>
        <v>2.4399542510000001</v>
      </c>
      <c r="AK220" s="16">
        <f t="shared" si="93"/>
        <v>7.2000000000000008E-2</v>
      </c>
      <c r="AL220" s="4"/>
    </row>
    <row r="221" spans="1:38" x14ac:dyDescent="0.2">
      <c r="A221" s="1">
        <f t="shared" si="85"/>
        <v>42927.570000000269</v>
      </c>
      <c r="B221" s="16">
        <f t="shared" si="83"/>
        <v>1.1993</v>
      </c>
      <c r="C221" s="17">
        <f t="shared" si="80"/>
        <v>12.0481678</v>
      </c>
      <c r="D221" s="16">
        <f t="shared" si="84"/>
        <v>1.2384850933960216</v>
      </c>
      <c r="E221" s="16">
        <f t="shared" si="81"/>
        <v>10.663363878289642</v>
      </c>
      <c r="F221" s="16">
        <f t="shared" si="82"/>
        <v>0.67975549824285586</v>
      </c>
      <c r="G221" s="19" t="str">
        <f>IF('Peak Revenue'!$A$1="BL","-",SUM(C221:F221))</f>
        <v>-</v>
      </c>
      <c r="H221" s="203">
        <v>303.20553745222827</v>
      </c>
      <c r="I221" s="203">
        <v>228.1508617983709</v>
      </c>
      <c r="J221" s="203">
        <v>205.27969233316432</v>
      </c>
      <c r="K221" s="203">
        <v>188.87218876912021</v>
      </c>
      <c r="L221" s="203">
        <v>174.85330163370594</v>
      </c>
      <c r="M221" s="203">
        <v>161.00730628427058</v>
      </c>
      <c r="N221" s="203">
        <v>149.51627426233802</v>
      </c>
      <c r="O221" s="203">
        <v>76.118642471708</v>
      </c>
      <c r="P221" s="203">
        <v>49.374430914916331</v>
      </c>
      <c r="Q221" s="203">
        <v>46.038776818473487</v>
      </c>
      <c r="R221" s="203">
        <v>43.153986425800227</v>
      </c>
      <c r="S221" s="203">
        <v>41.815576958819925</v>
      </c>
      <c r="T221" s="203">
        <v>40.860359378936309</v>
      </c>
      <c r="U221" s="203">
        <v>40.438105822345051</v>
      </c>
      <c r="V221" s="203">
        <v>39.227204146215897</v>
      </c>
      <c r="W221" s="203">
        <v>37.536743175701808</v>
      </c>
      <c r="X221" s="203">
        <v>35.897401983009118</v>
      </c>
      <c r="Y221" s="203">
        <v>34.96437699284607</v>
      </c>
      <c r="Z221" s="203">
        <v>32.718542422465376</v>
      </c>
      <c r="AA221" s="203">
        <v>30.510381026595578</v>
      </c>
      <c r="AB221" s="16">
        <f>AB220*(1+Assumptions!$L$13/12)</f>
        <v>1.2384850933960216</v>
      </c>
      <c r="AC221" s="16">
        <f t="shared" si="90"/>
        <v>0</v>
      </c>
      <c r="AD221" s="18">
        <f t="shared" si="91"/>
        <v>870.0603303281033</v>
      </c>
      <c r="AE221" s="18">
        <f t="shared" si="91"/>
        <v>1879.5637242099006</v>
      </c>
      <c r="AF221" s="5">
        <v>1</v>
      </c>
      <c r="AG221" s="73">
        <f t="shared" si="92"/>
        <v>1.1993</v>
      </c>
      <c r="AH221" s="16">
        <f>Assumptions!$E$29*Assumptions!H18</f>
        <v>4.3922012790616929</v>
      </c>
      <c r="AI221" s="16">
        <f>Assumptions!$F$29*Assumptions!I18</f>
        <v>4.2951529164482105</v>
      </c>
      <c r="AJ221" s="16">
        <f t="shared" si="93"/>
        <v>2.4399542510000001</v>
      </c>
      <c r="AK221" s="16">
        <f t="shared" si="93"/>
        <v>7.2000000000000008E-2</v>
      </c>
      <c r="AL221" s="4"/>
    </row>
    <row r="222" spans="1:38" x14ac:dyDescent="0.2">
      <c r="A222" s="1">
        <f t="shared" si="85"/>
        <v>42957.98700000027</v>
      </c>
      <c r="B222" s="16">
        <f t="shared" si="83"/>
        <v>1.1993</v>
      </c>
      <c r="C222" s="17">
        <f t="shared" si="80"/>
        <v>12.0481678</v>
      </c>
      <c r="D222" s="16">
        <f t="shared" si="84"/>
        <v>1.2405492352183485</v>
      </c>
      <c r="E222" s="16">
        <f t="shared" si="81"/>
        <v>10.663363878289642</v>
      </c>
      <c r="F222" s="16">
        <f t="shared" si="82"/>
        <v>0.67975549824285586</v>
      </c>
      <c r="G222" s="19" t="str">
        <f>IF('Peak Revenue'!$A$1="BL","-",SUM(C222:F222))</f>
        <v>-</v>
      </c>
      <c r="H222" s="203">
        <v>375.18709453406075</v>
      </c>
      <c r="I222" s="203">
        <v>266.26899374787848</v>
      </c>
      <c r="J222" s="203">
        <v>212.62789341828534</v>
      </c>
      <c r="K222" s="203">
        <v>192.28570573345041</v>
      </c>
      <c r="L222" s="203">
        <v>175.49093347658882</v>
      </c>
      <c r="M222" s="203">
        <v>158.64022118584529</v>
      </c>
      <c r="N222" s="203">
        <v>128.49289627969875</v>
      </c>
      <c r="O222" s="203">
        <v>78.263453268919136</v>
      </c>
      <c r="P222" s="203">
        <v>72.592900321517362</v>
      </c>
      <c r="Q222" s="203">
        <v>54.464858771194862</v>
      </c>
      <c r="R222" s="203">
        <v>43.977896885726622</v>
      </c>
      <c r="S222" s="203">
        <v>41.734880155201026</v>
      </c>
      <c r="T222" s="203">
        <v>40.644447518612381</v>
      </c>
      <c r="U222" s="203">
        <v>38.018927964753992</v>
      </c>
      <c r="V222" s="203">
        <v>36.642395465071793</v>
      </c>
      <c r="W222" s="203">
        <v>36.57617240111378</v>
      </c>
      <c r="X222" s="203">
        <v>36.44138435785343</v>
      </c>
      <c r="Y222" s="203">
        <v>35.990758535055292</v>
      </c>
      <c r="Z222" s="203">
        <v>35.990758535055292</v>
      </c>
      <c r="AA222" s="203">
        <v>32.500159018463521</v>
      </c>
      <c r="AB222" s="16">
        <f>AB221*(1+Assumptions!$L$13/12)</f>
        <v>1.2405492352183485</v>
      </c>
      <c r="AC222" s="16">
        <f t="shared" si="90"/>
        <v>0</v>
      </c>
      <c r="AD222" s="18">
        <f t="shared" si="91"/>
        <v>870.0603303281033</v>
      </c>
      <c r="AE222" s="18">
        <f t="shared" si="91"/>
        <v>1879.5637242099006</v>
      </c>
      <c r="AF222" s="5">
        <v>1</v>
      </c>
      <c r="AG222" s="73">
        <f t="shared" si="92"/>
        <v>1.1993</v>
      </c>
      <c r="AH222" s="16">
        <f>Assumptions!$E$29*Assumptions!H19</f>
        <v>4.1644575090362723</v>
      </c>
      <c r="AI222" s="16">
        <f>Assumptions!$F$29*Assumptions!I19</f>
        <v>4.2951529164482105</v>
      </c>
      <c r="AJ222" s="16">
        <f t="shared" si="93"/>
        <v>2.4399542510000001</v>
      </c>
      <c r="AK222" s="16">
        <f t="shared" si="93"/>
        <v>7.2000000000000008E-2</v>
      </c>
      <c r="AL222" s="4"/>
    </row>
    <row r="223" spans="1:38" x14ac:dyDescent="0.2">
      <c r="A223" s="1">
        <f t="shared" si="85"/>
        <v>42988.404000000271</v>
      </c>
      <c r="B223" s="16">
        <f t="shared" si="83"/>
        <v>1.1993</v>
      </c>
      <c r="C223" s="17">
        <f t="shared" si="80"/>
        <v>12.0481678</v>
      </c>
      <c r="D223" s="16">
        <f t="shared" si="84"/>
        <v>1.2426168172770458</v>
      </c>
      <c r="E223" s="16">
        <f t="shared" si="81"/>
        <v>10.663363878289642</v>
      </c>
      <c r="F223" s="16">
        <f t="shared" si="82"/>
        <v>0.67975549824285586</v>
      </c>
      <c r="G223" s="19" t="str">
        <f>IF('Peak Revenue'!$A$1="BL","-",SUM(C223:F223))</f>
        <v>-</v>
      </c>
      <c r="H223" s="203">
        <v>181.42181192692868</v>
      </c>
      <c r="I223" s="203">
        <v>170.42621905238803</v>
      </c>
      <c r="J223" s="203">
        <v>160.69532674081137</v>
      </c>
      <c r="K223" s="203">
        <v>150.65683723499851</v>
      </c>
      <c r="L223" s="203">
        <v>112.9276336392481</v>
      </c>
      <c r="M223" s="203">
        <v>81.32196192746099</v>
      </c>
      <c r="N223" s="203">
        <v>76.285548390879427</v>
      </c>
      <c r="O223" s="203">
        <v>54.570667059886667</v>
      </c>
      <c r="P223" s="203">
        <v>44.772365696622437</v>
      </c>
      <c r="Q223" s="203">
        <v>42.72474907839964</v>
      </c>
      <c r="R223" s="203">
        <v>38.57342587099955</v>
      </c>
      <c r="S223" s="203">
        <v>38.155862354031889</v>
      </c>
      <c r="T223" s="203">
        <v>38.155862354031889</v>
      </c>
      <c r="U223" s="203">
        <v>38.155617205302228</v>
      </c>
      <c r="V223" s="203">
        <v>38.155090960230204</v>
      </c>
      <c r="W223" s="203">
        <v>38.155090960230204</v>
      </c>
      <c r="X223" s="203">
        <v>38.155090960230204</v>
      </c>
      <c r="Y223" s="203">
        <v>38.022787000646389</v>
      </c>
      <c r="Z223" s="203">
        <v>35.685652527276844</v>
      </c>
      <c r="AA223" s="203">
        <v>31.77616190198674</v>
      </c>
      <c r="AB223" s="16">
        <f>AB222*(1+Assumptions!$L$13/12)</f>
        <v>1.2426168172770458</v>
      </c>
      <c r="AC223" s="16">
        <f t="shared" si="90"/>
        <v>0</v>
      </c>
      <c r="AD223" s="18">
        <f t="shared" si="91"/>
        <v>870.0603303281033</v>
      </c>
      <c r="AE223" s="18">
        <f t="shared" si="91"/>
        <v>1879.5637242099006</v>
      </c>
      <c r="AF223" s="5">
        <v>1</v>
      </c>
      <c r="AG223" s="73">
        <f t="shared" si="92"/>
        <v>1.1993</v>
      </c>
      <c r="AH223" s="16">
        <f>Assumptions!$E$29*Assumptions!H20</f>
        <v>4.1505140129122662</v>
      </c>
      <c r="AI223" s="16">
        <f>Assumptions!$F$29*Assumptions!I20</f>
        <v>4.2951529164482105</v>
      </c>
      <c r="AJ223" s="16">
        <f t="shared" si="93"/>
        <v>2.4399542510000001</v>
      </c>
      <c r="AK223" s="16">
        <f t="shared" si="93"/>
        <v>7.2000000000000008E-2</v>
      </c>
      <c r="AL223" s="4"/>
    </row>
    <row r="224" spans="1:38" x14ac:dyDescent="0.2">
      <c r="A224" s="1">
        <f t="shared" si="85"/>
        <v>43018.821000000273</v>
      </c>
      <c r="B224" s="16">
        <f t="shared" si="83"/>
        <v>1.1993</v>
      </c>
      <c r="C224" s="17">
        <f t="shared" si="80"/>
        <v>12.0481678</v>
      </c>
      <c r="D224" s="16">
        <f t="shared" si="84"/>
        <v>1.244687845305841</v>
      </c>
      <c r="E224" s="16">
        <f t="shared" si="81"/>
        <v>10.663363878289642</v>
      </c>
      <c r="F224" s="16">
        <f t="shared" si="82"/>
        <v>0.67975549824285586</v>
      </c>
      <c r="G224" s="19" t="str">
        <f>IF('Peak Revenue'!$A$1="BL","-",SUM(C224:F224))</f>
        <v>-</v>
      </c>
      <c r="H224" s="203">
        <v>108.45012809152263</v>
      </c>
      <c r="I224" s="203">
        <v>86.631152751516865</v>
      </c>
      <c r="J224" s="203">
        <v>80.661777414273814</v>
      </c>
      <c r="K224" s="203">
        <v>75.437072388041287</v>
      </c>
      <c r="L224" s="203">
        <v>70.941278374996443</v>
      </c>
      <c r="M224" s="203">
        <v>67.467352146939518</v>
      </c>
      <c r="N224" s="203">
        <v>66.996452808747307</v>
      </c>
      <c r="O224" s="203">
        <v>61.37303575220907</v>
      </c>
      <c r="P224" s="203">
        <v>54.415576956513704</v>
      </c>
      <c r="Q224" s="203">
        <v>50.77373816109602</v>
      </c>
      <c r="R224" s="203">
        <v>49.018132608026683</v>
      </c>
      <c r="S224" s="203">
        <v>47.782967530887454</v>
      </c>
      <c r="T224" s="203">
        <v>47.377223195107455</v>
      </c>
      <c r="U224" s="203">
        <v>46.349289479213091</v>
      </c>
      <c r="V224" s="203">
        <v>43.523422745106437</v>
      </c>
      <c r="W224" s="203">
        <v>38.695214514524586</v>
      </c>
      <c r="X224" s="203">
        <v>37.199581328396974</v>
      </c>
      <c r="Y224" s="203">
        <v>34.463018368431293</v>
      </c>
      <c r="Z224" s="203">
        <v>33.228812300963028</v>
      </c>
      <c r="AA224" s="203">
        <v>33.14090686575166</v>
      </c>
      <c r="AB224" s="16">
        <f>AB223*(1+Assumptions!$L$13/12)</f>
        <v>1.244687845305841</v>
      </c>
      <c r="AC224" s="16">
        <f t="shared" si="90"/>
        <v>0</v>
      </c>
      <c r="AD224" s="18">
        <f t="shared" si="91"/>
        <v>870.0603303281033</v>
      </c>
      <c r="AE224" s="18">
        <f t="shared" si="91"/>
        <v>1879.5637242099006</v>
      </c>
      <c r="AF224" s="5">
        <f>IF(Assumptions!D$29=1,0,1)</f>
        <v>1</v>
      </c>
      <c r="AG224" s="73">
        <f t="shared" si="92"/>
        <v>1.1993</v>
      </c>
      <c r="AH224" s="16">
        <f>Assumptions!$E$29*Assumptions!H21</f>
        <v>4.5967058888804386</v>
      </c>
      <c r="AI224" s="16">
        <f>Assumptions!$F$29*Assumptions!I21</f>
        <v>4.2951529164482105</v>
      </c>
      <c r="AJ224" s="16">
        <f t="shared" si="93"/>
        <v>2.4399542510000001</v>
      </c>
      <c r="AK224" s="16">
        <f t="shared" si="93"/>
        <v>7.2000000000000008E-2</v>
      </c>
      <c r="AL224" s="4"/>
    </row>
    <row r="225" spans="1:38" x14ac:dyDescent="0.2">
      <c r="A225" s="1">
        <f t="shared" si="85"/>
        <v>43049.238000000274</v>
      </c>
      <c r="B225" s="16">
        <f t="shared" si="83"/>
        <v>1.1993</v>
      </c>
      <c r="C225" s="17">
        <f t="shared" si="80"/>
        <v>12.0481678</v>
      </c>
      <c r="D225" s="16">
        <f t="shared" si="84"/>
        <v>1.2467623250480175</v>
      </c>
      <c r="E225" s="16">
        <f t="shared" si="81"/>
        <v>10.663363878289642</v>
      </c>
      <c r="F225" s="16">
        <f t="shared" si="82"/>
        <v>0.67975549824285586</v>
      </c>
      <c r="G225" s="19" t="str">
        <f>IF('Peak Revenue'!$A$1="BL","-",SUM(C225:F225))</f>
        <v>-</v>
      </c>
      <c r="H225" s="203">
        <v>153.08412541559318</v>
      </c>
      <c r="I225" s="203">
        <v>149.68598177030674</v>
      </c>
      <c r="J225" s="203">
        <v>141.10301337423564</v>
      </c>
      <c r="K225" s="203">
        <v>95.288870347275477</v>
      </c>
      <c r="L225" s="203">
        <v>86.678284823176824</v>
      </c>
      <c r="M225" s="203">
        <v>82.797094058183973</v>
      </c>
      <c r="N225" s="203">
        <v>78.336811764041755</v>
      </c>
      <c r="O225" s="203">
        <v>60.136150895001705</v>
      </c>
      <c r="P225" s="203">
        <v>55.902950064329623</v>
      </c>
      <c r="Q225" s="203">
        <v>49.237494496554859</v>
      </c>
      <c r="R225" s="203">
        <v>46.58298495547777</v>
      </c>
      <c r="S225" s="203">
        <v>46.202671821169538</v>
      </c>
      <c r="T225" s="203">
        <v>44.659791386540959</v>
      </c>
      <c r="U225" s="203">
        <v>43.46287086066436</v>
      </c>
      <c r="V225" s="203">
        <v>42.33085220042198</v>
      </c>
      <c r="W225" s="203">
        <v>41.215456851100335</v>
      </c>
      <c r="X225" s="203">
        <v>40.134473787114658</v>
      </c>
      <c r="Y225" s="203">
        <v>39.989228465102698</v>
      </c>
      <c r="Z225" s="203">
        <v>39.989147801098873</v>
      </c>
      <c r="AA225" s="203">
        <v>39.97964834772381</v>
      </c>
      <c r="AB225" s="16">
        <f>AB224*(1+Assumptions!$L$13/12)</f>
        <v>1.2467623250480175</v>
      </c>
      <c r="AC225" s="16">
        <f t="shared" si="90"/>
        <v>0</v>
      </c>
      <c r="AD225" s="18">
        <f t="shared" si="91"/>
        <v>870.0603303281033</v>
      </c>
      <c r="AE225" s="18">
        <f t="shared" si="91"/>
        <v>1879.5637242099006</v>
      </c>
      <c r="AF225" s="5">
        <f>IF(Assumptions!D$29=1,0,1)</f>
        <v>1</v>
      </c>
      <c r="AG225" s="73">
        <f t="shared" si="92"/>
        <v>1.1993</v>
      </c>
      <c r="AH225" s="16">
        <f>Assumptions!$E$29*Assumptions!H22</f>
        <v>5.0336021007659397</v>
      </c>
      <c r="AI225" s="16">
        <f>Assumptions!$F$29*Assumptions!I22</f>
        <v>4.6568500041491125</v>
      </c>
      <c r="AJ225" s="16">
        <f t="shared" si="93"/>
        <v>2.4399542510000001</v>
      </c>
      <c r="AK225" s="16">
        <f t="shared" si="93"/>
        <v>7.2000000000000008E-2</v>
      </c>
      <c r="AL225" s="4"/>
    </row>
    <row r="226" spans="1:38" x14ac:dyDescent="0.2">
      <c r="A226" s="1">
        <f t="shared" si="85"/>
        <v>43079.655000000275</v>
      </c>
      <c r="B226" s="16">
        <f t="shared" si="83"/>
        <v>1.1993</v>
      </c>
      <c r="C226" s="17">
        <f t="shared" si="80"/>
        <v>12.0481678</v>
      </c>
      <c r="D226" s="16">
        <f t="shared" si="84"/>
        <v>1.248840262256431</v>
      </c>
      <c r="E226" s="16">
        <f t="shared" si="81"/>
        <v>10.663363878289642</v>
      </c>
      <c r="F226" s="16">
        <f t="shared" si="82"/>
        <v>0.67975549824285586</v>
      </c>
      <c r="G226" s="19" t="str">
        <f>IF('Peak Revenue'!$A$1="BL","-",SUM(C226:F226))</f>
        <v>-</v>
      </c>
      <c r="H226" s="203">
        <v>103.00940111835831</v>
      </c>
      <c r="I226" s="203">
        <v>102.82162016511715</v>
      </c>
      <c r="J226" s="203">
        <v>92.788730921699013</v>
      </c>
      <c r="K226" s="203">
        <v>79.888556999072804</v>
      </c>
      <c r="L226" s="203">
        <v>77.568431029238425</v>
      </c>
      <c r="M226" s="203">
        <v>75.543936443386016</v>
      </c>
      <c r="N226" s="203">
        <v>74.370359724652346</v>
      </c>
      <c r="O226" s="203">
        <v>73.593989963812476</v>
      </c>
      <c r="P226" s="203">
        <v>73.214790002275734</v>
      </c>
      <c r="Q226" s="203">
        <v>72.469952596933211</v>
      </c>
      <c r="R226" s="203">
        <v>70.775734757599579</v>
      </c>
      <c r="S226" s="203">
        <v>70.521868063935699</v>
      </c>
      <c r="T226" s="203">
        <v>70.064721980497623</v>
      </c>
      <c r="U226" s="203">
        <v>63.762943913794402</v>
      </c>
      <c r="V226" s="203">
        <v>58.193340641400233</v>
      </c>
      <c r="W226" s="203">
        <v>55.595183175992752</v>
      </c>
      <c r="X226" s="203">
        <v>51.573278155202281</v>
      </c>
      <c r="Y226" s="203">
        <v>48.645373007414499</v>
      </c>
      <c r="Z226" s="203">
        <v>48.64534268971375</v>
      </c>
      <c r="AA226" s="203">
        <v>48.643960202848433</v>
      </c>
      <c r="AB226" s="16">
        <f>AB225*(1+Assumptions!$L$13/12)</f>
        <v>1.248840262256431</v>
      </c>
      <c r="AC226" s="16">
        <f t="shared" si="90"/>
        <v>0</v>
      </c>
      <c r="AD226" s="18">
        <f t="shared" si="91"/>
        <v>870.0603303281033</v>
      </c>
      <c r="AE226" s="18">
        <f t="shared" si="91"/>
        <v>1879.5637242099006</v>
      </c>
      <c r="AF226" s="5">
        <f>IF(Assumptions!D$29=1,0,1)</f>
        <v>1</v>
      </c>
      <c r="AG226" s="73">
        <f t="shared" si="92"/>
        <v>1.1993</v>
      </c>
      <c r="AH226" s="16">
        <f>Assumptions!$E$29*Assumptions!H23</f>
        <v>5.447259152444766</v>
      </c>
      <c r="AI226" s="16">
        <f>Assumptions!$F$29*Assumptions!I23</f>
        <v>4.8829106839621765</v>
      </c>
      <c r="AJ226" s="16">
        <f t="shared" si="93"/>
        <v>2.4399542510000001</v>
      </c>
      <c r="AK226" s="16">
        <f t="shared" si="93"/>
        <v>7.2000000000000008E-2</v>
      </c>
      <c r="AL226" s="4"/>
    </row>
    <row r="227" spans="1:38" x14ac:dyDescent="0.2">
      <c r="A227" s="1">
        <f t="shared" si="85"/>
        <v>43110.072000000277</v>
      </c>
      <c r="B227" s="16">
        <f t="shared" si="83"/>
        <v>1.2073</v>
      </c>
      <c r="C227" s="17">
        <f t="shared" si="80"/>
        <v>12.128535799999998</v>
      </c>
      <c r="D227" s="16">
        <f t="shared" si="84"/>
        <v>1.2509216626935251</v>
      </c>
      <c r="E227" s="16">
        <f t="shared" si="81"/>
        <v>9.1230845527446558</v>
      </c>
      <c r="F227" s="16">
        <f t="shared" si="82"/>
        <v>0.74866709941717169</v>
      </c>
      <c r="G227" s="19" t="str">
        <f>IF('Peak Revenue'!$A$1="BL","-",SUM(C227:F227))</f>
        <v>-</v>
      </c>
      <c r="H227" s="203">
        <v>130.35656114131973</v>
      </c>
      <c r="I227" s="203">
        <v>121.5530334095738</v>
      </c>
      <c r="J227" s="203">
        <v>116.66528564389148</v>
      </c>
      <c r="K227" s="203">
        <v>109.03251171718107</v>
      </c>
      <c r="L227" s="203">
        <v>108.10743917823686</v>
      </c>
      <c r="M227" s="203">
        <v>100.21137662075088</v>
      </c>
      <c r="N227" s="203">
        <v>73.995369374017628</v>
      </c>
      <c r="O227" s="203">
        <v>61.900050827962239</v>
      </c>
      <c r="P227" s="203">
        <v>59.842441155095358</v>
      </c>
      <c r="Q227" s="203">
        <v>53.693719146082671</v>
      </c>
      <c r="R227" s="203">
        <v>51.984473133182043</v>
      </c>
      <c r="S227" s="203">
        <v>51.515736874612131</v>
      </c>
      <c r="T227" s="203">
        <v>51.369267643509438</v>
      </c>
      <c r="U227" s="203">
        <v>50.942775419508926</v>
      </c>
      <c r="V227" s="203">
        <v>50.92879987982765</v>
      </c>
      <c r="W227" s="203">
        <v>50.92879987982765</v>
      </c>
      <c r="X227" s="203">
        <v>50.92879987982765</v>
      </c>
      <c r="Y227" s="203">
        <v>50.92879987982765</v>
      </c>
      <c r="Z227" s="203">
        <v>50.928543088512114</v>
      </c>
      <c r="AA227" s="203">
        <v>49.233168121070776</v>
      </c>
      <c r="AB227" s="16">
        <f>AB226*(1+Assumptions!$L$13/12)</f>
        <v>1.2509216626935251</v>
      </c>
      <c r="AC227" s="16">
        <f>VLOOKUP($C$1,EnvVOM,21)</f>
        <v>0</v>
      </c>
      <c r="AD227" s="18">
        <f>Assumptions!B30</f>
        <v>744.38367199801439</v>
      </c>
      <c r="AE227" s="18">
        <f>Assumptions!C30</f>
        <v>2070.1083333808137</v>
      </c>
      <c r="AF227" s="5">
        <f>IF(Assumptions!D$30=1,0,1)</f>
        <v>1</v>
      </c>
      <c r="AG227" s="73">
        <f>VLOOKUP($C$1,Coal,21)</f>
        <v>1.2073</v>
      </c>
      <c r="AH227" s="16">
        <f>Assumptions!$E$30*Assumptions!H12</f>
        <v>5.5373744438241399</v>
      </c>
      <c r="AI227" s="16">
        <f>Assumptions!$F$30*Assumptions!I12</f>
        <v>5.1779571431111169</v>
      </c>
      <c r="AJ227" s="16">
        <f>VLOOKUP($C$1,SO2Rate,21)</f>
        <v>2.4399542510000001</v>
      </c>
      <c r="AK227" s="16">
        <f>VLOOKUP($C$1,NOxRate,21)</f>
        <v>7.2000000000000008E-2</v>
      </c>
      <c r="AL227" s="4"/>
    </row>
    <row r="228" spans="1:38" x14ac:dyDescent="0.2">
      <c r="A228" s="1">
        <f t="shared" si="85"/>
        <v>43140.489000000278</v>
      </c>
      <c r="B228" s="16">
        <f t="shared" si="83"/>
        <v>1.2073</v>
      </c>
      <c r="C228" s="17">
        <f t="shared" si="80"/>
        <v>12.128535799999998</v>
      </c>
      <c r="D228" s="16">
        <f t="shared" si="84"/>
        <v>1.2530065321313477</v>
      </c>
      <c r="E228" s="16">
        <f t="shared" si="81"/>
        <v>9.1230845527446558</v>
      </c>
      <c r="F228" s="16">
        <f t="shared" si="82"/>
        <v>0.74866709941717169</v>
      </c>
      <c r="G228" s="19" t="str">
        <f>IF('Peak Revenue'!$A$1="BL","-",SUM(C228:F228))</f>
        <v>-</v>
      </c>
      <c r="H228" s="203">
        <v>144.50432345261297</v>
      </c>
      <c r="I228" s="203">
        <v>125.59741738669693</v>
      </c>
      <c r="J228" s="203">
        <v>120.74234753308158</v>
      </c>
      <c r="K228" s="203">
        <v>113.08175712643848</v>
      </c>
      <c r="L228" s="203">
        <v>111.92764613250827</v>
      </c>
      <c r="M228" s="203">
        <v>90.177866618439296</v>
      </c>
      <c r="N228" s="203">
        <v>79.040248706073655</v>
      </c>
      <c r="O228" s="203">
        <v>72.600116339637594</v>
      </c>
      <c r="P228" s="203">
        <v>63.304648068282731</v>
      </c>
      <c r="Q228" s="203">
        <v>59.065346478922208</v>
      </c>
      <c r="R228" s="203">
        <v>56.570497908014964</v>
      </c>
      <c r="S228" s="203">
        <v>54.553383536597515</v>
      </c>
      <c r="T228" s="203">
        <v>53.594412445186968</v>
      </c>
      <c r="U228" s="203">
        <v>52.98615567227953</v>
      </c>
      <c r="V228" s="203">
        <v>52.98615567227953</v>
      </c>
      <c r="W228" s="203">
        <v>52.98615567227953</v>
      </c>
      <c r="X228" s="203">
        <v>52.98615567227953</v>
      </c>
      <c r="Y228" s="203">
        <v>52.98615567227953</v>
      </c>
      <c r="Z228" s="203">
        <v>52.906842163594575</v>
      </c>
      <c r="AA228" s="203">
        <v>52.501397953054074</v>
      </c>
      <c r="AB228" s="16">
        <f>AB227*(1+Assumptions!$L$13/12)</f>
        <v>1.2530065321313477</v>
      </c>
      <c r="AC228" s="16">
        <f>AC227</f>
        <v>0</v>
      </c>
      <c r="AD228" s="18">
        <f>AD227</f>
        <v>744.38367199801439</v>
      </c>
      <c r="AE228" s="18">
        <f>AE227</f>
        <v>2070.1083333808137</v>
      </c>
      <c r="AF228" s="5">
        <f>IF(Assumptions!D$30=1,0,1)</f>
        <v>1</v>
      </c>
      <c r="AG228" s="73">
        <f>AG227</f>
        <v>1.2073</v>
      </c>
      <c r="AH228" s="16">
        <f>Assumptions!$E$30*Assumptions!H13</f>
        <v>4.963019115874296</v>
      </c>
      <c r="AI228" s="16">
        <f>Assumptions!$F$30*Assumptions!I13</f>
        <v>5.1300130954897174</v>
      </c>
      <c r="AJ228" s="16">
        <f>AJ227</f>
        <v>2.4399542510000001</v>
      </c>
      <c r="AK228" s="16">
        <f>AK227</f>
        <v>7.2000000000000008E-2</v>
      </c>
      <c r="AL228" s="4"/>
    </row>
    <row r="229" spans="1:38" x14ac:dyDescent="0.2">
      <c r="A229" s="1">
        <f t="shared" si="85"/>
        <v>43170.906000000279</v>
      </c>
      <c r="B229" s="16">
        <f t="shared" si="83"/>
        <v>1.2073</v>
      </c>
      <c r="C229" s="17">
        <f t="shared" si="80"/>
        <v>12.128535799999998</v>
      </c>
      <c r="D229" s="16">
        <f t="shared" si="84"/>
        <v>1.2550948763515666</v>
      </c>
      <c r="E229" s="16">
        <f t="shared" si="81"/>
        <v>9.1230845527446558</v>
      </c>
      <c r="F229" s="16">
        <f t="shared" si="82"/>
        <v>0.74866709941717169</v>
      </c>
      <c r="G229" s="19" t="str">
        <f>IF('Peak Revenue'!$A$1="BL","-",SUM(C229:F229))</f>
        <v>-</v>
      </c>
      <c r="H229" s="203">
        <v>128.60171094760108</v>
      </c>
      <c r="I229" s="203">
        <v>97.628269069113841</v>
      </c>
      <c r="J229" s="203">
        <v>93.023777674966283</v>
      </c>
      <c r="K229" s="203">
        <v>87.275619703019728</v>
      </c>
      <c r="L229" s="203">
        <v>81.74660030528743</v>
      </c>
      <c r="M229" s="203">
        <v>81.129085739380827</v>
      </c>
      <c r="N229" s="203">
        <v>73.774999730889334</v>
      </c>
      <c r="O229" s="203">
        <v>60.554466892047387</v>
      </c>
      <c r="P229" s="203">
        <v>56.495420795432395</v>
      </c>
      <c r="Q229" s="203">
        <v>55.09987672355664</v>
      </c>
      <c r="R229" s="203">
        <v>51.662405018479895</v>
      </c>
      <c r="S229" s="203">
        <v>49.91754320613763</v>
      </c>
      <c r="T229" s="203">
        <v>48.77082232276608</v>
      </c>
      <c r="U229" s="203">
        <v>47.641003965067412</v>
      </c>
      <c r="V229" s="203">
        <v>45.902878051504686</v>
      </c>
      <c r="W229" s="203">
        <v>45.460009359827765</v>
      </c>
      <c r="X229" s="203">
        <v>44.027111739349849</v>
      </c>
      <c r="Y229" s="203">
        <v>42.676719392487932</v>
      </c>
      <c r="Z229" s="203">
        <v>40.257283972439929</v>
      </c>
      <c r="AA229" s="203">
        <v>39.426995057586439</v>
      </c>
      <c r="AB229" s="16">
        <f>AB228*(1+Assumptions!$L$13/12)</f>
        <v>1.2550948763515666</v>
      </c>
      <c r="AC229" s="16">
        <f t="shared" ref="AC229:AC238" si="94">AC228</f>
        <v>0</v>
      </c>
      <c r="AD229" s="18">
        <f t="shared" ref="AD229:AE238" si="95">AD228</f>
        <v>744.38367199801439</v>
      </c>
      <c r="AE229" s="18">
        <f t="shared" si="95"/>
        <v>2070.1083333808137</v>
      </c>
      <c r="AF229" s="5">
        <f>IF(Assumptions!D$30=1,0,1)</f>
        <v>1</v>
      </c>
      <c r="AG229" s="73">
        <f t="shared" ref="AG229:AG238" si="96">AG228</f>
        <v>1.2073</v>
      </c>
      <c r="AH229" s="16">
        <f>Assumptions!$E$30*Assumptions!H14</f>
        <v>4.8795657776251735</v>
      </c>
      <c r="AI229" s="16">
        <f>Assumptions!$F$30*Assumptions!I14</f>
        <v>4.9382369050041204</v>
      </c>
      <c r="AJ229" s="16">
        <f t="shared" ref="AJ229:AK238" si="97">AJ228</f>
        <v>2.4399542510000001</v>
      </c>
      <c r="AK229" s="16">
        <f t="shared" si="97"/>
        <v>7.2000000000000008E-2</v>
      </c>
      <c r="AL229" s="4"/>
    </row>
    <row r="230" spans="1:38" x14ac:dyDescent="0.2">
      <c r="A230" s="1">
        <f t="shared" si="85"/>
        <v>43201.32300000028</v>
      </c>
      <c r="B230" s="16">
        <f t="shared" si="83"/>
        <v>1.2073</v>
      </c>
      <c r="C230" s="17">
        <f t="shared" si="80"/>
        <v>12.128535799999998</v>
      </c>
      <c r="D230" s="16">
        <f t="shared" si="84"/>
        <v>1.2571867011454858</v>
      </c>
      <c r="E230" s="16">
        <f t="shared" si="81"/>
        <v>9.1230845527446558</v>
      </c>
      <c r="F230" s="16">
        <f t="shared" si="82"/>
        <v>0.74866709941717169</v>
      </c>
      <c r="G230" s="19" t="str">
        <f>IF('Peak Revenue'!$A$1="BL","-",SUM(C230:F230))</f>
        <v>-</v>
      </c>
      <c r="H230" s="203">
        <v>97.960233746275236</v>
      </c>
      <c r="I230" s="203">
        <v>90.54709123813015</v>
      </c>
      <c r="J230" s="203">
        <v>85.615596326749852</v>
      </c>
      <c r="K230" s="203">
        <v>80.599721304619138</v>
      </c>
      <c r="L230" s="203">
        <v>75.326331313684975</v>
      </c>
      <c r="M230" s="203">
        <v>74.836439065917787</v>
      </c>
      <c r="N230" s="203">
        <v>66.937295472114769</v>
      </c>
      <c r="O230" s="203">
        <v>52.386871426625618</v>
      </c>
      <c r="P230" s="203">
        <v>48.082348560916429</v>
      </c>
      <c r="Q230" s="203">
        <v>42.866281578156659</v>
      </c>
      <c r="R230" s="203">
        <v>42.325759852220649</v>
      </c>
      <c r="S230" s="203">
        <v>41.288406426513532</v>
      </c>
      <c r="T230" s="203">
        <v>39.793103378439184</v>
      </c>
      <c r="U230" s="203">
        <v>38.397904891873743</v>
      </c>
      <c r="V230" s="203">
        <v>37.159338582638206</v>
      </c>
      <c r="W230" s="203">
        <v>36.665409608793375</v>
      </c>
      <c r="X230" s="203">
        <v>36.665394172349281</v>
      </c>
      <c r="Y230" s="203">
        <v>36.665394172349281</v>
      </c>
      <c r="Z230" s="203">
        <v>36.665394172349281</v>
      </c>
      <c r="AA230" s="203">
        <v>36.362149778937479</v>
      </c>
      <c r="AB230" s="16">
        <f>AB229*(1+Assumptions!$L$13/12)</f>
        <v>1.2571867011454858</v>
      </c>
      <c r="AC230" s="16">
        <f t="shared" si="94"/>
        <v>0</v>
      </c>
      <c r="AD230" s="18">
        <f t="shared" si="95"/>
        <v>744.38367199801439</v>
      </c>
      <c r="AE230" s="18">
        <f t="shared" si="95"/>
        <v>2070.1083333808137</v>
      </c>
      <c r="AF230" s="5">
        <f>IF(Assumptions!D$30=1,0,1)</f>
        <v>1</v>
      </c>
      <c r="AG230" s="73">
        <f t="shared" si="96"/>
        <v>1.2073</v>
      </c>
      <c r="AH230" s="16">
        <f>Assumptions!$E$30*Assumptions!H15</f>
        <v>4.6390238026718196</v>
      </c>
      <c r="AI230" s="16">
        <f>Assumptions!$F$30*Assumptions!I15</f>
        <v>4.7464607145185234</v>
      </c>
      <c r="AJ230" s="16">
        <f t="shared" si="97"/>
        <v>2.4399542510000001</v>
      </c>
      <c r="AK230" s="16">
        <f t="shared" si="97"/>
        <v>7.2000000000000008E-2</v>
      </c>
      <c r="AL230" s="4"/>
    </row>
    <row r="231" spans="1:38" x14ac:dyDescent="0.2">
      <c r="A231" s="1">
        <f t="shared" si="85"/>
        <v>43231.740000000282</v>
      </c>
      <c r="B231" s="16">
        <f t="shared" si="83"/>
        <v>1.2073</v>
      </c>
      <c r="C231" s="17">
        <f t="shared" si="80"/>
        <v>12.128535799999998</v>
      </c>
      <c r="D231" s="16">
        <f t="shared" si="84"/>
        <v>1.2592820123140616</v>
      </c>
      <c r="E231" s="16">
        <f t="shared" si="81"/>
        <v>9.1230845527446558</v>
      </c>
      <c r="F231" s="16">
        <f t="shared" si="82"/>
        <v>0.74866709941717169</v>
      </c>
      <c r="G231" s="19" t="str">
        <f>IF('Peak Revenue'!$A$1="BL","-",SUM(C231:F231))</f>
        <v>-</v>
      </c>
      <c r="H231" s="203">
        <v>154.56093433585573</v>
      </c>
      <c r="I231" s="203">
        <v>149.18759056089729</v>
      </c>
      <c r="J231" s="203">
        <v>106.03582558519319</v>
      </c>
      <c r="K231" s="203">
        <v>74.69590358251186</v>
      </c>
      <c r="L231" s="203">
        <v>69.183640193392023</v>
      </c>
      <c r="M231" s="203">
        <v>66.252638801749683</v>
      </c>
      <c r="N231" s="203">
        <v>52.735050764470301</v>
      </c>
      <c r="O231" s="203">
        <v>48.636679102029305</v>
      </c>
      <c r="P231" s="203">
        <v>46.668364415867309</v>
      </c>
      <c r="Q231" s="203">
        <v>45.103517656885515</v>
      </c>
      <c r="R231" s="203">
        <v>43.585097226980992</v>
      </c>
      <c r="S231" s="203">
        <v>42.44351474728137</v>
      </c>
      <c r="T231" s="203">
        <v>40.635173192298986</v>
      </c>
      <c r="U231" s="203">
        <v>39.248369931466357</v>
      </c>
      <c r="V231" s="203">
        <v>38.43080553220021</v>
      </c>
      <c r="W231" s="203">
        <v>34.393882871442628</v>
      </c>
      <c r="X231" s="203">
        <v>34.021417253986648</v>
      </c>
      <c r="Y231" s="203">
        <v>34.021382128488057</v>
      </c>
      <c r="Z231" s="203">
        <v>34.021332849830586</v>
      </c>
      <c r="AA231" s="203">
        <v>34.007861441706062</v>
      </c>
      <c r="AB231" s="16">
        <f>AB230*(1+Assumptions!$L$13/12)</f>
        <v>1.2592820123140616</v>
      </c>
      <c r="AC231" s="16">
        <f t="shared" si="94"/>
        <v>0</v>
      </c>
      <c r="AD231" s="18">
        <f t="shared" si="95"/>
        <v>744.38367199801439</v>
      </c>
      <c r="AE231" s="18">
        <f t="shared" si="95"/>
        <v>2070.1083333808137</v>
      </c>
      <c r="AF231" s="5">
        <v>1</v>
      </c>
      <c r="AG231" s="73">
        <f t="shared" si="96"/>
        <v>1.2073</v>
      </c>
      <c r="AH231" s="16">
        <f>Assumptions!$E$30*Assumptions!H16</f>
        <v>4.8844747975221807</v>
      </c>
      <c r="AI231" s="16">
        <f>Assumptions!$F$30*Assumptions!I16</f>
        <v>4.5546845240329263</v>
      </c>
      <c r="AJ231" s="16">
        <f t="shared" si="97"/>
        <v>2.4399542510000001</v>
      </c>
      <c r="AK231" s="16">
        <f t="shared" si="97"/>
        <v>7.2000000000000008E-2</v>
      </c>
      <c r="AL231" s="4"/>
    </row>
    <row r="232" spans="1:38" x14ac:dyDescent="0.2">
      <c r="A232" s="1">
        <f t="shared" si="85"/>
        <v>43262.157000000283</v>
      </c>
      <c r="B232" s="16">
        <f t="shared" si="83"/>
        <v>1.2073</v>
      </c>
      <c r="C232" s="17">
        <f t="shared" si="80"/>
        <v>12.128535799999998</v>
      </c>
      <c r="D232" s="16">
        <f t="shared" si="84"/>
        <v>1.2613808156679185</v>
      </c>
      <c r="E232" s="16">
        <f t="shared" si="81"/>
        <v>9.1230845527446558</v>
      </c>
      <c r="F232" s="16">
        <f t="shared" si="82"/>
        <v>0.74866709941717169</v>
      </c>
      <c r="G232" s="19" t="str">
        <f>IF('Peak Revenue'!$A$1="BL","-",SUM(C232:F232))</f>
        <v>-</v>
      </c>
      <c r="H232" s="203">
        <v>190.46198003428688</v>
      </c>
      <c r="I232" s="203">
        <v>177.83699198381677</v>
      </c>
      <c r="J232" s="203">
        <v>167.24340409845644</v>
      </c>
      <c r="K232" s="203">
        <v>154.70297433033258</v>
      </c>
      <c r="L232" s="203">
        <v>141.37115098973882</v>
      </c>
      <c r="M232" s="203">
        <v>85.496495612273904</v>
      </c>
      <c r="N232" s="203">
        <v>72.538374986835137</v>
      </c>
      <c r="O232" s="203">
        <v>68.782232775994132</v>
      </c>
      <c r="P232" s="203">
        <v>58.094403671225407</v>
      </c>
      <c r="Q232" s="203">
        <v>47.493830379356083</v>
      </c>
      <c r="R232" s="203">
        <v>42.100642599643351</v>
      </c>
      <c r="S232" s="203">
        <v>39.739012337480943</v>
      </c>
      <c r="T232" s="203">
        <v>39.027195051274013</v>
      </c>
      <c r="U232" s="203">
        <v>38.181501214035094</v>
      </c>
      <c r="V232" s="203">
        <v>36.736913936445887</v>
      </c>
      <c r="W232" s="203">
        <v>35.023584865069246</v>
      </c>
      <c r="X232" s="203">
        <v>34.022726554882873</v>
      </c>
      <c r="Y232" s="203">
        <v>34.022715741854825</v>
      </c>
      <c r="Z232" s="203">
        <v>34.022715741854825</v>
      </c>
      <c r="AA232" s="203">
        <v>32.760380817471372</v>
      </c>
      <c r="AB232" s="16">
        <f>AB231*(1+Assumptions!$L$13/12)</f>
        <v>1.2613808156679185</v>
      </c>
      <c r="AC232" s="16">
        <f t="shared" si="94"/>
        <v>0</v>
      </c>
      <c r="AD232" s="18">
        <f t="shared" si="95"/>
        <v>744.38367199801439</v>
      </c>
      <c r="AE232" s="18">
        <f t="shared" si="95"/>
        <v>2070.1083333808137</v>
      </c>
      <c r="AF232" s="5">
        <v>1</v>
      </c>
      <c r="AG232" s="73">
        <f t="shared" si="96"/>
        <v>1.2073</v>
      </c>
      <c r="AH232" s="16">
        <f>Assumptions!$E$30*Assumptions!H17</f>
        <v>4.6537508623628412</v>
      </c>
      <c r="AI232" s="16">
        <f>Assumptions!$F$30*Assumptions!I17</f>
        <v>4.5546845240329263</v>
      </c>
      <c r="AJ232" s="16">
        <f t="shared" si="97"/>
        <v>2.4399542510000001</v>
      </c>
      <c r="AK232" s="16">
        <f t="shared" si="97"/>
        <v>7.2000000000000008E-2</v>
      </c>
      <c r="AL232" s="4"/>
    </row>
    <row r="233" spans="1:38" x14ac:dyDescent="0.2">
      <c r="A233" s="1">
        <f t="shared" si="85"/>
        <v>43292.574000000284</v>
      </c>
      <c r="B233" s="16">
        <f t="shared" si="83"/>
        <v>1.2073</v>
      </c>
      <c r="C233" s="17">
        <f t="shared" si="80"/>
        <v>12.128535799999998</v>
      </c>
      <c r="D233" s="16">
        <f t="shared" si="84"/>
        <v>1.263483117027365</v>
      </c>
      <c r="E233" s="16">
        <f t="shared" si="81"/>
        <v>9.1230845527446558</v>
      </c>
      <c r="F233" s="16">
        <f t="shared" si="82"/>
        <v>0.74866709941717169</v>
      </c>
      <c r="G233" s="19" t="str">
        <f>IF('Peak Revenue'!$A$1="BL","-",SUM(C233:F233))</f>
        <v>-</v>
      </c>
      <c r="H233" s="203">
        <v>251.26508011419332</v>
      </c>
      <c r="I233" s="203">
        <v>209.30475650784865</v>
      </c>
      <c r="J233" s="203">
        <v>196.3422979121525</v>
      </c>
      <c r="K233" s="203">
        <v>180.6848766668582</v>
      </c>
      <c r="L233" s="203">
        <v>167.63420880393898</v>
      </c>
      <c r="M233" s="203">
        <v>154.82789138519922</v>
      </c>
      <c r="N233" s="203">
        <v>129.19188048558595</v>
      </c>
      <c r="O233" s="203">
        <v>85.64993706708141</v>
      </c>
      <c r="P233" s="203">
        <v>81.346949238966573</v>
      </c>
      <c r="Q233" s="203">
        <v>58.452824199238179</v>
      </c>
      <c r="R233" s="203">
        <v>46.714263027828665</v>
      </c>
      <c r="S233" s="203">
        <v>43.326003847645673</v>
      </c>
      <c r="T233" s="203">
        <v>39.785248786288413</v>
      </c>
      <c r="U233" s="203">
        <v>39.748755215903593</v>
      </c>
      <c r="V233" s="203">
        <v>39.748588480575407</v>
      </c>
      <c r="W233" s="203">
        <v>39.74796774614682</v>
      </c>
      <c r="X233" s="203">
        <v>39.74796774614682</v>
      </c>
      <c r="Y233" s="203">
        <v>39.74796774614682</v>
      </c>
      <c r="Z233" s="203">
        <v>38.180135730350131</v>
      </c>
      <c r="AA233" s="203">
        <v>32.703231041532987</v>
      </c>
      <c r="AB233" s="16">
        <f>AB232*(1+Assumptions!$L$13/12)</f>
        <v>1.263483117027365</v>
      </c>
      <c r="AC233" s="16">
        <f t="shared" si="94"/>
        <v>0</v>
      </c>
      <c r="AD233" s="18">
        <f t="shared" si="95"/>
        <v>744.38367199801439</v>
      </c>
      <c r="AE233" s="18">
        <f t="shared" si="95"/>
        <v>2070.1083333808137</v>
      </c>
      <c r="AF233" s="5">
        <v>1</v>
      </c>
      <c r="AG233" s="73">
        <f t="shared" si="96"/>
        <v>1.2073</v>
      </c>
      <c r="AH233" s="16">
        <f>Assumptions!$E$30*Assumptions!H18</f>
        <v>4.6390238026718196</v>
      </c>
      <c r="AI233" s="16">
        <f>Assumptions!$F$30*Assumptions!I18</f>
        <v>4.5546845240329263</v>
      </c>
      <c r="AJ233" s="16">
        <f t="shared" si="97"/>
        <v>2.4399542510000001</v>
      </c>
      <c r="AK233" s="16">
        <f t="shared" si="97"/>
        <v>7.2000000000000008E-2</v>
      </c>
      <c r="AL233" s="4"/>
    </row>
    <row r="234" spans="1:38" x14ac:dyDescent="0.2">
      <c r="A234" s="1">
        <f t="shared" si="85"/>
        <v>43322.991000000286</v>
      </c>
      <c r="B234" s="16">
        <f t="shared" si="83"/>
        <v>1.2073</v>
      </c>
      <c r="C234" s="17">
        <f t="shared" si="80"/>
        <v>12.128535799999998</v>
      </c>
      <c r="D234" s="16">
        <f t="shared" si="84"/>
        <v>1.2655889222224106</v>
      </c>
      <c r="E234" s="16">
        <f t="shared" si="81"/>
        <v>9.1230845527446558</v>
      </c>
      <c r="F234" s="16">
        <f t="shared" si="82"/>
        <v>0.74866709941717169</v>
      </c>
      <c r="G234" s="19" t="str">
        <f>IF('Peak Revenue'!$A$1="BL","-",SUM(C234:F234))</f>
        <v>-</v>
      </c>
      <c r="H234" s="203">
        <v>547.35455166888539</v>
      </c>
      <c r="I234" s="203">
        <v>381.97770419914502</v>
      </c>
      <c r="J234" s="203">
        <v>289.47110844986298</v>
      </c>
      <c r="K234" s="203">
        <v>216.15376409313103</v>
      </c>
      <c r="L234" s="203">
        <v>193.57001334159119</v>
      </c>
      <c r="M234" s="203">
        <v>175.16247052196644</v>
      </c>
      <c r="N234" s="203">
        <v>157.15753261665199</v>
      </c>
      <c r="O234" s="203">
        <v>123.07482372412896</v>
      </c>
      <c r="P234" s="203">
        <v>44.236942097775241</v>
      </c>
      <c r="Q234" s="203">
        <v>37.562344685455876</v>
      </c>
      <c r="R234" s="203">
        <v>35.531901036221186</v>
      </c>
      <c r="S234" s="203">
        <v>33.746190028274981</v>
      </c>
      <c r="T234" s="203">
        <v>31.951550786376902</v>
      </c>
      <c r="U234" s="203">
        <v>30.808757824634522</v>
      </c>
      <c r="V234" s="203">
        <v>28.738036480199497</v>
      </c>
      <c r="W234" s="203">
        <v>27.528394400798351</v>
      </c>
      <c r="X234" s="203">
        <v>26.884455691578815</v>
      </c>
      <c r="Y234" s="203">
        <v>24.851814282259717</v>
      </c>
      <c r="Z234" s="203">
        <v>23.678729371136164</v>
      </c>
      <c r="AA234" s="203">
        <v>21.991557648317038</v>
      </c>
      <c r="AB234" s="16">
        <f>AB233*(1+Assumptions!$L$13/12)</f>
        <v>1.2655889222224106</v>
      </c>
      <c r="AC234" s="16">
        <f t="shared" si="94"/>
        <v>0</v>
      </c>
      <c r="AD234" s="18">
        <f t="shared" si="95"/>
        <v>744.38367199801439</v>
      </c>
      <c r="AE234" s="18">
        <f t="shared" si="95"/>
        <v>2070.1083333808137</v>
      </c>
      <c r="AF234" s="5">
        <v>1</v>
      </c>
      <c r="AG234" s="73">
        <f t="shared" si="96"/>
        <v>1.2073</v>
      </c>
      <c r="AH234" s="16">
        <f>Assumptions!$E$30*Assumptions!H19</f>
        <v>4.3984818277184665</v>
      </c>
      <c r="AI234" s="16">
        <f>Assumptions!$F$30*Assumptions!I19</f>
        <v>4.5546845240329263</v>
      </c>
      <c r="AJ234" s="16">
        <f t="shared" si="97"/>
        <v>2.4399542510000001</v>
      </c>
      <c r="AK234" s="16">
        <f t="shared" si="97"/>
        <v>7.2000000000000008E-2</v>
      </c>
      <c r="AL234" s="4"/>
    </row>
    <row r="235" spans="1:38" x14ac:dyDescent="0.2">
      <c r="A235" s="1">
        <f t="shared" si="85"/>
        <v>43353.408000000287</v>
      </c>
      <c r="B235" s="16">
        <f t="shared" si="83"/>
        <v>1.2073</v>
      </c>
      <c r="C235" s="17">
        <f t="shared" si="80"/>
        <v>12.128535799999998</v>
      </c>
      <c r="D235" s="16">
        <f t="shared" si="84"/>
        <v>1.2676982370927814</v>
      </c>
      <c r="E235" s="16">
        <f t="shared" si="81"/>
        <v>9.1230845527446558</v>
      </c>
      <c r="F235" s="16">
        <f t="shared" si="82"/>
        <v>0.74866709941717169</v>
      </c>
      <c r="G235" s="19" t="str">
        <f>IF('Peak Revenue'!$A$1="BL","-",SUM(C235:F235))</f>
        <v>-</v>
      </c>
      <c r="H235" s="203">
        <v>153.44154943465892</v>
      </c>
      <c r="I235" s="203">
        <v>144.3905465998433</v>
      </c>
      <c r="J235" s="203">
        <v>114.16558908449875</v>
      </c>
      <c r="K235" s="203">
        <v>103.02093811740077</v>
      </c>
      <c r="L235" s="203">
        <v>89.113499450232368</v>
      </c>
      <c r="M235" s="203">
        <v>63.119894899924326</v>
      </c>
      <c r="N235" s="203">
        <v>53.743510316799572</v>
      </c>
      <c r="O235" s="203">
        <v>49.883395373602418</v>
      </c>
      <c r="P235" s="203">
        <v>48.861147620190643</v>
      </c>
      <c r="Q235" s="203">
        <v>48.773340888398508</v>
      </c>
      <c r="R235" s="203">
        <v>48.773340888398508</v>
      </c>
      <c r="S235" s="203">
        <v>48.773192467472803</v>
      </c>
      <c r="T235" s="203">
        <v>48.77295676295455</v>
      </c>
      <c r="U235" s="203">
        <v>48.77286563137703</v>
      </c>
      <c r="V235" s="203">
        <v>48.77269395877569</v>
      </c>
      <c r="W235" s="203">
        <v>48.772605149956874</v>
      </c>
      <c r="X235" s="203">
        <v>48.115962479463334</v>
      </c>
      <c r="Y235" s="203">
        <v>45.336979592267639</v>
      </c>
      <c r="Z235" s="203">
        <v>42.28479159142163</v>
      </c>
      <c r="AA235" s="203">
        <v>35.599574802588208</v>
      </c>
      <c r="AB235" s="16">
        <f>AB234*(1+Assumptions!$L$13/12)</f>
        <v>1.2676982370927814</v>
      </c>
      <c r="AC235" s="16">
        <f t="shared" si="94"/>
        <v>0</v>
      </c>
      <c r="AD235" s="18">
        <f t="shared" si="95"/>
        <v>744.38367199801439</v>
      </c>
      <c r="AE235" s="18">
        <f t="shared" si="95"/>
        <v>2070.1083333808137</v>
      </c>
      <c r="AF235" s="5">
        <v>1</v>
      </c>
      <c r="AG235" s="73">
        <f t="shared" si="96"/>
        <v>1.2073</v>
      </c>
      <c r="AH235" s="16">
        <f>Assumptions!$E$30*Assumptions!H20</f>
        <v>4.3837547680274449</v>
      </c>
      <c r="AI235" s="16">
        <f>Assumptions!$F$30*Assumptions!I20</f>
        <v>4.5546845240329263</v>
      </c>
      <c r="AJ235" s="16">
        <f t="shared" si="97"/>
        <v>2.4399542510000001</v>
      </c>
      <c r="AK235" s="16">
        <f t="shared" si="97"/>
        <v>7.2000000000000008E-2</v>
      </c>
      <c r="AL235" s="4"/>
    </row>
    <row r="236" spans="1:38" x14ac:dyDescent="0.2">
      <c r="A236" s="1">
        <f t="shared" si="85"/>
        <v>43383.825000000288</v>
      </c>
      <c r="B236" s="16">
        <f t="shared" si="83"/>
        <v>1.2073</v>
      </c>
      <c r="C236" s="17">
        <f t="shared" si="80"/>
        <v>12.128535799999998</v>
      </c>
      <c r="D236" s="16">
        <f t="shared" si="84"/>
        <v>1.2698110674879362</v>
      </c>
      <c r="E236" s="16">
        <f t="shared" si="81"/>
        <v>9.1230845527446558</v>
      </c>
      <c r="F236" s="16">
        <f t="shared" si="82"/>
        <v>0.74866709941717169</v>
      </c>
      <c r="G236" s="19" t="str">
        <f>IF('Peak Revenue'!$A$1="BL","-",SUM(C236:F236))</f>
        <v>-</v>
      </c>
      <c r="H236" s="203">
        <v>95.496885599087932</v>
      </c>
      <c r="I236" s="203">
        <v>92.529313925096233</v>
      </c>
      <c r="J236" s="203">
        <v>88.688158207560761</v>
      </c>
      <c r="K236" s="203">
        <v>83.177712668994175</v>
      </c>
      <c r="L236" s="203">
        <v>79.281761933101507</v>
      </c>
      <c r="M236" s="203">
        <v>78.695910123974599</v>
      </c>
      <c r="N236" s="203">
        <v>67.571734712735775</v>
      </c>
      <c r="O236" s="203">
        <v>55.413179826784429</v>
      </c>
      <c r="P236" s="203">
        <v>53.427749066973753</v>
      </c>
      <c r="Q236" s="203">
        <v>49.224554927868581</v>
      </c>
      <c r="R236" s="203">
        <v>46.489333474023326</v>
      </c>
      <c r="S236" s="203">
        <v>45.246922922934104</v>
      </c>
      <c r="T236" s="203">
        <v>44.617389702107133</v>
      </c>
      <c r="U236" s="203">
        <v>43.964421968303739</v>
      </c>
      <c r="V236" s="203">
        <v>41.967099018420683</v>
      </c>
      <c r="W236" s="203">
        <v>39.844855112648801</v>
      </c>
      <c r="X236" s="203">
        <v>38.628831710601901</v>
      </c>
      <c r="Y236" s="203">
        <v>38.540975894365232</v>
      </c>
      <c r="Z236" s="203">
        <v>38.540975894365232</v>
      </c>
      <c r="AA236" s="203">
        <v>38.531199810056826</v>
      </c>
      <c r="AB236" s="16">
        <f>AB235*(1+Assumptions!$L$13/12)</f>
        <v>1.2698110674879362</v>
      </c>
      <c r="AC236" s="16">
        <f t="shared" si="94"/>
        <v>0</v>
      </c>
      <c r="AD236" s="18">
        <f t="shared" si="95"/>
        <v>744.38367199801439</v>
      </c>
      <c r="AE236" s="18">
        <f t="shared" si="95"/>
        <v>2070.1083333808137</v>
      </c>
      <c r="AF236" s="5">
        <f>IF(Assumptions!D$30=1,0,1)</f>
        <v>1</v>
      </c>
      <c r="AG236" s="73">
        <f t="shared" si="96"/>
        <v>1.2073</v>
      </c>
      <c r="AH236" s="16">
        <f>Assumptions!$E$30*Assumptions!H21</f>
        <v>4.8550206781401375</v>
      </c>
      <c r="AI236" s="16">
        <f>Assumptions!$F$30*Assumptions!I21</f>
        <v>4.5546845240329263</v>
      </c>
      <c r="AJ236" s="16">
        <f t="shared" si="97"/>
        <v>2.4399542510000001</v>
      </c>
      <c r="AK236" s="16">
        <f t="shared" si="97"/>
        <v>7.2000000000000008E-2</v>
      </c>
      <c r="AL236" s="4"/>
    </row>
    <row r="237" spans="1:38" x14ac:dyDescent="0.2">
      <c r="A237" s="1">
        <f t="shared" si="85"/>
        <v>43414.242000000289</v>
      </c>
      <c r="B237" s="16">
        <f t="shared" si="83"/>
        <v>1.2073</v>
      </c>
      <c r="C237" s="17">
        <f t="shared" si="80"/>
        <v>12.128535799999998</v>
      </c>
      <c r="D237" s="16">
        <f t="shared" si="84"/>
        <v>1.2719274192670829</v>
      </c>
      <c r="E237" s="16">
        <f t="shared" si="81"/>
        <v>9.1230845527446558</v>
      </c>
      <c r="F237" s="16">
        <f t="shared" si="82"/>
        <v>0.74866709941717169</v>
      </c>
      <c r="G237" s="19" t="str">
        <f>IF('Peak Revenue'!$A$1="BL","-",SUM(C237:F237))</f>
        <v>-</v>
      </c>
      <c r="H237" s="203">
        <v>166.23681335783019</v>
      </c>
      <c r="I237" s="203">
        <v>160.55945288990023</v>
      </c>
      <c r="J237" s="203">
        <v>154.48151256924922</v>
      </c>
      <c r="K237" s="203">
        <v>149.40157264949744</v>
      </c>
      <c r="L237" s="203">
        <v>120.89130668629343</v>
      </c>
      <c r="M237" s="203">
        <v>83.544438884465961</v>
      </c>
      <c r="N237" s="203">
        <v>77.888916902585407</v>
      </c>
      <c r="O237" s="203">
        <v>70.535529547722177</v>
      </c>
      <c r="P237" s="203">
        <v>65.689290021591901</v>
      </c>
      <c r="Q237" s="203">
        <v>64.033439952728827</v>
      </c>
      <c r="R237" s="203">
        <v>62.428851612203708</v>
      </c>
      <c r="S237" s="203">
        <v>53.474914834361172</v>
      </c>
      <c r="T237" s="203">
        <v>49.757070990605669</v>
      </c>
      <c r="U237" s="203">
        <v>47.536163375601447</v>
      </c>
      <c r="V237" s="203">
        <v>45.609768589057595</v>
      </c>
      <c r="W237" s="203">
        <v>45.023786217793081</v>
      </c>
      <c r="X237" s="203">
        <v>42.159621814912825</v>
      </c>
      <c r="Y237" s="203">
        <v>36.99435646400709</v>
      </c>
      <c r="Z237" s="203">
        <v>31.81281346866076</v>
      </c>
      <c r="AA237" s="203">
        <v>31.807323143124815</v>
      </c>
      <c r="AB237" s="16">
        <f>AB236*(1+Assumptions!$L$13/12)</f>
        <v>1.2719274192670829</v>
      </c>
      <c r="AC237" s="16">
        <f t="shared" si="94"/>
        <v>0</v>
      </c>
      <c r="AD237" s="18">
        <f t="shared" si="95"/>
        <v>744.38367199801439</v>
      </c>
      <c r="AE237" s="18">
        <f t="shared" si="95"/>
        <v>2070.1083333808137</v>
      </c>
      <c r="AF237" s="5">
        <f>IF(Assumptions!D$30=1,0,1)</f>
        <v>1</v>
      </c>
      <c r="AG237" s="73">
        <f t="shared" si="96"/>
        <v>1.2073</v>
      </c>
      <c r="AH237" s="16">
        <f>Assumptions!$E$30*Assumptions!H22</f>
        <v>5.3164685484588157</v>
      </c>
      <c r="AI237" s="16">
        <f>Assumptions!$F$30*Assumptions!I22</f>
        <v>4.9382369050041204</v>
      </c>
      <c r="AJ237" s="16">
        <f t="shared" si="97"/>
        <v>2.4399542510000001</v>
      </c>
      <c r="AK237" s="16">
        <f t="shared" si="97"/>
        <v>7.2000000000000008E-2</v>
      </c>
      <c r="AL237" s="4"/>
    </row>
    <row r="238" spans="1:38" x14ac:dyDescent="0.2">
      <c r="A238" s="1">
        <f t="shared" si="85"/>
        <v>43444.659000000291</v>
      </c>
      <c r="B238" s="16">
        <f t="shared" si="83"/>
        <v>1.2073</v>
      </c>
      <c r="C238" s="17">
        <f t="shared" si="80"/>
        <v>12.128535799999998</v>
      </c>
      <c r="D238" s="16">
        <f t="shared" si="84"/>
        <v>1.2740472982991946</v>
      </c>
      <c r="E238" s="16">
        <f t="shared" si="81"/>
        <v>9.1230845527446558</v>
      </c>
      <c r="F238" s="16">
        <f t="shared" si="82"/>
        <v>0.74866709941717169</v>
      </c>
      <c r="G238" s="19" t="str">
        <f>IF('Peak Revenue'!$A$1="BL","-",SUM(C238:F238))</f>
        <v>-</v>
      </c>
      <c r="H238" s="203">
        <v>151.04369132112106</v>
      </c>
      <c r="I238" s="203">
        <v>148.5812975547116</v>
      </c>
      <c r="J238" s="203">
        <v>144.27390571682957</v>
      </c>
      <c r="K238" s="203">
        <v>120.91213586290553</v>
      </c>
      <c r="L238" s="203">
        <v>111.12941825695933</v>
      </c>
      <c r="M238" s="203">
        <v>102.28291601237146</v>
      </c>
      <c r="N238" s="203">
        <v>100.5060107060596</v>
      </c>
      <c r="O238" s="203">
        <v>92.35387902350196</v>
      </c>
      <c r="P238" s="203">
        <v>69.675134247295034</v>
      </c>
      <c r="Q238" s="203">
        <v>59.260474325009</v>
      </c>
      <c r="R238" s="203">
        <v>55.758368039816766</v>
      </c>
      <c r="S238" s="203">
        <v>48.219645209232084</v>
      </c>
      <c r="T238" s="203">
        <v>47.860773652621994</v>
      </c>
      <c r="U238" s="203">
        <v>47.860747803638574</v>
      </c>
      <c r="V238" s="203">
        <v>47.860716942902229</v>
      </c>
      <c r="W238" s="203">
        <v>47.860716942902229</v>
      </c>
      <c r="X238" s="203">
        <v>47.860672942377832</v>
      </c>
      <c r="Y238" s="203">
        <v>47.860646027209526</v>
      </c>
      <c r="Z238" s="203">
        <v>47.860622649443847</v>
      </c>
      <c r="AA238" s="203">
        <v>46.637786154712472</v>
      </c>
      <c r="AB238" s="16">
        <f>AB237*(1+Assumptions!$L$13/12)</f>
        <v>1.2740472982991946</v>
      </c>
      <c r="AC238" s="16">
        <f t="shared" si="94"/>
        <v>0</v>
      </c>
      <c r="AD238" s="18">
        <f t="shared" si="95"/>
        <v>744.38367199801439</v>
      </c>
      <c r="AE238" s="18">
        <f t="shared" si="95"/>
        <v>2070.1083333808137</v>
      </c>
      <c r="AF238" s="5">
        <f>IF(Assumptions!D$30=1,0,1)</f>
        <v>1</v>
      </c>
      <c r="AG238" s="73">
        <f t="shared" si="96"/>
        <v>1.2073</v>
      </c>
      <c r="AH238" s="16">
        <f>Assumptions!$E$30*Assumptions!H23</f>
        <v>5.7533713192924578</v>
      </c>
      <c r="AI238" s="16">
        <f>Assumptions!$F$30*Assumptions!I23</f>
        <v>5.1779571431111169</v>
      </c>
      <c r="AJ238" s="16">
        <f t="shared" si="97"/>
        <v>2.4399542510000001</v>
      </c>
      <c r="AK238" s="16">
        <f t="shared" si="97"/>
        <v>7.2000000000000008E-2</v>
      </c>
      <c r="AL238" s="4"/>
    </row>
    <row r="239" spans="1:38" x14ac:dyDescent="0.2">
      <c r="A239" s="1">
        <f t="shared" si="85"/>
        <v>43475.076000000292</v>
      </c>
      <c r="B239" s="16">
        <f t="shared" si="83"/>
        <v>1.2136</v>
      </c>
      <c r="C239" s="17">
        <f t="shared" si="80"/>
        <v>12.1918256</v>
      </c>
      <c r="D239" s="16">
        <f t="shared" si="84"/>
        <v>1.2761707104630267</v>
      </c>
      <c r="E239" s="16">
        <f t="shared" si="81"/>
        <v>9.458955503686898</v>
      </c>
      <c r="F239" s="16">
        <f t="shared" si="82"/>
        <v>0.40761221732930991</v>
      </c>
      <c r="G239" s="19" t="str">
        <f>IF('Peak Revenue'!$A$1="BL","-",SUM(C239:F239))</f>
        <v>-</v>
      </c>
      <c r="H239" s="203">
        <v>137.48007501945068</v>
      </c>
      <c r="I239" s="203">
        <v>130.65223220901746</v>
      </c>
      <c r="J239" s="203">
        <v>124.51407791382694</v>
      </c>
      <c r="K239" s="203">
        <v>116.14200761440092</v>
      </c>
      <c r="L239" s="203">
        <v>114.9234947725854</v>
      </c>
      <c r="M239" s="203">
        <v>105.03443554248383</v>
      </c>
      <c r="N239" s="203">
        <v>76.523757736492996</v>
      </c>
      <c r="O239" s="203">
        <v>63.625863878712209</v>
      </c>
      <c r="P239" s="203">
        <v>57.685027782976796</v>
      </c>
      <c r="Q239" s="203">
        <v>54.210654473474726</v>
      </c>
      <c r="R239" s="203">
        <v>54.210654473474726</v>
      </c>
      <c r="S239" s="203">
        <v>54.210654473474726</v>
      </c>
      <c r="T239" s="203">
        <v>54.210654473474726</v>
      </c>
      <c r="U239" s="203">
        <v>54.210654473474726</v>
      </c>
      <c r="V239" s="203">
        <v>54.210654473474726</v>
      </c>
      <c r="W239" s="203">
        <v>54.210633084894596</v>
      </c>
      <c r="X239" s="203">
        <v>54.210599340452724</v>
      </c>
      <c r="Y239" s="203">
        <v>54.210412904687082</v>
      </c>
      <c r="Z239" s="203">
        <v>54.209980291793656</v>
      </c>
      <c r="AA239" s="203">
        <v>49.774685118622486</v>
      </c>
      <c r="AB239" s="16">
        <f>AB238*(1+Assumptions!$L$13/12)</f>
        <v>1.2761707104630267</v>
      </c>
      <c r="AC239" s="16">
        <f>VLOOKUP($C$1,EnvVOM,22)</f>
        <v>0</v>
      </c>
      <c r="AD239" s="18">
        <f>Assumptions!B31</f>
        <v>771.78853165204816</v>
      </c>
      <c r="AE239" s="18">
        <f>Assumptions!C31</f>
        <v>1127.0716297512272</v>
      </c>
      <c r="AF239" s="5">
        <f>IF(Assumptions!D$31=1,0,1)</f>
        <v>1</v>
      </c>
      <c r="AG239" s="73">
        <f>VLOOKUP($C$1,Coal,22)</f>
        <v>1.2136</v>
      </c>
      <c r="AH239" s="16">
        <f>Assumptions!$E$31*Assumptions!H12</f>
        <v>5.587976144885058</v>
      </c>
      <c r="AI239" s="16">
        <f>Assumptions!$F$31*Assumptions!I12</f>
        <v>5.2508532996416486</v>
      </c>
      <c r="AJ239" s="16">
        <f>VLOOKUP($C$1,SO2Rate,22)</f>
        <v>2.4399542510000001</v>
      </c>
      <c r="AK239" s="16">
        <f>VLOOKUP($C$1,NOxRate,22)</f>
        <v>7.2000000000000008E-2</v>
      </c>
      <c r="AL239" s="4"/>
    </row>
    <row r="240" spans="1:38" x14ac:dyDescent="0.2">
      <c r="A240" s="1">
        <f t="shared" si="85"/>
        <v>43505.493000000293</v>
      </c>
      <c r="B240" s="16">
        <f t="shared" si="83"/>
        <v>1.2136</v>
      </c>
      <c r="C240" s="17">
        <f t="shared" si="80"/>
        <v>12.1918256</v>
      </c>
      <c r="D240" s="16">
        <f t="shared" si="84"/>
        <v>1.2782976616471318</v>
      </c>
      <c r="E240" s="16">
        <f t="shared" si="81"/>
        <v>9.458955503686898</v>
      </c>
      <c r="F240" s="16">
        <f t="shared" si="82"/>
        <v>0.40761221732930991</v>
      </c>
      <c r="G240" s="19" t="str">
        <f>IF('Peak Revenue'!$A$1="BL","-",SUM(C240:F240))</f>
        <v>-</v>
      </c>
      <c r="H240" s="203">
        <v>156.12832920678761</v>
      </c>
      <c r="I240" s="203">
        <v>150.95206229097647</v>
      </c>
      <c r="J240" s="203">
        <v>147.53833205828712</v>
      </c>
      <c r="K240" s="203">
        <v>122.40270524195691</v>
      </c>
      <c r="L240" s="203">
        <v>112.19288682794236</v>
      </c>
      <c r="M240" s="203">
        <v>105.4579153826638</v>
      </c>
      <c r="N240" s="203">
        <v>101.58376702167581</v>
      </c>
      <c r="O240" s="203">
        <v>78.430458132173243</v>
      </c>
      <c r="P240" s="203">
        <v>65.445326513214724</v>
      </c>
      <c r="Q240" s="203">
        <v>58.531521959164721</v>
      </c>
      <c r="R240" s="203">
        <v>55.85766013302559</v>
      </c>
      <c r="S240" s="203">
        <v>50.529702706200887</v>
      </c>
      <c r="T240" s="203">
        <v>50.052066491333612</v>
      </c>
      <c r="U240" s="203">
        <v>50.052066491333612</v>
      </c>
      <c r="V240" s="203">
        <v>50.052066491333612</v>
      </c>
      <c r="W240" s="203">
        <v>50.052066491333612</v>
      </c>
      <c r="X240" s="203">
        <v>50.051990813240117</v>
      </c>
      <c r="Y240" s="203">
        <v>50.050990043506154</v>
      </c>
      <c r="Z240" s="203">
        <v>50.050621858952475</v>
      </c>
      <c r="AA240" s="203">
        <v>48.62597920878698</v>
      </c>
      <c r="AB240" s="16">
        <f>AB239*(1+Assumptions!$L$13/12)</f>
        <v>1.2782976616471318</v>
      </c>
      <c r="AC240" s="16">
        <f>AC239</f>
        <v>0</v>
      </c>
      <c r="AD240" s="18">
        <f>AD239</f>
        <v>771.78853165204816</v>
      </c>
      <c r="AE240" s="18">
        <f>AE239</f>
        <v>1127.0716297512272</v>
      </c>
      <c r="AF240" s="5">
        <f>IF(Assumptions!D$31=1,0,1)</f>
        <v>1</v>
      </c>
      <c r="AG240" s="73">
        <f>AG239</f>
        <v>1.2136</v>
      </c>
      <c r="AH240" s="16">
        <f>Assumptions!$E$31*Assumptions!H13</f>
        <v>5.0083722362400653</v>
      </c>
      <c r="AI240" s="16">
        <f>Assumptions!$F$31*Assumptions!I13</f>
        <v>5.2022342876079302</v>
      </c>
      <c r="AJ240" s="16">
        <f>AJ239</f>
        <v>2.4399542510000001</v>
      </c>
      <c r="AK240" s="16">
        <f>AK239</f>
        <v>7.2000000000000008E-2</v>
      </c>
      <c r="AL240" s="4"/>
    </row>
    <row r="241" spans="1:38" x14ac:dyDescent="0.2">
      <c r="A241" s="1">
        <f t="shared" si="85"/>
        <v>43535.910000000295</v>
      </c>
      <c r="B241" s="16">
        <f t="shared" si="83"/>
        <v>1.2136</v>
      </c>
      <c r="C241" s="17">
        <f t="shared" si="80"/>
        <v>12.1918256</v>
      </c>
      <c r="D241" s="16">
        <f t="shared" si="84"/>
        <v>1.2804281577498771</v>
      </c>
      <c r="E241" s="16">
        <f t="shared" si="81"/>
        <v>9.458955503686898</v>
      </c>
      <c r="F241" s="16">
        <f t="shared" si="82"/>
        <v>0.40761221732930991</v>
      </c>
      <c r="G241" s="19" t="str">
        <f>IF('Peak Revenue'!$A$1="BL","-",SUM(C241:F241))</f>
        <v>-</v>
      </c>
      <c r="H241" s="203">
        <v>96.005147487974583</v>
      </c>
      <c r="I241" s="203">
        <v>92.965213391514382</v>
      </c>
      <c r="J241" s="203">
        <v>92.913888305059686</v>
      </c>
      <c r="K241" s="203">
        <v>92.376859891509952</v>
      </c>
      <c r="L241" s="203">
        <v>92.155424950353932</v>
      </c>
      <c r="M241" s="203">
        <v>83.272522074718935</v>
      </c>
      <c r="N241" s="203">
        <v>74.087319680632049</v>
      </c>
      <c r="O241" s="203">
        <v>69.801459024033392</v>
      </c>
      <c r="P241" s="203">
        <v>66.192570303711506</v>
      </c>
      <c r="Q241" s="203">
        <v>63.791828506592744</v>
      </c>
      <c r="R241" s="203">
        <v>60.759614986982356</v>
      </c>
      <c r="S241" s="203">
        <v>52.01111739733836</v>
      </c>
      <c r="T241" s="203">
        <v>47.174444262956165</v>
      </c>
      <c r="U241" s="203">
        <v>44.534463871293823</v>
      </c>
      <c r="V241" s="203">
        <v>43.969068915549734</v>
      </c>
      <c r="W241" s="203">
        <v>43.969068915549734</v>
      </c>
      <c r="X241" s="203">
        <v>43.969068915549734</v>
      </c>
      <c r="Y241" s="203">
        <v>43.96903147650923</v>
      </c>
      <c r="Z241" s="203">
        <v>43.969026136759005</v>
      </c>
      <c r="AA241" s="203">
        <v>43.967873584197932</v>
      </c>
      <c r="AB241" s="16">
        <f>AB240*(1+Assumptions!$L$13/12)</f>
        <v>1.2804281577498771</v>
      </c>
      <c r="AC241" s="16">
        <f t="shared" ref="AC241:AC250" si="98">AC240</f>
        <v>0</v>
      </c>
      <c r="AD241" s="18">
        <f t="shared" ref="AD241:AE250" si="99">AD240</f>
        <v>771.78853165204816</v>
      </c>
      <c r="AE241" s="18">
        <f t="shared" si="99"/>
        <v>1127.0716297512272</v>
      </c>
      <c r="AF241" s="5">
        <f>IF(Assumptions!D$31=1,0,1)</f>
        <v>1</v>
      </c>
      <c r="AG241" s="73">
        <f t="shared" ref="AG241:AG250" si="100">AG240</f>
        <v>1.2136</v>
      </c>
      <c r="AH241" s="16">
        <f>Assumptions!$E$31*Assumptions!H14</f>
        <v>4.9241562837019046</v>
      </c>
      <c r="AI241" s="16">
        <f>Assumptions!$F$31*Assumptions!I14</f>
        <v>5.0077582394730538</v>
      </c>
      <c r="AJ241" s="16">
        <f t="shared" ref="AJ241:AK250" si="101">AJ240</f>
        <v>2.4399542510000001</v>
      </c>
      <c r="AK241" s="16">
        <f t="shared" si="101"/>
        <v>7.2000000000000008E-2</v>
      </c>
      <c r="AL241" s="4"/>
    </row>
    <row r="242" spans="1:38" x14ac:dyDescent="0.2">
      <c r="A242" s="1">
        <f t="shared" si="85"/>
        <v>43566.327000000296</v>
      </c>
      <c r="B242" s="16">
        <f t="shared" si="83"/>
        <v>1.2136</v>
      </c>
      <c r="C242" s="17">
        <f t="shared" si="80"/>
        <v>12.1918256</v>
      </c>
      <c r="D242" s="16">
        <f t="shared" si="84"/>
        <v>1.2825622046794602</v>
      </c>
      <c r="E242" s="16">
        <f t="shared" si="81"/>
        <v>9.458955503686898</v>
      </c>
      <c r="F242" s="16">
        <f t="shared" si="82"/>
        <v>0.40761221732930991</v>
      </c>
      <c r="G242" s="19" t="str">
        <f>IF('Peak Revenue'!$A$1="BL","-",SUM(C242:F242))</f>
        <v>-</v>
      </c>
      <c r="H242" s="203">
        <v>152.65151441529184</v>
      </c>
      <c r="I242" s="203">
        <v>149.33531242019586</v>
      </c>
      <c r="J242" s="203">
        <v>133.1300796544013</v>
      </c>
      <c r="K242" s="203">
        <v>109.80369603495345</v>
      </c>
      <c r="L242" s="203">
        <v>88.509517580272231</v>
      </c>
      <c r="M242" s="203">
        <v>67.093983242367088</v>
      </c>
      <c r="N242" s="203">
        <v>62.292566491595345</v>
      </c>
      <c r="O242" s="203">
        <v>59.57805284686269</v>
      </c>
      <c r="P242" s="203">
        <v>59.312766174952209</v>
      </c>
      <c r="Q242" s="203">
        <v>54.052132081022918</v>
      </c>
      <c r="R242" s="203">
        <v>49.417010625461437</v>
      </c>
      <c r="S242" s="203">
        <v>46.745304940842921</v>
      </c>
      <c r="T242" s="203">
        <v>44.875432217551186</v>
      </c>
      <c r="U242" s="203">
        <v>42.887952034704306</v>
      </c>
      <c r="V242" s="203">
        <v>42.27907123702569</v>
      </c>
      <c r="W242" s="203">
        <v>40.284743805692237</v>
      </c>
      <c r="X242" s="203">
        <v>35.166417761755419</v>
      </c>
      <c r="Y242" s="203">
        <v>30.434435664484294</v>
      </c>
      <c r="Z242" s="203">
        <v>30.0351802498495</v>
      </c>
      <c r="AA242" s="203">
        <v>30.029437349840965</v>
      </c>
      <c r="AB242" s="16">
        <f>AB241*(1+Assumptions!$L$13/12)</f>
        <v>1.2825622046794602</v>
      </c>
      <c r="AC242" s="16">
        <f t="shared" si="98"/>
        <v>0</v>
      </c>
      <c r="AD242" s="18">
        <f t="shared" si="99"/>
        <v>771.78853165204816</v>
      </c>
      <c r="AE242" s="18">
        <f t="shared" si="99"/>
        <v>1127.0716297512272</v>
      </c>
      <c r="AF242" s="5">
        <f>IF(Assumptions!D$31=1,0,1)</f>
        <v>1</v>
      </c>
      <c r="AG242" s="73">
        <f t="shared" si="100"/>
        <v>1.2136</v>
      </c>
      <c r="AH242" s="16">
        <f>Assumptions!$E$31*Assumptions!H15</f>
        <v>4.6814161852095566</v>
      </c>
      <c r="AI242" s="16">
        <f>Assumptions!$F$31*Assumptions!I15</f>
        <v>4.8132821913381774</v>
      </c>
      <c r="AJ242" s="16">
        <f t="shared" si="101"/>
        <v>2.4399542510000001</v>
      </c>
      <c r="AK242" s="16">
        <f t="shared" si="101"/>
        <v>7.2000000000000008E-2</v>
      </c>
      <c r="AL242" s="4"/>
    </row>
    <row r="243" spans="1:38" x14ac:dyDescent="0.2">
      <c r="A243" s="1">
        <f t="shared" si="85"/>
        <v>43596.744000000297</v>
      </c>
      <c r="B243" s="16">
        <f t="shared" si="83"/>
        <v>1.2136</v>
      </c>
      <c r="C243" s="17">
        <f t="shared" si="80"/>
        <v>12.1918256</v>
      </c>
      <c r="D243" s="16">
        <f t="shared" si="84"/>
        <v>1.2846998083539261</v>
      </c>
      <c r="E243" s="16">
        <f t="shared" si="81"/>
        <v>9.458955503686898</v>
      </c>
      <c r="F243" s="16">
        <f t="shared" si="82"/>
        <v>0.40761221732930991</v>
      </c>
      <c r="G243" s="19" t="str">
        <f>IF('Peak Revenue'!$A$1="BL","-",SUM(C243:F243))</f>
        <v>-</v>
      </c>
      <c r="H243" s="203">
        <v>89.722873273484112</v>
      </c>
      <c r="I243" s="203">
        <v>83.453561867762602</v>
      </c>
      <c r="J243" s="203">
        <v>82.699011082607583</v>
      </c>
      <c r="K243" s="203">
        <v>78.093990767871134</v>
      </c>
      <c r="L243" s="203">
        <v>67.038374575983681</v>
      </c>
      <c r="M243" s="203">
        <v>59.777231699215086</v>
      </c>
      <c r="N243" s="203">
        <v>57.224085889836843</v>
      </c>
      <c r="O243" s="203">
        <v>55.807645881681594</v>
      </c>
      <c r="P243" s="203">
        <v>54.14660420714479</v>
      </c>
      <c r="Q243" s="203">
        <v>52.201597844644134</v>
      </c>
      <c r="R243" s="203">
        <v>49.986535224176365</v>
      </c>
      <c r="S243" s="203">
        <v>46.80773740881628</v>
      </c>
      <c r="T243" s="203">
        <v>46.451939456707393</v>
      </c>
      <c r="U243" s="203">
        <v>44.343300393932637</v>
      </c>
      <c r="V243" s="203">
        <v>41.516630714157458</v>
      </c>
      <c r="W243" s="203">
        <v>40.57070794854527</v>
      </c>
      <c r="X243" s="203">
        <v>40.29987449409127</v>
      </c>
      <c r="Y243" s="203">
        <v>40.171790880366892</v>
      </c>
      <c r="Z243" s="203">
        <v>40.171790880366892</v>
      </c>
      <c r="AA243" s="203">
        <v>40.16375245225889</v>
      </c>
      <c r="AB243" s="16">
        <f>AB242*(1+Assumptions!$L$13/12)</f>
        <v>1.2846998083539261</v>
      </c>
      <c r="AC243" s="16">
        <f t="shared" si="98"/>
        <v>0</v>
      </c>
      <c r="AD243" s="18">
        <f t="shared" si="99"/>
        <v>771.78853165204816</v>
      </c>
      <c r="AE243" s="18">
        <f t="shared" si="99"/>
        <v>1127.0716297512272</v>
      </c>
      <c r="AF243" s="5">
        <v>1</v>
      </c>
      <c r="AG243" s="73">
        <f t="shared" si="100"/>
        <v>1.2136</v>
      </c>
      <c r="AH243" s="16">
        <f>Assumptions!$E$31*Assumptions!H16</f>
        <v>4.9291101632629726</v>
      </c>
      <c r="AI243" s="16">
        <f>Assumptions!$F$31*Assumptions!I16</f>
        <v>4.6188061432033019</v>
      </c>
      <c r="AJ243" s="16">
        <f t="shared" si="101"/>
        <v>2.4399542510000001</v>
      </c>
      <c r="AK243" s="16">
        <f t="shared" si="101"/>
        <v>7.2000000000000008E-2</v>
      </c>
      <c r="AL243" s="4"/>
    </row>
    <row r="244" spans="1:38" x14ac:dyDescent="0.2">
      <c r="A244" s="1">
        <f t="shared" si="85"/>
        <v>43627.161000000298</v>
      </c>
      <c r="B244" s="16">
        <f t="shared" si="83"/>
        <v>1.2136</v>
      </c>
      <c r="C244" s="17">
        <f t="shared" si="80"/>
        <v>12.1918256</v>
      </c>
      <c r="D244" s="16">
        <f t="shared" si="84"/>
        <v>1.2868409747011826</v>
      </c>
      <c r="E244" s="16">
        <f t="shared" si="81"/>
        <v>9.458955503686898</v>
      </c>
      <c r="F244" s="16">
        <f t="shared" si="82"/>
        <v>0.40761221732930991</v>
      </c>
      <c r="G244" s="19" t="str">
        <f>IF('Peak Revenue'!$A$1="BL","-",SUM(C244:F244))</f>
        <v>-</v>
      </c>
      <c r="H244" s="203">
        <v>177.42149864509923</v>
      </c>
      <c r="I244" s="203">
        <v>165.94495242045633</v>
      </c>
      <c r="J244" s="203">
        <v>156.1955955047442</v>
      </c>
      <c r="K244" s="203">
        <v>141.61392138128627</v>
      </c>
      <c r="L244" s="203">
        <v>89.243634437871947</v>
      </c>
      <c r="M244" s="203">
        <v>84.151932916179987</v>
      </c>
      <c r="N244" s="203">
        <v>77.266142445846</v>
      </c>
      <c r="O244" s="203">
        <v>73.345045263803144</v>
      </c>
      <c r="P244" s="203">
        <v>67.417380584849013</v>
      </c>
      <c r="Q244" s="203">
        <v>60.026125212760959</v>
      </c>
      <c r="R244" s="203">
        <v>53.154236218168442</v>
      </c>
      <c r="S244" s="203">
        <v>46.145140144797821</v>
      </c>
      <c r="T244" s="203">
        <v>42.928271786537472</v>
      </c>
      <c r="U244" s="203">
        <v>41.781555615435991</v>
      </c>
      <c r="V244" s="203">
        <v>41.160460215243326</v>
      </c>
      <c r="W244" s="203">
        <v>40.612865513796564</v>
      </c>
      <c r="X244" s="203">
        <v>40.276236519560356</v>
      </c>
      <c r="Y244" s="203">
        <v>39.84848235820867</v>
      </c>
      <c r="Z244" s="203">
        <v>39.492529962457027</v>
      </c>
      <c r="AA244" s="203">
        <v>38.440511016249289</v>
      </c>
      <c r="AB244" s="16">
        <f>AB243*(1+Assumptions!$L$13/12)</f>
        <v>1.2868409747011826</v>
      </c>
      <c r="AC244" s="16">
        <f t="shared" si="98"/>
        <v>0</v>
      </c>
      <c r="AD244" s="18">
        <f t="shared" si="99"/>
        <v>771.78853165204816</v>
      </c>
      <c r="AE244" s="18">
        <f t="shared" si="99"/>
        <v>1127.0716297512272</v>
      </c>
      <c r="AF244" s="5">
        <v>1</v>
      </c>
      <c r="AG244" s="73">
        <f t="shared" si="100"/>
        <v>1.2136</v>
      </c>
      <c r="AH244" s="16">
        <f>Assumptions!$E$31*Assumptions!H17</f>
        <v>4.6962778238927614</v>
      </c>
      <c r="AI244" s="16">
        <f>Assumptions!$F$31*Assumptions!I17</f>
        <v>4.6188061432033019</v>
      </c>
      <c r="AJ244" s="16">
        <f t="shared" si="101"/>
        <v>2.4399542510000001</v>
      </c>
      <c r="AK244" s="16">
        <f t="shared" si="101"/>
        <v>7.2000000000000008E-2</v>
      </c>
      <c r="AL244" s="4"/>
    </row>
    <row r="245" spans="1:38" x14ac:dyDescent="0.2">
      <c r="A245" s="1">
        <f t="shared" si="85"/>
        <v>43657.5780000003</v>
      </c>
      <c r="B245" s="16">
        <f t="shared" si="83"/>
        <v>1.2136</v>
      </c>
      <c r="C245" s="17">
        <f t="shared" si="80"/>
        <v>12.1918256</v>
      </c>
      <c r="D245" s="16">
        <f t="shared" si="84"/>
        <v>1.288985709659018</v>
      </c>
      <c r="E245" s="16">
        <f t="shared" si="81"/>
        <v>9.458955503686898</v>
      </c>
      <c r="F245" s="16">
        <f t="shared" si="82"/>
        <v>0.40761221732930991</v>
      </c>
      <c r="G245" s="19" t="str">
        <f>IF('Peak Revenue'!$A$1="BL","-",SUM(C245:F245))</f>
        <v>-</v>
      </c>
      <c r="H245" s="203">
        <v>291.20815794885021</v>
      </c>
      <c r="I245" s="203">
        <v>219.11837943984582</v>
      </c>
      <c r="J245" s="203">
        <v>202.55112622194957</v>
      </c>
      <c r="K245" s="203">
        <v>186.45655927112952</v>
      </c>
      <c r="L245" s="203">
        <v>172.73045948922046</v>
      </c>
      <c r="M245" s="203">
        <v>158.94780560374622</v>
      </c>
      <c r="N245" s="203">
        <v>146.94670180902426</v>
      </c>
      <c r="O245" s="203">
        <v>95.09740127266663</v>
      </c>
      <c r="P245" s="203">
        <v>81.082160637327007</v>
      </c>
      <c r="Q245" s="203">
        <v>73.184356333703505</v>
      </c>
      <c r="R245" s="203">
        <v>64.540800816084158</v>
      </c>
      <c r="S245" s="203">
        <v>48.9959220763091</v>
      </c>
      <c r="T245" s="203">
        <v>41.986302793920238</v>
      </c>
      <c r="U245" s="203">
        <v>41.018016198778241</v>
      </c>
      <c r="V245" s="203">
        <v>39.739763527119365</v>
      </c>
      <c r="W245" s="203">
        <v>37.92162234517577</v>
      </c>
      <c r="X245" s="203">
        <v>36.584895408344259</v>
      </c>
      <c r="Y245" s="203">
        <v>36.061607850512829</v>
      </c>
      <c r="Z245" s="203">
        <v>35.923370535701331</v>
      </c>
      <c r="AA245" s="203">
        <v>35.665653833632646</v>
      </c>
      <c r="AB245" s="16">
        <f>AB244*(1+Assumptions!$L$13/12)</f>
        <v>1.288985709659018</v>
      </c>
      <c r="AC245" s="16">
        <f t="shared" si="98"/>
        <v>0</v>
      </c>
      <c r="AD245" s="18">
        <f t="shared" si="99"/>
        <v>771.78853165204816</v>
      </c>
      <c r="AE245" s="18">
        <f t="shared" si="99"/>
        <v>1127.0716297512272</v>
      </c>
      <c r="AF245" s="5">
        <v>1</v>
      </c>
      <c r="AG245" s="73">
        <f t="shared" si="100"/>
        <v>1.2136</v>
      </c>
      <c r="AH245" s="16">
        <f>Assumptions!$E$31*Assumptions!H18</f>
        <v>4.6814161852095566</v>
      </c>
      <c r="AI245" s="16">
        <f>Assumptions!$F$31*Assumptions!I18</f>
        <v>4.6188061432033019</v>
      </c>
      <c r="AJ245" s="16">
        <f t="shared" si="101"/>
        <v>2.4399542510000001</v>
      </c>
      <c r="AK245" s="16">
        <f t="shared" si="101"/>
        <v>7.2000000000000008E-2</v>
      </c>
      <c r="AL245" s="4"/>
    </row>
    <row r="246" spans="1:38" x14ac:dyDescent="0.2">
      <c r="A246" s="1">
        <f t="shared" si="85"/>
        <v>43687.995000000301</v>
      </c>
      <c r="B246" s="16">
        <f t="shared" si="83"/>
        <v>1.2136</v>
      </c>
      <c r="C246" s="17">
        <f t="shared" si="80"/>
        <v>12.1918256</v>
      </c>
      <c r="D246" s="16">
        <f t="shared" si="84"/>
        <v>1.2911340191751164</v>
      </c>
      <c r="E246" s="16">
        <f t="shared" si="81"/>
        <v>9.458955503686898</v>
      </c>
      <c r="F246" s="16">
        <f t="shared" si="82"/>
        <v>0.40761221732930991</v>
      </c>
      <c r="G246" s="19" t="str">
        <f>IF('Peak Revenue'!$A$1="BL","-",SUM(C246:F246))</f>
        <v>-</v>
      </c>
      <c r="H246" s="203">
        <v>290.54329184832949</v>
      </c>
      <c r="I246" s="203">
        <v>211.70225101992577</v>
      </c>
      <c r="J246" s="203">
        <v>195.40835581143116</v>
      </c>
      <c r="K246" s="203">
        <v>176.94090533883349</v>
      </c>
      <c r="L246" s="203">
        <v>162.38243440232893</v>
      </c>
      <c r="M246" s="203">
        <v>149.75522206175418</v>
      </c>
      <c r="N246" s="203">
        <v>116.22598476522433</v>
      </c>
      <c r="O246" s="203">
        <v>100.41785928853767</v>
      </c>
      <c r="P246" s="203">
        <v>89.356263133984442</v>
      </c>
      <c r="Q246" s="203">
        <v>64.571914377159388</v>
      </c>
      <c r="R246" s="203">
        <v>55.162264325413176</v>
      </c>
      <c r="S246" s="203">
        <v>51.208871968441215</v>
      </c>
      <c r="T246" s="203">
        <v>48.708806774000138</v>
      </c>
      <c r="U246" s="203">
        <v>48.367449167776918</v>
      </c>
      <c r="V246" s="203">
        <v>48.367449167776918</v>
      </c>
      <c r="W246" s="203">
        <v>47.520324230988862</v>
      </c>
      <c r="X246" s="203">
        <v>47.157382531424858</v>
      </c>
      <c r="Y246" s="203">
        <v>47.157302175642016</v>
      </c>
      <c r="Z246" s="203">
        <v>47.157282962078334</v>
      </c>
      <c r="AA246" s="203">
        <v>38.711454953507911</v>
      </c>
      <c r="AB246" s="16">
        <f>AB245*(1+Assumptions!$L$13/12)</f>
        <v>1.2911340191751164</v>
      </c>
      <c r="AC246" s="16">
        <f t="shared" si="98"/>
        <v>0</v>
      </c>
      <c r="AD246" s="18">
        <f t="shared" si="99"/>
        <v>771.78853165204816</v>
      </c>
      <c r="AE246" s="18">
        <f t="shared" si="99"/>
        <v>1127.0716297512272</v>
      </c>
      <c r="AF246" s="5">
        <v>1</v>
      </c>
      <c r="AG246" s="73">
        <f t="shared" si="100"/>
        <v>1.2136</v>
      </c>
      <c r="AH246" s="16">
        <f>Assumptions!$E$31*Assumptions!H19</f>
        <v>4.4386760867172095</v>
      </c>
      <c r="AI246" s="16">
        <f>Assumptions!$F$31*Assumptions!I19</f>
        <v>4.6188061432033019</v>
      </c>
      <c r="AJ246" s="16">
        <f t="shared" si="101"/>
        <v>2.4399542510000001</v>
      </c>
      <c r="AK246" s="16">
        <f t="shared" si="101"/>
        <v>7.2000000000000008E-2</v>
      </c>
      <c r="AL246" s="4"/>
    </row>
    <row r="247" spans="1:38" x14ac:dyDescent="0.2">
      <c r="A247" s="1">
        <f t="shared" si="85"/>
        <v>43718.412000000302</v>
      </c>
      <c r="B247" s="16">
        <f t="shared" si="83"/>
        <v>1.2136</v>
      </c>
      <c r="C247" s="17">
        <f t="shared" si="80"/>
        <v>12.1918256</v>
      </c>
      <c r="D247" s="16">
        <f t="shared" si="84"/>
        <v>1.293285909207075</v>
      </c>
      <c r="E247" s="16">
        <f t="shared" si="81"/>
        <v>9.458955503686898</v>
      </c>
      <c r="F247" s="16">
        <f t="shared" si="82"/>
        <v>0.40761221732930991</v>
      </c>
      <c r="G247" s="19" t="str">
        <f>IF('Peak Revenue'!$A$1="BL","-",SUM(C247:F247))</f>
        <v>-</v>
      </c>
      <c r="H247" s="203">
        <v>165.1543008163159</v>
      </c>
      <c r="I247" s="203">
        <v>154.49925736954691</v>
      </c>
      <c r="J247" s="203">
        <v>148.63714327578472</v>
      </c>
      <c r="K247" s="203">
        <v>115.80203521973215</v>
      </c>
      <c r="L247" s="203">
        <v>95.511635432012412</v>
      </c>
      <c r="M247" s="203">
        <v>88.113104405066409</v>
      </c>
      <c r="N247" s="203">
        <v>75.348463473319981</v>
      </c>
      <c r="O247" s="203">
        <v>58.06334983048847</v>
      </c>
      <c r="P247" s="203">
        <v>53.628522074507501</v>
      </c>
      <c r="Q247" s="203">
        <v>49.156357369937226</v>
      </c>
      <c r="R247" s="203">
        <v>44.801889106886954</v>
      </c>
      <c r="S247" s="203">
        <v>43.495009673221141</v>
      </c>
      <c r="T247" s="203">
        <v>42.742895098736106</v>
      </c>
      <c r="U247" s="203">
        <v>42.408359309111503</v>
      </c>
      <c r="V247" s="203">
        <v>42.335614935221145</v>
      </c>
      <c r="W247" s="203">
        <v>42.335606339853847</v>
      </c>
      <c r="X247" s="203">
        <v>42.335606339853847</v>
      </c>
      <c r="Y247" s="203">
        <v>42.335309125754712</v>
      </c>
      <c r="Z247" s="203">
        <v>42.335244936486333</v>
      </c>
      <c r="AA247" s="203">
        <v>40.163551675968165</v>
      </c>
      <c r="AB247" s="16">
        <f>AB246*(1+Assumptions!$L$13/12)</f>
        <v>1.293285909207075</v>
      </c>
      <c r="AC247" s="16">
        <f t="shared" si="98"/>
        <v>0</v>
      </c>
      <c r="AD247" s="18">
        <f t="shared" si="99"/>
        <v>771.78853165204816</v>
      </c>
      <c r="AE247" s="18">
        <f t="shared" si="99"/>
        <v>1127.0716297512272</v>
      </c>
      <c r="AF247" s="5">
        <v>1</v>
      </c>
      <c r="AG247" s="73">
        <f t="shared" si="100"/>
        <v>1.2136</v>
      </c>
      <c r="AH247" s="16">
        <f>Assumptions!$E$31*Assumptions!H20</f>
        <v>4.4238144480340047</v>
      </c>
      <c r="AI247" s="16">
        <f>Assumptions!$F$31*Assumptions!I20</f>
        <v>4.6188061432033019</v>
      </c>
      <c r="AJ247" s="16">
        <f t="shared" si="101"/>
        <v>2.4399542510000001</v>
      </c>
      <c r="AK247" s="16">
        <f t="shared" si="101"/>
        <v>7.2000000000000008E-2</v>
      </c>
      <c r="AL247" s="4"/>
    </row>
    <row r="248" spans="1:38" x14ac:dyDescent="0.2">
      <c r="A248" s="1">
        <f t="shared" si="85"/>
        <v>43748.829000000303</v>
      </c>
      <c r="B248" s="16">
        <f t="shared" si="83"/>
        <v>1.2136</v>
      </c>
      <c r="C248" s="17">
        <f t="shared" si="80"/>
        <v>12.1918256</v>
      </c>
      <c r="D248" s="16">
        <f t="shared" si="84"/>
        <v>1.2954413857224201</v>
      </c>
      <c r="E248" s="16">
        <f t="shared" si="81"/>
        <v>9.458955503686898</v>
      </c>
      <c r="F248" s="16">
        <f t="shared" si="82"/>
        <v>0.40761221732930991</v>
      </c>
      <c r="G248" s="19" t="str">
        <f>IF('Peak Revenue'!$A$1="BL","-",SUM(C248:F248))</f>
        <v>-</v>
      </c>
      <c r="H248" s="203">
        <v>129.0285531767841</v>
      </c>
      <c r="I248" s="203">
        <v>106.28808225961535</v>
      </c>
      <c r="J248" s="203">
        <v>100.31453045313569</v>
      </c>
      <c r="K248" s="203">
        <v>93.34793520849874</v>
      </c>
      <c r="L248" s="203">
        <v>89.631933326847715</v>
      </c>
      <c r="M248" s="203">
        <v>89.334118702428327</v>
      </c>
      <c r="N248" s="203">
        <v>70.835629073069043</v>
      </c>
      <c r="O248" s="203">
        <v>60.73081858497229</v>
      </c>
      <c r="P248" s="203">
        <v>50.798566753100275</v>
      </c>
      <c r="Q248" s="203">
        <v>50.137031107652113</v>
      </c>
      <c r="R248" s="203">
        <v>47.983376013797837</v>
      </c>
      <c r="S248" s="203">
        <v>44.349616509217974</v>
      </c>
      <c r="T248" s="203">
        <v>44.349518929684322</v>
      </c>
      <c r="U248" s="203">
        <v>44.349518929684322</v>
      </c>
      <c r="V248" s="203">
        <v>44.349518929684322</v>
      </c>
      <c r="W248" s="203">
        <v>44.349518929684322</v>
      </c>
      <c r="X248" s="203">
        <v>42.500022870280034</v>
      </c>
      <c r="Y248" s="203">
        <v>40.380173057319283</v>
      </c>
      <c r="Z248" s="203">
        <v>38.86843045053898</v>
      </c>
      <c r="AA248" s="203">
        <v>34.17423087644103</v>
      </c>
      <c r="AB248" s="16">
        <f>AB247*(1+Assumptions!$L$13/12)</f>
        <v>1.2954413857224201</v>
      </c>
      <c r="AC248" s="16">
        <f t="shared" si="98"/>
        <v>0</v>
      </c>
      <c r="AD248" s="18">
        <f t="shared" si="99"/>
        <v>771.78853165204816</v>
      </c>
      <c r="AE248" s="18">
        <f t="shared" si="99"/>
        <v>1127.0716297512272</v>
      </c>
      <c r="AF248" s="5">
        <f>IF(Assumptions!D$31=1,0,1)</f>
        <v>1</v>
      </c>
      <c r="AG248" s="73">
        <f t="shared" si="100"/>
        <v>1.2136</v>
      </c>
      <c r="AH248" s="16">
        <f>Assumptions!$E$31*Assumptions!H21</f>
        <v>4.899386885896563</v>
      </c>
      <c r="AI248" s="16">
        <f>Assumptions!$F$31*Assumptions!I21</f>
        <v>4.6188061432033019</v>
      </c>
      <c r="AJ248" s="16">
        <f t="shared" si="101"/>
        <v>2.4399542510000001</v>
      </c>
      <c r="AK248" s="16">
        <f t="shared" si="101"/>
        <v>7.2000000000000008E-2</v>
      </c>
      <c r="AL248" s="4"/>
    </row>
    <row r="249" spans="1:38" x14ac:dyDescent="0.2">
      <c r="A249" s="1">
        <f t="shared" si="85"/>
        <v>43779.246000000305</v>
      </c>
      <c r="B249" s="16">
        <f t="shared" si="83"/>
        <v>1.2136</v>
      </c>
      <c r="C249" s="17">
        <f t="shared" si="80"/>
        <v>12.1918256</v>
      </c>
      <c r="D249" s="16">
        <f t="shared" si="84"/>
        <v>1.2976004546986242</v>
      </c>
      <c r="E249" s="16">
        <f t="shared" si="81"/>
        <v>9.458955503686898</v>
      </c>
      <c r="F249" s="16">
        <f t="shared" si="82"/>
        <v>0.40761221732930991</v>
      </c>
      <c r="G249" s="19" t="str">
        <f>IF('Peak Revenue'!$A$1="BL","-",SUM(C249:F249))</f>
        <v>-</v>
      </c>
      <c r="H249" s="203">
        <v>122.97138042716911</v>
      </c>
      <c r="I249" s="203">
        <v>108.2254063033826</v>
      </c>
      <c r="J249" s="203">
        <v>104.41867889940234</v>
      </c>
      <c r="K249" s="203">
        <v>97.786459048206297</v>
      </c>
      <c r="L249" s="203">
        <v>97.134568734071649</v>
      </c>
      <c r="M249" s="203">
        <v>86.733857627457084</v>
      </c>
      <c r="N249" s="203">
        <v>71.272252074300255</v>
      </c>
      <c r="O249" s="203">
        <v>67.202703218923901</v>
      </c>
      <c r="P249" s="203">
        <v>60.822195630833917</v>
      </c>
      <c r="Q249" s="203">
        <v>50.492920469078406</v>
      </c>
      <c r="R249" s="203">
        <v>47.259942705656883</v>
      </c>
      <c r="S249" s="203">
        <v>46.80341979697441</v>
      </c>
      <c r="T249" s="203">
        <v>46.42032181968024</v>
      </c>
      <c r="U249" s="203">
        <v>46.416780709259228</v>
      </c>
      <c r="V249" s="203">
        <v>46.416773383165285</v>
      </c>
      <c r="W249" s="203">
        <v>46.416773383165285</v>
      </c>
      <c r="X249" s="203">
        <v>46.416499931437663</v>
      </c>
      <c r="Y249" s="203">
        <v>46.416410489400839</v>
      </c>
      <c r="Z249" s="203">
        <v>46.416410489400839</v>
      </c>
      <c r="AA249" s="203">
        <v>44.340616272354879</v>
      </c>
      <c r="AB249" s="16">
        <f>AB248*(1+Assumptions!$L$13/12)</f>
        <v>1.2976004546986242</v>
      </c>
      <c r="AC249" s="16">
        <f t="shared" si="98"/>
        <v>0</v>
      </c>
      <c r="AD249" s="18">
        <f t="shared" si="99"/>
        <v>771.78853165204816</v>
      </c>
      <c r="AE249" s="18">
        <f t="shared" si="99"/>
        <v>1127.0716297512272</v>
      </c>
      <c r="AF249" s="5">
        <f>IF(Assumptions!D$31=1,0,1)</f>
        <v>1</v>
      </c>
      <c r="AG249" s="73">
        <f t="shared" si="100"/>
        <v>1.2136</v>
      </c>
      <c r="AH249" s="16">
        <f>Assumptions!$E$31*Assumptions!H22</f>
        <v>5.3650515646369836</v>
      </c>
      <c r="AI249" s="16">
        <f>Assumptions!$F$31*Assumptions!I22</f>
        <v>5.0077582394730538</v>
      </c>
      <c r="AJ249" s="16">
        <f t="shared" si="101"/>
        <v>2.4399542510000001</v>
      </c>
      <c r="AK249" s="16">
        <f t="shared" si="101"/>
        <v>7.2000000000000008E-2</v>
      </c>
      <c r="AL249" s="4"/>
    </row>
    <row r="250" spans="1:38" x14ac:dyDescent="0.2">
      <c r="A250" s="1">
        <f t="shared" si="85"/>
        <v>43809.663000000306</v>
      </c>
      <c r="B250" s="16">
        <f t="shared" si="83"/>
        <v>1.2136</v>
      </c>
      <c r="C250" s="17">
        <f t="shared" si="80"/>
        <v>12.1918256</v>
      </c>
      <c r="D250" s="16">
        <f t="shared" si="84"/>
        <v>1.2997631221231218</v>
      </c>
      <c r="E250" s="16">
        <f t="shared" si="81"/>
        <v>9.458955503686898</v>
      </c>
      <c r="F250" s="16">
        <f t="shared" si="82"/>
        <v>0.40761221732930991</v>
      </c>
      <c r="G250" s="19" t="str">
        <f>IF('Peak Revenue'!$A$1="BL","-",SUM(C250:F250))</f>
        <v>-</v>
      </c>
      <c r="H250" s="203">
        <v>138.83704668642693</v>
      </c>
      <c r="I250" s="203">
        <v>124.76332264847295</v>
      </c>
      <c r="J250" s="203">
        <v>121.11902735291233</v>
      </c>
      <c r="K250" s="203">
        <v>112.99283766398025</v>
      </c>
      <c r="L250" s="203">
        <v>111.98641992437314</v>
      </c>
      <c r="M250" s="203">
        <v>105.23187550746306</v>
      </c>
      <c r="N250" s="203">
        <v>75.84299420046186</v>
      </c>
      <c r="O250" s="203">
        <v>70.053927444621664</v>
      </c>
      <c r="P250" s="203">
        <v>68.054370224126544</v>
      </c>
      <c r="Q250" s="203">
        <v>54.253223215833216</v>
      </c>
      <c r="R250" s="203">
        <v>53.29239564850694</v>
      </c>
      <c r="S250" s="203">
        <v>52.856396033679879</v>
      </c>
      <c r="T250" s="203">
        <v>52.856392717201359</v>
      </c>
      <c r="U250" s="203">
        <v>52.856381504944785</v>
      </c>
      <c r="V250" s="203">
        <v>52.856381504944785</v>
      </c>
      <c r="W250" s="203">
        <v>52.856345776586537</v>
      </c>
      <c r="X250" s="203">
        <v>52.856017863678595</v>
      </c>
      <c r="Y250" s="203">
        <v>52.856017863678595</v>
      </c>
      <c r="Z250" s="203">
        <v>52.856017863678595</v>
      </c>
      <c r="AA250" s="203">
        <v>48.631135961362496</v>
      </c>
      <c r="AB250" s="16">
        <f>AB249*(1+Assumptions!$L$13/12)</f>
        <v>1.2997631221231218</v>
      </c>
      <c r="AC250" s="16">
        <f t="shared" si="98"/>
        <v>0</v>
      </c>
      <c r="AD250" s="18">
        <f t="shared" si="99"/>
        <v>771.78853165204816</v>
      </c>
      <c r="AE250" s="18">
        <f t="shared" si="99"/>
        <v>1127.0716297512272</v>
      </c>
      <c r="AF250" s="5">
        <f>IF(Assumptions!D$31=1,0,1)</f>
        <v>1</v>
      </c>
      <c r="AG250" s="73">
        <f t="shared" si="100"/>
        <v>1.2136</v>
      </c>
      <c r="AH250" s="16">
        <f>Assumptions!$E$31*Assumptions!H23</f>
        <v>5.8059468455720635</v>
      </c>
      <c r="AI250" s="16">
        <f>Assumptions!$F$31*Assumptions!I23</f>
        <v>5.2508532996416486</v>
      </c>
      <c r="AJ250" s="16">
        <f t="shared" si="101"/>
        <v>2.4399542510000001</v>
      </c>
      <c r="AK250" s="16">
        <f t="shared" si="101"/>
        <v>7.2000000000000008E-2</v>
      </c>
      <c r="AL250" s="4"/>
    </row>
  </sheetData>
  <mergeCells count="1">
    <mergeCell ref="AL8:AP8"/>
  </mergeCell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249"/>
  <sheetViews>
    <sheetView workbookViewId="0">
      <pane xSplit="1" ySplit="8" topLeftCell="B9" activePane="bottomRight" state="frozen"/>
      <selection activeCell="IB7" sqref="IB7"/>
      <selection pane="topRight" activeCell="IB7" sqref="IB7"/>
      <selection pane="bottomLeft" activeCell="IB7" sqref="IB7"/>
      <selection pane="bottomRight" activeCell="B9" sqref="B9"/>
    </sheetView>
  </sheetViews>
  <sheetFormatPr defaultRowHeight="12.75" x14ac:dyDescent="0.2"/>
  <cols>
    <col min="1" max="1" width="8.140625" bestFit="1" customWidth="1"/>
    <col min="2" max="2" width="10.140625" bestFit="1" customWidth="1"/>
    <col min="3" max="3" width="12.5703125" bestFit="1" customWidth="1"/>
    <col min="4" max="4" width="12" bestFit="1" customWidth="1"/>
    <col min="5" max="5" width="11.42578125" bestFit="1" customWidth="1"/>
    <col min="6" max="6" width="10.140625" bestFit="1" customWidth="1"/>
    <col min="7" max="9" width="11.42578125" bestFit="1" customWidth="1"/>
    <col min="10" max="10" width="10.140625" bestFit="1" customWidth="1"/>
    <col min="11" max="20" width="10.7109375" bestFit="1" customWidth="1"/>
    <col min="21" max="21" width="11.42578125" bestFit="1" customWidth="1"/>
    <col min="22" max="24" width="12" bestFit="1" customWidth="1"/>
    <col min="25" max="25" width="14.85546875" bestFit="1" customWidth="1"/>
    <col min="26" max="26" width="13.42578125" style="215" bestFit="1" customWidth="1"/>
    <col min="27" max="27" width="14.42578125" style="102" bestFit="1" customWidth="1"/>
    <col min="28" max="28" width="11.85546875" style="102" bestFit="1" customWidth="1"/>
    <col min="29" max="30" width="13.42578125" style="102" bestFit="1" customWidth="1"/>
    <col min="31" max="31" width="14.42578125" style="102" bestFit="1" customWidth="1"/>
    <col min="32" max="32" width="11.85546875" style="102" bestFit="1" customWidth="1"/>
    <col min="33" max="33" width="13.42578125" style="102" bestFit="1" customWidth="1"/>
  </cols>
  <sheetData>
    <row r="1" spans="1:33" x14ac:dyDescent="0.2">
      <c r="A1" s="13" t="str">
        <f>IS!$C$2</f>
        <v>BL</v>
      </c>
    </row>
    <row r="2" spans="1:33" x14ac:dyDescent="0.2">
      <c r="A2" s="13"/>
    </row>
    <row r="3" spans="1:33" x14ac:dyDescent="0.2">
      <c r="A3" s="13"/>
    </row>
    <row r="4" spans="1:33" x14ac:dyDescent="0.2">
      <c r="A4" s="13"/>
    </row>
    <row r="5" spans="1:33" x14ac:dyDescent="0.2">
      <c r="A5" s="13"/>
    </row>
    <row r="6" spans="1:33" x14ac:dyDescent="0.2">
      <c r="Y6" s="3" t="s">
        <v>46</v>
      </c>
      <c r="Z6" s="103" t="s">
        <v>20</v>
      </c>
      <c r="AA6" s="103" t="s">
        <v>46</v>
      </c>
      <c r="AB6" s="103" t="s">
        <v>21</v>
      </c>
      <c r="AC6" s="103" t="s">
        <v>46</v>
      </c>
      <c r="AD6" s="103" t="s">
        <v>22</v>
      </c>
      <c r="AE6" s="103" t="s">
        <v>46</v>
      </c>
      <c r="AF6" s="103" t="s">
        <v>23</v>
      </c>
      <c r="AG6" s="103" t="s">
        <v>46</v>
      </c>
    </row>
    <row r="7" spans="1:33" x14ac:dyDescent="0.2">
      <c r="Y7" s="3"/>
      <c r="Z7" s="103"/>
      <c r="AA7" s="103"/>
      <c r="AB7" s="103"/>
      <c r="AC7" s="103"/>
      <c r="AD7" s="103"/>
      <c r="AE7" s="103"/>
      <c r="AF7" s="103"/>
      <c r="AG7" s="103"/>
    </row>
    <row r="8" spans="1:33" x14ac:dyDescent="0.2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16</v>
      </c>
      <c r="S8" s="3" t="s">
        <v>17</v>
      </c>
      <c r="T8" s="3" t="s">
        <v>18</v>
      </c>
      <c r="U8" s="3" t="s">
        <v>19</v>
      </c>
      <c r="V8" s="3" t="s">
        <v>184</v>
      </c>
      <c r="W8" s="3" t="s">
        <v>185</v>
      </c>
      <c r="X8" s="3" t="s">
        <v>186</v>
      </c>
      <c r="Y8" s="3" t="s">
        <v>27</v>
      </c>
      <c r="Z8" s="103" t="s">
        <v>25</v>
      </c>
      <c r="AA8" s="103" t="s">
        <v>20</v>
      </c>
      <c r="AB8" s="103" t="s">
        <v>25</v>
      </c>
      <c r="AC8" s="103" t="s">
        <v>21</v>
      </c>
      <c r="AD8" s="103" t="s">
        <v>25</v>
      </c>
      <c r="AE8" s="103" t="s">
        <v>22</v>
      </c>
      <c r="AF8" s="103" t="s">
        <v>25</v>
      </c>
      <c r="AG8" s="103" t="s">
        <v>23</v>
      </c>
    </row>
    <row r="9" spans="1:33" x14ac:dyDescent="0.2">
      <c r="W9" s="3" t="s">
        <v>27</v>
      </c>
      <c r="X9" s="3" t="s">
        <v>27</v>
      </c>
    </row>
    <row r="10" spans="1:33" x14ac:dyDescent="0.2">
      <c r="A10" s="1">
        <v>36540</v>
      </c>
      <c r="B10" s="244">
        <f>IF($A$1="Peak","-",'Base Hours'!B10*BaseLoad!H9*IS!$B$2)</f>
        <v>0</v>
      </c>
      <c r="C10" s="244">
        <f>IF($A$1="Peak","-",'Base Hours'!C10*BaseLoad!I9*IS!$B$2)</f>
        <v>0</v>
      </c>
      <c r="D10" s="244">
        <f>IF($A$1="Peak","-",'Base Hours'!D10*BaseLoad!J9*IS!$B$2)</f>
        <v>0</v>
      </c>
      <c r="E10" s="244">
        <f>IF($A$1="Peak","-",'Base Hours'!E10*BaseLoad!K9*IS!$B$2)</f>
        <v>0</v>
      </c>
      <c r="F10" s="244">
        <f>IF($A$1="Peak","-",'Base Hours'!F10*BaseLoad!L9*IS!$B$2)</f>
        <v>0</v>
      </c>
      <c r="G10" s="244">
        <f>IF($A$1="Peak","-",'Base Hours'!G10*BaseLoad!M9*IS!$B$2)</f>
        <v>0</v>
      </c>
      <c r="H10" s="244">
        <f>IF($A$1="Peak","-",'Base Hours'!H10*BaseLoad!N9*IS!$B$2)</f>
        <v>0</v>
      </c>
      <c r="I10" s="244">
        <f>IF($A$1="Peak","-",'Base Hours'!I10*BaseLoad!O9*IS!$B$2)</f>
        <v>0</v>
      </c>
      <c r="J10" s="244">
        <f>IF($A$1="Peak","-",'Base Hours'!J10*BaseLoad!P9*IS!$B$2)</f>
        <v>0</v>
      </c>
      <c r="K10" s="244">
        <f>IF($A$1="Peak","-",'Base Hours'!K10*BaseLoad!Q9*IS!$B$2)</f>
        <v>0</v>
      </c>
      <c r="L10" s="244">
        <f>IF($A$1="Peak","-",'Base Hours'!L10*BaseLoad!R9*IS!$B$2)</f>
        <v>0</v>
      </c>
      <c r="M10" s="244">
        <f>IF($A$1="Peak","-",'Base Hours'!M10*BaseLoad!S9*IS!$B$2)</f>
        <v>0</v>
      </c>
      <c r="N10" s="244">
        <f>IF($A$1="Peak","-",'Base Hours'!N10*BaseLoad!T9*IS!$B$2)</f>
        <v>0</v>
      </c>
      <c r="O10" s="244">
        <f>IF($A$1="Peak","-",'Base Hours'!O10*BaseLoad!U9*IS!$B$2)</f>
        <v>0</v>
      </c>
      <c r="P10" s="244">
        <f>IF($A$1="Peak","-",'Base Hours'!P10*BaseLoad!V9*IS!$B$2)</f>
        <v>0</v>
      </c>
      <c r="Q10" s="244">
        <f>IF($A$1="Peak","-",'Base Hours'!Q10*BaseLoad!W9*IS!$B$2)</f>
        <v>0</v>
      </c>
      <c r="R10" s="244">
        <f>IF($A$1="Peak","-",'Base Hours'!R10*BaseLoad!X9*IS!$B$2)</f>
        <v>0</v>
      </c>
      <c r="S10" s="244">
        <f>IF($A$1="Peak","-",'Base Hours'!S10*BaseLoad!Y9*IS!$B$2)</f>
        <v>0</v>
      </c>
      <c r="T10" s="244">
        <f>IF($A$1="Peak","-",'Base Hours'!T10*BaseLoad!Z9*IS!$B$2)</f>
        <v>0</v>
      </c>
      <c r="U10" s="244">
        <f>IF($A$1="Peak","-",'Base Hours'!U10*BaseLoad!AA9*IS!$B$2)</f>
        <v>0</v>
      </c>
      <c r="V10" s="244">
        <f t="shared" ref="V10:V21" si="0">SUM(B10:U10)</f>
        <v>0</v>
      </c>
      <c r="W10" s="244"/>
      <c r="X10" s="244"/>
      <c r="Y10" s="245"/>
      <c r="Z10" s="245">
        <f>(BaseLoad!C9*'Base Hours'!X10*IS!$B$2)*-1</f>
        <v>0</v>
      </c>
      <c r="AA10" s="245"/>
      <c r="AB10" s="245">
        <f>(BaseLoad!D9*'Base Hours'!X10*IS!$B$2)*-1</f>
        <v>0</v>
      </c>
      <c r="AC10" s="245"/>
      <c r="AD10" s="245">
        <f>(BaseLoad!E9*'Base Hours'!X10*IS!$B$2)*-1</f>
        <v>0</v>
      </c>
      <c r="AE10" s="245"/>
      <c r="AF10" s="245">
        <f>(BaseLoad!F9*'Base Hours'!X10*IS!$B$2)*-1</f>
        <v>0</v>
      </c>
      <c r="AG10" s="245"/>
    </row>
    <row r="11" spans="1:33" x14ac:dyDescent="0.2">
      <c r="A11" s="1">
        <f>A10+30.417</f>
        <v>36570.417000000001</v>
      </c>
      <c r="B11" s="244">
        <f>IF($A$1="Peak","-",'Base Hours'!B11*BaseLoad!H10*IS!$B$2)</f>
        <v>0</v>
      </c>
      <c r="C11" s="244">
        <f>IF($A$1="Peak","-",'Base Hours'!C11*BaseLoad!I10*IS!$B$2)</f>
        <v>0</v>
      </c>
      <c r="D11" s="244">
        <f>IF($A$1="Peak","-",'Base Hours'!D11*BaseLoad!J10*IS!$B$2)</f>
        <v>0</v>
      </c>
      <c r="E11" s="244">
        <f>IF($A$1="Peak","-",'Base Hours'!E11*BaseLoad!K10*IS!$B$2)</f>
        <v>0</v>
      </c>
      <c r="F11" s="244">
        <f>IF($A$1="Peak","-",'Base Hours'!F11*BaseLoad!L10*IS!$B$2)</f>
        <v>0</v>
      </c>
      <c r="G11" s="244">
        <f>IF($A$1="Peak","-",'Base Hours'!G11*BaseLoad!M10*IS!$B$2)</f>
        <v>0</v>
      </c>
      <c r="H11" s="244">
        <f>IF($A$1="Peak","-",'Base Hours'!H11*BaseLoad!N10*IS!$B$2)</f>
        <v>0</v>
      </c>
      <c r="I11" s="244">
        <f>IF($A$1="Peak","-",'Base Hours'!I11*BaseLoad!O10*IS!$B$2)</f>
        <v>0</v>
      </c>
      <c r="J11" s="244">
        <f>IF($A$1="Peak","-",'Base Hours'!J11*BaseLoad!P10*IS!$B$2)</f>
        <v>0</v>
      </c>
      <c r="K11" s="244">
        <f>IF($A$1="Peak","-",'Base Hours'!K11*BaseLoad!Q10*IS!$B$2)</f>
        <v>0</v>
      </c>
      <c r="L11" s="244">
        <f>IF($A$1="Peak","-",'Base Hours'!L11*BaseLoad!R10*IS!$B$2)</f>
        <v>0</v>
      </c>
      <c r="M11" s="244">
        <f>IF($A$1="Peak","-",'Base Hours'!M11*BaseLoad!S10*IS!$B$2)</f>
        <v>0</v>
      </c>
      <c r="N11" s="244">
        <f>IF($A$1="Peak","-",'Base Hours'!N11*BaseLoad!T10*IS!$B$2)</f>
        <v>0</v>
      </c>
      <c r="O11" s="244">
        <f>IF($A$1="Peak","-",'Base Hours'!O11*BaseLoad!U10*IS!$B$2)</f>
        <v>0</v>
      </c>
      <c r="P11" s="244">
        <f>IF($A$1="Peak","-",'Base Hours'!P11*BaseLoad!V10*IS!$B$2)</f>
        <v>0</v>
      </c>
      <c r="Q11" s="244">
        <f>IF($A$1="Peak","-",'Base Hours'!Q11*BaseLoad!W10*IS!$B$2)</f>
        <v>0</v>
      </c>
      <c r="R11" s="244">
        <f>IF($A$1="Peak","-",'Base Hours'!R11*BaseLoad!X10*IS!$B$2)</f>
        <v>0</v>
      </c>
      <c r="S11" s="244">
        <f>IF($A$1="Peak","-",'Base Hours'!S11*BaseLoad!Y10*IS!$B$2)</f>
        <v>0</v>
      </c>
      <c r="T11" s="244">
        <f>IF($A$1="Peak","-",'Base Hours'!T11*BaseLoad!Z10*IS!$B$2)</f>
        <v>0</v>
      </c>
      <c r="U11" s="244">
        <f>IF($A$1="Peak","-",'Base Hours'!U11*BaseLoad!AA10*IS!$B$2)</f>
        <v>0</v>
      </c>
      <c r="V11" s="244">
        <f t="shared" si="0"/>
        <v>0</v>
      </c>
      <c r="W11" s="244"/>
      <c r="X11" s="244"/>
      <c r="Y11" s="245"/>
      <c r="Z11" s="245">
        <f>(BaseLoad!C10*'Base Hours'!X11*IS!$B$2)*-1</f>
        <v>0</v>
      </c>
      <c r="AA11" s="245"/>
      <c r="AB11" s="245">
        <f>(BaseLoad!D10*'Base Hours'!X11*IS!$B$2)*-1</f>
        <v>0</v>
      </c>
      <c r="AC11" s="245"/>
      <c r="AD11" s="245">
        <f>(BaseLoad!E10*'Base Hours'!X11*IS!$B$2)*-1</f>
        <v>0</v>
      </c>
      <c r="AE11" s="245"/>
      <c r="AF11" s="245">
        <f>(BaseLoad!F10*'Base Hours'!X11*IS!$B$2)*-1</f>
        <v>0</v>
      </c>
      <c r="AG11" s="245"/>
    </row>
    <row r="12" spans="1:33" x14ac:dyDescent="0.2">
      <c r="A12" s="1">
        <f t="shared" ref="A12:A75" si="1">A11+30.417</f>
        <v>36600.834000000003</v>
      </c>
      <c r="B12" s="244">
        <f>IF($A$1="Peak","-",'Base Hours'!B12*BaseLoad!H11*IS!$B$2)</f>
        <v>0</v>
      </c>
      <c r="C12" s="244">
        <f>IF($A$1="Peak","-",'Base Hours'!C12*BaseLoad!I11*IS!$B$2)</f>
        <v>0</v>
      </c>
      <c r="D12" s="244">
        <f>IF($A$1="Peak","-",'Base Hours'!D12*BaseLoad!J11*IS!$B$2)</f>
        <v>0</v>
      </c>
      <c r="E12" s="244">
        <f>IF($A$1="Peak","-",'Base Hours'!E12*BaseLoad!K11*IS!$B$2)</f>
        <v>0</v>
      </c>
      <c r="F12" s="244">
        <f>IF($A$1="Peak","-",'Base Hours'!F12*BaseLoad!L11*IS!$B$2)</f>
        <v>0</v>
      </c>
      <c r="G12" s="244">
        <f>IF($A$1="Peak","-",'Base Hours'!G12*BaseLoad!M11*IS!$B$2)</f>
        <v>0</v>
      </c>
      <c r="H12" s="244">
        <f>IF($A$1="Peak","-",'Base Hours'!H12*BaseLoad!N11*IS!$B$2)</f>
        <v>0</v>
      </c>
      <c r="I12" s="244">
        <f>IF($A$1="Peak","-",'Base Hours'!I12*BaseLoad!O11*IS!$B$2)</f>
        <v>0</v>
      </c>
      <c r="J12" s="244">
        <f>IF($A$1="Peak","-",'Base Hours'!J12*BaseLoad!P11*IS!$B$2)</f>
        <v>0</v>
      </c>
      <c r="K12" s="244">
        <f>IF($A$1="Peak","-",'Base Hours'!K12*BaseLoad!Q11*IS!$B$2)</f>
        <v>0</v>
      </c>
      <c r="L12" s="244">
        <f>IF($A$1="Peak","-",'Base Hours'!L12*BaseLoad!R11*IS!$B$2)</f>
        <v>0</v>
      </c>
      <c r="M12" s="244">
        <f>IF($A$1="Peak","-",'Base Hours'!M12*BaseLoad!S11*IS!$B$2)</f>
        <v>0</v>
      </c>
      <c r="N12" s="244">
        <f>IF($A$1="Peak","-",'Base Hours'!N12*BaseLoad!T11*IS!$B$2)</f>
        <v>0</v>
      </c>
      <c r="O12" s="244">
        <f>IF($A$1="Peak","-",'Base Hours'!O12*BaseLoad!U11*IS!$B$2)</f>
        <v>0</v>
      </c>
      <c r="P12" s="244">
        <f>IF($A$1="Peak","-",'Base Hours'!P12*BaseLoad!V11*IS!$B$2)</f>
        <v>0</v>
      </c>
      <c r="Q12" s="244">
        <f>IF($A$1="Peak","-",'Base Hours'!Q12*BaseLoad!W11*IS!$B$2)</f>
        <v>0</v>
      </c>
      <c r="R12" s="244">
        <f>IF($A$1="Peak","-",'Base Hours'!R12*BaseLoad!X11*IS!$B$2)</f>
        <v>0</v>
      </c>
      <c r="S12" s="244">
        <f>IF($A$1="Peak","-",'Base Hours'!S12*BaseLoad!Y11*IS!$B$2)</f>
        <v>0</v>
      </c>
      <c r="T12" s="244">
        <f>IF($A$1="Peak","-",'Base Hours'!T12*BaseLoad!Z11*IS!$B$2)</f>
        <v>0</v>
      </c>
      <c r="U12" s="244">
        <f>IF($A$1="Peak","-",'Base Hours'!U12*BaseLoad!AA11*IS!$B$2)</f>
        <v>0</v>
      </c>
      <c r="V12" s="244">
        <f t="shared" si="0"/>
        <v>0</v>
      </c>
      <c r="W12" s="244"/>
      <c r="X12" s="244"/>
      <c r="Y12" s="245"/>
      <c r="Z12" s="245">
        <f>(BaseLoad!C11*'Base Hours'!X12*IS!$B$2)*-1</f>
        <v>0</v>
      </c>
      <c r="AA12" s="245"/>
      <c r="AB12" s="245">
        <f>(BaseLoad!D11*'Base Hours'!X12*IS!$B$2)*-1</f>
        <v>0</v>
      </c>
      <c r="AC12" s="245"/>
      <c r="AD12" s="245">
        <f>(BaseLoad!E11*'Base Hours'!X12*IS!$B$2)*-1</f>
        <v>0</v>
      </c>
      <c r="AE12" s="245"/>
      <c r="AF12" s="245">
        <f>(BaseLoad!F11*'Base Hours'!X12*IS!$B$2)*-1</f>
        <v>0</v>
      </c>
      <c r="AG12" s="245"/>
    </row>
    <row r="13" spans="1:33" x14ac:dyDescent="0.2">
      <c r="A13" s="1">
        <f t="shared" si="1"/>
        <v>36631.251000000004</v>
      </c>
      <c r="B13" s="244">
        <f>IF($A$1="Peak","-",'Base Hours'!B13*BaseLoad!H12*IS!$B$2)</f>
        <v>0</v>
      </c>
      <c r="C13" s="244">
        <f>IF($A$1="Peak","-",'Base Hours'!C13*BaseLoad!I12*IS!$B$2)</f>
        <v>0</v>
      </c>
      <c r="D13" s="244">
        <f>IF($A$1="Peak","-",'Base Hours'!D13*BaseLoad!J12*IS!$B$2)</f>
        <v>0</v>
      </c>
      <c r="E13" s="244">
        <f>IF($A$1="Peak","-",'Base Hours'!E13*BaseLoad!K12*IS!$B$2)</f>
        <v>0</v>
      </c>
      <c r="F13" s="244">
        <f>IF($A$1="Peak","-",'Base Hours'!F13*BaseLoad!L12*IS!$B$2)</f>
        <v>0</v>
      </c>
      <c r="G13" s="244">
        <f>IF($A$1="Peak","-",'Base Hours'!G13*BaseLoad!M12*IS!$B$2)</f>
        <v>0</v>
      </c>
      <c r="H13" s="244">
        <f>IF($A$1="Peak","-",'Base Hours'!H13*BaseLoad!N12*IS!$B$2)</f>
        <v>0</v>
      </c>
      <c r="I13" s="244">
        <f>IF($A$1="Peak","-",'Base Hours'!I13*BaseLoad!O12*IS!$B$2)</f>
        <v>0</v>
      </c>
      <c r="J13" s="244">
        <f>IF($A$1="Peak","-",'Base Hours'!J13*BaseLoad!P12*IS!$B$2)</f>
        <v>0</v>
      </c>
      <c r="K13" s="244">
        <f>IF($A$1="Peak","-",'Base Hours'!K13*BaseLoad!Q12*IS!$B$2)</f>
        <v>0</v>
      </c>
      <c r="L13" s="244">
        <f>IF($A$1="Peak","-",'Base Hours'!L13*BaseLoad!R12*IS!$B$2)</f>
        <v>0</v>
      </c>
      <c r="M13" s="244">
        <f>IF($A$1="Peak","-",'Base Hours'!M13*BaseLoad!S12*IS!$B$2)</f>
        <v>0</v>
      </c>
      <c r="N13" s="244">
        <f>IF($A$1="Peak","-",'Base Hours'!N13*BaseLoad!T12*IS!$B$2)</f>
        <v>0</v>
      </c>
      <c r="O13" s="244">
        <f>IF($A$1="Peak","-",'Base Hours'!O13*BaseLoad!U12*IS!$B$2)</f>
        <v>0</v>
      </c>
      <c r="P13" s="244">
        <f>IF($A$1="Peak","-",'Base Hours'!P13*BaseLoad!V12*IS!$B$2)</f>
        <v>0</v>
      </c>
      <c r="Q13" s="244">
        <f>IF($A$1="Peak","-",'Base Hours'!Q13*BaseLoad!W12*IS!$B$2)</f>
        <v>0</v>
      </c>
      <c r="R13" s="244">
        <f>IF($A$1="Peak","-",'Base Hours'!R13*BaseLoad!X12*IS!$B$2)</f>
        <v>0</v>
      </c>
      <c r="S13" s="244">
        <f>IF($A$1="Peak","-",'Base Hours'!S13*BaseLoad!Y12*IS!$B$2)</f>
        <v>0</v>
      </c>
      <c r="T13" s="244">
        <f>IF($A$1="Peak","-",'Base Hours'!T13*BaseLoad!Z12*IS!$B$2)</f>
        <v>0</v>
      </c>
      <c r="U13" s="244">
        <f>IF($A$1="Peak","-",'Base Hours'!U13*BaseLoad!AA12*IS!$B$2)</f>
        <v>0</v>
      </c>
      <c r="V13" s="244">
        <f t="shared" si="0"/>
        <v>0</v>
      </c>
      <c r="W13" s="244"/>
      <c r="X13" s="244"/>
      <c r="Y13" s="245"/>
      <c r="Z13" s="245">
        <f>(BaseLoad!C12*'Base Hours'!X13*IS!$B$2)*-1</f>
        <v>0</v>
      </c>
      <c r="AA13" s="245"/>
      <c r="AB13" s="245">
        <f>(BaseLoad!D12*'Base Hours'!X13*IS!$B$2)*-1</f>
        <v>0</v>
      </c>
      <c r="AC13" s="245"/>
      <c r="AD13" s="245">
        <f>(BaseLoad!E12*'Base Hours'!X13*IS!$B$2)*-1</f>
        <v>0</v>
      </c>
      <c r="AE13" s="245"/>
      <c r="AF13" s="245">
        <f>(BaseLoad!F12*'Base Hours'!X13*IS!$B$2)*-1</f>
        <v>0</v>
      </c>
      <c r="AG13" s="245"/>
    </row>
    <row r="14" spans="1:33" x14ac:dyDescent="0.2">
      <c r="A14" s="1">
        <f t="shared" si="1"/>
        <v>36661.668000000005</v>
      </c>
      <c r="B14" s="244">
        <f>IF($A$1="Peak","-",'Base Hours'!B14*BaseLoad!H13*IS!$B$2)</f>
        <v>0</v>
      </c>
      <c r="C14" s="244">
        <f>IF($A$1="Peak","-",'Base Hours'!C14*BaseLoad!I13*IS!$B$2)</f>
        <v>0</v>
      </c>
      <c r="D14" s="244">
        <f>IF($A$1="Peak","-",'Base Hours'!D14*BaseLoad!J13*IS!$B$2)</f>
        <v>0</v>
      </c>
      <c r="E14" s="244">
        <f>IF($A$1="Peak","-",'Base Hours'!E14*BaseLoad!K13*IS!$B$2)</f>
        <v>0</v>
      </c>
      <c r="F14" s="244">
        <f>IF($A$1="Peak","-",'Base Hours'!F14*BaseLoad!L13*IS!$B$2)</f>
        <v>0</v>
      </c>
      <c r="G14" s="244">
        <f>IF($A$1="Peak","-",'Base Hours'!G14*BaseLoad!M13*IS!$B$2)</f>
        <v>0</v>
      </c>
      <c r="H14" s="244">
        <f>IF($A$1="Peak","-",'Base Hours'!H14*BaseLoad!N13*IS!$B$2)</f>
        <v>0</v>
      </c>
      <c r="I14" s="244">
        <f>IF($A$1="Peak","-",'Base Hours'!I14*BaseLoad!O13*IS!$B$2)</f>
        <v>0</v>
      </c>
      <c r="J14" s="244">
        <f>IF($A$1="Peak","-",'Base Hours'!J14*BaseLoad!P13*IS!$B$2)</f>
        <v>0</v>
      </c>
      <c r="K14" s="244">
        <f>IF($A$1="Peak","-",'Base Hours'!K14*BaseLoad!Q13*IS!$B$2)</f>
        <v>0</v>
      </c>
      <c r="L14" s="244">
        <f>IF($A$1="Peak","-",'Base Hours'!L14*BaseLoad!R13*IS!$B$2)</f>
        <v>0</v>
      </c>
      <c r="M14" s="244">
        <f>IF($A$1="Peak","-",'Base Hours'!M14*BaseLoad!S13*IS!$B$2)</f>
        <v>0</v>
      </c>
      <c r="N14" s="244">
        <f>IF($A$1="Peak","-",'Base Hours'!N14*BaseLoad!T13*IS!$B$2)</f>
        <v>0</v>
      </c>
      <c r="O14" s="244">
        <f>IF($A$1="Peak","-",'Base Hours'!O14*BaseLoad!U13*IS!$B$2)</f>
        <v>0</v>
      </c>
      <c r="P14" s="244">
        <f>IF($A$1="Peak","-",'Base Hours'!P14*BaseLoad!V13*IS!$B$2)</f>
        <v>0</v>
      </c>
      <c r="Q14" s="244">
        <f>IF($A$1="Peak","-",'Base Hours'!Q14*BaseLoad!W13*IS!$B$2)</f>
        <v>0</v>
      </c>
      <c r="R14" s="244">
        <f>IF($A$1="Peak","-",'Base Hours'!R14*BaseLoad!X13*IS!$B$2)</f>
        <v>0</v>
      </c>
      <c r="S14" s="244">
        <f>IF($A$1="Peak","-",'Base Hours'!S14*BaseLoad!Y13*IS!$B$2)</f>
        <v>0</v>
      </c>
      <c r="T14" s="244">
        <f>IF($A$1="Peak","-",'Base Hours'!T14*BaseLoad!Z13*IS!$B$2)</f>
        <v>0</v>
      </c>
      <c r="U14" s="244">
        <f>IF($A$1="Peak","-",'Base Hours'!U14*BaseLoad!AA13*IS!$B$2)</f>
        <v>0</v>
      </c>
      <c r="V14" s="244">
        <f t="shared" si="0"/>
        <v>0</v>
      </c>
      <c r="W14" s="244"/>
      <c r="X14" s="244"/>
      <c r="Y14" s="245"/>
      <c r="Z14" s="245">
        <f>(BaseLoad!C13*'Base Hours'!X14*IS!$B$2)*-1</f>
        <v>0</v>
      </c>
      <c r="AA14" s="245"/>
      <c r="AB14" s="245">
        <f>(BaseLoad!D13*'Base Hours'!X14*IS!$B$2)*-1</f>
        <v>0</v>
      </c>
      <c r="AC14" s="245"/>
      <c r="AD14" s="245">
        <f>(BaseLoad!E13*'Base Hours'!X14*IS!$B$2)*-1</f>
        <v>0</v>
      </c>
      <c r="AE14" s="245"/>
      <c r="AF14" s="245">
        <f>(BaseLoad!F13*'Base Hours'!X14*IS!$B$2)*-1</f>
        <v>0</v>
      </c>
      <c r="AG14" s="245"/>
    </row>
    <row r="15" spans="1:33" x14ac:dyDescent="0.2">
      <c r="A15" s="1">
        <f t="shared" si="1"/>
        <v>36692.085000000006</v>
      </c>
      <c r="B15" s="244">
        <f>IF($A$1="Peak","-",'Base Hours'!B15*BaseLoad!H14*IS!$B$2)</f>
        <v>0</v>
      </c>
      <c r="C15" s="244">
        <f>IF($A$1="Peak","-",'Base Hours'!C15*BaseLoad!I14*IS!$B$2)</f>
        <v>0</v>
      </c>
      <c r="D15" s="244">
        <f>IF($A$1="Peak","-",'Base Hours'!D15*BaseLoad!J14*IS!$B$2)</f>
        <v>0</v>
      </c>
      <c r="E15" s="244">
        <f>IF($A$1="Peak","-",'Base Hours'!E15*BaseLoad!K14*IS!$B$2)</f>
        <v>0</v>
      </c>
      <c r="F15" s="244">
        <f>IF($A$1="Peak","-",'Base Hours'!F15*BaseLoad!L14*IS!$B$2)</f>
        <v>0</v>
      </c>
      <c r="G15" s="244">
        <f>IF($A$1="Peak","-",'Base Hours'!G15*BaseLoad!M14*IS!$B$2)</f>
        <v>0</v>
      </c>
      <c r="H15" s="244">
        <f>IF($A$1="Peak","-",'Base Hours'!H15*BaseLoad!N14*IS!$B$2)</f>
        <v>0</v>
      </c>
      <c r="I15" s="244">
        <f>IF($A$1="Peak","-",'Base Hours'!I15*BaseLoad!O14*IS!$B$2)</f>
        <v>0</v>
      </c>
      <c r="J15" s="244">
        <f>IF($A$1="Peak","-",'Base Hours'!J15*BaseLoad!P14*IS!$B$2)</f>
        <v>0</v>
      </c>
      <c r="K15" s="244">
        <f>IF($A$1="Peak","-",'Base Hours'!K15*BaseLoad!Q14*IS!$B$2)</f>
        <v>0</v>
      </c>
      <c r="L15" s="244">
        <f>IF($A$1="Peak","-",'Base Hours'!L15*BaseLoad!R14*IS!$B$2)</f>
        <v>0</v>
      </c>
      <c r="M15" s="244">
        <f>IF($A$1="Peak","-",'Base Hours'!M15*BaseLoad!S14*IS!$B$2)</f>
        <v>0</v>
      </c>
      <c r="N15" s="244">
        <f>IF($A$1="Peak","-",'Base Hours'!N15*BaseLoad!T14*IS!$B$2)</f>
        <v>0</v>
      </c>
      <c r="O15" s="244">
        <f>IF($A$1="Peak","-",'Base Hours'!O15*BaseLoad!U14*IS!$B$2)</f>
        <v>0</v>
      </c>
      <c r="P15" s="244">
        <f>IF($A$1="Peak","-",'Base Hours'!P15*BaseLoad!V14*IS!$B$2)</f>
        <v>0</v>
      </c>
      <c r="Q15" s="244">
        <f>IF($A$1="Peak","-",'Base Hours'!Q15*BaseLoad!W14*IS!$B$2)</f>
        <v>0</v>
      </c>
      <c r="R15" s="244">
        <f>IF($A$1="Peak","-",'Base Hours'!R15*BaseLoad!X14*IS!$B$2)</f>
        <v>0</v>
      </c>
      <c r="S15" s="244">
        <f>IF($A$1="Peak","-",'Base Hours'!S15*BaseLoad!Y14*IS!$B$2)</f>
        <v>0</v>
      </c>
      <c r="T15" s="244">
        <f>IF($A$1="Peak","-",'Base Hours'!T15*BaseLoad!Z14*IS!$B$2)</f>
        <v>0</v>
      </c>
      <c r="U15" s="244">
        <f>IF($A$1="Peak","-",'Base Hours'!U15*BaseLoad!AA14*IS!$B$2)</f>
        <v>0</v>
      </c>
      <c r="V15" s="244">
        <f t="shared" si="0"/>
        <v>0</v>
      </c>
      <c r="W15" s="244"/>
      <c r="X15" s="244"/>
      <c r="Y15" s="245"/>
      <c r="Z15" s="245">
        <f>(BaseLoad!C14*'Base Hours'!X15*IS!$B$2)*-1</f>
        <v>0</v>
      </c>
      <c r="AA15" s="245"/>
      <c r="AB15" s="245">
        <f>(BaseLoad!D14*'Base Hours'!X15*IS!$B$2)*-1</f>
        <v>0</v>
      </c>
      <c r="AC15" s="245"/>
      <c r="AD15" s="245">
        <f>(BaseLoad!E14*'Base Hours'!X15*IS!$B$2)*-1</f>
        <v>0</v>
      </c>
      <c r="AE15" s="245"/>
      <c r="AF15" s="245">
        <f>(BaseLoad!F14*'Base Hours'!X15*IS!$B$2)*-1</f>
        <v>0</v>
      </c>
      <c r="AG15" s="245"/>
    </row>
    <row r="16" spans="1:33" x14ac:dyDescent="0.2">
      <c r="A16" s="1">
        <f t="shared" si="1"/>
        <v>36722.502000000008</v>
      </c>
      <c r="B16" s="244">
        <f>IF($A$1="Peak","-",'Base Hours'!B16*BaseLoad!H15*IS!$B$2)</f>
        <v>0</v>
      </c>
      <c r="C16" s="244">
        <f>IF($A$1="Peak","-",'Base Hours'!C16*BaseLoad!I15*IS!$B$2)</f>
        <v>0</v>
      </c>
      <c r="D16" s="244">
        <f>IF($A$1="Peak","-",'Base Hours'!D16*BaseLoad!J15*IS!$B$2)</f>
        <v>0</v>
      </c>
      <c r="E16" s="244">
        <f>IF($A$1="Peak","-",'Base Hours'!E16*BaseLoad!K15*IS!$B$2)</f>
        <v>0</v>
      </c>
      <c r="F16" s="244">
        <f>IF($A$1="Peak","-",'Base Hours'!F16*BaseLoad!L15*IS!$B$2)</f>
        <v>0</v>
      </c>
      <c r="G16" s="244">
        <f>IF($A$1="Peak","-",'Base Hours'!G16*BaseLoad!M15*IS!$B$2)</f>
        <v>0</v>
      </c>
      <c r="H16" s="244">
        <f>IF($A$1="Peak","-",'Base Hours'!H16*BaseLoad!N15*IS!$B$2)</f>
        <v>0</v>
      </c>
      <c r="I16" s="244">
        <f>IF($A$1="Peak","-",'Base Hours'!I16*BaseLoad!O15*IS!$B$2)</f>
        <v>0</v>
      </c>
      <c r="J16" s="244">
        <f>IF($A$1="Peak","-",'Base Hours'!J16*BaseLoad!P15*IS!$B$2)</f>
        <v>0</v>
      </c>
      <c r="K16" s="244">
        <f>IF($A$1="Peak","-",'Base Hours'!K16*BaseLoad!Q15*IS!$B$2)</f>
        <v>0</v>
      </c>
      <c r="L16" s="244">
        <f>IF($A$1="Peak","-",'Base Hours'!L16*BaseLoad!R15*IS!$B$2)</f>
        <v>0</v>
      </c>
      <c r="M16" s="244">
        <f>IF($A$1="Peak","-",'Base Hours'!M16*BaseLoad!S15*IS!$B$2)</f>
        <v>0</v>
      </c>
      <c r="N16" s="244">
        <f>IF($A$1="Peak","-",'Base Hours'!N16*BaseLoad!T15*IS!$B$2)</f>
        <v>0</v>
      </c>
      <c r="O16" s="244">
        <f>IF($A$1="Peak","-",'Base Hours'!O16*BaseLoad!U15*IS!$B$2)</f>
        <v>0</v>
      </c>
      <c r="P16" s="244">
        <f>IF($A$1="Peak","-",'Base Hours'!P16*BaseLoad!V15*IS!$B$2)</f>
        <v>0</v>
      </c>
      <c r="Q16" s="244">
        <f>IF($A$1="Peak","-",'Base Hours'!Q16*BaseLoad!W15*IS!$B$2)</f>
        <v>0</v>
      </c>
      <c r="R16" s="244">
        <f>IF($A$1="Peak","-",'Base Hours'!R16*BaseLoad!X15*IS!$B$2)</f>
        <v>0</v>
      </c>
      <c r="S16" s="244">
        <f>IF($A$1="Peak","-",'Base Hours'!S16*BaseLoad!Y15*IS!$B$2)</f>
        <v>0</v>
      </c>
      <c r="T16" s="244">
        <f>IF($A$1="Peak","-",'Base Hours'!T16*BaseLoad!Z15*IS!$B$2)</f>
        <v>0</v>
      </c>
      <c r="U16" s="244">
        <f>IF($A$1="Peak","-",'Base Hours'!U16*BaseLoad!AA15*IS!$B$2)</f>
        <v>0</v>
      </c>
      <c r="V16" s="244">
        <f t="shared" si="0"/>
        <v>0</v>
      </c>
      <c r="W16" s="244"/>
      <c r="X16" s="244"/>
      <c r="Y16" s="245"/>
      <c r="Z16" s="245">
        <f>(BaseLoad!C15*'Base Hours'!X16*IS!$B$2)*-1</f>
        <v>0</v>
      </c>
      <c r="AA16" s="245"/>
      <c r="AB16" s="245">
        <f>(BaseLoad!D15*'Base Hours'!X16*IS!$B$2)*-1</f>
        <v>0</v>
      </c>
      <c r="AC16" s="245"/>
      <c r="AD16" s="245">
        <f>(BaseLoad!E15*'Base Hours'!X16*IS!$B$2)*-1</f>
        <v>0</v>
      </c>
      <c r="AE16" s="245"/>
      <c r="AF16" s="245">
        <f>(BaseLoad!F15*'Base Hours'!X16*IS!$B$2)*-1</f>
        <v>0</v>
      </c>
      <c r="AG16" s="245"/>
    </row>
    <row r="17" spans="1:33" x14ac:dyDescent="0.2">
      <c r="A17" s="1">
        <f t="shared" si="1"/>
        <v>36752.919000000009</v>
      </c>
      <c r="B17" s="244">
        <f>IF($A$1="Peak","-",'Base Hours'!B17*BaseLoad!H16*IS!$B$2)</f>
        <v>0</v>
      </c>
      <c r="C17" s="244">
        <f>IF($A$1="Peak","-",'Base Hours'!C17*BaseLoad!I16*IS!$B$2)</f>
        <v>0</v>
      </c>
      <c r="D17" s="244">
        <f>IF($A$1="Peak","-",'Base Hours'!D17*BaseLoad!J16*IS!$B$2)</f>
        <v>0</v>
      </c>
      <c r="E17" s="244">
        <f>IF($A$1="Peak","-",'Base Hours'!E17*BaseLoad!K16*IS!$B$2)</f>
        <v>0</v>
      </c>
      <c r="F17" s="244">
        <f>IF($A$1="Peak","-",'Base Hours'!F17*BaseLoad!L16*IS!$B$2)</f>
        <v>0</v>
      </c>
      <c r="G17" s="244">
        <f>IF($A$1="Peak","-",'Base Hours'!G17*BaseLoad!M16*IS!$B$2)</f>
        <v>0</v>
      </c>
      <c r="H17" s="244">
        <f>IF($A$1="Peak","-",'Base Hours'!H17*BaseLoad!N16*IS!$B$2)</f>
        <v>0</v>
      </c>
      <c r="I17" s="244">
        <f>IF($A$1="Peak","-",'Base Hours'!I17*BaseLoad!O16*IS!$B$2)</f>
        <v>0</v>
      </c>
      <c r="J17" s="244">
        <f>IF($A$1="Peak","-",'Base Hours'!J17*BaseLoad!P16*IS!$B$2)</f>
        <v>0</v>
      </c>
      <c r="K17" s="244">
        <f>IF($A$1="Peak","-",'Base Hours'!K17*BaseLoad!Q16*IS!$B$2)</f>
        <v>0</v>
      </c>
      <c r="L17" s="244">
        <f>IF($A$1="Peak","-",'Base Hours'!L17*BaseLoad!R16*IS!$B$2)</f>
        <v>0</v>
      </c>
      <c r="M17" s="244">
        <f>IF($A$1="Peak","-",'Base Hours'!M17*BaseLoad!S16*IS!$B$2)</f>
        <v>0</v>
      </c>
      <c r="N17" s="244">
        <f>IF($A$1="Peak","-",'Base Hours'!N17*BaseLoad!T16*IS!$B$2)</f>
        <v>0</v>
      </c>
      <c r="O17" s="244">
        <f>IF($A$1="Peak","-",'Base Hours'!O17*BaseLoad!U16*IS!$B$2)</f>
        <v>0</v>
      </c>
      <c r="P17" s="244">
        <f>IF($A$1="Peak","-",'Base Hours'!P17*BaseLoad!V16*IS!$B$2)</f>
        <v>0</v>
      </c>
      <c r="Q17" s="244">
        <f>IF($A$1="Peak","-",'Base Hours'!Q17*BaseLoad!W16*IS!$B$2)</f>
        <v>0</v>
      </c>
      <c r="R17" s="244">
        <f>IF($A$1="Peak","-",'Base Hours'!R17*BaseLoad!X16*IS!$B$2)</f>
        <v>0</v>
      </c>
      <c r="S17" s="244">
        <f>IF($A$1="Peak","-",'Base Hours'!S17*BaseLoad!Y16*IS!$B$2)</f>
        <v>0</v>
      </c>
      <c r="T17" s="244">
        <f>IF($A$1="Peak","-",'Base Hours'!T17*BaseLoad!Z16*IS!$B$2)</f>
        <v>0</v>
      </c>
      <c r="U17" s="244">
        <f>IF($A$1="Peak","-",'Base Hours'!U17*BaseLoad!AA16*IS!$B$2)</f>
        <v>0</v>
      </c>
      <c r="V17" s="244">
        <f t="shared" si="0"/>
        <v>0</v>
      </c>
      <c r="W17" s="244"/>
      <c r="X17" s="244"/>
      <c r="Y17" s="245"/>
      <c r="Z17" s="245">
        <f>(BaseLoad!C16*'Base Hours'!X17*IS!$B$2)*-1</f>
        <v>0</v>
      </c>
      <c r="AA17" s="245"/>
      <c r="AB17" s="245">
        <f>(BaseLoad!D16*'Base Hours'!X17*IS!$B$2)*-1</f>
        <v>0</v>
      </c>
      <c r="AC17" s="245"/>
      <c r="AD17" s="245">
        <f>(BaseLoad!E16*'Base Hours'!X17*IS!$B$2)*-1</f>
        <v>0</v>
      </c>
      <c r="AE17" s="245"/>
      <c r="AF17" s="245">
        <f>(BaseLoad!F16*'Base Hours'!X17*IS!$B$2)*-1</f>
        <v>0</v>
      </c>
      <c r="AG17" s="245"/>
    </row>
    <row r="18" spans="1:33" x14ac:dyDescent="0.2">
      <c r="A18" s="1">
        <f t="shared" si="1"/>
        <v>36783.33600000001</v>
      </c>
      <c r="B18" s="244">
        <f>IF($A$1="Peak","-",'Base Hours'!B18*BaseLoad!H17*IS!$B$2)</f>
        <v>0</v>
      </c>
      <c r="C18" s="244">
        <f>IF($A$1="Peak","-",'Base Hours'!C18*BaseLoad!I17*IS!$B$2)</f>
        <v>0</v>
      </c>
      <c r="D18" s="244">
        <f>IF($A$1="Peak","-",'Base Hours'!D18*BaseLoad!J17*IS!$B$2)</f>
        <v>0</v>
      </c>
      <c r="E18" s="244">
        <f>IF($A$1="Peak","-",'Base Hours'!E18*BaseLoad!K17*IS!$B$2)</f>
        <v>0</v>
      </c>
      <c r="F18" s="244">
        <f>IF($A$1="Peak","-",'Base Hours'!F18*BaseLoad!L17*IS!$B$2)</f>
        <v>0</v>
      </c>
      <c r="G18" s="244">
        <f>IF($A$1="Peak","-",'Base Hours'!G18*BaseLoad!M17*IS!$B$2)</f>
        <v>0</v>
      </c>
      <c r="H18" s="244">
        <f>IF($A$1="Peak","-",'Base Hours'!H18*BaseLoad!N17*IS!$B$2)</f>
        <v>0</v>
      </c>
      <c r="I18" s="244">
        <f>IF($A$1="Peak","-",'Base Hours'!I18*BaseLoad!O17*IS!$B$2)</f>
        <v>0</v>
      </c>
      <c r="J18" s="244">
        <f>IF($A$1="Peak","-",'Base Hours'!J18*BaseLoad!P17*IS!$B$2)</f>
        <v>0</v>
      </c>
      <c r="K18" s="244">
        <f>IF($A$1="Peak","-",'Base Hours'!K18*BaseLoad!Q17*IS!$B$2)</f>
        <v>0</v>
      </c>
      <c r="L18" s="244">
        <f>IF($A$1="Peak","-",'Base Hours'!L18*BaseLoad!R17*IS!$B$2)</f>
        <v>0</v>
      </c>
      <c r="M18" s="244">
        <f>IF($A$1="Peak","-",'Base Hours'!M18*BaseLoad!S17*IS!$B$2)</f>
        <v>0</v>
      </c>
      <c r="N18" s="244">
        <f>IF($A$1="Peak","-",'Base Hours'!N18*BaseLoad!T17*IS!$B$2)</f>
        <v>0</v>
      </c>
      <c r="O18" s="244">
        <f>IF($A$1="Peak","-",'Base Hours'!O18*BaseLoad!U17*IS!$B$2)</f>
        <v>0</v>
      </c>
      <c r="P18" s="244">
        <f>IF($A$1="Peak","-",'Base Hours'!P18*BaseLoad!V17*IS!$B$2)</f>
        <v>0</v>
      </c>
      <c r="Q18" s="244">
        <f>IF($A$1="Peak","-",'Base Hours'!Q18*BaseLoad!W17*IS!$B$2)</f>
        <v>0</v>
      </c>
      <c r="R18" s="244">
        <f>IF($A$1="Peak","-",'Base Hours'!R18*BaseLoad!X17*IS!$B$2)</f>
        <v>0</v>
      </c>
      <c r="S18" s="244">
        <f>IF($A$1="Peak","-",'Base Hours'!S18*BaseLoad!Y17*IS!$B$2)</f>
        <v>0</v>
      </c>
      <c r="T18" s="244">
        <f>IF($A$1="Peak","-",'Base Hours'!T18*BaseLoad!Z17*IS!$B$2)</f>
        <v>0</v>
      </c>
      <c r="U18" s="244">
        <f>IF($A$1="Peak","-",'Base Hours'!U18*BaseLoad!AA17*IS!$B$2)</f>
        <v>0</v>
      </c>
      <c r="V18" s="244">
        <f t="shared" si="0"/>
        <v>0</v>
      </c>
      <c r="W18" s="244"/>
      <c r="X18" s="244"/>
      <c r="Y18" s="245"/>
      <c r="Z18" s="245">
        <f>(BaseLoad!C17*'Base Hours'!X18*IS!$B$2)*-1</f>
        <v>0</v>
      </c>
      <c r="AA18" s="245"/>
      <c r="AB18" s="245">
        <f>(BaseLoad!D17*'Base Hours'!X18*IS!$B$2)*-1</f>
        <v>0</v>
      </c>
      <c r="AC18" s="245"/>
      <c r="AD18" s="245">
        <f>(BaseLoad!E17*'Base Hours'!X18*IS!$B$2)*-1</f>
        <v>0</v>
      </c>
      <c r="AE18" s="245"/>
      <c r="AF18" s="245">
        <f>(BaseLoad!F17*'Base Hours'!X18*IS!$B$2)*-1</f>
        <v>0</v>
      </c>
      <c r="AG18" s="245"/>
    </row>
    <row r="19" spans="1:33" x14ac:dyDescent="0.2">
      <c r="A19" s="1">
        <f t="shared" si="1"/>
        <v>36813.753000000012</v>
      </c>
      <c r="B19" s="244">
        <f>IF($A$1="Peak","-",'Base Hours'!B19*BaseLoad!H18*IS!$B$2)</f>
        <v>0</v>
      </c>
      <c r="C19" s="244">
        <f>IF($A$1="Peak","-",'Base Hours'!C19*BaseLoad!I18*IS!$B$2)</f>
        <v>0</v>
      </c>
      <c r="D19" s="244">
        <f>IF($A$1="Peak","-",'Base Hours'!D19*BaseLoad!J18*IS!$B$2)</f>
        <v>0</v>
      </c>
      <c r="E19" s="244">
        <f>IF($A$1="Peak","-",'Base Hours'!E19*BaseLoad!K18*IS!$B$2)</f>
        <v>0</v>
      </c>
      <c r="F19" s="244">
        <f>IF($A$1="Peak","-",'Base Hours'!F19*BaseLoad!L18*IS!$B$2)</f>
        <v>0</v>
      </c>
      <c r="G19" s="244">
        <f>IF($A$1="Peak","-",'Base Hours'!G19*BaseLoad!M18*IS!$B$2)</f>
        <v>0</v>
      </c>
      <c r="H19" s="244">
        <f>IF($A$1="Peak","-",'Base Hours'!H19*BaseLoad!N18*IS!$B$2)</f>
        <v>0</v>
      </c>
      <c r="I19" s="244">
        <f>IF($A$1="Peak","-",'Base Hours'!I19*BaseLoad!O18*IS!$B$2)</f>
        <v>0</v>
      </c>
      <c r="J19" s="244">
        <f>IF($A$1="Peak","-",'Base Hours'!J19*BaseLoad!P18*IS!$B$2)</f>
        <v>0</v>
      </c>
      <c r="K19" s="244">
        <f>IF($A$1="Peak","-",'Base Hours'!K19*BaseLoad!Q18*IS!$B$2)</f>
        <v>0</v>
      </c>
      <c r="L19" s="244">
        <f>IF($A$1="Peak","-",'Base Hours'!L19*BaseLoad!R18*IS!$B$2)</f>
        <v>0</v>
      </c>
      <c r="M19" s="244">
        <f>IF($A$1="Peak","-",'Base Hours'!M19*BaseLoad!S18*IS!$B$2)</f>
        <v>0</v>
      </c>
      <c r="N19" s="244">
        <f>IF($A$1="Peak","-",'Base Hours'!N19*BaseLoad!T18*IS!$B$2)</f>
        <v>0</v>
      </c>
      <c r="O19" s="244">
        <f>IF($A$1="Peak","-",'Base Hours'!O19*BaseLoad!U18*IS!$B$2)</f>
        <v>0</v>
      </c>
      <c r="P19" s="244">
        <f>IF($A$1="Peak","-",'Base Hours'!P19*BaseLoad!V18*IS!$B$2)</f>
        <v>0</v>
      </c>
      <c r="Q19" s="244">
        <f>IF($A$1="Peak","-",'Base Hours'!Q19*BaseLoad!W18*IS!$B$2)</f>
        <v>0</v>
      </c>
      <c r="R19" s="244">
        <f>IF($A$1="Peak","-",'Base Hours'!R19*BaseLoad!X18*IS!$B$2)</f>
        <v>0</v>
      </c>
      <c r="S19" s="244">
        <f>IF($A$1="Peak","-",'Base Hours'!S19*BaseLoad!Y18*IS!$B$2)</f>
        <v>0</v>
      </c>
      <c r="T19" s="244">
        <f>IF($A$1="Peak","-",'Base Hours'!T19*BaseLoad!Z18*IS!$B$2)</f>
        <v>0</v>
      </c>
      <c r="U19" s="244">
        <f>IF($A$1="Peak","-",'Base Hours'!U19*BaseLoad!AA18*IS!$B$2)</f>
        <v>0</v>
      </c>
      <c r="V19" s="244">
        <f t="shared" si="0"/>
        <v>0</v>
      </c>
      <c r="W19" s="244"/>
      <c r="X19" s="244"/>
      <c r="Y19" s="245"/>
      <c r="Z19" s="245">
        <f>(BaseLoad!C18*'Base Hours'!X19*IS!$B$2)*-1</f>
        <v>0</v>
      </c>
      <c r="AA19" s="245"/>
      <c r="AB19" s="245">
        <f>(BaseLoad!D18*'Base Hours'!X19*IS!$B$2)*-1</f>
        <v>0</v>
      </c>
      <c r="AC19" s="245"/>
      <c r="AD19" s="245">
        <f>(BaseLoad!E18*'Base Hours'!X19*IS!$B$2)*-1</f>
        <v>0</v>
      </c>
      <c r="AE19" s="245"/>
      <c r="AF19" s="245">
        <f>(BaseLoad!F18*'Base Hours'!X19*IS!$B$2)*-1</f>
        <v>0</v>
      </c>
      <c r="AG19" s="245"/>
    </row>
    <row r="20" spans="1:33" x14ac:dyDescent="0.2">
      <c r="A20" s="1">
        <f t="shared" si="1"/>
        <v>36844.170000000013</v>
      </c>
      <c r="B20" s="244">
        <f>IF($A$1="Peak","-",'Base Hours'!B20*BaseLoad!H19*IS!$B$2)</f>
        <v>0</v>
      </c>
      <c r="C20" s="244">
        <f>IF($A$1="Peak","-",'Base Hours'!C20*BaseLoad!I19*IS!$B$2)</f>
        <v>0</v>
      </c>
      <c r="D20" s="244">
        <f>IF($A$1="Peak","-",'Base Hours'!D20*BaseLoad!J19*IS!$B$2)</f>
        <v>0</v>
      </c>
      <c r="E20" s="244">
        <f>IF($A$1="Peak","-",'Base Hours'!E20*BaseLoad!K19*IS!$B$2)</f>
        <v>0</v>
      </c>
      <c r="F20" s="244">
        <f>IF($A$1="Peak","-",'Base Hours'!F20*BaseLoad!L19*IS!$B$2)</f>
        <v>0</v>
      </c>
      <c r="G20" s="244">
        <f>IF($A$1="Peak","-",'Base Hours'!G20*BaseLoad!M19*IS!$B$2)</f>
        <v>0</v>
      </c>
      <c r="H20" s="244">
        <f>IF($A$1="Peak","-",'Base Hours'!H20*BaseLoad!N19*IS!$B$2)</f>
        <v>0</v>
      </c>
      <c r="I20" s="244">
        <f>IF($A$1="Peak","-",'Base Hours'!I20*BaseLoad!O19*IS!$B$2)</f>
        <v>0</v>
      </c>
      <c r="J20" s="244">
        <f>IF($A$1="Peak","-",'Base Hours'!J20*BaseLoad!P19*IS!$B$2)</f>
        <v>0</v>
      </c>
      <c r="K20" s="244">
        <f>IF($A$1="Peak","-",'Base Hours'!K20*BaseLoad!Q19*IS!$B$2)</f>
        <v>0</v>
      </c>
      <c r="L20" s="244">
        <f>IF($A$1="Peak","-",'Base Hours'!L20*BaseLoad!R19*IS!$B$2)</f>
        <v>0</v>
      </c>
      <c r="M20" s="244">
        <f>IF($A$1="Peak","-",'Base Hours'!M20*BaseLoad!S19*IS!$B$2)</f>
        <v>0</v>
      </c>
      <c r="N20" s="244">
        <f>IF($A$1="Peak","-",'Base Hours'!N20*BaseLoad!T19*IS!$B$2)</f>
        <v>0</v>
      </c>
      <c r="O20" s="244">
        <f>IF($A$1="Peak","-",'Base Hours'!O20*BaseLoad!U19*IS!$B$2)</f>
        <v>0</v>
      </c>
      <c r="P20" s="244">
        <f>IF($A$1="Peak","-",'Base Hours'!P20*BaseLoad!V19*IS!$B$2)</f>
        <v>0</v>
      </c>
      <c r="Q20" s="244">
        <f>IF($A$1="Peak","-",'Base Hours'!Q20*BaseLoad!W19*IS!$B$2)</f>
        <v>0</v>
      </c>
      <c r="R20" s="244">
        <f>IF($A$1="Peak","-",'Base Hours'!R20*BaseLoad!X19*IS!$B$2)</f>
        <v>0</v>
      </c>
      <c r="S20" s="244">
        <f>IF($A$1="Peak","-",'Base Hours'!S20*BaseLoad!Y19*IS!$B$2)</f>
        <v>0</v>
      </c>
      <c r="T20" s="244">
        <f>IF($A$1="Peak","-",'Base Hours'!T20*BaseLoad!Z19*IS!$B$2)</f>
        <v>0</v>
      </c>
      <c r="U20" s="244">
        <f>IF($A$1="Peak","-",'Base Hours'!U20*BaseLoad!AA19*IS!$B$2)</f>
        <v>0</v>
      </c>
      <c r="V20" s="244">
        <f t="shared" si="0"/>
        <v>0</v>
      </c>
      <c r="W20" s="244"/>
      <c r="X20" s="244"/>
      <c r="Y20" s="245"/>
      <c r="Z20" s="245">
        <f>(BaseLoad!C19*'Base Hours'!X20*IS!$B$2)*-1</f>
        <v>0</v>
      </c>
      <c r="AA20" s="245"/>
      <c r="AB20" s="245">
        <f>(BaseLoad!D19*'Base Hours'!X20*IS!$B$2)*-1</f>
        <v>0</v>
      </c>
      <c r="AC20" s="245"/>
      <c r="AD20" s="245">
        <f>(BaseLoad!E19*'Base Hours'!X20*IS!$B$2)*-1</f>
        <v>0</v>
      </c>
      <c r="AE20" s="245"/>
      <c r="AF20" s="245">
        <f>(BaseLoad!F19*'Base Hours'!X20*IS!$B$2)*-1</f>
        <v>0</v>
      </c>
      <c r="AG20" s="245"/>
    </row>
    <row r="21" spans="1:33" x14ac:dyDescent="0.2">
      <c r="A21" s="1">
        <f t="shared" si="1"/>
        <v>36874.587000000014</v>
      </c>
      <c r="B21" s="244">
        <f>IF($A$1="Peak","-",'Base Hours'!B21*BaseLoad!H20*IS!$B$2)</f>
        <v>0</v>
      </c>
      <c r="C21" s="244">
        <f>IF($A$1="Peak","-",'Base Hours'!C21*BaseLoad!I20*IS!$B$2)</f>
        <v>0</v>
      </c>
      <c r="D21" s="244">
        <f>IF($A$1="Peak","-",'Base Hours'!D21*BaseLoad!J20*IS!$B$2)</f>
        <v>0</v>
      </c>
      <c r="E21" s="244">
        <f>IF($A$1="Peak","-",'Base Hours'!E21*BaseLoad!K20*IS!$B$2)</f>
        <v>0</v>
      </c>
      <c r="F21" s="244">
        <f>IF($A$1="Peak","-",'Base Hours'!F21*BaseLoad!L20*IS!$B$2)</f>
        <v>0</v>
      </c>
      <c r="G21" s="244">
        <f>IF($A$1="Peak","-",'Base Hours'!G21*BaseLoad!M20*IS!$B$2)</f>
        <v>0</v>
      </c>
      <c r="H21" s="244">
        <f>IF($A$1="Peak","-",'Base Hours'!H21*BaseLoad!N20*IS!$B$2)</f>
        <v>0</v>
      </c>
      <c r="I21" s="244">
        <f>IF($A$1="Peak","-",'Base Hours'!I21*BaseLoad!O20*IS!$B$2)</f>
        <v>0</v>
      </c>
      <c r="J21" s="244">
        <f>IF($A$1="Peak","-",'Base Hours'!J21*BaseLoad!P20*IS!$B$2)</f>
        <v>0</v>
      </c>
      <c r="K21" s="244">
        <f>IF($A$1="Peak","-",'Base Hours'!K21*BaseLoad!Q20*IS!$B$2)</f>
        <v>0</v>
      </c>
      <c r="L21" s="244">
        <f>IF($A$1="Peak","-",'Base Hours'!L21*BaseLoad!R20*IS!$B$2)</f>
        <v>0</v>
      </c>
      <c r="M21" s="244">
        <f>IF($A$1="Peak","-",'Base Hours'!M21*BaseLoad!S20*IS!$B$2)</f>
        <v>0</v>
      </c>
      <c r="N21" s="244">
        <f>IF($A$1="Peak","-",'Base Hours'!N21*BaseLoad!T20*IS!$B$2)</f>
        <v>0</v>
      </c>
      <c r="O21" s="244">
        <f>IF($A$1="Peak","-",'Base Hours'!O21*BaseLoad!U20*IS!$B$2)</f>
        <v>0</v>
      </c>
      <c r="P21" s="244">
        <f>IF($A$1="Peak","-",'Base Hours'!P21*BaseLoad!V20*IS!$B$2)</f>
        <v>0</v>
      </c>
      <c r="Q21" s="244">
        <f>IF($A$1="Peak","-",'Base Hours'!Q21*BaseLoad!W20*IS!$B$2)</f>
        <v>0</v>
      </c>
      <c r="R21" s="244">
        <f>IF($A$1="Peak","-",'Base Hours'!R21*BaseLoad!X20*IS!$B$2)</f>
        <v>0</v>
      </c>
      <c r="S21" s="244">
        <f>IF($A$1="Peak","-",'Base Hours'!S21*BaseLoad!Y20*IS!$B$2)</f>
        <v>0</v>
      </c>
      <c r="T21" s="244">
        <f>IF($A$1="Peak","-",'Base Hours'!T21*BaseLoad!Z20*IS!$B$2)</f>
        <v>0</v>
      </c>
      <c r="U21" s="244">
        <f>IF($A$1="Peak","-",'Base Hours'!U21*BaseLoad!AA20*IS!$B$2)</f>
        <v>0</v>
      </c>
      <c r="V21" s="244">
        <f t="shared" si="0"/>
        <v>0</v>
      </c>
      <c r="W21" s="244">
        <f>IF($A$1="BL",(SUM(V10:V21)),0)</f>
        <v>0</v>
      </c>
      <c r="X21" s="244">
        <f>IF(AND($A$1="BL",W21&gt;0),(PPA!$B$5*8760*IS!$B$2*PPA!$G$4*BaseLoad!$AP$9),0)</f>
        <v>0</v>
      </c>
      <c r="Y21" s="245">
        <f>X21+W21</f>
        <v>0</v>
      </c>
      <c r="Z21" s="245">
        <f>(BaseLoad!C20*'Base Hours'!X21*IS!$B$2)*-1</f>
        <v>0</v>
      </c>
      <c r="AA21" s="245">
        <f>SUM(Z10:Z21)</f>
        <v>0</v>
      </c>
      <c r="AB21" s="245">
        <f>(BaseLoad!D20*'Base Hours'!X21*IS!$B$2)*-1</f>
        <v>0</v>
      </c>
      <c r="AC21" s="245">
        <f>SUM(AB10:AB21)</f>
        <v>0</v>
      </c>
      <c r="AD21" s="245">
        <f>(BaseLoad!E20*'Base Hours'!X21*IS!$B$2)*-1</f>
        <v>0</v>
      </c>
      <c r="AE21" s="245">
        <f>SUM(AD10:AD21)</f>
        <v>0</v>
      </c>
      <c r="AF21" s="245">
        <f>(BaseLoad!F20*'Base Hours'!X21*IS!$B$2)*-1</f>
        <v>0</v>
      </c>
      <c r="AG21" s="245">
        <f>SUM(AF10:AF21)</f>
        <v>0</v>
      </c>
    </row>
    <row r="22" spans="1:33" x14ac:dyDescent="0.2">
      <c r="A22" s="1">
        <f t="shared" si="1"/>
        <v>36905.004000000015</v>
      </c>
      <c r="B22" s="244">
        <f>IF($A$1="Peak","-",'Base Hours'!B22*BaseLoad!H21*IS!$B$2)</f>
        <v>20472.572274666261</v>
      </c>
      <c r="C22" s="244">
        <f>IF($A$1="Peak","-",'Base Hours'!C22*BaseLoad!I21*IS!$B$2)</f>
        <v>20117.022938092519</v>
      </c>
      <c r="D22" s="244">
        <f>IF($A$1="Peak","-",'Base Hours'!D22*BaseLoad!J21*IS!$B$2)</f>
        <v>38951.310981693023</v>
      </c>
      <c r="E22" s="244">
        <f>IF($A$1="Peak","-",'Base Hours'!E22*BaseLoad!K21*IS!$B$2)</f>
        <v>73828.682520490591</v>
      </c>
      <c r="F22" s="244">
        <f>IF($A$1="Peak","-",'Base Hours'!F22*BaseLoad!L21*IS!$B$2)</f>
        <v>73173.958051345006</v>
      </c>
      <c r="G22" s="244">
        <f>IF($A$1="Peak","-",'Base Hours'!G22*BaseLoad!M21*IS!$B$2)</f>
        <v>145283.06307731476</v>
      </c>
      <c r="H22" s="244">
        <f>IF($A$1="Peak","-",'Base Hours'!H22*BaseLoad!N21*IS!$B$2)</f>
        <v>134995.13177828773</v>
      </c>
      <c r="I22" s="244">
        <f>IF($A$1="Peak","-",'Base Hours'!I22*BaseLoad!O21*IS!$B$2)</f>
        <v>109520.21810455821</v>
      </c>
      <c r="J22" s="244">
        <f>IF($A$1="Peak","-",'Base Hours'!J22*BaseLoad!P21*IS!$B$2)</f>
        <v>97475.418191776902</v>
      </c>
      <c r="K22" s="244">
        <f>IF($A$1="Peak","-",'Base Hours'!K22*BaseLoad!Q21*IS!$B$2)</f>
        <v>87176.355400229688</v>
      </c>
      <c r="L22" s="244">
        <f>IF($A$1="Peak","-",'Base Hours'!L22*BaseLoad!R21*IS!$B$2)</f>
        <v>81167.602920538207</v>
      </c>
      <c r="M22" s="244">
        <f>IF($A$1="Peak","-",'Base Hours'!M22*BaseLoad!S21*IS!$B$2)</f>
        <v>64442.870359558547</v>
      </c>
      <c r="N22" s="244">
        <f>IF($A$1="Peak","-",'Base Hours'!N22*BaseLoad!T21*IS!$B$2)</f>
        <v>61434.207045659641</v>
      </c>
      <c r="O22" s="244">
        <f>IF($A$1="Peak","-",'Base Hours'!O22*BaseLoad!U21*IS!$B$2)</f>
        <v>58821.103602025563</v>
      </c>
      <c r="P22" s="244">
        <f>IF($A$1="Peak","-",'Base Hours'!P22*BaseLoad!V21*IS!$B$2)</f>
        <v>55907.605318982256</v>
      </c>
      <c r="Q22" s="244">
        <f>IF($A$1="Peak","-",'Base Hours'!Q22*BaseLoad!W21*IS!$B$2)</f>
        <v>54642.808460087152</v>
      </c>
      <c r="R22" s="244">
        <f>IF($A$1="Peak","-",'Base Hours'!R22*BaseLoad!X21*IS!$B$2)</f>
        <v>53566.697543750473</v>
      </c>
      <c r="S22" s="244">
        <f>IF($A$1="Peak","-",'Base Hours'!S22*BaseLoad!Y21*IS!$B$2)</f>
        <v>53070.679413673337</v>
      </c>
      <c r="T22" s="244">
        <f>IF($A$1="Peak","-",'Base Hours'!T22*BaseLoad!Z21*IS!$B$2)</f>
        <v>52550.343581534544</v>
      </c>
      <c r="U22" s="244">
        <f>IF($A$1="Peak","-",'Base Hours'!U22*BaseLoad!AA21*IS!$B$2)</f>
        <v>141589.42555901542</v>
      </c>
      <c r="V22" s="244">
        <f>SUM(B22:U22)</f>
        <v>1478187.0771232795</v>
      </c>
      <c r="W22" s="244"/>
      <c r="X22" s="244"/>
      <c r="Y22" s="245"/>
      <c r="Z22" s="245">
        <f>(BaseLoad!C21*'Base Hours'!X22*IS!$B$2)*-1</f>
        <v>-1840738.2516486265</v>
      </c>
      <c r="AA22" s="245"/>
      <c r="AB22" s="245">
        <f>(BaseLoad!D21*'Base Hours'!X22*IS!$B$2)*-1</f>
        <v>-157640.39096714417</v>
      </c>
      <c r="AC22" s="245"/>
      <c r="AD22" s="245">
        <f>(BaseLoad!E21*'Base Hours'!X22*IS!$B$2)*-1</f>
        <v>0</v>
      </c>
      <c r="AE22" s="245"/>
      <c r="AF22" s="245">
        <f>(BaseLoad!F21*'Base Hours'!X22*IS!$B$2)*-1</f>
        <v>0</v>
      </c>
      <c r="AG22" s="245"/>
    </row>
    <row r="23" spans="1:33" x14ac:dyDescent="0.2">
      <c r="A23" s="1">
        <f t="shared" si="1"/>
        <v>36935.421000000017</v>
      </c>
      <c r="B23" s="244">
        <f>IF($A$1="Peak","-",'Base Hours'!B23*BaseLoad!H22*IS!$B$2)</f>
        <v>22596.363247585115</v>
      </c>
      <c r="C23" s="244">
        <f>IF($A$1="Peak","-",'Base Hours'!C23*BaseLoad!I22*IS!$B$2)</f>
        <v>21954.539188608524</v>
      </c>
      <c r="D23" s="244">
        <f>IF($A$1="Peak","-",'Base Hours'!D23*BaseLoad!J22*IS!$B$2)</f>
        <v>41860.812535351572</v>
      </c>
      <c r="E23" s="244">
        <f>IF($A$1="Peak","-",'Base Hours'!E23*BaseLoad!K22*IS!$B$2)</f>
        <v>81322.320242353104</v>
      </c>
      <c r="F23" s="244">
        <f>IF($A$1="Peak","-",'Base Hours'!F23*BaseLoad!L22*IS!$B$2)</f>
        <v>81123.303049363531</v>
      </c>
      <c r="G23" s="244">
        <f>IF($A$1="Peak","-",'Base Hours'!G23*BaseLoad!M22*IS!$B$2)</f>
        <v>154747.61369259976</v>
      </c>
      <c r="H23" s="244">
        <f>IF($A$1="Peak","-",'Base Hours'!H23*BaseLoad!N22*IS!$B$2)</f>
        <v>131526.09586002925</v>
      </c>
      <c r="I23" s="244">
        <f>IF($A$1="Peak","-",'Base Hours'!I23*BaseLoad!O22*IS!$B$2)</f>
        <v>111077.47685578246</v>
      </c>
      <c r="J23" s="244">
        <f>IF($A$1="Peak","-",'Base Hours'!J23*BaseLoad!P22*IS!$B$2)</f>
        <v>92476.704975120767</v>
      </c>
      <c r="K23" s="244">
        <f>IF($A$1="Peak","-",'Base Hours'!K23*BaseLoad!Q22*IS!$B$2)</f>
        <v>88619.224744174775</v>
      </c>
      <c r="L23" s="244">
        <f>IF($A$1="Peak","-",'Base Hours'!L23*BaseLoad!R22*IS!$B$2)</f>
        <v>69074.704403520489</v>
      </c>
      <c r="M23" s="244">
        <f>IF($A$1="Peak","-",'Base Hours'!M23*BaseLoad!S22*IS!$B$2)</f>
        <v>64326.927830783243</v>
      </c>
      <c r="N23" s="244">
        <f>IF($A$1="Peak","-",'Base Hours'!N23*BaseLoad!T22*IS!$B$2)</f>
        <v>62380.870963700523</v>
      </c>
      <c r="O23" s="244">
        <f>IF($A$1="Peak","-",'Base Hours'!O23*BaseLoad!U22*IS!$B$2)</f>
        <v>59255.862245255725</v>
      </c>
      <c r="P23" s="244">
        <f>IF($A$1="Peak","-",'Base Hours'!P23*BaseLoad!V22*IS!$B$2)</f>
        <v>57917.913585243026</v>
      </c>
      <c r="Q23" s="244">
        <f>IF($A$1="Peak","-",'Base Hours'!Q23*BaseLoad!W22*IS!$B$2)</f>
        <v>56858.386004027394</v>
      </c>
      <c r="R23" s="244">
        <f>IF($A$1="Peak","-",'Base Hours'!R23*BaseLoad!X22*IS!$B$2)</f>
        <v>55963.414860321187</v>
      </c>
      <c r="S23" s="244">
        <f>IF($A$1="Peak","-",'Base Hours'!S23*BaseLoad!Y22*IS!$B$2)</f>
        <v>55290.466631108007</v>
      </c>
      <c r="T23" s="244">
        <f>IF($A$1="Peak","-",'Base Hours'!T23*BaseLoad!Z22*IS!$B$2)</f>
        <v>54899.542124374246</v>
      </c>
      <c r="U23" s="244">
        <f>IF($A$1="Peak","-",'Base Hours'!U23*BaseLoad!AA22*IS!$B$2)</f>
        <v>148737.69885755246</v>
      </c>
      <c r="V23" s="244">
        <f t="shared" ref="V23:V81" si="2">SUM(B23:U23)</f>
        <v>1512010.2418968549</v>
      </c>
      <c r="W23" s="244"/>
      <c r="X23" s="244"/>
      <c r="Y23" s="245"/>
      <c r="Z23" s="245">
        <f>(BaseLoad!C22*'Base Hours'!X23*IS!$B$2)*-1</f>
        <v>-1840738.2516486265</v>
      </c>
      <c r="AA23" s="245"/>
      <c r="AB23" s="245">
        <f>(BaseLoad!D22*'Base Hours'!X23*IS!$B$2)*-1</f>
        <v>-157903.12495208939</v>
      </c>
      <c r="AC23" s="245"/>
      <c r="AD23" s="245">
        <f>(BaseLoad!E22*'Base Hours'!X23*IS!$B$2)*-1</f>
        <v>0</v>
      </c>
      <c r="AE23" s="245"/>
      <c r="AF23" s="245">
        <f>(BaseLoad!F22*'Base Hours'!X23*IS!$B$2)*-1</f>
        <v>0</v>
      </c>
      <c r="AG23" s="245"/>
    </row>
    <row r="24" spans="1:33" x14ac:dyDescent="0.2">
      <c r="A24" s="1">
        <f t="shared" si="1"/>
        <v>36965.838000000018</v>
      </c>
      <c r="B24" s="244">
        <f>IF($A$1="Peak","-",'Base Hours'!B24*BaseLoad!H23*IS!$B$2)</f>
        <v>22011.755350333606</v>
      </c>
      <c r="C24" s="244">
        <f>IF($A$1="Peak","-",'Base Hours'!C24*BaseLoad!I23*IS!$B$2)</f>
        <v>21405.713598742856</v>
      </c>
      <c r="D24" s="244">
        <f>IF($A$1="Peak","-",'Base Hours'!D24*BaseLoad!J23*IS!$B$2)</f>
        <v>41469.378257435106</v>
      </c>
      <c r="E24" s="244">
        <f>IF($A$1="Peak","-",'Base Hours'!E24*BaseLoad!K23*IS!$B$2)</f>
        <v>80053.48796410473</v>
      </c>
      <c r="F24" s="244">
        <f>IF($A$1="Peak","-",'Base Hours'!F24*BaseLoad!L23*IS!$B$2)</f>
        <v>79616.404203572936</v>
      </c>
      <c r="G24" s="244">
        <f>IF($A$1="Peak","-",'Base Hours'!G24*BaseLoad!M23*IS!$B$2)</f>
        <v>156404.57878745027</v>
      </c>
      <c r="H24" s="244">
        <f>IF($A$1="Peak","-",'Base Hours'!H24*BaseLoad!N23*IS!$B$2)</f>
        <v>144615.27858928201</v>
      </c>
      <c r="I24" s="244">
        <f>IF($A$1="Peak","-",'Base Hours'!I24*BaseLoad!O23*IS!$B$2)</f>
        <v>116641.91662735405</v>
      </c>
      <c r="J24" s="244">
        <f>IF($A$1="Peak","-",'Base Hours'!J24*BaseLoad!P23*IS!$B$2)</f>
        <v>106715.43155362205</v>
      </c>
      <c r="K24" s="244">
        <f>IF($A$1="Peak","-",'Base Hours'!K24*BaseLoad!Q23*IS!$B$2)</f>
        <v>90758.496249588337</v>
      </c>
      <c r="L24" s="244">
        <f>IF($A$1="Peak","-",'Base Hours'!L24*BaseLoad!R23*IS!$B$2)</f>
        <v>90271.999422433044</v>
      </c>
      <c r="M24" s="244">
        <f>IF($A$1="Peak","-",'Base Hours'!M24*BaseLoad!S23*IS!$B$2)</f>
        <v>68003.503714970895</v>
      </c>
      <c r="N24" s="244">
        <f>IF($A$1="Peak","-",'Base Hours'!N24*BaseLoad!T23*IS!$B$2)</f>
        <v>60433.388841844535</v>
      </c>
      <c r="O24" s="244">
        <f>IF($A$1="Peak","-",'Base Hours'!O24*BaseLoad!U23*IS!$B$2)</f>
        <v>59287.642882476328</v>
      </c>
      <c r="P24" s="244">
        <f>IF($A$1="Peak","-",'Base Hours'!P24*BaseLoad!V23*IS!$B$2)</f>
        <v>56699.238922958109</v>
      </c>
      <c r="Q24" s="244">
        <f>IF($A$1="Peak","-",'Base Hours'!Q24*BaseLoad!W23*IS!$B$2)</f>
        <v>54363.684775934576</v>
      </c>
      <c r="R24" s="244">
        <f>IF($A$1="Peak","-",'Base Hours'!R24*BaseLoad!X23*IS!$B$2)</f>
        <v>53427.335283299806</v>
      </c>
      <c r="S24" s="244">
        <f>IF($A$1="Peak","-",'Base Hours'!S24*BaseLoad!Y23*IS!$B$2)</f>
        <v>52384.900391963281</v>
      </c>
      <c r="T24" s="244">
        <f>IF($A$1="Peak","-",'Base Hours'!T24*BaseLoad!Z23*IS!$B$2)</f>
        <v>51643.208077095216</v>
      </c>
      <c r="U24" s="244">
        <f>IF($A$1="Peak","-",'Base Hours'!U24*BaseLoad!AA23*IS!$B$2)</f>
        <v>138983.11336237169</v>
      </c>
      <c r="V24" s="244">
        <f t="shared" si="2"/>
        <v>1545190.4568568335</v>
      </c>
      <c r="W24" s="244"/>
      <c r="X24" s="244"/>
      <c r="Y24" s="245"/>
      <c r="Z24" s="245">
        <f>(BaseLoad!C23*'Base Hours'!X24*IS!$B$2)*-1</f>
        <v>-1840738.2516486265</v>
      </c>
      <c r="AA24" s="245"/>
      <c r="AB24" s="245">
        <f>(BaseLoad!D23*'Base Hours'!X24*IS!$B$2)*-1</f>
        <v>-158166.29682700956</v>
      </c>
      <c r="AC24" s="245"/>
      <c r="AD24" s="245">
        <f>(BaseLoad!E23*'Base Hours'!X24*IS!$B$2)*-1</f>
        <v>0</v>
      </c>
      <c r="AE24" s="245"/>
      <c r="AF24" s="245">
        <f>(BaseLoad!F23*'Base Hours'!X24*IS!$B$2)*-1</f>
        <v>0</v>
      </c>
      <c r="AG24" s="245"/>
    </row>
    <row r="25" spans="1:33" x14ac:dyDescent="0.2">
      <c r="A25" s="1">
        <f t="shared" si="1"/>
        <v>36996.255000000019</v>
      </c>
      <c r="B25" s="244">
        <f>IF($A$1="Peak","-",'Base Hours'!B25*BaseLoad!H24*IS!$B$2)</f>
        <v>21672.899286691711</v>
      </c>
      <c r="C25" s="244">
        <f>IF($A$1="Peak","-",'Base Hours'!C25*BaseLoad!I24*IS!$B$2)</f>
        <v>20839.997456330082</v>
      </c>
      <c r="D25" s="244">
        <f>IF($A$1="Peak","-",'Base Hours'!D25*BaseLoad!J24*IS!$B$2)</f>
        <v>41034.260801343764</v>
      </c>
      <c r="E25" s="244">
        <f>IF($A$1="Peak","-",'Base Hours'!E25*BaseLoad!K24*IS!$B$2)</f>
        <v>81961.926145520978</v>
      </c>
      <c r="F25" s="244">
        <f>IF($A$1="Peak","-",'Base Hours'!F25*BaseLoad!L24*IS!$B$2)</f>
        <v>80778.022744175047</v>
      </c>
      <c r="G25" s="244">
        <f>IF($A$1="Peak","-",'Base Hours'!G25*BaseLoad!M24*IS!$B$2)</f>
        <v>148656.25802151414</v>
      </c>
      <c r="H25" s="244">
        <f>IF($A$1="Peak","-",'Base Hours'!H25*BaseLoad!N24*IS!$B$2)</f>
        <v>118228.81817836607</v>
      </c>
      <c r="I25" s="244">
        <f>IF($A$1="Peak","-",'Base Hours'!I25*BaseLoad!O24*IS!$B$2)</f>
        <v>104008.77163557748</v>
      </c>
      <c r="J25" s="244">
        <f>IF($A$1="Peak","-",'Base Hours'!J25*BaseLoad!P24*IS!$B$2)</f>
        <v>93260.386320999591</v>
      </c>
      <c r="K25" s="244">
        <f>IF($A$1="Peak","-",'Base Hours'!K25*BaseLoad!Q24*IS!$B$2)</f>
        <v>79635.223520218715</v>
      </c>
      <c r="L25" s="244">
        <f>IF($A$1="Peak","-",'Base Hours'!L25*BaseLoad!R24*IS!$B$2)</f>
        <v>57764.237349523166</v>
      </c>
      <c r="M25" s="244">
        <f>IF($A$1="Peak","-",'Base Hours'!M25*BaseLoad!S24*IS!$B$2)</f>
        <v>56312.807049646464</v>
      </c>
      <c r="N25" s="244">
        <f>IF($A$1="Peak","-",'Base Hours'!N25*BaseLoad!T24*IS!$B$2)</f>
        <v>53209.903772510603</v>
      </c>
      <c r="O25" s="244">
        <f>IF($A$1="Peak","-",'Base Hours'!O25*BaseLoad!U24*IS!$B$2)</f>
        <v>50837.688045780415</v>
      </c>
      <c r="P25" s="244">
        <f>IF($A$1="Peak","-",'Base Hours'!P25*BaseLoad!V24*IS!$B$2)</f>
        <v>49554.430542507762</v>
      </c>
      <c r="Q25" s="244">
        <f>IF($A$1="Peak","-",'Base Hours'!Q25*BaseLoad!W24*IS!$B$2)</f>
        <v>48658.789278467091</v>
      </c>
      <c r="R25" s="244">
        <f>IF($A$1="Peak","-",'Base Hours'!R25*BaseLoad!X24*IS!$B$2)</f>
        <v>48085.715376492713</v>
      </c>
      <c r="S25" s="244">
        <f>IF($A$1="Peak","-",'Base Hours'!S25*BaseLoad!Y24*IS!$B$2)</f>
        <v>47648.755679473805</v>
      </c>
      <c r="T25" s="244">
        <f>IF($A$1="Peak","-",'Base Hours'!T25*BaseLoad!Z24*IS!$B$2)</f>
        <v>47000.828370335483</v>
      </c>
      <c r="U25" s="244">
        <f>IF($A$1="Peak","-",'Base Hours'!U25*BaseLoad!AA24*IS!$B$2)</f>
        <v>127404.40725164312</v>
      </c>
      <c r="V25" s="244">
        <f t="shared" si="2"/>
        <v>1376554.1268271182</v>
      </c>
      <c r="W25" s="244"/>
      <c r="X25" s="244"/>
      <c r="Y25" s="245"/>
      <c r="Z25" s="245">
        <f>(BaseLoad!C24*'Base Hours'!X25*IS!$B$2)*-1</f>
        <v>-1840738.2516486265</v>
      </c>
      <c r="AA25" s="245"/>
      <c r="AB25" s="245">
        <f>(BaseLoad!D24*'Base Hours'!X25*IS!$B$2)*-1</f>
        <v>-158429.90732172126</v>
      </c>
      <c r="AC25" s="245"/>
      <c r="AD25" s="245">
        <f>(BaseLoad!E24*'Base Hours'!X25*IS!$B$2)*-1</f>
        <v>0</v>
      </c>
      <c r="AE25" s="245"/>
      <c r="AF25" s="245">
        <f>(BaseLoad!F24*'Base Hours'!X25*IS!$B$2)*-1</f>
        <v>0</v>
      </c>
      <c r="AG25" s="245"/>
    </row>
    <row r="26" spans="1:33" x14ac:dyDescent="0.2">
      <c r="A26" s="1">
        <f t="shared" si="1"/>
        <v>37026.67200000002</v>
      </c>
      <c r="B26" s="244">
        <f>IF($A$1="Peak","-",'Base Hours'!B26*BaseLoad!H25*IS!$B$2)</f>
        <v>19726.494611053993</v>
      </c>
      <c r="C26" s="244">
        <f>IF($A$1="Peak","-",'Base Hours'!C26*BaseLoad!I25*IS!$B$2)</f>
        <v>17362.375774242893</v>
      </c>
      <c r="D26" s="244">
        <f>IF($A$1="Peak","-",'Base Hours'!D26*BaseLoad!J25*IS!$B$2)</f>
        <v>33571.438904979965</v>
      </c>
      <c r="E26" s="244">
        <f>IF($A$1="Peak","-",'Base Hours'!E26*BaseLoad!K25*IS!$B$2)</f>
        <v>64236.802917482382</v>
      </c>
      <c r="F26" s="244">
        <f>IF($A$1="Peak","-",'Base Hours'!F26*BaseLoad!L25*IS!$B$2)</f>
        <v>60121.046577290312</v>
      </c>
      <c r="G26" s="244">
        <f>IF($A$1="Peak","-",'Base Hours'!G26*BaseLoad!M25*IS!$B$2)</f>
        <v>117252.89447340285</v>
      </c>
      <c r="H26" s="244">
        <f>IF($A$1="Peak","-",'Base Hours'!H26*BaseLoad!N25*IS!$B$2)</f>
        <v>113241.78544401629</v>
      </c>
      <c r="I26" s="244">
        <f>IF($A$1="Peak","-",'Base Hours'!I26*BaseLoad!O25*IS!$B$2)</f>
        <v>89906.073360750204</v>
      </c>
      <c r="J26" s="244">
        <f>IF($A$1="Peak","-",'Base Hours'!J26*BaseLoad!P25*IS!$B$2)</f>
        <v>79822.039403054863</v>
      </c>
      <c r="K26" s="244">
        <f>IF($A$1="Peak","-",'Base Hours'!K26*BaseLoad!Q25*IS!$B$2)</f>
        <v>68581.057776285699</v>
      </c>
      <c r="L26" s="244">
        <f>IF($A$1="Peak","-",'Base Hours'!L26*BaseLoad!R25*IS!$B$2)</f>
        <v>68123.98379068129</v>
      </c>
      <c r="M26" s="244">
        <f>IF($A$1="Peak","-",'Base Hours'!M26*BaseLoad!S25*IS!$B$2)</f>
        <v>63972.775145597654</v>
      </c>
      <c r="N26" s="244">
        <f>IF($A$1="Peak","-",'Base Hours'!N26*BaseLoad!T25*IS!$B$2)</f>
        <v>62320.447169697691</v>
      </c>
      <c r="O26" s="244">
        <f>IF($A$1="Peak","-",'Base Hours'!O26*BaseLoad!U25*IS!$B$2)</f>
        <v>58576.828542162839</v>
      </c>
      <c r="P26" s="244">
        <f>IF($A$1="Peak","-",'Base Hours'!P26*BaseLoad!V25*IS!$B$2)</f>
        <v>56962.430376945915</v>
      </c>
      <c r="Q26" s="244">
        <f>IF($A$1="Peak","-",'Base Hours'!Q26*BaseLoad!W25*IS!$B$2)</f>
        <v>55793.687251286196</v>
      </c>
      <c r="R26" s="244">
        <f>IF($A$1="Peak","-",'Base Hours'!R26*BaseLoad!X25*IS!$B$2)</f>
        <v>55126.656304871532</v>
      </c>
      <c r="S26" s="244">
        <f>IF($A$1="Peak","-",'Base Hours'!S26*BaseLoad!Y25*IS!$B$2)</f>
        <v>54467.827160792978</v>
      </c>
      <c r="T26" s="244">
        <f>IF($A$1="Peak","-",'Base Hours'!T26*BaseLoad!Z25*IS!$B$2)</f>
        <v>54069.299706019221</v>
      </c>
      <c r="U26" s="244">
        <f>IF($A$1="Peak","-",'Base Hours'!U26*BaseLoad!AA25*IS!$B$2)</f>
        <v>146338.38536856955</v>
      </c>
      <c r="V26" s="244">
        <f t="shared" si="2"/>
        <v>1339574.3300591842</v>
      </c>
      <c r="W26" s="244"/>
      <c r="X26" s="244"/>
      <c r="Y26" s="245"/>
      <c r="Z26" s="245">
        <f>(BaseLoad!C25*'Base Hours'!X26*IS!$B$2)*-1</f>
        <v>-1840738.2516486265</v>
      </c>
      <c r="AA26" s="245"/>
      <c r="AB26" s="245">
        <f>(BaseLoad!D25*'Base Hours'!X26*IS!$B$2)*-1</f>
        <v>-158693.95716725744</v>
      </c>
      <c r="AC26" s="245"/>
      <c r="AD26" s="245">
        <f>(BaseLoad!E25*'Base Hours'!X26*IS!$B$2)*-1</f>
        <v>0</v>
      </c>
      <c r="AE26" s="245"/>
      <c r="AF26" s="245">
        <f>(BaseLoad!F25*'Base Hours'!X26*IS!$B$2)*-1</f>
        <v>0</v>
      </c>
      <c r="AG26" s="245"/>
    </row>
    <row r="27" spans="1:33" x14ac:dyDescent="0.2">
      <c r="A27" s="1">
        <f t="shared" si="1"/>
        <v>37057.089000000022</v>
      </c>
      <c r="B27" s="244">
        <f>IF($A$1="Peak","-",'Base Hours'!B27*BaseLoad!H26*IS!$B$2)</f>
        <v>52725.128389069832</v>
      </c>
      <c r="C27" s="244">
        <f>IF($A$1="Peak","-",'Base Hours'!C27*BaseLoad!I26*IS!$B$2)</f>
        <v>27536.841286470466</v>
      </c>
      <c r="D27" s="244">
        <f>IF($A$1="Peak","-",'Base Hours'!D27*BaseLoad!J26*IS!$B$2)</f>
        <v>48971.729501101981</v>
      </c>
      <c r="E27" s="244">
        <f>IF($A$1="Peak","-",'Base Hours'!E27*BaseLoad!K26*IS!$B$2)</f>
        <v>91865.694614303633</v>
      </c>
      <c r="F27" s="244">
        <f>IF($A$1="Peak","-",'Base Hours'!F27*BaseLoad!L26*IS!$B$2)</f>
        <v>85224.517966426167</v>
      </c>
      <c r="G27" s="244">
        <f>IF($A$1="Peak","-",'Base Hours'!G27*BaseLoad!M26*IS!$B$2)</f>
        <v>166833.98153024513</v>
      </c>
      <c r="H27" s="244">
        <f>IF($A$1="Peak","-",'Base Hours'!H27*BaseLoad!N26*IS!$B$2)</f>
        <v>137619.354357895</v>
      </c>
      <c r="I27" s="244">
        <f>IF($A$1="Peak","-",'Base Hours'!I27*BaseLoad!O26*IS!$B$2)</f>
        <v>106312.4618045559</v>
      </c>
      <c r="J27" s="244">
        <f>IF($A$1="Peak","-",'Base Hours'!J27*BaseLoad!P26*IS!$B$2)</f>
        <v>93177.03159494733</v>
      </c>
      <c r="K27" s="244">
        <f>IF($A$1="Peak","-",'Base Hours'!K27*BaseLoad!Q26*IS!$B$2)</f>
        <v>68616.763156001092</v>
      </c>
      <c r="L27" s="244">
        <f>IF($A$1="Peak","-",'Base Hours'!L27*BaseLoad!R26*IS!$B$2)</f>
        <v>64784.764633583538</v>
      </c>
      <c r="M27" s="244">
        <f>IF($A$1="Peak","-",'Base Hours'!M27*BaseLoad!S26*IS!$B$2)</f>
        <v>60040.290210342915</v>
      </c>
      <c r="N27" s="244">
        <f>IF($A$1="Peak","-",'Base Hours'!N27*BaseLoad!T26*IS!$B$2)</f>
        <v>58273.42778736115</v>
      </c>
      <c r="O27" s="244">
        <f>IF($A$1="Peak","-",'Base Hours'!O27*BaseLoad!U26*IS!$B$2)</f>
        <v>56414.62785965221</v>
      </c>
      <c r="P27" s="244">
        <f>IF($A$1="Peak","-",'Base Hours'!P27*BaseLoad!V26*IS!$B$2)</f>
        <v>55362.613763988527</v>
      </c>
      <c r="Q27" s="244">
        <f>IF($A$1="Peak","-",'Base Hours'!Q27*BaseLoad!W26*IS!$B$2)</f>
        <v>54698.972378524384</v>
      </c>
      <c r="R27" s="244">
        <f>IF($A$1="Peak","-",'Base Hours'!R27*BaseLoad!X26*IS!$B$2)</f>
        <v>53966.762259723364</v>
      </c>
      <c r="S27" s="244">
        <f>IF($A$1="Peak","-",'Base Hours'!S27*BaseLoad!Y26*IS!$B$2)</f>
        <v>53639.848766008989</v>
      </c>
      <c r="T27" s="244">
        <f>IF($A$1="Peak","-",'Base Hours'!T27*BaseLoad!Z26*IS!$B$2)</f>
        <v>53366.937506573668</v>
      </c>
      <c r="U27" s="244">
        <f>IF($A$1="Peak","-",'Base Hours'!U27*BaseLoad!AA26*IS!$B$2)</f>
        <v>144084.70964749242</v>
      </c>
      <c r="V27" s="244">
        <f t="shared" si="2"/>
        <v>1533516.4590142681</v>
      </c>
      <c r="W27" s="244"/>
      <c r="X27" s="244"/>
      <c r="Y27" s="245"/>
      <c r="Z27" s="245">
        <f>(BaseLoad!C26*'Base Hours'!X27*IS!$B$2)*-1</f>
        <v>-1840738.2516486265</v>
      </c>
      <c r="AA27" s="245"/>
      <c r="AB27" s="245">
        <f>(BaseLoad!D26*'Base Hours'!X27*IS!$B$2)*-1</f>
        <v>-158958.44709586957</v>
      </c>
      <c r="AC27" s="245"/>
      <c r="AD27" s="245">
        <f>(BaseLoad!E26*'Base Hours'!X27*IS!$B$2)*-1</f>
        <v>0</v>
      </c>
      <c r="AE27" s="245"/>
      <c r="AF27" s="245">
        <f>(BaseLoad!F26*'Base Hours'!X27*IS!$B$2)*-1</f>
        <v>0</v>
      </c>
      <c r="AG27" s="245"/>
    </row>
    <row r="28" spans="1:33" x14ac:dyDescent="0.2">
      <c r="A28" s="1">
        <f t="shared" si="1"/>
        <v>37087.506000000023</v>
      </c>
      <c r="B28" s="244">
        <f>IF($A$1="Peak","-",'Base Hours'!B28*BaseLoad!H27*IS!$B$2)</f>
        <v>417463.98835548729</v>
      </c>
      <c r="C28" s="244">
        <f>IF($A$1="Peak","-",'Base Hours'!C28*BaseLoad!I27*IS!$B$2)</f>
        <v>210200.45734313095</v>
      </c>
      <c r="D28" s="244">
        <f>IF($A$1="Peak","-",'Base Hours'!D28*BaseLoad!J27*IS!$B$2)</f>
        <v>249617.14039066207</v>
      </c>
      <c r="E28" s="244">
        <f>IF($A$1="Peak","-",'Base Hours'!E28*BaseLoad!K27*IS!$B$2)</f>
        <v>292800.07200064021</v>
      </c>
      <c r="F28" s="244">
        <f>IF($A$1="Peak","-",'Base Hours'!F28*BaseLoad!L27*IS!$B$2)</f>
        <v>92884.366203045851</v>
      </c>
      <c r="G28" s="244">
        <f>IF($A$1="Peak","-",'Base Hours'!G28*BaseLoad!M27*IS!$B$2)</f>
        <v>134290.45294702559</v>
      </c>
      <c r="H28" s="244">
        <f>IF($A$1="Peak","-",'Base Hours'!H28*BaseLoad!N27*IS!$B$2)</f>
        <v>123851.3242991131</v>
      </c>
      <c r="I28" s="244">
        <f>IF($A$1="Peak","-",'Base Hours'!I28*BaseLoad!O27*IS!$B$2)</f>
        <v>116977.23052670719</v>
      </c>
      <c r="J28" s="244">
        <f>IF($A$1="Peak","-",'Base Hours'!J28*BaseLoad!P27*IS!$B$2)</f>
        <v>114059.39767453523</v>
      </c>
      <c r="K28" s="244">
        <f>IF($A$1="Peak","-",'Base Hours'!K28*BaseLoad!Q27*IS!$B$2)</f>
        <v>93973.792202565019</v>
      </c>
      <c r="L28" s="244">
        <f>IF($A$1="Peak","-",'Base Hours'!L28*BaseLoad!R27*IS!$B$2)</f>
        <v>76322.062107183534</v>
      </c>
      <c r="M28" s="244">
        <f>IF($A$1="Peak","-",'Base Hours'!M28*BaseLoad!S27*IS!$B$2)</f>
        <v>68118.201016861989</v>
      </c>
      <c r="N28" s="244">
        <f>IF($A$1="Peak","-",'Base Hours'!N28*BaseLoad!T27*IS!$B$2)</f>
        <v>60702.277790571105</v>
      </c>
      <c r="O28" s="244">
        <f>IF($A$1="Peak","-",'Base Hours'!O28*BaseLoad!U27*IS!$B$2)</f>
        <v>57787.67196829203</v>
      </c>
      <c r="P28" s="244">
        <f>IF($A$1="Peak","-",'Base Hours'!P28*BaseLoad!V27*IS!$B$2)</f>
        <v>53780.043643716002</v>
      </c>
      <c r="Q28" s="244">
        <f>IF($A$1="Peak","-",'Base Hours'!Q28*BaseLoad!W27*IS!$B$2)</f>
        <v>52159.783075031672</v>
      </c>
      <c r="R28" s="244">
        <f>IF($A$1="Peak","-",'Base Hours'!R28*BaseLoad!X27*IS!$B$2)</f>
        <v>50757.372751222065</v>
      </c>
      <c r="S28" s="244">
        <f>IF($A$1="Peak","-",'Base Hours'!S28*BaseLoad!Y27*IS!$B$2)</f>
        <v>49981.041041209544</v>
      </c>
      <c r="T28" s="244">
        <f>IF($A$1="Peak","-",'Base Hours'!T28*BaseLoad!Z27*IS!$B$2)</f>
        <v>49261.041237397527</v>
      </c>
      <c r="U28" s="244">
        <f>IF($A$1="Peak","-",'Base Hours'!U28*BaseLoad!AA27*IS!$B$2)</f>
        <v>132125.39335914803</v>
      </c>
      <c r="V28" s="244">
        <f t="shared" si="2"/>
        <v>2497113.1099335458</v>
      </c>
      <c r="W28" s="244"/>
      <c r="X28" s="244"/>
      <c r="Y28" s="245"/>
      <c r="Z28" s="245">
        <f>(BaseLoad!C27*'Base Hours'!X28*IS!$B$2)*-1</f>
        <v>-1840738.2516486265</v>
      </c>
      <c r="AA28" s="245"/>
      <c r="AB28" s="245">
        <f>(BaseLoad!D27*'Base Hours'!X28*IS!$B$2)*-1</f>
        <v>-159223.37784102935</v>
      </c>
      <c r="AC28" s="245"/>
      <c r="AD28" s="245">
        <f>(BaseLoad!E27*'Base Hours'!X28*IS!$B$2)*-1</f>
        <v>0</v>
      </c>
      <c r="AE28" s="245"/>
      <c r="AF28" s="245">
        <f>(BaseLoad!F27*'Base Hours'!X28*IS!$B$2)*-1</f>
        <v>0</v>
      </c>
      <c r="AG28" s="245"/>
    </row>
    <row r="29" spans="1:33" x14ac:dyDescent="0.2">
      <c r="A29" s="1">
        <f t="shared" si="1"/>
        <v>37117.923000000024</v>
      </c>
      <c r="B29" s="244">
        <f>IF($A$1="Peak","-",'Base Hours'!B29*BaseLoad!H28*IS!$B$2)</f>
        <v>1366562.5390075601</v>
      </c>
      <c r="C29" s="244">
        <f>IF($A$1="Peak","-",'Base Hours'!C29*BaseLoad!I28*IS!$B$2)</f>
        <v>515143.09917959274</v>
      </c>
      <c r="D29" s="244">
        <f>IF($A$1="Peak","-",'Base Hours'!D29*BaseLoad!J28*IS!$B$2)</f>
        <v>549952.00751774409</v>
      </c>
      <c r="E29" s="244">
        <f>IF($A$1="Peak","-",'Base Hours'!E29*BaseLoad!K28*IS!$B$2)</f>
        <v>503509.32490356237</v>
      </c>
      <c r="F29" s="244">
        <f>IF($A$1="Peak","-",'Base Hours'!F29*BaseLoad!L28*IS!$B$2)</f>
        <v>279484.50904746517</v>
      </c>
      <c r="G29" s="244">
        <f>IF($A$1="Peak","-",'Base Hours'!G29*BaseLoad!M28*IS!$B$2)</f>
        <v>142402.99643224542</v>
      </c>
      <c r="H29" s="244">
        <f>IF($A$1="Peak","-",'Base Hours'!H29*BaseLoad!N28*IS!$B$2)</f>
        <v>112833.46866122587</v>
      </c>
      <c r="I29" s="244">
        <f>IF($A$1="Peak","-",'Base Hours'!I29*BaseLoad!O28*IS!$B$2)</f>
        <v>101041.93731755856</v>
      </c>
      <c r="J29" s="244">
        <f>IF($A$1="Peak","-",'Base Hours'!J29*BaseLoad!P28*IS!$B$2)</f>
        <v>96218.896023333931</v>
      </c>
      <c r="K29" s="244">
        <f>IF($A$1="Peak","-",'Base Hours'!K29*BaseLoad!Q28*IS!$B$2)</f>
        <v>74855.257555897741</v>
      </c>
      <c r="L29" s="244">
        <f>IF($A$1="Peak","-",'Base Hours'!L29*BaseLoad!R28*IS!$B$2)</f>
        <v>62953.223299334764</v>
      </c>
      <c r="M29" s="244">
        <f>IF($A$1="Peak","-",'Base Hours'!M29*BaseLoad!S28*IS!$B$2)</f>
        <v>59121.640511928905</v>
      </c>
      <c r="N29" s="244">
        <f>IF($A$1="Peak","-",'Base Hours'!N29*BaseLoad!T28*IS!$B$2)</f>
        <v>58314.986710946665</v>
      </c>
      <c r="O29" s="244">
        <f>IF($A$1="Peak","-",'Base Hours'!O29*BaseLoad!U28*IS!$B$2)</f>
        <v>54946.018957043772</v>
      </c>
      <c r="P29" s="244">
        <f>IF($A$1="Peak","-",'Base Hours'!P29*BaseLoad!V28*IS!$B$2)</f>
        <v>53255.420609796049</v>
      </c>
      <c r="Q29" s="244">
        <f>IF($A$1="Peak","-",'Base Hours'!Q29*BaseLoad!W28*IS!$B$2)</f>
        <v>51992.792583376904</v>
      </c>
      <c r="R29" s="244">
        <f>IF($A$1="Peak","-",'Base Hours'!R29*BaseLoad!X28*IS!$B$2)</f>
        <v>51024.554176573416</v>
      </c>
      <c r="S29" s="244">
        <f>IF($A$1="Peak","-",'Base Hours'!S29*BaseLoad!Y28*IS!$B$2)</f>
        <v>50424.81127292227</v>
      </c>
      <c r="T29" s="244">
        <f>IF($A$1="Peak","-",'Base Hours'!T29*BaseLoad!Z28*IS!$B$2)</f>
        <v>49887.634425900629</v>
      </c>
      <c r="U29" s="244">
        <f>IF($A$1="Peak","-",'Base Hours'!U29*BaseLoad!AA28*IS!$B$2)</f>
        <v>134465.37623095707</v>
      </c>
      <c r="V29" s="244">
        <f t="shared" si="2"/>
        <v>4368390.4944249671</v>
      </c>
      <c r="W29" s="244"/>
      <c r="X29" s="244"/>
      <c r="Y29" s="245"/>
      <c r="Z29" s="245">
        <f>(BaseLoad!C28*'Base Hours'!X29*IS!$B$2)*-1</f>
        <v>-1840738.2516486265</v>
      </c>
      <c r="AA29" s="245"/>
      <c r="AB29" s="245">
        <f>(BaseLoad!D28*'Base Hours'!X29*IS!$B$2)*-1</f>
        <v>-159488.75013743108</v>
      </c>
      <c r="AC29" s="245"/>
      <c r="AD29" s="245">
        <f>(BaseLoad!E28*'Base Hours'!X29*IS!$B$2)*-1</f>
        <v>0</v>
      </c>
      <c r="AE29" s="245"/>
      <c r="AF29" s="245">
        <f>(BaseLoad!F28*'Base Hours'!X29*IS!$B$2)*-1</f>
        <v>0</v>
      </c>
      <c r="AG29" s="245"/>
    </row>
    <row r="30" spans="1:33" x14ac:dyDescent="0.2">
      <c r="A30" s="1">
        <f t="shared" si="1"/>
        <v>37148.340000000026</v>
      </c>
      <c r="B30" s="244">
        <f>IF($A$1="Peak","-",'Base Hours'!B30*BaseLoad!H29*IS!$B$2)</f>
        <v>145525.78281656021</v>
      </c>
      <c r="C30" s="244">
        <f>IF($A$1="Peak","-",'Base Hours'!C30*BaseLoad!I29*IS!$B$2)</f>
        <v>82802.353627487057</v>
      </c>
      <c r="D30" s="244">
        <f>IF($A$1="Peak","-",'Base Hours'!D30*BaseLoad!J29*IS!$B$2)</f>
        <v>113952.38772166982</v>
      </c>
      <c r="E30" s="244">
        <f>IF($A$1="Peak","-",'Base Hours'!E30*BaseLoad!K29*IS!$B$2)</f>
        <v>91612.387594306478</v>
      </c>
      <c r="F30" s="244">
        <f>IF($A$1="Peak","-",'Base Hours'!F30*BaseLoad!L29*IS!$B$2)</f>
        <v>62420.081035551848</v>
      </c>
      <c r="G30" s="244">
        <f>IF($A$1="Peak","-",'Base Hours'!G30*BaseLoad!M29*IS!$B$2)</f>
        <v>108693.47426943848</v>
      </c>
      <c r="H30" s="244">
        <f>IF($A$1="Peak","-",'Base Hours'!H30*BaseLoad!N29*IS!$B$2)</f>
        <v>98482.309489483945</v>
      </c>
      <c r="I30" s="244">
        <f>IF($A$1="Peak","-",'Base Hours'!I30*BaseLoad!O29*IS!$B$2)</f>
        <v>96722.956274580298</v>
      </c>
      <c r="J30" s="244">
        <f>IF($A$1="Peak","-",'Base Hours'!J30*BaseLoad!P29*IS!$B$2)</f>
        <v>86065.668438078021</v>
      </c>
      <c r="K30" s="244">
        <f>IF($A$1="Peak","-",'Base Hours'!K30*BaseLoad!Q29*IS!$B$2)</f>
        <v>71109.598125374934</v>
      </c>
      <c r="L30" s="244">
        <f>IF($A$1="Peak","-",'Base Hours'!L30*BaseLoad!R29*IS!$B$2)</f>
        <v>64343.014916915672</v>
      </c>
      <c r="M30" s="244">
        <f>IF($A$1="Peak","-",'Base Hours'!M30*BaseLoad!S29*IS!$B$2)</f>
        <v>59405.857425460235</v>
      </c>
      <c r="N30" s="244">
        <f>IF($A$1="Peak","-",'Base Hours'!N30*BaseLoad!T29*IS!$B$2)</f>
        <v>57787.155300993967</v>
      </c>
      <c r="O30" s="244">
        <f>IF($A$1="Peak","-",'Base Hours'!O30*BaseLoad!U29*IS!$B$2)</f>
        <v>57421.416015259048</v>
      </c>
      <c r="P30" s="244">
        <f>IF($A$1="Peak","-",'Base Hours'!P30*BaseLoad!V29*IS!$B$2)</f>
        <v>55414.529958413288</v>
      </c>
      <c r="Q30" s="244">
        <f>IF($A$1="Peak","-",'Base Hours'!Q30*BaseLoad!W29*IS!$B$2)</f>
        <v>53598.441161509618</v>
      </c>
      <c r="R30" s="244">
        <f>IF($A$1="Peak","-",'Base Hours'!R30*BaseLoad!X29*IS!$B$2)</f>
        <v>52605.38827988859</v>
      </c>
      <c r="S30" s="244">
        <f>IF($A$1="Peak","-",'Base Hours'!S30*BaseLoad!Y29*IS!$B$2)</f>
        <v>52042.949979571997</v>
      </c>
      <c r="T30" s="244">
        <f>IF($A$1="Peak","-",'Base Hours'!T30*BaseLoad!Z29*IS!$B$2)</f>
        <v>51306.119799042484</v>
      </c>
      <c r="U30" s="244">
        <f>IF($A$1="Peak","-",'Base Hours'!U30*BaseLoad!AA29*IS!$B$2)</f>
        <v>137713.53803166916</v>
      </c>
      <c r="V30" s="244">
        <f t="shared" si="2"/>
        <v>1599025.410261255</v>
      </c>
      <c r="W30" s="244"/>
      <c r="X30" s="244"/>
      <c r="Y30" s="245"/>
      <c r="Z30" s="245">
        <f>(BaseLoad!C29*'Base Hours'!X30*IS!$B$2)*-1</f>
        <v>-1840738.2516486265</v>
      </c>
      <c r="AA30" s="245"/>
      <c r="AB30" s="245">
        <f>(BaseLoad!D29*'Base Hours'!X30*IS!$B$2)*-1</f>
        <v>-159754.56472099345</v>
      </c>
      <c r="AC30" s="245"/>
      <c r="AD30" s="245">
        <f>(BaseLoad!E29*'Base Hours'!X30*IS!$B$2)*-1</f>
        <v>0</v>
      </c>
      <c r="AE30" s="245"/>
      <c r="AF30" s="245">
        <f>(BaseLoad!F29*'Base Hours'!X30*IS!$B$2)*-1</f>
        <v>0</v>
      </c>
      <c r="AG30" s="245"/>
    </row>
    <row r="31" spans="1:33" x14ac:dyDescent="0.2">
      <c r="A31" s="1">
        <f t="shared" si="1"/>
        <v>37178.757000000027</v>
      </c>
      <c r="B31" s="244">
        <f>IF($A$1="Peak","-",'Base Hours'!B31*BaseLoad!H30*IS!$B$2)</f>
        <v>19160.855480274808</v>
      </c>
      <c r="C31" s="244">
        <f>IF($A$1="Peak","-",'Base Hours'!C31*BaseLoad!I30*IS!$B$2)</f>
        <v>18821.640255514929</v>
      </c>
      <c r="D31" s="244">
        <f>IF($A$1="Peak","-",'Base Hours'!D31*BaseLoad!J30*IS!$B$2)</f>
        <v>36891.249094589126</v>
      </c>
      <c r="E31" s="244">
        <f>IF($A$1="Peak","-",'Base Hours'!E31*BaseLoad!K30*IS!$B$2)</f>
        <v>69771.761245924325</v>
      </c>
      <c r="F31" s="244">
        <f>IF($A$1="Peak","-",'Base Hours'!F31*BaseLoad!L30*IS!$B$2)</f>
        <v>67930.190165631997</v>
      </c>
      <c r="G31" s="244">
        <f>IF($A$1="Peak","-",'Base Hours'!G31*BaseLoad!M30*IS!$B$2)</f>
        <v>135629.41586309762</v>
      </c>
      <c r="H31" s="244">
        <f>IF($A$1="Peak","-",'Base Hours'!H31*BaseLoad!N30*IS!$B$2)</f>
        <v>131396.03536794838</v>
      </c>
      <c r="I31" s="244">
        <f>IF($A$1="Peak","-",'Base Hours'!I31*BaseLoad!O30*IS!$B$2)</f>
        <v>102703.16201176542</v>
      </c>
      <c r="J31" s="244">
        <f>IF($A$1="Peak","-",'Base Hours'!J31*BaseLoad!P30*IS!$B$2)</f>
        <v>95814.745249925807</v>
      </c>
      <c r="K31" s="244">
        <f>IF($A$1="Peak","-",'Base Hours'!K31*BaseLoad!Q30*IS!$B$2)</f>
        <v>95747.903965598103</v>
      </c>
      <c r="L31" s="244">
        <f>IF($A$1="Peak","-",'Base Hours'!L31*BaseLoad!R30*IS!$B$2)</f>
        <v>92519.64376624093</v>
      </c>
      <c r="M31" s="244">
        <f>IF($A$1="Peak","-",'Base Hours'!M31*BaseLoad!S30*IS!$B$2)</f>
        <v>67465.319864979378</v>
      </c>
      <c r="N31" s="244">
        <f>IF($A$1="Peak","-",'Base Hours'!N31*BaseLoad!T30*IS!$B$2)</f>
        <v>61522.782123118421</v>
      </c>
      <c r="O31" s="244">
        <f>IF($A$1="Peak","-",'Base Hours'!O31*BaseLoad!U30*IS!$B$2)</f>
        <v>60128.249103686976</v>
      </c>
      <c r="P31" s="244">
        <f>IF($A$1="Peak","-",'Base Hours'!P31*BaseLoad!V30*IS!$B$2)</f>
        <v>56916.641696731691</v>
      </c>
      <c r="Q31" s="244">
        <f>IF($A$1="Peak","-",'Base Hours'!Q31*BaseLoad!W30*IS!$B$2)</f>
        <v>55081.659597334954</v>
      </c>
      <c r="R31" s="244">
        <f>IF($A$1="Peak","-",'Base Hours'!R31*BaseLoad!X30*IS!$B$2)</f>
        <v>54005.802534907809</v>
      </c>
      <c r="S31" s="244">
        <f>IF($A$1="Peak","-",'Base Hours'!S31*BaseLoad!Y30*IS!$B$2)</f>
        <v>53422.14163248254</v>
      </c>
      <c r="T31" s="244">
        <f>IF($A$1="Peak","-",'Base Hours'!T31*BaseLoad!Z30*IS!$B$2)</f>
        <v>52753.264083054193</v>
      </c>
      <c r="U31" s="244">
        <f>IF($A$1="Peak","-",'Base Hours'!U31*BaseLoad!AA30*IS!$B$2)</f>
        <v>142049.04669142439</v>
      </c>
      <c r="V31" s="244">
        <f t="shared" si="2"/>
        <v>1469731.5097942317</v>
      </c>
      <c r="W31" s="244"/>
      <c r="X31" s="244"/>
      <c r="Y31" s="245"/>
      <c r="Z31" s="245">
        <f>(BaseLoad!C30*'Base Hours'!X31*IS!$B$2)*-1</f>
        <v>-1840738.2516486265</v>
      </c>
      <c r="AA31" s="245"/>
      <c r="AB31" s="245">
        <f>(BaseLoad!D30*'Base Hours'!X31*IS!$B$2)*-1</f>
        <v>-160020.8223288618</v>
      </c>
      <c r="AC31" s="245"/>
      <c r="AD31" s="245">
        <f>(BaseLoad!E30*'Base Hours'!X31*IS!$B$2)*-1</f>
        <v>0</v>
      </c>
      <c r="AE31" s="245"/>
      <c r="AF31" s="245">
        <f>(BaseLoad!F30*'Base Hours'!X31*IS!$B$2)*-1</f>
        <v>0</v>
      </c>
      <c r="AG31" s="245"/>
    </row>
    <row r="32" spans="1:33" x14ac:dyDescent="0.2">
      <c r="A32" s="1">
        <f t="shared" si="1"/>
        <v>37209.174000000028</v>
      </c>
      <c r="B32" s="244">
        <f>IF($A$1="Peak","-",'Base Hours'!B32*BaseLoad!H31*IS!$B$2)</f>
        <v>28005.342797812336</v>
      </c>
      <c r="C32" s="244">
        <f>IF($A$1="Peak","-",'Base Hours'!C32*BaseLoad!I31*IS!$B$2)</f>
        <v>24742.785169601124</v>
      </c>
      <c r="D32" s="244">
        <f>IF($A$1="Peak","-",'Base Hours'!D32*BaseLoad!J31*IS!$B$2)</f>
        <v>43380.310864859464</v>
      </c>
      <c r="E32" s="244">
        <f>IF($A$1="Peak","-",'Base Hours'!E32*BaseLoad!K31*IS!$B$2)</f>
        <v>74014.674206056356</v>
      </c>
      <c r="F32" s="244">
        <f>IF($A$1="Peak","-",'Base Hours'!F32*BaseLoad!L31*IS!$B$2)</f>
        <v>70960.80197007797</v>
      </c>
      <c r="G32" s="244">
        <f>IF($A$1="Peak","-",'Base Hours'!G32*BaseLoad!M31*IS!$B$2)</f>
        <v>133027.71107045742</v>
      </c>
      <c r="H32" s="244">
        <f>IF($A$1="Peak","-",'Base Hours'!H32*BaseLoad!N31*IS!$B$2)</f>
        <v>126791.72918938824</v>
      </c>
      <c r="I32" s="244">
        <f>IF($A$1="Peak","-",'Base Hours'!I32*BaseLoad!O31*IS!$B$2)</f>
        <v>126542.35233662631</v>
      </c>
      <c r="J32" s="244">
        <f>IF($A$1="Peak","-",'Base Hours'!J32*BaseLoad!P31*IS!$B$2)</f>
        <v>117866.92901917426</v>
      </c>
      <c r="K32" s="244">
        <f>IF($A$1="Peak","-",'Base Hours'!K32*BaseLoad!Q31*IS!$B$2)</f>
        <v>93817.675460620769</v>
      </c>
      <c r="L32" s="244">
        <f>IF($A$1="Peak","-",'Base Hours'!L32*BaseLoad!R31*IS!$B$2)</f>
        <v>85120.235215587905</v>
      </c>
      <c r="M32" s="244">
        <f>IF($A$1="Peak","-",'Base Hours'!M32*BaseLoad!S31*IS!$B$2)</f>
        <v>73456.587333450923</v>
      </c>
      <c r="N32" s="244">
        <f>IF($A$1="Peak","-",'Base Hours'!N32*BaseLoad!T31*IS!$B$2)</f>
        <v>72431.889268019804</v>
      </c>
      <c r="O32" s="244">
        <f>IF($A$1="Peak","-",'Base Hours'!O32*BaseLoad!U31*IS!$B$2)</f>
        <v>65017.043055126276</v>
      </c>
      <c r="P32" s="244">
        <f>IF($A$1="Peak","-",'Base Hours'!P32*BaseLoad!V31*IS!$B$2)</f>
        <v>62736.231543140661</v>
      </c>
      <c r="Q32" s="244">
        <f>IF($A$1="Peak","-",'Base Hours'!Q32*BaseLoad!W31*IS!$B$2)</f>
        <v>58881.806837933851</v>
      </c>
      <c r="R32" s="244">
        <f>IF($A$1="Peak","-",'Base Hours'!R32*BaseLoad!X31*IS!$B$2)</f>
        <v>57128.628988811659</v>
      </c>
      <c r="S32" s="244">
        <f>IF($A$1="Peak","-",'Base Hours'!S32*BaseLoad!Y31*IS!$B$2)</f>
        <v>55782.388093525798</v>
      </c>
      <c r="T32" s="244">
        <f>IF($A$1="Peak","-",'Base Hours'!T32*BaseLoad!Z31*IS!$B$2)</f>
        <v>54707.569796487442</v>
      </c>
      <c r="U32" s="244">
        <f>IF($A$1="Peak","-",'Base Hours'!U32*BaseLoad!AA31*IS!$B$2)</f>
        <v>146775.24297726725</v>
      </c>
      <c r="V32" s="244">
        <f t="shared" si="2"/>
        <v>1571187.9351940257</v>
      </c>
      <c r="W32" s="244"/>
      <c r="X32" s="244"/>
      <c r="Y32" s="245"/>
      <c r="Z32" s="245">
        <f>(BaseLoad!C31*'Base Hours'!X32*IS!$B$2)*-1</f>
        <v>-1840738.2516486265</v>
      </c>
      <c r="AA32" s="245"/>
      <c r="AB32" s="245">
        <f>(BaseLoad!D31*'Base Hours'!X32*IS!$B$2)*-1</f>
        <v>-160287.52369940991</v>
      </c>
      <c r="AC32" s="245"/>
      <c r="AD32" s="245">
        <f>(BaseLoad!E31*'Base Hours'!X32*IS!$B$2)*-1</f>
        <v>0</v>
      </c>
      <c r="AE32" s="245"/>
      <c r="AF32" s="245">
        <f>(BaseLoad!F31*'Base Hours'!X32*IS!$B$2)*-1</f>
        <v>0</v>
      </c>
      <c r="AG32" s="245"/>
    </row>
    <row r="33" spans="1:33" x14ac:dyDescent="0.2">
      <c r="A33" s="1">
        <f t="shared" si="1"/>
        <v>37239.591000000029</v>
      </c>
      <c r="B33" s="244">
        <f>IF($A$1="Peak","-",'Base Hours'!B33*BaseLoad!H32*IS!$B$2)</f>
        <v>29154.585796226027</v>
      </c>
      <c r="C33" s="244">
        <f>IF($A$1="Peak","-",'Base Hours'!C33*BaseLoad!I32*IS!$B$2)</f>
        <v>28039.941393814675</v>
      </c>
      <c r="D33" s="244">
        <f>IF($A$1="Peak","-",'Base Hours'!D33*BaseLoad!J32*IS!$B$2)</f>
        <v>54265.069783912601</v>
      </c>
      <c r="E33" s="244">
        <f>IF($A$1="Peak","-",'Base Hours'!E33*BaseLoad!K32*IS!$B$2)</f>
        <v>107902.5468139674</v>
      </c>
      <c r="F33" s="244">
        <f>IF($A$1="Peak","-",'Base Hours'!F33*BaseLoad!L32*IS!$B$2)</f>
        <v>107881.01621998148</v>
      </c>
      <c r="G33" s="244">
        <f>IF($A$1="Peak","-",'Base Hours'!G33*BaseLoad!M32*IS!$B$2)</f>
        <v>206370.20711912782</v>
      </c>
      <c r="H33" s="244">
        <f>IF($A$1="Peak","-",'Base Hours'!H33*BaseLoad!N32*IS!$B$2)</f>
        <v>164352.95043455064</v>
      </c>
      <c r="I33" s="244">
        <f>IF($A$1="Peak","-",'Base Hours'!I33*BaseLoad!O32*IS!$B$2)</f>
        <v>145553.68027470514</v>
      </c>
      <c r="J33" s="244">
        <f>IF($A$1="Peak","-",'Base Hours'!J33*BaseLoad!P32*IS!$B$2)</f>
        <v>138572.91523123527</v>
      </c>
      <c r="K33" s="244">
        <f>IF($A$1="Peak","-",'Base Hours'!K33*BaseLoad!Q32*IS!$B$2)</f>
        <v>138357.96787030032</v>
      </c>
      <c r="L33" s="244">
        <f>IF($A$1="Peak","-",'Base Hours'!L33*BaseLoad!R32*IS!$B$2)</f>
        <v>69794.526531710173</v>
      </c>
      <c r="M33" s="244">
        <f>IF($A$1="Peak","-",'Base Hours'!M33*BaseLoad!S32*IS!$B$2)</f>
        <v>62327.769798165682</v>
      </c>
      <c r="N33" s="244">
        <f>IF($A$1="Peak","-",'Base Hours'!N33*BaseLoad!T32*IS!$B$2)</f>
        <v>60757.688723823143</v>
      </c>
      <c r="O33" s="244">
        <f>IF($A$1="Peak","-",'Base Hours'!O33*BaseLoad!U32*IS!$B$2)</f>
        <v>58577.365719555106</v>
      </c>
      <c r="P33" s="244">
        <f>IF($A$1="Peak","-",'Base Hours'!P33*BaseLoad!V32*IS!$B$2)</f>
        <v>55810.754549387995</v>
      </c>
      <c r="Q33" s="244">
        <f>IF($A$1="Peak","-",'Base Hours'!Q33*BaseLoad!W32*IS!$B$2)</f>
        <v>54655.77128217175</v>
      </c>
      <c r="R33" s="244">
        <f>IF($A$1="Peak","-",'Base Hours'!R33*BaseLoad!X32*IS!$B$2)</f>
        <v>53693.210939832679</v>
      </c>
      <c r="S33" s="244">
        <f>IF($A$1="Peak","-",'Base Hours'!S33*BaseLoad!Y32*IS!$B$2)</f>
        <v>53091.438188493827</v>
      </c>
      <c r="T33" s="244">
        <f>IF($A$1="Peak","-",'Base Hours'!T33*BaseLoad!Z32*IS!$B$2)</f>
        <v>52489.801261811073</v>
      </c>
      <c r="U33" s="244">
        <f>IF($A$1="Peak","-",'Base Hours'!U33*BaseLoad!AA32*IS!$B$2)</f>
        <v>141115.34888005475</v>
      </c>
      <c r="V33" s="244">
        <f t="shared" si="2"/>
        <v>1782764.5568128275</v>
      </c>
      <c r="W33" s="244">
        <f>IF($A$1="BL",(SUM(V22:V33)),0)</f>
        <v>22073245.708198391</v>
      </c>
      <c r="X33" s="244">
        <f>IF(AND($A$1="BL",W33&gt;0),(PPA!$B$5*8760*IS!$B$2*PPA!$G$4*BaseLoad!$AP$9),0)</f>
        <v>61480099.714859203</v>
      </c>
      <c r="Y33" s="245">
        <f>X33+W33</f>
        <v>83553345.423057586</v>
      </c>
      <c r="Z33" s="245">
        <f>(BaseLoad!C32*'Base Hours'!X33*IS!$B$2)*-1</f>
        <v>-1840738.2516486265</v>
      </c>
      <c r="AA33" s="245">
        <f>SUM(Z22:Z33)</f>
        <v>-22088859.019783523</v>
      </c>
      <c r="AB33" s="245">
        <f>(BaseLoad!D32*'Base Hours'!X33*IS!$B$2)*-1</f>
        <v>-160554.66957224224</v>
      </c>
      <c r="AC33" s="245">
        <f>SUM(AB22:AB33)</f>
        <v>-1909121.8326310592</v>
      </c>
      <c r="AD33" s="245">
        <f>(BaseLoad!E32*'Base Hours'!X33*IS!$B$2)*-1</f>
        <v>0</v>
      </c>
      <c r="AE33" s="245">
        <f>SUM(AD22:AD33)</f>
        <v>0</v>
      </c>
      <c r="AF33" s="245">
        <f>(BaseLoad!F32*'Base Hours'!X33*IS!$B$2)*-1</f>
        <v>0</v>
      </c>
      <c r="AG33" s="245">
        <f>SUM(AF22:AF33)</f>
        <v>0</v>
      </c>
    </row>
    <row r="34" spans="1:33" x14ac:dyDescent="0.2">
      <c r="A34" s="1">
        <f t="shared" si="1"/>
        <v>37270.008000000031</v>
      </c>
      <c r="B34" s="244">
        <f>IF($A$1="Peak","-",'Base Hours'!B34*BaseLoad!H33*IS!$B$2)</f>
        <v>22985.281871476291</v>
      </c>
      <c r="C34" s="244">
        <f>IF($A$1="Peak","-",'Base Hours'!C34*BaseLoad!I33*IS!$B$2)</f>
        <v>22420.127981429356</v>
      </c>
      <c r="D34" s="244">
        <f>IF($A$1="Peak","-",'Base Hours'!D34*BaseLoad!J33*IS!$B$2)</f>
        <v>43698.921986160552</v>
      </c>
      <c r="E34" s="244">
        <f>IF($A$1="Peak","-",'Base Hours'!E34*BaseLoad!K33*IS!$B$2)</f>
        <v>82551.805852157384</v>
      </c>
      <c r="F34" s="244">
        <f>IF($A$1="Peak","-",'Base Hours'!F34*BaseLoad!L33*IS!$B$2)</f>
        <v>81325.701038113708</v>
      </c>
      <c r="G34" s="244">
        <f>IF($A$1="Peak","-",'Base Hours'!G34*BaseLoad!M33*IS!$B$2)</f>
        <v>161803.39468313725</v>
      </c>
      <c r="H34" s="244">
        <f>IF($A$1="Peak","-",'Base Hours'!H34*BaseLoad!N33*IS!$B$2)</f>
        <v>152650.37340176088</v>
      </c>
      <c r="I34" s="244">
        <f>IF($A$1="Peak","-",'Base Hours'!I34*BaseLoad!O33*IS!$B$2)</f>
        <v>124563.97861761527</v>
      </c>
      <c r="J34" s="244">
        <f>IF($A$1="Peak","-",'Base Hours'!J34*BaseLoad!P33*IS!$B$2)</f>
        <v>109464.25514760474</v>
      </c>
      <c r="K34" s="244">
        <f>IF($A$1="Peak","-",'Base Hours'!K34*BaseLoad!Q33*IS!$B$2)</f>
        <v>98091.210336740973</v>
      </c>
      <c r="L34" s="244">
        <f>IF($A$1="Peak","-",'Base Hours'!L34*BaseLoad!R33*IS!$B$2)</f>
        <v>89739.015227226526</v>
      </c>
      <c r="M34" s="244">
        <f>IF($A$1="Peak","-",'Base Hours'!M34*BaseLoad!S33*IS!$B$2)</f>
        <v>63052.824835073239</v>
      </c>
      <c r="N34" s="244">
        <f>IF($A$1="Peak","-",'Base Hours'!N34*BaseLoad!T33*IS!$B$2)</f>
        <v>58746.410344280783</v>
      </c>
      <c r="O34" s="244">
        <f>IF($A$1="Peak","-",'Base Hours'!O34*BaseLoad!U33*IS!$B$2)</f>
        <v>57133.381356493017</v>
      </c>
      <c r="P34" s="244">
        <f>IF($A$1="Peak","-",'Base Hours'!P34*BaseLoad!V33*IS!$B$2)</f>
        <v>54000.1809092775</v>
      </c>
      <c r="Q34" s="244">
        <f>IF($A$1="Peak","-",'Base Hours'!Q34*BaseLoad!W33*IS!$B$2)</f>
        <v>52609.043237987848</v>
      </c>
      <c r="R34" s="244">
        <f>IF($A$1="Peak","-",'Base Hours'!R34*BaseLoad!X33*IS!$B$2)</f>
        <v>51789.835417089176</v>
      </c>
      <c r="S34" s="244">
        <f>IF($A$1="Peak","-",'Base Hours'!S34*BaseLoad!Y33*IS!$B$2)</f>
        <v>51001.56186747241</v>
      </c>
      <c r="T34" s="244">
        <f>IF($A$1="Peak","-",'Base Hours'!T34*BaseLoad!Z33*IS!$B$2)</f>
        <v>50464.461362082402</v>
      </c>
      <c r="U34" s="244">
        <f>IF($A$1="Peak","-",'Base Hours'!U34*BaseLoad!AA33*IS!$B$2)</f>
        <v>135816.54330407418</v>
      </c>
      <c r="V34" s="244">
        <f t="shared" si="2"/>
        <v>1563908.3087772538</v>
      </c>
      <c r="W34" s="244"/>
      <c r="X34" s="244"/>
      <c r="Y34" s="245"/>
      <c r="Z34" s="245">
        <f>(BaseLoad!C33*'Base Hours'!X34*IS!$B$2)*-1</f>
        <v>-1811587.3823612253</v>
      </c>
      <c r="AA34" s="245"/>
      <c r="AB34" s="245">
        <f>(BaseLoad!D33*'Base Hours'!X34*IS!$B$2)*-1</f>
        <v>-158643.19459261282</v>
      </c>
      <c r="AC34" s="245"/>
      <c r="AD34" s="245">
        <f>(BaseLoad!E33*'Base Hours'!X34*IS!$B$2)*-1</f>
        <v>0</v>
      </c>
      <c r="AE34" s="245"/>
      <c r="AF34" s="245">
        <f>(BaseLoad!F33*'Base Hours'!X34*IS!$B$2)*-1</f>
        <v>0</v>
      </c>
      <c r="AG34" s="245"/>
    </row>
    <row r="35" spans="1:33" x14ac:dyDescent="0.2">
      <c r="A35" s="1">
        <f t="shared" si="1"/>
        <v>37300.425000000032</v>
      </c>
      <c r="B35" s="244">
        <f>IF($A$1="Peak","-",'Base Hours'!B35*BaseLoad!H34*IS!$B$2)</f>
        <v>55534.752376773708</v>
      </c>
      <c r="C35" s="244">
        <f>IF($A$1="Peak","-",'Base Hours'!C35*BaseLoad!I34*IS!$B$2)</f>
        <v>30803.857123503785</v>
      </c>
      <c r="D35" s="244">
        <f>IF($A$1="Peak","-",'Base Hours'!D35*BaseLoad!J34*IS!$B$2)</f>
        <v>50969.27355895473</v>
      </c>
      <c r="E35" s="244">
        <f>IF($A$1="Peak","-",'Base Hours'!E35*BaseLoad!K34*IS!$B$2)</f>
        <v>77297.499082755399</v>
      </c>
      <c r="F35" s="244">
        <f>IF($A$1="Peak","-",'Base Hours'!F35*BaseLoad!L34*IS!$B$2)</f>
        <v>65717.862780120849</v>
      </c>
      <c r="G35" s="244">
        <f>IF($A$1="Peak","-",'Base Hours'!G35*BaseLoad!M34*IS!$B$2)</f>
        <v>123637.0950872448</v>
      </c>
      <c r="H35" s="244">
        <f>IF($A$1="Peak","-",'Base Hours'!H35*BaseLoad!N34*IS!$B$2)</f>
        <v>114458.41689306399</v>
      </c>
      <c r="I35" s="244">
        <f>IF($A$1="Peak","-",'Base Hours'!I35*BaseLoad!O34*IS!$B$2)</f>
        <v>113521.71321903268</v>
      </c>
      <c r="J35" s="244">
        <f>IF($A$1="Peak","-",'Base Hours'!J35*BaseLoad!P34*IS!$B$2)</f>
        <v>107539.69208298817</v>
      </c>
      <c r="K35" s="244">
        <f>IF($A$1="Peak","-",'Base Hours'!K35*BaseLoad!Q34*IS!$B$2)</f>
        <v>85564.883169792971</v>
      </c>
      <c r="L35" s="244">
        <f>IF($A$1="Peak","-",'Base Hours'!L35*BaseLoad!R34*IS!$B$2)</f>
        <v>80675.920951805878</v>
      </c>
      <c r="M35" s="244">
        <f>IF($A$1="Peak","-",'Base Hours'!M35*BaseLoad!S34*IS!$B$2)</f>
        <v>68619.679712959303</v>
      </c>
      <c r="N35" s="244">
        <f>IF($A$1="Peak","-",'Base Hours'!N35*BaseLoad!T34*IS!$B$2)</f>
        <v>66072.616813884655</v>
      </c>
      <c r="O35" s="244">
        <f>IF($A$1="Peak","-",'Base Hours'!O35*BaseLoad!U34*IS!$B$2)</f>
        <v>64407.311240402509</v>
      </c>
      <c r="P35" s="244">
        <f>IF($A$1="Peak","-",'Base Hours'!P35*BaseLoad!V34*IS!$B$2)</f>
        <v>62116.398489021391</v>
      </c>
      <c r="Q35" s="244">
        <f>IF($A$1="Peak","-",'Base Hours'!Q35*BaseLoad!W34*IS!$B$2)</f>
        <v>58702.813228632825</v>
      </c>
      <c r="R35" s="244">
        <f>IF($A$1="Peak","-",'Base Hours'!R35*BaseLoad!X34*IS!$B$2)</f>
        <v>57178.381471530432</v>
      </c>
      <c r="S35" s="244">
        <f>IF($A$1="Peak","-",'Base Hours'!S35*BaseLoad!Y34*IS!$B$2)</f>
        <v>55493.399664324235</v>
      </c>
      <c r="T35" s="244">
        <f>IF($A$1="Peak","-",'Base Hours'!T35*BaseLoad!Z34*IS!$B$2)</f>
        <v>54055.988019003264</v>
      </c>
      <c r="U35" s="244">
        <f>IF($A$1="Peak","-",'Base Hours'!U35*BaseLoad!AA34*IS!$B$2)</f>
        <v>145527.77220916265</v>
      </c>
      <c r="V35" s="244">
        <f t="shared" si="2"/>
        <v>1537895.3271749585</v>
      </c>
      <c r="W35" s="244"/>
      <c r="X35" s="244"/>
      <c r="Y35" s="245"/>
      <c r="Z35" s="245">
        <f>(BaseLoad!C34*'Base Hours'!X35*IS!$B$2)*-1</f>
        <v>-1811587.3823612253</v>
      </c>
      <c r="AA35" s="245"/>
      <c r="AB35" s="245">
        <f>(BaseLoad!D34*'Base Hours'!X35*IS!$B$2)*-1</f>
        <v>-158907.59991693386</v>
      </c>
      <c r="AC35" s="245"/>
      <c r="AD35" s="245">
        <f>(BaseLoad!E34*'Base Hours'!X35*IS!$B$2)*-1</f>
        <v>0</v>
      </c>
      <c r="AE35" s="245"/>
      <c r="AF35" s="245">
        <f>(BaseLoad!F34*'Base Hours'!X35*IS!$B$2)*-1</f>
        <v>0</v>
      </c>
      <c r="AG35" s="245"/>
    </row>
    <row r="36" spans="1:33" x14ac:dyDescent="0.2">
      <c r="A36" s="1">
        <f t="shared" si="1"/>
        <v>37330.842000000033</v>
      </c>
      <c r="B36" s="244">
        <f>IF($A$1="Peak","-",'Base Hours'!B36*BaseLoad!H35*IS!$B$2)</f>
        <v>22053.268419134718</v>
      </c>
      <c r="C36" s="244">
        <f>IF($A$1="Peak","-",'Base Hours'!C36*BaseLoad!I35*IS!$B$2)</f>
        <v>21232.206087855517</v>
      </c>
      <c r="D36" s="244">
        <f>IF($A$1="Peak","-",'Base Hours'!D36*BaseLoad!J35*IS!$B$2)</f>
        <v>41763.349501778248</v>
      </c>
      <c r="E36" s="244">
        <f>IF($A$1="Peak","-",'Base Hours'!E36*BaseLoad!K35*IS!$B$2)</f>
        <v>79150.087607218855</v>
      </c>
      <c r="F36" s="244">
        <f>IF($A$1="Peak","-",'Base Hours'!F36*BaseLoad!L35*IS!$B$2)</f>
        <v>76891.77583622231</v>
      </c>
      <c r="G36" s="244">
        <f>IF($A$1="Peak","-",'Base Hours'!G36*BaseLoad!M35*IS!$B$2)</f>
        <v>153436.87789365949</v>
      </c>
      <c r="H36" s="244">
        <f>IF($A$1="Peak","-",'Base Hours'!H36*BaseLoad!N35*IS!$B$2)</f>
        <v>148690.51348730459</v>
      </c>
      <c r="I36" s="244">
        <f>IF($A$1="Peak","-",'Base Hours'!I36*BaseLoad!O35*IS!$B$2)</f>
        <v>116833.23137423272</v>
      </c>
      <c r="J36" s="244">
        <f>IF($A$1="Peak","-",'Base Hours'!J36*BaseLoad!P35*IS!$B$2)</f>
        <v>106693.85756625351</v>
      </c>
      <c r="K36" s="244">
        <f>IF($A$1="Peak","-",'Base Hours'!K36*BaseLoad!Q35*IS!$B$2)</f>
        <v>106332.62088440526</v>
      </c>
      <c r="L36" s="244">
        <f>IF($A$1="Peak","-",'Base Hours'!L36*BaseLoad!R35*IS!$B$2)</f>
        <v>105949.01091386296</v>
      </c>
      <c r="M36" s="244">
        <f>IF($A$1="Peak","-",'Base Hours'!M36*BaseLoad!S35*IS!$B$2)</f>
        <v>61078.828537780828</v>
      </c>
      <c r="N36" s="244">
        <f>IF($A$1="Peak","-",'Base Hours'!N36*BaseLoad!T35*IS!$B$2)</f>
        <v>55113.709773134127</v>
      </c>
      <c r="O36" s="244">
        <f>IF($A$1="Peak","-",'Base Hours'!O36*BaseLoad!U35*IS!$B$2)</f>
        <v>54102.678562738867</v>
      </c>
      <c r="P36" s="244">
        <f>IF($A$1="Peak","-",'Base Hours'!P36*BaseLoad!V35*IS!$B$2)</f>
        <v>51261.554910002153</v>
      </c>
      <c r="Q36" s="244">
        <f>IF($A$1="Peak","-",'Base Hours'!Q36*BaseLoad!W35*IS!$B$2)</f>
        <v>49609.674449630926</v>
      </c>
      <c r="R36" s="244">
        <f>IF($A$1="Peak","-",'Base Hours'!R36*BaseLoad!X35*IS!$B$2)</f>
        <v>48472.976560146264</v>
      </c>
      <c r="S36" s="244">
        <f>IF($A$1="Peak","-",'Base Hours'!S36*BaseLoad!Y35*IS!$B$2)</f>
        <v>47419.030025510481</v>
      </c>
      <c r="T36" s="244">
        <f>IF($A$1="Peak","-",'Base Hours'!T36*BaseLoad!Z35*IS!$B$2)</f>
        <v>46821.044838283284</v>
      </c>
      <c r="U36" s="244">
        <f>IF($A$1="Peak","-",'Base Hours'!U36*BaseLoad!AA35*IS!$B$2)</f>
        <v>125434.3586437784</v>
      </c>
      <c r="V36" s="244">
        <f t="shared" si="2"/>
        <v>1518340.6558729336</v>
      </c>
      <c r="W36" s="244"/>
      <c r="X36" s="244"/>
      <c r="Y36" s="245"/>
      <c r="Z36" s="245">
        <f>(BaseLoad!C35*'Base Hours'!X36*IS!$B$2)*-1</f>
        <v>-1811587.3823612253</v>
      </c>
      <c r="AA36" s="245"/>
      <c r="AB36" s="245">
        <f>(BaseLoad!D35*'Base Hours'!X36*IS!$B$2)*-1</f>
        <v>-159172.44591679543</v>
      </c>
      <c r="AC36" s="245"/>
      <c r="AD36" s="245">
        <f>(BaseLoad!E35*'Base Hours'!X36*IS!$B$2)*-1</f>
        <v>0</v>
      </c>
      <c r="AE36" s="245"/>
      <c r="AF36" s="245">
        <f>(BaseLoad!F35*'Base Hours'!X36*IS!$B$2)*-1</f>
        <v>0</v>
      </c>
      <c r="AG36" s="245"/>
    </row>
    <row r="37" spans="1:33" x14ac:dyDescent="0.2">
      <c r="A37" s="1">
        <f t="shared" si="1"/>
        <v>37361.259000000035</v>
      </c>
      <c r="B37" s="244">
        <f>IF($A$1="Peak","-",'Base Hours'!B37*BaseLoad!H36*IS!$B$2)</f>
        <v>20462.178177315058</v>
      </c>
      <c r="C37" s="244">
        <f>IF($A$1="Peak","-",'Base Hours'!C37*BaseLoad!I36*IS!$B$2)</f>
        <v>19655.635507555431</v>
      </c>
      <c r="D37" s="244">
        <f>IF($A$1="Peak","-",'Base Hours'!D37*BaseLoad!J36*IS!$B$2)</f>
        <v>38054.955034309845</v>
      </c>
      <c r="E37" s="244">
        <f>IF($A$1="Peak","-",'Base Hours'!E37*BaseLoad!K36*IS!$B$2)</f>
        <v>75538.72755772456</v>
      </c>
      <c r="F37" s="244">
        <f>IF($A$1="Peak","-",'Base Hours'!F37*BaseLoad!L36*IS!$B$2)</f>
        <v>75105.56235290617</v>
      </c>
      <c r="G37" s="244">
        <f>IF($A$1="Peak","-",'Base Hours'!G37*BaseLoad!M36*IS!$B$2)</f>
        <v>142518.11978618568</v>
      </c>
      <c r="H37" s="244">
        <f>IF($A$1="Peak","-",'Base Hours'!H37*BaseLoad!N36*IS!$B$2)</f>
        <v>111966.7938155911</v>
      </c>
      <c r="I37" s="244">
        <f>IF($A$1="Peak","-",'Base Hours'!I37*BaseLoad!O36*IS!$B$2)</f>
        <v>100294.1942113421</v>
      </c>
      <c r="J37" s="244">
        <f>IF($A$1="Peak","-",'Base Hours'!J37*BaseLoad!P36*IS!$B$2)</f>
        <v>93589.997927844597</v>
      </c>
      <c r="K37" s="244">
        <f>IF($A$1="Peak","-",'Base Hours'!K37*BaseLoad!Q36*IS!$B$2)</f>
        <v>79279.168702716488</v>
      </c>
      <c r="L37" s="244">
        <f>IF($A$1="Peak","-",'Base Hours'!L37*BaseLoad!R36*IS!$B$2)</f>
        <v>54853.740298865996</v>
      </c>
      <c r="M37" s="244">
        <f>IF($A$1="Peak","-",'Base Hours'!M37*BaseLoad!S36*IS!$B$2)</f>
        <v>51935.050964905153</v>
      </c>
      <c r="N37" s="244">
        <f>IF($A$1="Peak","-",'Base Hours'!N37*BaseLoad!T36*IS!$B$2)</f>
        <v>50650.714831837045</v>
      </c>
      <c r="O37" s="244">
        <f>IF($A$1="Peak","-",'Base Hours'!O37*BaseLoad!U36*IS!$B$2)</f>
        <v>48111.58989036952</v>
      </c>
      <c r="P37" s="244">
        <f>IF($A$1="Peak","-",'Base Hours'!P37*BaseLoad!V36*IS!$B$2)</f>
        <v>46991.084824582307</v>
      </c>
      <c r="Q37" s="244">
        <f>IF($A$1="Peak","-",'Base Hours'!Q37*BaseLoad!W36*IS!$B$2)</f>
        <v>46085.58303986644</v>
      </c>
      <c r="R37" s="244">
        <f>IF($A$1="Peak","-",'Base Hours'!R37*BaseLoad!X36*IS!$B$2)</f>
        <v>45502.385061384513</v>
      </c>
      <c r="S37" s="244">
        <f>IF($A$1="Peak","-",'Base Hours'!S37*BaseLoad!Y36*IS!$B$2)</f>
        <v>45104.257112657848</v>
      </c>
      <c r="T37" s="244">
        <f>IF($A$1="Peak","-",'Base Hours'!T37*BaseLoad!Z36*IS!$B$2)</f>
        <v>44773.677586413127</v>
      </c>
      <c r="U37" s="244">
        <f>IF($A$1="Peak","-",'Base Hours'!U37*BaseLoad!AA36*IS!$B$2)</f>
        <v>120432.28143685593</v>
      </c>
      <c r="V37" s="244">
        <f t="shared" si="2"/>
        <v>1310905.698121229</v>
      </c>
      <c r="W37" s="244"/>
      <c r="X37" s="244"/>
      <c r="Y37" s="245"/>
      <c r="Z37" s="245">
        <f>(BaseLoad!C36*'Base Hours'!X37*IS!$B$2)*-1</f>
        <v>-1811587.3823612253</v>
      </c>
      <c r="AA37" s="245"/>
      <c r="AB37" s="245">
        <f>(BaseLoad!D36*'Base Hours'!X37*IS!$B$2)*-1</f>
        <v>-159437.73332665677</v>
      </c>
      <c r="AC37" s="245"/>
      <c r="AD37" s="245">
        <f>(BaseLoad!E36*'Base Hours'!X37*IS!$B$2)*-1</f>
        <v>0</v>
      </c>
      <c r="AE37" s="245"/>
      <c r="AF37" s="245">
        <f>(BaseLoad!F36*'Base Hours'!X37*IS!$B$2)*-1</f>
        <v>0</v>
      </c>
      <c r="AG37" s="245"/>
    </row>
    <row r="38" spans="1:33" x14ac:dyDescent="0.2">
      <c r="A38" s="1">
        <f t="shared" si="1"/>
        <v>37391.676000000036</v>
      </c>
      <c r="B38" s="244">
        <f>IF($A$1="Peak","-",'Base Hours'!B38*BaseLoad!H37*IS!$B$2)</f>
        <v>18040.181231152506</v>
      </c>
      <c r="C38" s="244">
        <f>IF($A$1="Peak","-",'Base Hours'!C38*BaseLoad!I37*IS!$B$2)</f>
        <v>17105.370283112548</v>
      </c>
      <c r="D38" s="244">
        <f>IF($A$1="Peak","-",'Base Hours'!D38*BaseLoad!J37*IS!$B$2)</f>
        <v>32807.204861219747</v>
      </c>
      <c r="E38" s="244">
        <f>IF($A$1="Peak","-",'Base Hours'!E38*BaseLoad!K37*IS!$B$2)</f>
        <v>60841.193515671919</v>
      </c>
      <c r="F38" s="244">
        <f>IF($A$1="Peak","-",'Base Hours'!F38*BaseLoad!L37*IS!$B$2)</f>
        <v>60214.639266757295</v>
      </c>
      <c r="G38" s="244">
        <f>IF($A$1="Peak","-",'Base Hours'!G38*BaseLoad!M37*IS!$B$2)</f>
        <v>107338.14002898896</v>
      </c>
      <c r="H38" s="244">
        <f>IF($A$1="Peak","-",'Base Hours'!H38*BaseLoad!N37*IS!$B$2)</f>
        <v>88682.647431168618</v>
      </c>
      <c r="I38" s="244">
        <f>IF($A$1="Peak","-",'Base Hours'!I38*BaseLoad!O37*IS!$B$2)</f>
        <v>86223.017483413641</v>
      </c>
      <c r="J38" s="244">
        <f>IF($A$1="Peak","-",'Base Hours'!J38*BaseLoad!P37*IS!$B$2)</f>
        <v>77884.360920133011</v>
      </c>
      <c r="K38" s="244">
        <f>IF($A$1="Peak","-",'Base Hours'!K38*BaseLoad!Q37*IS!$B$2)</f>
        <v>69762.689373618618</v>
      </c>
      <c r="L38" s="244">
        <f>IF($A$1="Peak","-",'Base Hours'!L38*BaseLoad!R37*IS!$B$2)</f>
        <v>64915.437911453097</v>
      </c>
      <c r="M38" s="244">
        <f>IF($A$1="Peak","-",'Base Hours'!M38*BaseLoad!S37*IS!$B$2)</f>
        <v>62692.316357805401</v>
      </c>
      <c r="N38" s="244">
        <f>IF($A$1="Peak","-",'Base Hours'!N38*BaseLoad!T37*IS!$B$2)</f>
        <v>60736.712947899272</v>
      </c>
      <c r="O38" s="244">
        <f>IF($A$1="Peak","-",'Base Hours'!O38*BaseLoad!U37*IS!$B$2)</f>
        <v>58862.630980120244</v>
      </c>
      <c r="P38" s="244">
        <f>IF($A$1="Peak","-",'Base Hours'!P38*BaseLoad!V37*IS!$B$2)</f>
        <v>54882.063744614963</v>
      </c>
      <c r="Q38" s="244">
        <f>IF($A$1="Peak","-",'Base Hours'!Q38*BaseLoad!W37*IS!$B$2)</f>
        <v>53261.703382535816</v>
      </c>
      <c r="R38" s="244">
        <f>IF($A$1="Peak","-",'Base Hours'!R38*BaseLoad!X37*IS!$B$2)</f>
        <v>51746.464778624664</v>
      </c>
      <c r="S38" s="244">
        <f>IF($A$1="Peak","-",'Base Hours'!S38*BaseLoad!Y37*IS!$B$2)</f>
        <v>50813.88068958951</v>
      </c>
      <c r="T38" s="244">
        <f>IF($A$1="Peak","-",'Base Hours'!T38*BaseLoad!Z37*IS!$B$2)</f>
        <v>50192.372507340711</v>
      </c>
      <c r="U38" s="244">
        <f>IF($A$1="Peak","-",'Base Hours'!U38*BaseLoad!AA37*IS!$B$2)</f>
        <v>134688.561069321</v>
      </c>
      <c r="V38" s="244">
        <f t="shared" si="2"/>
        <v>1261691.5887645413</v>
      </c>
      <c r="W38" s="244"/>
      <c r="X38" s="244"/>
      <c r="Y38" s="245"/>
      <c r="Z38" s="245">
        <f>(BaseLoad!C37*'Base Hours'!X38*IS!$B$2)*-1</f>
        <v>-1811587.3823612253</v>
      </c>
      <c r="AA38" s="245"/>
      <c r="AB38" s="245">
        <f>(BaseLoad!D37*'Base Hours'!X38*IS!$B$2)*-1</f>
        <v>-159703.46288220122</v>
      </c>
      <c r="AC38" s="245"/>
      <c r="AD38" s="245">
        <f>(BaseLoad!E37*'Base Hours'!X38*IS!$B$2)*-1</f>
        <v>0</v>
      </c>
      <c r="AE38" s="245"/>
      <c r="AF38" s="245">
        <f>(BaseLoad!F37*'Base Hours'!X38*IS!$B$2)*-1</f>
        <v>0</v>
      </c>
      <c r="AG38" s="245"/>
    </row>
    <row r="39" spans="1:33" x14ac:dyDescent="0.2">
      <c r="A39" s="1">
        <f t="shared" si="1"/>
        <v>37422.093000000037</v>
      </c>
      <c r="B39" s="244">
        <f>IF($A$1="Peak","-",'Base Hours'!B39*BaseLoad!H38*IS!$B$2)</f>
        <v>109477.10531445299</v>
      </c>
      <c r="C39" s="244">
        <f>IF($A$1="Peak","-",'Base Hours'!C39*BaseLoad!I38*IS!$B$2)</f>
        <v>68762.047210331773</v>
      </c>
      <c r="D39" s="244">
        <f>IF($A$1="Peak","-",'Base Hours'!D39*BaseLoad!J38*IS!$B$2)</f>
        <v>74627.599298086876</v>
      </c>
      <c r="E39" s="244">
        <f>IF($A$1="Peak","-",'Base Hours'!E39*BaseLoad!K38*IS!$B$2)</f>
        <v>69035.954693951135</v>
      </c>
      <c r="F39" s="244">
        <f>IF($A$1="Peak","-",'Base Hours'!F39*BaseLoad!L38*IS!$B$2)</f>
        <v>63721.680105264306</v>
      </c>
      <c r="G39" s="244">
        <f>IF($A$1="Peak","-",'Base Hours'!G39*BaseLoad!M38*IS!$B$2)</f>
        <v>117824.34607356622</v>
      </c>
      <c r="H39" s="244">
        <f>IF($A$1="Peak","-",'Base Hours'!H39*BaseLoad!N38*IS!$B$2)</f>
        <v>115003.06198306725</v>
      </c>
      <c r="I39" s="244">
        <f>IF($A$1="Peak","-",'Base Hours'!I39*BaseLoad!O38*IS!$B$2)</f>
        <v>104066.85450673918</v>
      </c>
      <c r="J39" s="244">
        <f>IF($A$1="Peak","-",'Base Hours'!J39*BaseLoad!P38*IS!$B$2)</f>
        <v>81082.010641746921</v>
      </c>
      <c r="K39" s="244">
        <f>IF($A$1="Peak","-",'Base Hours'!K39*BaseLoad!Q38*IS!$B$2)</f>
        <v>68970.597297272732</v>
      </c>
      <c r="L39" s="244">
        <f>IF($A$1="Peak","-",'Base Hours'!L39*BaseLoad!R38*IS!$B$2)</f>
        <v>64099.062872736147</v>
      </c>
      <c r="M39" s="244">
        <f>IF($A$1="Peak","-",'Base Hours'!M39*BaseLoad!S38*IS!$B$2)</f>
        <v>58338.297297679179</v>
      </c>
      <c r="N39" s="244">
        <f>IF($A$1="Peak","-",'Base Hours'!N39*BaseLoad!T38*IS!$B$2)</f>
        <v>54834.128819929974</v>
      </c>
      <c r="O39" s="244">
        <f>IF($A$1="Peak","-",'Base Hours'!O39*BaseLoad!U38*IS!$B$2)</f>
        <v>51981.958118803806</v>
      </c>
      <c r="P39" s="244">
        <f>IF($A$1="Peak","-",'Base Hours'!P39*BaseLoad!V38*IS!$B$2)</f>
        <v>50350.486754842175</v>
      </c>
      <c r="Q39" s="244">
        <f>IF($A$1="Peak","-",'Base Hours'!Q39*BaseLoad!W38*IS!$B$2)</f>
        <v>49745.664964107251</v>
      </c>
      <c r="R39" s="244">
        <f>IF($A$1="Peak","-",'Base Hours'!R39*BaseLoad!X38*IS!$B$2)</f>
        <v>49318.599911972793</v>
      </c>
      <c r="S39" s="244">
        <f>IF($A$1="Peak","-",'Base Hours'!S39*BaseLoad!Y38*IS!$B$2)</f>
        <v>48648.78042257615</v>
      </c>
      <c r="T39" s="244">
        <f>IF($A$1="Peak","-",'Base Hours'!T39*BaseLoad!Z38*IS!$B$2)</f>
        <v>48263.445099253557</v>
      </c>
      <c r="U39" s="244">
        <f>IF($A$1="Peak","-",'Base Hours'!U39*BaseLoad!AA38*IS!$B$2)</f>
        <v>129969.4990485692</v>
      </c>
      <c r="V39" s="244">
        <f t="shared" si="2"/>
        <v>1478121.1804349497</v>
      </c>
      <c r="W39" s="244"/>
      <c r="X39" s="244"/>
      <c r="Y39" s="245"/>
      <c r="Z39" s="245">
        <f>(BaseLoad!C38*'Base Hours'!X39*IS!$B$2)*-1</f>
        <v>-1811587.3823612253</v>
      </c>
      <c r="AA39" s="245"/>
      <c r="AB39" s="245">
        <f>(BaseLoad!D38*'Base Hours'!X39*IS!$B$2)*-1</f>
        <v>-159969.63532033822</v>
      </c>
      <c r="AC39" s="245"/>
      <c r="AD39" s="245">
        <f>(BaseLoad!E38*'Base Hours'!X39*IS!$B$2)*-1</f>
        <v>0</v>
      </c>
      <c r="AE39" s="245"/>
      <c r="AF39" s="245">
        <f>(BaseLoad!F38*'Base Hours'!X39*IS!$B$2)*-1</f>
        <v>0</v>
      </c>
      <c r="AG39" s="245"/>
    </row>
    <row r="40" spans="1:33" x14ac:dyDescent="0.2">
      <c r="A40" s="1">
        <f t="shared" si="1"/>
        <v>37452.510000000038</v>
      </c>
      <c r="B40" s="244">
        <f>IF($A$1="Peak","-",'Base Hours'!B40*BaseLoad!H39*IS!$B$2)</f>
        <v>312586.62377068977</v>
      </c>
      <c r="C40" s="244">
        <f>IF($A$1="Peak","-",'Base Hours'!C40*BaseLoad!I39*IS!$B$2)</f>
        <v>165182.01329941562</v>
      </c>
      <c r="D40" s="244">
        <f>IF($A$1="Peak","-",'Base Hours'!D40*BaseLoad!J39*IS!$B$2)</f>
        <v>205723.81241864126</v>
      </c>
      <c r="E40" s="244">
        <f>IF($A$1="Peak","-",'Base Hours'!E40*BaseLoad!K39*IS!$B$2)</f>
        <v>252052.65152026695</v>
      </c>
      <c r="F40" s="244">
        <f>IF($A$1="Peak","-",'Base Hours'!F40*BaseLoad!L39*IS!$B$2)</f>
        <v>80586.295838633785</v>
      </c>
      <c r="G40" s="244">
        <f>IF($A$1="Peak","-",'Base Hours'!G40*BaseLoad!M39*IS!$B$2)</f>
        <v>138988.95311992033</v>
      </c>
      <c r="H40" s="244">
        <f>IF($A$1="Peak","-",'Base Hours'!H40*BaseLoad!N39*IS!$B$2)</f>
        <v>127491.58634771525</v>
      </c>
      <c r="I40" s="244">
        <f>IF($A$1="Peak","-",'Base Hours'!I40*BaseLoad!O39*IS!$B$2)</f>
        <v>122069.04953314546</v>
      </c>
      <c r="J40" s="244">
        <f>IF($A$1="Peak","-",'Base Hours'!J40*BaseLoad!P39*IS!$B$2)</f>
        <v>117225.390502928</v>
      </c>
      <c r="K40" s="244">
        <f>IF($A$1="Peak","-",'Base Hours'!K40*BaseLoad!Q39*IS!$B$2)</f>
        <v>94387.982890234227</v>
      </c>
      <c r="L40" s="244">
        <f>IF($A$1="Peak","-",'Base Hours'!L40*BaseLoad!R39*IS!$B$2)</f>
        <v>76227.841830187899</v>
      </c>
      <c r="M40" s="244">
        <f>IF($A$1="Peak","-",'Base Hours'!M40*BaseLoad!S39*IS!$B$2)</f>
        <v>68796.971553007548</v>
      </c>
      <c r="N40" s="244">
        <f>IF($A$1="Peak","-",'Base Hours'!N40*BaseLoad!T39*IS!$B$2)</f>
        <v>57903.421776628114</v>
      </c>
      <c r="O40" s="244">
        <f>IF($A$1="Peak","-",'Base Hours'!O40*BaseLoad!U39*IS!$B$2)</f>
        <v>54672.400091854804</v>
      </c>
      <c r="P40" s="244">
        <f>IF($A$1="Peak","-",'Base Hours'!P40*BaseLoad!V39*IS!$B$2)</f>
        <v>51032.215233885043</v>
      </c>
      <c r="Q40" s="244">
        <f>IF($A$1="Peak","-",'Base Hours'!Q40*BaseLoad!W39*IS!$B$2)</f>
        <v>49441.842731787619</v>
      </c>
      <c r="R40" s="244">
        <f>IF($A$1="Peak","-",'Base Hours'!R40*BaseLoad!X39*IS!$B$2)</f>
        <v>48406.321555310176</v>
      </c>
      <c r="S40" s="244">
        <f>IF($A$1="Peak","-",'Base Hours'!S40*BaseLoad!Y39*IS!$B$2)</f>
        <v>47578.516529136956</v>
      </c>
      <c r="T40" s="244">
        <f>IF($A$1="Peak","-",'Base Hours'!T40*BaseLoad!Z39*IS!$B$2)</f>
        <v>47044.372746441259</v>
      </c>
      <c r="U40" s="244">
        <f>IF($A$1="Peak","-",'Base Hours'!U40*BaseLoad!AA39*IS!$B$2)</f>
        <v>126114.19639434734</v>
      </c>
      <c r="V40" s="244">
        <f t="shared" si="2"/>
        <v>2243512.4596841773</v>
      </c>
      <c r="W40" s="244"/>
      <c r="X40" s="244"/>
      <c r="Y40" s="245"/>
      <c r="Z40" s="245">
        <f>(BaseLoad!C39*'Base Hours'!X40*IS!$B$2)*-1</f>
        <v>-1811587.3823612253</v>
      </c>
      <c r="AA40" s="245"/>
      <c r="AB40" s="245">
        <f>(BaseLoad!D39*'Base Hours'!X40*IS!$B$2)*-1</f>
        <v>-160236.25137920547</v>
      </c>
      <c r="AC40" s="245"/>
      <c r="AD40" s="245">
        <f>(BaseLoad!E39*'Base Hours'!X40*IS!$B$2)*-1</f>
        <v>0</v>
      </c>
      <c r="AE40" s="245"/>
      <c r="AF40" s="245">
        <f>(BaseLoad!F39*'Base Hours'!X40*IS!$B$2)*-1</f>
        <v>0</v>
      </c>
      <c r="AG40" s="245"/>
    </row>
    <row r="41" spans="1:33" x14ac:dyDescent="0.2">
      <c r="A41" s="1">
        <f t="shared" si="1"/>
        <v>37482.92700000004</v>
      </c>
      <c r="B41" s="244">
        <f>IF($A$1="Peak","-",'Base Hours'!B41*BaseLoad!H40*IS!$B$2)</f>
        <v>655808.62564846803</v>
      </c>
      <c r="C41" s="244">
        <f>IF($A$1="Peak","-",'Base Hours'!C41*BaseLoad!I40*IS!$B$2)</f>
        <v>290853.42343325692</v>
      </c>
      <c r="D41" s="244">
        <f>IF($A$1="Peak","-",'Base Hours'!D41*BaseLoad!J40*IS!$B$2)</f>
        <v>326203.07226619165</v>
      </c>
      <c r="E41" s="244">
        <f>IF($A$1="Peak","-",'Base Hours'!E41*BaseLoad!K40*IS!$B$2)</f>
        <v>328102.94782159058</v>
      </c>
      <c r="F41" s="244">
        <f>IF($A$1="Peak","-",'Base Hours'!F41*BaseLoad!L40*IS!$B$2)</f>
        <v>157914.58762245221</v>
      </c>
      <c r="G41" s="244">
        <f>IF($A$1="Peak","-",'Base Hours'!G41*BaseLoad!M40*IS!$B$2)</f>
        <v>169714.76399750449</v>
      </c>
      <c r="H41" s="244">
        <f>IF($A$1="Peak","-",'Base Hours'!H41*BaseLoad!N40*IS!$B$2)</f>
        <v>151474.86907431661</v>
      </c>
      <c r="I41" s="244">
        <f>IF($A$1="Peak","-",'Base Hours'!I41*BaseLoad!O40*IS!$B$2)</f>
        <v>144464.77190680703</v>
      </c>
      <c r="J41" s="244">
        <f>IF($A$1="Peak","-",'Base Hours'!J41*BaseLoad!P40*IS!$B$2)</f>
        <v>115232.33908479183</v>
      </c>
      <c r="K41" s="244">
        <f>IF($A$1="Peak","-",'Base Hours'!K41*BaseLoad!Q40*IS!$B$2)</f>
        <v>96144.167275636966</v>
      </c>
      <c r="L41" s="244">
        <f>IF($A$1="Peak","-",'Base Hours'!L41*BaseLoad!R40*IS!$B$2)</f>
        <v>81764.807562102447</v>
      </c>
      <c r="M41" s="244">
        <f>IF($A$1="Peak","-",'Base Hours'!M41*BaseLoad!S40*IS!$B$2)</f>
        <v>76109.978669722055</v>
      </c>
      <c r="N41" s="244">
        <f>IF($A$1="Peak","-",'Base Hours'!N41*BaseLoad!T40*IS!$B$2)</f>
        <v>73057.921611636237</v>
      </c>
      <c r="O41" s="244">
        <f>IF($A$1="Peak","-",'Base Hours'!O41*BaseLoad!U40*IS!$B$2)</f>
        <v>61620.395784120512</v>
      </c>
      <c r="P41" s="244">
        <f>IF($A$1="Peak","-",'Base Hours'!P41*BaseLoad!V40*IS!$B$2)</f>
        <v>57867.719854403491</v>
      </c>
      <c r="Q41" s="244">
        <f>IF($A$1="Peak","-",'Base Hours'!Q41*BaseLoad!W40*IS!$B$2)</f>
        <v>54477.909021954227</v>
      </c>
      <c r="R41" s="244">
        <f>IF($A$1="Peak","-",'Base Hours'!R41*BaseLoad!X40*IS!$B$2)</f>
        <v>52544.605830410699</v>
      </c>
      <c r="S41" s="244">
        <f>IF($A$1="Peak","-",'Base Hours'!S41*BaseLoad!Y40*IS!$B$2)</f>
        <v>51810.051098377633</v>
      </c>
      <c r="T41" s="244">
        <f>IF($A$1="Peak","-",'Base Hours'!T41*BaseLoad!Z40*IS!$B$2)</f>
        <v>51209.154149335067</v>
      </c>
      <c r="U41" s="244">
        <f>IF($A$1="Peak","-",'Base Hours'!U41*BaseLoad!AA40*IS!$B$2)</f>
        <v>136594.88862672236</v>
      </c>
      <c r="V41" s="244">
        <f t="shared" si="2"/>
        <v>3132971.0003398005</v>
      </c>
      <c r="W41" s="244"/>
      <c r="X41" s="244"/>
      <c r="Y41" s="245"/>
      <c r="Z41" s="245">
        <f>(BaseLoad!C40*'Base Hours'!X41*IS!$B$2)*-1</f>
        <v>-1811587.3823612253</v>
      </c>
      <c r="AA41" s="245"/>
      <c r="AB41" s="245">
        <f>(BaseLoad!D40*'Base Hours'!X41*IS!$B$2)*-1</f>
        <v>-160503.31179817082</v>
      </c>
      <c r="AC41" s="245"/>
      <c r="AD41" s="245">
        <f>(BaseLoad!E40*'Base Hours'!X41*IS!$B$2)*-1</f>
        <v>0</v>
      </c>
      <c r="AE41" s="245"/>
      <c r="AF41" s="245">
        <f>(BaseLoad!F40*'Base Hours'!X41*IS!$B$2)*-1</f>
        <v>0</v>
      </c>
      <c r="AG41" s="245"/>
    </row>
    <row r="42" spans="1:33" x14ac:dyDescent="0.2">
      <c r="A42" s="1">
        <f t="shared" si="1"/>
        <v>37513.344000000041</v>
      </c>
      <c r="B42" s="244">
        <f>IF($A$1="Peak","-",'Base Hours'!B42*BaseLoad!H41*IS!$B$2)</f>
        <v>135098.03861178586</v>
      </c>
      <c r="C42" s="244">
        <f>IF($A$1="Peak","-",'Base Hours'!C42*BaseLoad!I41*IS!$B$2)</f>
        <v>79332.128242943334</v>
      </c>
      <c r="D42" s="244">
        <f>IF($A$1="Peak","-",'Base Hours'!D42*BaseLoad!J41*IS!$B$2)</f>
        <v>117171.0601318772</v>
      </c>
      <c r="E42" s="244">
        <f>IF($A$1="Peak","-",'Base Hours'!E42*BaseLoad!K41*IS!$B$2)</f>
        <v>75084.095114566691</v>
      </c>
      <c r="F42" s="244">
        <f>IF($A$1="Peak","-",'Base Hours'!F42*BaseLoad!L41*IS!$B$2)</f>
        <v>54911.11131870489</v>
      </c>
      <c r="G42" s="244">
        <f>IF($A$1="Peak","-",'Base Hours'!G42*BaseLoad!M41*IS!$B$2)</f>
        <v>95199.238309600085</v>
      </c>
      <c r="H42" s="244">
        <f>IF($A$1="Peak","-",'Base Hours'!H42*BaseLoad!N41*IS!$B$2)</f>
        <v>86134.089897000827</v>
      </c>
      <c r="I42" s="244">
        <f>IF($A$1="Peak","-",'Base Hours'!I42*BaseLoad!O41*IS!$B$2)</f>
        <v>83637.304531725342</v>
      </c>
      <c r="J42" s="244">
        <f>IF($A$1="Peak","-",'Base Hours'!J42*BaseLoad!P41*IS!$B$2)</f>
        <v>77194.563944634996</v>
      </c>
      <c r="K42" s="244">
        <f>IF($A$1="Peak","-",'Base Hours'!K42*BaseLoad!Q41*IS!$B$2)</f>
        <v>63140.182873854457</v>
      </c>
      <c r="L42" s="244">
        <f>IF($A$1="Peak","-",'Base Hours'!L42*BaseLoad!R41*IS!$B$2)</f>
        <v>59400.373159039365</v>
      </c>
      <c r="M42" s="244">
        <f>IF($A$1="Peak","-",'Base Hours'!M42*BaseLoad!S41*IS!$B$2)</f>
        <v>56469.30669995975</v>
      </c>
      <c r="N42" s="244">
        <f>IF($A$1="Peak","-",'Base Hours'!N42*BaseLoad!T41*IS!$B$2)</f>
        <v>52236.810460284985</v>
      </c>
      <c r="O42" s="244">
        <f>IF($A$1="Peak","-",'Base Hours'!O42*BaseLoad!U41*IS!$B$2)</f>
        <v>50190.113402760879</v>
      </c>
      <c r="P42" s="244">
        <f>IF($A$1="Peak","-",'Base Hours'!P42*BaseLoad!V41*IS!$B$2)</f>
        <v>50025.314462252449</v>
      </c>
      <c r="Q42" s="244">
        <f>IF($A$1="Peak","-",'Base Hours'!Q42*BaseLoad!W41*IS!$B$2)</f>
        <v>49208.478127332011</v>
      </c>
      <c r="R42" s="244">
        <f>IF($A$1="Peak","-",'Base Hours'!R42*BaseLoad!X41*IS!$B$2)</f>
        <v>48239.801105948674</v>
      </c>
      <c r="S42" s="244">
        <f>IF($A$1="Peak","-",'Base Hours'!S42*BaseLoad!Y41*IS!$B$2)</f>
        <v>47453.89868510767</v>
      </c>
      <c r="T42" s="244">
        <f>IF($A$1="Peak","-",'Base Hours'!T42*BaseLoad!Z41*IS!$B$2)</f>
        <v>46877.451379372455</v>
      </c>
      <c r="U42" s="244">
        <f>IF($A$1="Peak","-",'Base Hours'!U42*BaseLoad!AA41*IS!$B$2)</f>
        <v>126045.06717592088</v>
      </c>
      <c r="V42" s="244">
        <f t="shared" si="2"/>
        <v>1453048.4276346727</v>
      </c>
      <c r="W42" s="244"/>
      <c r="X42" s="244"/>
      <c r="Y42" s="245"/>
      <c r="Z42" s="245">
        <f>(BaseLoad!C41*'Base Hours'!X42*IS!$B$2)*-1</f>
        <v>-1811587.3823612253</v>
      </c>
      <c r="AA42" s="245"/>
      <c r="AB42" s="245">
        <f>(BaseLoad!D41*'Base Hours'!X42*IS!$B$2)*-1</f>
        <v>-160770.81731783444</v>
      </c>
      <c r="AC42" s="245"/>
      <c r="AD42" s="245">
        <f>(BaseLoad!E41*'Base Hours'!X42*IS!$B$2)*-1</f>
        <v>0</v>
      </c>
      <c r="AE42" s="245"/>
      <c r="AF42" s="245">
        <f>(BaseLoad!F41*'Base Hours'!X42*IS!$B$2)*-1</f>
        <v>0</v>
      </c>
      <c r="AG42" s="245"/>
    </row>
    <row r="43" spans="1:33" x14ac:dyDescent="0.2">
      <c r="A43" s="1">
        <f t="shared" si="1"/>
        <v>37543.761000000042</v>
      </c>
      <c r="B43" s="244">
        <f>IF($A$1="Peak","-",'Base Hours'!B43*BaseLoad!H42*IS!$B$2)</f>
        <v>16881.055327751608</v>
      </c>
      <c r="C43" s="244">
        <f>IF($A$1="Peak","-",'Base Hours'!C43*BaseLoad!I42*IS!$B$2)</f>
        <v>16595.17993882472</v>
      </c>
      <c r="D43" s="244">
        <f>IF($A$1="Peak","-",'Base Hours'!D43*BaseLoad!J42*IS!$B$2)</f>
        <v>32420.503620173964</v>
      </c>
      <c r="E43" s="244">
        <f>IF($A$1="Peak","-",'Base Hours'!E43*BaseLoad!K42*IS!$B$2)</f>
        <v>62337.902625682465</v>
      </c>
      <c r="F43" s="244">
        <f>IF($A$1="Peak","-",'Base Hours'!F43*BaseLoad!L42*IS!$B$2)</f>
        <v>59483.370491001413</v>
      </c>
      <c r="G43" s="244">
        <f>IF($A$1="Peak","-",'Base Hours'!G43*BaseLoad!M42*IS!$B$2)</f>
        <v>115526.46664143683</v>
      </c>
      <c r="H43" s="244">
        <f>IF($A$1="Peak","-",'Base Hours'!H43*BaseLoad!N42*IS!$B$2)</f>
        <v>115225.89962538989</v>
      </c>
      <c r="I43" s="244">
        <f>IF($A$1="Peak","-",'Base Hours'!I43*BaseLoad!O42*IS!$B$2)</f>
        <v>108224.63216482558</v>
      </c>
      <c r="J43" s="244">
        <f>IF($A$1="Peak","-",'Base Hours'!J43*BaseLoad!P42*IS!$B$2)</f>
        <v>86916.217385396012</v>
      </c>
      <c r="K43" s="244">
        <f>IF($A$1="Peak","-",'Base Hours'!K43*BaseLoad!Q42*IS!$B$2)</f>
        <v>81412.513895742333</v>
      </c>
      <c r="L43" s="244">
        <f>IF($A$1="Peak","-",'Base Hours'!L43*BaseLoad!R42*IS!$B$2)</f>
        <v>68479.413675483564</v>
      </c>
      <c r="M43" s="244">
        <f>IF($A$1="Peak","-",'Base Hours'!M43*BaseLoad!S42*IS!$B$2)</f>
        <v>67121.938159842408</v>
      </c>
      <c r="N43" s="244">
        <f>IF($A$1="Peak","-",'Base Hours'!N43*BaseLoad!T42*IS!$B$2)</f>
        <v>64512.487168115142</v>
      </c>
      <c r="O43" s="244">
        <f>IF($A$1="Peak","-",'Base Hours'!O43*BaseLoad!U42*IS!$B$2)</f>
        <v>62163.158191785376</v>
      </c>
      <c r="P43" s="244">
        <f>IF($A$1="Peak","-",'Base Hours'!P43*BaseLoad!V42*IS!$B$2)</f>
        <v>58634.175940899026</v>
      </c>
      <c r="Q43" s="244">
        <f>IF($A$1="Peak","-",'Base Hours'!Q43*BaseLoad!W42*IS!$B$2)</f>
        <v>56104.119040844249</v>
      </c>
      <c r="R43" s="244">
        <f>IF($A$1="Peak","-",'Base Hours'!R43*BaseLoad!X42*IS!$B$2)</f>
        <v>54571.827830635993</v>
      </c>
      <c r="S43" s="244">
        <f>IF($A$1="Peak","-",'Base Hours'!S43*BaseLoad!Y42*IS!$B$2)</f>
        <v>53142.45927009399</v>
      </c>
      <c r="T43" s="244">
        <f>IF($A$1="Peak","-",'Base Hours'!T43*BaseLoad!Z42*IS!$B$2)</f>
        <v>52417.068649309513</v>
      </c>
      <c r="U43" s="244">
        <f>IF($A$1="Peak","-",'Base Hours'!U43*BaseLoad!AA42*IS!$B$2)</f>
        <v>140587.9304836019</v>
      </c>
      <c r="V43" s="244">
        <f t="shared" si="2"/>
        <v>1372758.320126836</v>
      </c>
      <c r="W43" s="244"/>
      <c r="X43" s="244"/>
      <c r="Y43" s="245"/>
      <c r="Z43" s="245">
        <f>(BaseLoad!C42*'Base Hours'!X43*IS!$B$2)*-1</f>
        <v>-1811587.3823612253</v>
      </c>
      <c r="AA43" s="245"/>
      <c r="AB43" s="245">
        <f>(BaseLoad!D42*'Base Hours'!X43*IS!$B$2)*-1</f>
        <v>-161038.76868003086</v>
      </c>
      <c r="AC43" s="245"/>
      <c r="AD43" s="245">
        <f>(BaseLoad!E42*'Base Hours'!X43*IS!$B$2)*-1</f>
        <v>0</v>
      </c>
      <c r="AE43" s="245"/>
      <c r="AF43" s="245">
        <f>(BaseLoad!F42*'Base Hours'!X43*IS!$B$2)*-1</f>
        <v>0</v>
      </c>
      <c r="AG43" s="245"/>
    </row>
    <row r="44" spans="1:33" x14ac:dyDescent="0.2">
      <c r="A44" s="1">
        <f t="shared" si="1"/>
        <v>37574.178000000044</v>
      </c>
      <c r="B44" s="244">
        <f>IF($A$1="Peak","-",'Base Hours'!B44*BaseLoad!H43*IS!$B$2)</f>
        <v>24199.395903832225</v>
      </c>
      <c r="C44" s="244">
        <f>IF($A$1="Peak","-",'Base Hours'!C44*BaseLoad!I43*IS!$B$2)</f>
        <v>20776.065658231098</v>
      </c>
      <c r="D44" s="244">
        <f>IF($A$1="Peak","-",'Base Hours'!D44*BaseLoad!J43*IS!$B$2)</f>
        <v>39737.721419714435</v>
      </c>
      <c r="E44" s="244">
        <f>IF($A$1="Peak","-",'Base Hours'!E44*BaseLoad!K43*IS!$B$2)</f>
        <v>75635.451928508483</v>
      </c>
      <c r="F44" s="244">
        <f>IF($A$1="Peak","-",'Base Hours'!F44*BaseLoad!L43*IS!$B$2)</f>
        <v>70837.363491613316</v>
      </c>
      <c r="G44" s="244">
        <f>IF($A$1="Peak","-",'Base Hours'!G44*BaseLoad!M43*IS!$B$2)</f>
        <v>137421.75763146929</v>
      </c>
      <c r="H44" s="244">
        <f>IF($A$1="Peak","-",'Base Hours'!H44*BaseLoad!N43*IS!$B$2)</f>
        <v>134993.53608137698</v>
      </c>
      <c r="I44" s="244">
        <f>IF($A$1="Peak","-",'Base Hours'!I44*BaseLoad!O43*IS!$B$2)</f>
        <v>113622.91357276383</v>
      </c>
      <c r="J44" s="244">
        <f>IF($A$1="Peak","-",'Base Hours'!J44*BaseLoad!P43*IS!$B$2)</f>
        <v>96352.974412434793</v>
      </c>
      <c r="K44" s="244">
        <f>IF($A$1="Peak","-",'Base Hours'!K44*BaseLoad!Q43*IS!$B$2)</f>
        <v>79283.632384732657</v>
      </c>
      <c r="L44" s="244">
        <f>IF($A$1="Peak","-",'Base Hours'!L44*BaseLoad!R43*IS!$B$2)</f>
        <v>77196.302082077556</v>
      </c>
      <c r="M44" s="244">
        <f>IF($A$1="Peak","-",'Base Hours'!M44*BaseLoad!S43*IS!$B$2)</f>
        <v>70184.377032825578</v>
      </c>
      <c r="N44" s="244">
        <f>IF($A$1="Peak","-",'Base Hours'!N44*BaseLoad!T43*IS!$B$2)</f>
        <v>70184.377032825578</v>
      </c>
      <c r="O44" s="244">
        <f>IF($A$1="Peak","-",'Base Hours'!O44*BaseLoad!U43*IS!$B$2)</f>
        <v>69984.679620513765</v>
      </c>
      <c r="P44" s="244">
        <f>IF($A$1="Peak","-",'Base Hours'!P44*BaseLoad!V43*IS!$B$2)</f>
        <v>69410.736942310003</v>
      </c>
      <c r="Q44" s="244">
        <f>IF($A$1="Peak","-",'Base Hours'!Q44*BaseLoad!W43*IS!$B$2)</f>
        <v>57047.161145717779</v>
      </c>
      <c r="R44" s="244">
        <f>IF($A$1="Peak","-",'Base Hours'!R44*BaseLoad!X43*IS!$B$2)</f>
        <v>53918.605873311302</v>
      </c>
      <c r="S44" s="244">
        <f>IF($A$1="Peak","-",'Base Hours'!S44*BaseLoad!Y43*IS!$B$2)</f>
        <v>51008.950993020968</v>
      </c>
      <c r="T44" s="244">
        <f>IF($A$1="Peak","-",'Base Hours'!T44*BaseLoad!Z43*IS!$B$2)</f>
        <v>48914.235486799837</v>
      </c>
      <c r="U44" s="244">
        <f>IF($A$1="Peak","-",'Base Hours'!U44*BaseLoad!AA43*IS!$B$2)</f>
        <v>128312.67645828532</v>
      </c>
      <c r="V44" s="244">
        <f t="shared" si="2"/>
        <v>1489022.9151523651</v>
      </c>
      <c r="W44" s="244"/>
      <c r="X44" s="244"/>
      <c r="Y44" s="245"/>
      <c r="Z44" s="245">
        <f>(BaseLoad!C43*'Base Hours'!X44*IS!$B$2)*-1</f>
        <v>-1811587.3823612253</v>
      </c>
      <c r="AA44" s="245"/>
      <c r="AB44" s="245">
        <f>(BaseLoad!D43*'Base Hours'!X44*IS!$B$2)*-1</f>
        <v>-161307.16662783091</v>
      </c>
      <c r="AC44" s="245"/>
      <c r="AD44" s="245">
        <f>(BaseLoad!E43*'Base Hours'!X44*IS!$B$2)*-1</f>
        <v>0</v>
      </c>
      <c r="AE44" s="245"/>
      <c r="AF44" s="245">
        <f>(BaseLoad!F43*'Base Hours'!X44*IS!$B$2)*-1</f>
        <v>0</v>
      </c>
      <c r="AG44" s="245"/>
    </row>
    <row r="45" spans="1:33" x14ac:dyDescent="0.2">
      <c r="A45" s="1">
        <f t="shared" si="1"/>
        <v>37604.595000000045</v>
      </c>
      <c r="B45" s="244">
        <f>IF($A$1="Peak","-",'Base Hours'!B45*BaseLoad!H44*IS!$B$2)</f>
        <v>24910.029449455065</v>
      </c>
      <c r="C45" s="244">
        <f>IF($A$1="Peak","-",'Base Hours'!C45*BaseLoad!I44*IS!$B$2)</f>
        <v>22542.229652142934</v>
      </c>
      <c r="D45" s="244">
        <f>IF($A$1="Peak","-",'Base Hours'!D45*BaseLoad!J44*IS!$B$2)</f>
        <v>44023.579928980173</v>
      </c>
      <c r="E45" s="244">
        <f>IF($A$1="Peak","-",'Base Hours'!E45*BaseLoad!K44*IS!$B$2)</f>
        <v>83963.176946912092</v>
      </c>
      <c r="F45" s="244">
        <f>IF($A$1="Peak","-",'Base Hours'!F45*BaseLoad!L44*IS!$B$2)</f>
        <v>79039.446336504174</v>
      </c>
      <c r="G45" s="244">
        <f>IF($A$1="Peak","-",'Base Hours'!G45*BaseLoad!M44*IS!$B$2)</f>
        <v>154062.29416583551</v>
      </c>
      <c r="H45" s="244">
        <f>IF($A$1="Peak","-",'Base Hours'!H45*BaseLoad!N44*IS!$B$2)</f>
        <v>152787.00129588915</v>
      </c>
      <c r="I45" s="244">
        <f>IF($A$1="Peak","-",'Base Hours'!I45*BaseLoad!O44*IS!$B$2)</f>
        <v>140350.72787936439</v>
      </c>
      <c r="J45" s="244">
        <f>IF($A$1="Peak","-",'Base Hours'!J45*BaseLoad!P44*IS!$B$2)</f>
        <v>111276.79118063231</v>
      </c>
      <c r="K45" s="244">
        <f>IF($A$1="Peak","-",'Base Hours'!K45*BaseLoad!Q44*IS!$B$2)</f>
        <v>101600.66260293795</v>
      </c>
      <c r="L45" s="244">
        <f>IF($A$1="Peak","-",'Base Hours'!L45*BaseLoad!R44*IS!$B$2)</f>
        <v>87688.276834845004</v>
      </c>
      <c r="M45" s="244">
        <f>IF($A$1="Peak","-",'Base Hours'!M45*BaseLoad!S44*IS!$B$2)</f>
        <v>84397.918529845148</v>
      </c>
      <c r="N45" s="244">
        <f>IF($A$1="Peak","-",'Base Hours'!N45*BaseLoad!T44*IS!$B$2)</f>
        <v>63526.903535365876</v>
      </c>
      <c r="O45" s="244">
        <f>IF($A$1="Peak","-",'Base Hours'!O45*BaseLoad!U44*IS!$B$2)</f>
        <v>60952.245822771154</v>
      </c>
      <c r="P45" s="244">
        <f>IF($A$1="Peak","-",'Base Hours'!P45*BaseLoad!V44*IS!$B$2)</f>
        <v>56862.554767521215</v>
      </c>
      <c r="Q45" s="244">
        <f>IF($A$1="Peak","-",'Base Hours'!Q45*BaseLoad!W44*IS!$B$2)</f>
        <v>53957.461115451915</v>
      </c>
      <c r="R45" s="244">
        <f>IF($A$1="Peak","-",'Base Hours'!R45*BaseLoad!X44*IS!$B$2)</f>
        <v>52655.080137129466</v>
      </c>
      <c r="S45" s="244">
        <f>IF($A$1="Peak","-",'Base Hours'!S45*BaseLoad!Y44*IS!$B$2)</f>
        <v>51691.077378361515</v>
      </c>
      <c r="T45" s="244">
        <f>IF($A$1="Peak","-",'Base Hours'!T45*BaseLoad!Z44*IS!$B$2)</f>
        <v>50853.598147751283</v>
      </c>
      <c r="U45" s="244">
        <f>IF($A$1="Peak","-",'Base Hours'!U45*BaseLoad!AA44*IS!$B$2)</f>
        <v>135876.58671014773</v>
      </c>
      <c r="V45" s="244">
        <f t="shared" si="2"/>
        <v>1613017.6424178442</v>
      </c>
      <c r="W45" s="244">
        <f>IF($A$1="BL",(SUM(V34:V45)),0)</f>
        <v>19975193.524501558</v>
      </c>
      <c r="X45" s="244">
        <f>IF(AND($A$1="BL",W45&gt;0),(PPA!$B$5*8760*IS!$B$2*PPA!$G$4*BaseLoad!$AP$9),0)</f>
        <v>61480099.714859203</v>
      </c>
      <c r="Y45" s="245">
        <f>X45+W45</f>
        <v>81455293.239360765</v>
      </c>
      <c r="Z45" s="245">
        <f>(BaseLoad!C44*'Base Hours'!X45*IS!$B$2)*-1</f>
        <v>-1811587.3823612253</v>
      </c>
      <c r="AA45" s="245">
        <f>SUM(Z34:Z45)</f>
        <v>-21739048.588334706</v>
      </c>
      <c r="AB45" s="245">
        <f>(BaseLoad!D44*'Base Hours'!X45*IS!$B$2)*-1</f>
        <v>-161576.01190554397</v>
      </c>
      <c r="AC45" s="245">
        <f>SUM(AB34:AB45)</f>
        <v>-1921266.3996641547</v>
      </c>
      <c r="AD45" s="245">
        <f>(BaseLoad!E44*'Base Hours'!X45*IS!$B$2)*-1</f>
        <v>0</v>
      </c>
      <c r="AE45" s="245">
        <f>SUM(AD34:AD45)</f>
        <v>0</v>
      </c>
      <c r="AF45" s="245">
        <f>(BaseLoad!F44*'Base Hours'!X45*IS!$B$2)*-1</f>
        <v>0</v>
      </c>
      <c r="AG45" s="245">
        <f>SUM(AF34:AF45)</f>
        <v>0</v>
      </c>
    </row>
    <row r="46" spans="1:33" x14ac:dyDescent="0.2">
      <c r="A46" s="1">
        <f t="shared" si="1"/>
        <v>37635.012000000046</v>
      </c>
      <c r="B46" s="244">
        <f>IF($A$1="Peak","-",'Base Hours'!B46*BaseLoad!H45*IS!$B$2)</f>
        <v>20681.406679638036</v>
      </c>
      <c r="C46" s="244">
        <f>IF($A$1="Peak","-",'Base Hours'!C46*BaseLoad!I45*IS!$B$2)</f>
        <v>20012.523902469035</v>
      </c>
      <c r="D46" s="244">
        <f>IF($A$1="Peak","-",'Base Hours'!D46*BaseLoad!J45*IS!$B$2)</f>
        <v>37371.003418876564</v>
      </c>
      <c r="E46" s="244">
        <f>IF($A$1="Peak","-",'Base Hours'!E46*BaseLoad!K45*IS!$B$2)</f>
        <v>67408.6331712838</v>
      </c>
      <c r="F46" s="244">
        <f>IF($A$1="Peak","-",'Base Hours'!F46*BaseLoad!L45*IS!$B$2)</f>
        <v>61531.783608148726</v>
      </c>
      <c r="G46" s="244">
        <f>IF($A$1="Peak","-",'Base Hours'!G46*BaseLoad!M45*IS!$B$2)</f>
        <v>117291.73929418995</v>
      </c>
      <c r="H46" s="244">
        <f>IF($A$1="Peak","-",'Base Hours'!H46*BaseLoad!N45*IS!$B$2)</f>
        <v>110249.02195929905</v>
      </c>
      <c r="I46" s="244">
        <f>IF($A$1="Peak","-",'Base Hours'!I46*BaseLoad!O45*IS!$B$2)</f>
        <v>109285.28792988134</v>
      </c>
      <c r="J46" s="244">
        <f>IF($A$1="Peak","-",'Base Hours'!J46*BaseLoad!P45*IS!$B$2)</f>
        <v>106190.69852273157</v>
      </c>
      <c r="K46" s="244">
        <f>IF($A$1="Peak","-",'Base Hours'!K46*BaseLoad!Q45*IS!$B$2)</f>
        <v>83502.9825357355</v>
      </c>
      <c r="L46" s="244">
        <f>IF($A$1="Peak","-",'Base Hours'!L46*BaseLoad!R45*IS!$B$2)</f>
        <v>79506.201265676122</v>
      </c>
      <c r="M46" s="244">
        <f>IF($A$1="Peak","-",'Base Hours'!M46*BaseLoad!S45*IS!$B$2)</f>
        <v>78071.61885401723</v>
      </c>
      <c r="N46" s="244">
        <f>IF($A$1="Peak","-",'Base Hours'!N46*BaseLoad!T45*IS!$B$2)</f>
        <v>62330.146931122916</v>
      </c>
      <c r="O46" s="244">
        <f>IF($A$1="Peak","-",'Base Hours'!O46*BaseLoad!U45*IS!$B$2)</f>
        <v>57220.179247525848</v>
      </c>
      <c r="P46" s="244">
        <f>IF($A$1="Peak","-",'Base Hours'!P46*BaseLoad!V45*IS!$B$2)</f>
        <v>56816.752166505175</v>
      </c>
      <c r="Q46" s="244">
        <f>IF($A$1="Peak","-",'Base Hours'!Q46*BaseLoad!W45*IS!$B$2)</f>
        <v>55916.232452040269</v>
      </c>
      <c r="R46" s="244">
        <f>IF($A$1="Peak","-",'Base Hours'!R46*BaseLoad!X45*IS!$B$2)</f>
        <v>53629.934202178476</v>
      </c>
      <c r="S46" s="244">
        <f>IF($A$1="Peak","-",'Base Hours'!S46*BaseLoad!Y45*IS!$B$2)</f>
        <v>51830.229403835263</v>
      </c>
      <c r="T46" s="244">
        <f>IF($A$1="Peak","-",'Base Hours'!T46*BaseLoad!Z45*IS!$B$2)</f>
        <v>49445.308378392096</v>
      </c>
      <c r="U46" s="244">
        <f>IF($A$1="Peak","-",'Base Hours'!U46*BaseLoad!AA45*IS!$B$2)</f>
        <v>129263.20389449284</v>
      </c>
      <c r="V46" s="244">
        <f t="shared" si="2"/>
        <v>1407554.8878180399</v>
      </c>
      <c r="W46" s="244"/>
      <c r="X46" s="244"/>
      <c r="Y46" s="245"/>
      <c r="Z46" s="245">
        <f>(BaseLoad!C45*'Base Hours'!X46*IS!$B$2)*-1</f>
        <v>-1768911.6059333766</v>
      </c>
      <c r="AA46" s="245"/>
      <c r="AB46" s="245">
        <f>(BaseLoad!D45*'Base Hours'!X46*IS!$B$2)*-1</f>
        <v>-159577.79513519575</v>
      </c>
      <c r="AC46" s="245"/>
      <c r="AD46" s="245">
        <f>(BaseLoad!E45*'Base Hours'!X46*IS!$B$2)*-1</f>
        <v>0</v>
      </c>
      <c r="AE46" s="245"/>
      <c r="AF46" s="245">
        <f>(BaseLoad!F45*'Base Hours'!X46*IS!$B$2)*-1</f>
        <v>0</v>
      </c>
      <c r="AG46" s="245"/>
    </row>
    <row r="47" spans="1:33" x14ac:dyDescent="0.2">
      <c r="A47" s="1">
        <f t="shared" si="1"/>
        <v>37665.429000000047</v>
      </c>
      <c r="B47" s="244">
        <f>IF($A$1="Peak","-",'Base Hours'!B47*BaseLoad!H46*IS!$B$2)</f>
        <v>32827.601691426462</v>
      </c>
      <c r="C47" s="244">
        <f>IF($A$1="Peak","-",'Base Hours'!C47*BaseLoad!I46*IS!$B$2)</f>
        <v>20409.948978339919</v>
      </c>
      <c r="D47" s="244">
        <f>IF($A$1="Peak","-",'Base Hours'!D47*BaseLoad!J46*IS!$B$2)</f>
        <v>36154.999512027061</v>
      </c>
      <c r="E47" s="244">
        <f>IF($A$1="Peak","-",'Base Hours'!E47*BaseLoad!K46*IS!$B$2)</f>
        <v>66588.793825738816</v>
      </c>
      <c r="F47" s="244">
        <f>IF($A$1="Peak","-",'Base Hours'!F47*BaseLoad!L46*IS!$B$2)</f>
        <v>63752.135223306876</v>
      </c>
      <c r="G47" s="244">
        <f>IF($A$1="Peak","-",'Base Hours'!G47*BaseLoad!M46*IS!$B$2)</f>
        <v>120632.04698974136</v>
      </c>
      <c r="H47" s="244">
        <f>IF($A$1="Peak","-",'Base Hours'!H47*BaseLoad!N46*IS!$B$2)</f>
        <v>114303.86175055601</v>
      </c>
      <c r="I47" s="244">
        <f>IF($A$1="Peak","-",'Base Hours'!I47*BaseLoad!O46*IS!$B$2)</f>
        <v>113765.9740543849</v>
      </c>
      <c r="J47" s="244">
        <f>IF($A$1="Peak","-",'Base Hours'!J47*BaseLoad!P46*IS!$B$2)</f>
        <v>103382.80996709535</v>
      </c>
      <c r="K47" s="244">
        <f>IF($A$1="Peak","-",'Base Hours'!K47*BaseLoad!Q46*IS!$B$2)</f>
        <v>82062.089585429756</v>
      </c>
      <c r="L47" s="244">
        <f>IF($A$1="Peak","-",'Base Hours'!L47*BaseLoad!R46*IS!$B$2)</f>
        <v>71130.221571615679</v>
      </c>
      <c r="M47" s="244">
        <f>IF($A$1="Peak","-",'Base Hours'!M47*BaseLoad!S46*IS!$B$2)</f>
        <v>66110.237675374126</v>
      </c>
      <c r="N47" s="244">
        <f>IF($A$1="Peak","-",'Base Hours'!N47*BaseLoad!T46*IS!$B$2)</f>
        <v>61037.624984296366</v>
      </c>
      <c r="O47" s="244">
        <f>IF($A$1="Peak","-",'Base Hours'!O47*BaseLoad!U46*IS!$B$2)</f>
        <v>56587.725645071019</v>
      </c>
      <c r="P47" s="244">
        <f>IF($A$1="Peak","-",'Base Hours'!P47*BaseLoad!V46*IS!$B$2)</f>
        <v>54660.180233445906</v>
      </c>
      <c r="Q47" s="244">
        <f>IF($A$1="Peak","-",'Base Hours'!Q47*BaseLoad!W46*IS!$B$2)</f>
        <v>51878.410309506413</v>
      </c>
      <c r="R47" s="244">
        <f>IF($A$1="Peak","-",'Base Hours'!R47*BaseLoad!X46*IS!$B$2)</f>
        <v>50813.502930518116</v>
      </c>
      <c r="S47" s="244">
        <f>IF($A$1="Peak","-",'Base Hours'!S47*BaseLoad!Y46*IS!$B$2)</f>
        <v>49900.462756631678</v>
      </c>
      <c r="T47" s="244">
        <f>IF($A$1="Peak","-",'Base Hours'!T47*BaseLoad!Z46*IS!$B$2)</f>
        <v>49004.261616589363</v>
      </c>
      <c r="U47" s="244">
        <f>IF($A$1="Peak","-",'Base Hours'!U47*BaseLoad!AA46*IS!$B$2)</f>
        <v>131768.11696991586</v>
      </c>
      <c r="V47" s="244">
        <f t="shared" si="2"/>
        <v>1396771.0062710107</v>
      </c>
      <c r="W47" s="244"/>
      <c r="X47" s="244"/>
      <c r="Y47" s="245"/>
      <c r="Z47" s="245">
        <f>(BaseLoad!C46*'Base Hours'!X47*IS!$B$2)*-1</f>
        <v>-1768911.6059333766</v>
      </c>
      <c r="AA47" s="245"/>
      <c r="AB47" s="245">
        <f>(BaseLoad!D46*'Base Hours'!X47*IS!$B$2)*-1</f>
        <v>-159843.75812708773</v>
      </c>
      <c r="AC47" s="245"/>
      <c r="AD47" s="245">
        <f>(BaseLoad!E46*'Base Hours'!X47*IS!$B$2)*-1</f>
        <v>0</v>
      </c>
      <c r="AE47" s="245"/>
      <c r="AF47" s="245">
        <f>(BaseLoad!F46*'Base Hours'!X47*IS!$B$2)*-1</f>
        <v>0</v>
      </c>
      <c r="AG47" s="245"/>
    </row>
    <row r="48" spans="1:33" x14ac:dyDescent="0.2">
      <c r="A48" s="1">
        <f t="shared" si="1"/>
        <v>37695.846000000049</v>
      </c>
      <c r="B48" s="244">
        <f>IF($A$1="Peak","-",'Base Hours'!B48*BaseLoad!H47*IS!$B$2)</f>
        <v>22126.494426753787</v>
      </c>
      <c r="C48" s="244">
        <f>IF($A$1="Peak","-",'Base Hours'!C48*BaseLoad!I47*IS!$B$2)</f>
        <v>19615.743662812176</v>
      </c>
      <c r="D48" s="244">
        <f>IF($A$1="Peak","-",'Base Hours'!D48*BaseLoad!J47*IS!$B$2)</f>
        <v>34836.06915209705</v>
      </c>
      <c r="E48" s="244">
        <f>IF($A$1="Peak","-",'Base Hours'!E48*BaseLoad!K47*IS!$B$2)</f>
        <v>67020.947367243221</v>
      </c>
      <c r="F48" s="244">
        <f>IF($A$1="Peak","-",'Base Hours'!F48*BaseLoad!L47*IS!$B$2)</f>
        <v>64018.123372843613</v>
      </c>
      <c r="G48" s="244">
        <f>IF($A$1="Peak","-",'Base Hours'!G48*BaseLoad!M47*IS!$B$2)</f>
        <v>120042.39912341796</v>
      </c>
      <c r="H48" s="244">
        <f>IF($A$1="Peak","-",'Base Hours'!H48*BaseLoad!N47*IS!$B$2)</f>
        <v>118684.63812895189</v>
      </c>
      <c r="I48" s="244">
        <f>IF($A$1="Peak","-",'Base Hours'!I48*BaseLoad!O47*IS!$B$2)</f>
        <v>116215.06630216382</v>
      </c>
      <c r="J48" s="244">
        <f>IF($A$1="Peak","-",'Base Hours'!J48*BaseLoad!P47*IS!$B$2)</f>
        <v>101137.99736476802</v>
      </c>
      <c r="K48" s="244">
        <f>IF($A$1="Peak","-",'Base Hours'!K48*BaseLoad!Q47*IS!$B$2)</f>
        <v>84040.667283833463</v>
      </c>
      <c r="L48" s="244">
        <f>IF($A$1="Peak","-",'Base Hours'!L48*BaseLoad!R47*IS!$B$2)</f>
        <v>76479.879411302798</v>
      </c>
      <c r="M48" s="244">
        <f>IF($A$1="Peak","-",'Base Hours'!M48*BaseLoad!S47*IS!$B$2)</f>
        <v>68513.415523757401</v>
      </c>
      <c r="N48" s="244">
        <f>IF($A$1="Peak","-",'Base Hours'!N48*BaseLoad!T47*IS!$B$2)</f>
        <v>68122.285152682336</v>
      </c>
      <c r="O48" s="244">
        <f>IF($A$1="Peak","-",'Base Hours'!O48*BaseLoad!U47*IS!$B$2)</f>
        <v>61187.870631757964</v>
      </c>
      <c r="P48" s="244">
        <f>IF($A$1="Peak","-",'Base Hours'!P48*BaseLoad!V47*IS!$B$2)</f>
        <v>58944.291421433089</v>
      </c>
      <c r="Q48" s="244">
        <f>IF($A$1="Peak","-",'Base Hours'!Q48*BaseLoad!W47*IS!$B$2)</f>
        <v>56892.813624570081</v>
      </c>
      <c r="R48" s="244">
        <f>IF($A$1="Peak","-",'Base Hours'!R48*BaseLoad!X47*IS!$B$2)</f>
        <v>54018.784342262072</v>
      </c>
      <c r="S48" s="244">
        <f>IF($A$1="Peak","-",'Base Hours'!S48*BaseLoad!Y47*IS!$B$2)</f>
        <v>52986.7684304621</v>
      </c>
      <c r="T48" s="244">
        <f>IF($A$1="Peak","-",'Base Hours'!T48*BaseLoad!Z47*IS!$B$2)</f>
        <v>51768.977792629594</v>
      </c>
      <c r="U48" s="244">
        <f>IF($A$1="Peak","-",'Base Hours'!U48*BaseLoad!AA47*IS!$B$2)</f>
        <v>138443.16014199654</v>
      </c>
      <c r="V48" s="244">
        <f t="shared" si="2"/>
        <v>1435096.3926577391</v>
      </c>
      <c r="W48" s="244"/>
      <c r="X48" s="244"/>
      <c r="Y48" s="245"/>
      <c r="Z48" s="245">
        <f>(BaseLoad!C47*'Base Hours'!X48*IS!$B$2)*-1</f>
        <v>-1768911.6059333766</v>
      </c>
      <c r="AA48" s="245"/>
      <c r="AB48" s="245">
        <f>(BaseLoad!D47*'Base Hours'!X48*IS!$B$2)*-1</f>
        <v>-160110.16439063288</v>
      </c>
      <c r="AC48" s="245"/>
      <c r="AD48" s="245">
        <f>(BaseLoad!E47*'Base Hours'!X48*IS!$B$2)*-1</f>
        <v>0</v>
      </c>
      <c r="AE48" s="245"/>
      <c r="AF48" s="245">
        <f>(BaseLoad!F47*'Base Hours'!X48*IS!$B$2)*-1</f>
        <v>0</v>
      </c>
      <c r="AG48" s="245"/>
    </row>
    <row r="49" spans="1:33" x14ac:dyDescent="0.2">
      <c r="A49" s="1">
        <f t="shared" si="1"/>
        <v>37726.26300000005</v>
      </c>
      <c r="B49" s="244">
        <f>IF($A$1="Peak","-",'Base Hours'!B49*BaseLoad!H48*IS!$B$2)</f>
        <v>17789.726906501612</v>
      </c>
      <c r="C49" s="244">
        <f>IF($A$1="Peak","-",'Base Hours'!C49*BaseLoad!I48*IS!$B$2)</f>
        <v>17789.726906501612</v>
      </c>
      <c r="D49" s="244">
        <f>IF($A$1="Peak","-",'Base Hours'!D49*BaseLoad!J48*IS!$B$2)</f>
        <v>35328.229371606889</v>
      </c>
      <c r="E49" s="244">
        <f>IF($A$1="Peak","-",'Base Hours'!E49*BaseLoad!K48*IS!$B$2)</f>
        <v>66641.15796206097</v>
      </c>
      <c r="F49" s="244">
        <f>IF($A$1="Peak","-",'Base Hours'!F49*BaseLoad!L48*IS!$B$2)</f>
        <v>55580.460610808841</v>
      </c>
      <c r="G49" s="244">
        <f>IF($A$1="Peak","-",'Base Hours'!G49*BaseLoad!M48*IS!$B$2)</f>
        <v>94782.01154128187</v>
      </c>
      <c r="H49" s="244">
        <f>IF($A$1="Peak","-",'Base Hours'!H49*BaseLoad!N48*IS!$B$2)</f>
        <v>84333.742798229752</v>
      </c>
      <c r="I49" s="244">
        <f>IF($A$1="Peak","-",'Base Hours'!I49*BaseLoad!O48*IS!$B$2)</f>
        <v>77584.426521227637</v>
      </c>
      <c r="J49" s="244">
        <f>IF($A$1="Peak","-",'Base Hours'!J49*BaseLoad!P48*IS!$B$2)</f>
        <v>72402.475604599735</v>
      </c>
      <c r="K49" s="244">
        <f>IF($A$1="Peak","-",'Base Hours'!K49*BaseLoad!Q48*IS!$B$2)</f>
        <v>72402.475604599735</v>
      </c>
      <c r="L49" s="244">
        <f>IF($A$1="Peak","-",'Base Hours'!L49*BaseLoad!R48*IS!$B$2)</f>
        <v>72402.475604599735</v>
      </c>
      <c r="M49" s="244">
        <f>IF($A$1="Peak","-",'Base Hours'!M49*BaseLoad!S48*IS!$B$2)</f>
        <v>67121.509144747295</v>
      </c>
      <c r="N49" s="244">
        <f>IF($A$1="Peak","-",'Base Hours'!N49*BaseLoad!T48*IS!$B$2)</f>
        <v>59179.786656822602</v>
      </c>
      <c r="O49" s="244">
        <f>IF($A$1="Peak","-",'Base Hours'!O49*BaseLoad!U48*IS!$B$2)</f>
        <v>57664.938540090559</v>
      </c>
      <c r="P49" s="244">
        <f>IF($A$1="Peak","-",'Base Hours'!P49*BaseLoad!V48*IS!$B$2)</f>
        <v>54979.570975713308</v>
      </c>
      <c r="Q49" s="244">
        <f>IF($A$1="Peak","-",'Base Hours'!Q49*BaseLoad!W48*IS!$B$2)</f>
        <v>53180.981728126186</v>
      </c>
      <c r="R49" s="244">
        <f>IF($A$1="Peak","-",'Base Hours'!R49*BaseLoad!X48*IS!$B$2)</f>
        <v>52381.473226870796</v>
      </c>
      <c r="S49" s="244">
        <f>IF($A$1="Peak","-",'Base Hours'!S49*BaseLoad!Y48*IS!$B$2)</f>
        <v>51580.445203490039</v>
      </c>
      <c r="T49" s="244">
        <f>IF($A$1="Peak","-",'Base Hours'!T49*BaseLoad!Z48*IS!$B$2)</f>
        <v>51007.93489922263</v>
      </c>
      <c r="U49" s="244">
        <f>IF($A$1="Peak","-",'Base Hours'!U49*BaseLoad!AA48*IS!$B$2)</f>
        <v>137215.6529872666</v>
      </c>
      <c r="V49" s="244">
        <f t="shared" si="2"/>
        <v>1251349.2027943681</v>
      </c>
      <c r="W49" s="244"/>
      <c r="X49" s="244"/>
      <c r="Y49" s="245"/>
      <c r="Z49" s="245">
        <f>(BaseLoad!C48*'Base Hours'!X49*IS!$B$2)*-1</f>
        <v>-1768911.6059333766</v>
      </c>
      <c r="AA49" s="245"/>
      <c r="AB49" s="245">
        <f>(BaseLoad!D48*'Base Hours'!X49*IS!$B$2)*-1</f>
        <v>-160377.01466461731</v>
      </c>
      <c r="AC49" s="245"/>
      <c r="AD49" s="245">
        <f>(BaseLoad!E48*'Base Hours'!X49*IS!$B$2)*-1</f>
        <v>0</v>
      </c>
      <c r="AE49" s="245"/>
      <c r="AF49" s="245">
        <f>(BaseLoad!F48*'Base Hours'!X49*IS!$B$2)*-1</f>
        <v>0</v>
      </c>
      <c r="AG49" s="245"/>
    </row>
    <row r="50" spans="1:33" x14ac:dyDescent="0.2">
      <c r="A50" s="1">
        <f t="shared" si="1"/>
        <v>37756.680000000051</v>
      </c>
      <c r="B50" s="244">
        <f>IF($A$1="Peak","-",'Base Hours'!B50*BaseLoad!H49*IS!$B$2)</f>
        <v>21911.778437993224</v>
      </c>
      <c r="C50" s="244">
        <f>IF($A$1="Peak","-",'Base Hours'!C50*BaseLoad!I49*IS!$B$2)</f>
        <v>20164.676777517587</v>
      </c>
      <c r="D50" s="244">
        <f>IF($A$1="Peak","-",'Base Hours'!D50*BaseLoad!J49*IS!$B$2)</f>
        <v>38396.844729760458</v>
      </c>
      <c r="E50" s="244">
        <f>IF($A$1="Peak","-",'Base Hours'!E50*BaseLoad!K49*IS!$B$2)</f>
        <v>71736.560051566194</v>
      </c>
      <c r="F50" s="244">
        <f>IF($A$1="Peak","-",'Base Hours'!F50*BaseLoad!L49*IS!$B$2)</f>
        <v>67203.907489324192</v>
      </c>
      <c r="G50" s="244">
        <f>IF($A$1="Peak","-",'Base Hours'!G50*BaseLoad!M49*IS!$B$2)</f>
        <v>130138.06877199913</v>
      </c>
      <c r="H50" s="244">
        <f>IF($A$1="Peak","-",'Base Hours'!H50*BaseLoad!N49*IS!$B$2)</f>
        <v>126731.58574490866</v>
      </c>
      <c r="I50" s="244">
        <f>IF($A$1="Peak","-",'Base Hours'!I50*BaseLoad!O49*IS!$B$2)</f>
        <v>97181.501163452354</v>
      </c>
      <c r="J50" s="244">
        <f>IF($A$1="Peak","-",'Base Hours'!J50*BaseLoad!P49*IS!$B$2)</f>
        <v>86705.390165669611</v>
      </c>
      <c r="K50" s="244">
        <f>IF($A$1="Peak","-",'Base Hours'!K50*BaseLoad!Q49*IS!$B$2)</f>
        <v>74956.245782610684</v>
      </c>
      <c r="L50" s="244">
        <f>IF($A$1="Peak","-",'Base Hours'!L50*BaseLoad!R49*IS!$B$2)</f>
        <v>74497.032313064483</v>
      </c>
      <c r="M50" s="244">
        <f>IF($A$1="Peak","-",'Base Hours'!M50*BaseLoad!S49*IS!$B$2)</f>
        <v>71659.441113056688</v>
      </c>
      <c r="N50" s="244">
        <f>IF($A$1="Peak","-",'Base Hours'!N50*BaseLoad!T49*IS!$B$2)</f>
        <v>67188.642342810243</v>
      </c>
      <c r="O50" s="244">
        <f>IF($A$1="Peak","-",'Base Hours'!O50*BaseLoad!U49*IS!$B$2)</f>
        <v>64324.03160821151</v>
      </c>
      <c r="P50" s="244">
        <f>IF($A$1="Peak","-",'Base Hours'!P50*BaseLoad!V49*IS!$B$2)</f>
        <v>63662.918894381772</v>
      </c>
      <c r="Q50" s="244">
        <f>IF($A$1="Peak","-",'Base Hours'!Q50*BaseLoad!W49*IS!$B$2)</f>
        <v>62282.353396404702</v>
      </c>
      <c r="R50" s="244">
        <f>IF($A$1="Peak","-",'Base Hours'!R50*BaseLoad!X49*IS!$B$2)</f>
        <v>60772.466696825264</v>
      </c>
      <c r="S50" s="244">
        <f>IF($A$1="Peak","-",'Base Hours'!S50*BaseLoad!Y49*IS!$B$2)</f>
        <v>59781.780130136613</v>
      </c>
      <c r="T50" s="244">
        <f>IF($A$1="Peak","-",'Base Hours'!T50*BaseLoad!Z49*IS!$B$2)</f>
        <v>58814.33750629353</v>
      </c>
      <c r="U50" s="244">
        <f>IF($A$1="Peak","-",'Base Hours'!U50*BaseLoad!AA49*IS!$B$2)</f>
        <v>157456.63567180434</v>
      </c>
      <c r="V50" s="244">
        <f t="shared" si="2"/>
        <v>1475566.1987877914</v>
      </c>
      <c r="W50" s="244"/>
      <c r="X50" s="244"/>
      <c r="Y50" s="245"/>
      <c r="Z50" s="245">
        <f>(BaseLoad!C49*'Base Hours'!X50*IS!$B$2)*-1</f>
        <v>-1768911.6059333766</v>
      </c>
      <c r="AA50" s="245"/>
      <c r="AB50" s="245">
        <f>(BaseLoad!D49*'Base Hours'!X50*IS!$B$2)*-1</f>
        <v>-160644.30968905834</v>
      </c>
      <c r="AC50" s="245"/>
      <c r="AD50" s="245">
        <f>(BaseLoad!E49*'Base Hours'!X50*IS!$B$2)*-1</f>
        <v>0</v>
      </c>
      <c r="AE50" s="245"/>
      <c r="AF50" s="245">
        <f>(BaseLoad!F49*'Base Hours'!X50*IS!$B$2)*-1</f>
        <v>-266136.00792442384</v>
      </c>
      <c r="AG50" s="245"/>
    </row>
    <row r="51" spans="1:33" x14ac:dyDescent="0.2">
      <c r="A51" s="1">
        <f t="shared" si="1"/>
        <v>37787.097000000053</v>
      </c>
      <c r="B51" s="244">
        <f>IF($A$1="Peak","-",'Base Hours'!B51*BaseLoad!H50*IS!$B$2)</f>
        <v>78111.337192223509</v>
      </c>
      <c r="C51" s="244">
        <f>IF($A$1="Peak","-",'Base Hours'!C51*BaseLoad!I50*IS!$B$2)</f>
        <v>54100.5895607442</v>
      </c>
      <c r="D51" s="244">
        <f>IF($A$1="Peak","-",'Base Hours'!D51*BaseLoad!J50*IS!$B$2)</f>
        <v>59994.849890057827</v>
      </c>
      <c r="E51" s="244">
        <f>IF($A$1="Peak","-",'Base Hours'!E51*BaseLoad!K50*IS!$B$2)</f>
        <v>85691.715196809135</v>
      </c>
      <c r="F51" s="244">
        <f>IF($A$1="Peak","-",'Base Hours'!F51*BaseLoad!L50*IS!$B$2)</f>
        <v>72664.523164577098</v>
      </c>
      <c r="G51" s="244">
        <f>IF($A$1="Peak","-",'Base Hours'!G51*BaseLoad!M50*IS!$B$2)</f>
        <v>131983.93271396638</v>
      </c>
      <c r="H51" s="244">
        <f>IF($A$1="Peak","-",'Base Hours'!H51*BaseLoad!N50*IS!$B$2)</f>
        <v>120873.07812759321</v>
      </c>
      <c r="I51" s="244">
        <f>IF($A$1="Peak","-",'Base Hours'!I51*BaseLoad!O50*IS!$B$2)</f>
        <v>115172.35879538006</v>
      </c>
      <c r="J51" s="244">
        <f>IF($A$1="Peak","-",'Base Hours'!J51*BaseLoad!P50*IS!$B$2)</f>
        <v>89640.472504790145</v>
      </c>
      <c r="K51" s="244">
        <f>IF($A$1="Peak","-",'Base Hours'!K51*BaseLoad!Q50*IS!$B$2)</f>
        <v>87201.99567163171</v>
      </c>
      <c r="L51" s="244">
        <f>IF($A$1="Peak","-",'Base Hours'!L51*BaseLoad!R50*IS!$B$2)</f>
        <v>81989.755890246481</v>
      </c>
      <c r="M51" s="244">
        <f>IF($A$1="Peak","-",'Base Hours'!M51*BaseLoad!S50*IS!$B$2)</f>
        <v>70797.104538925778</v>
      </c>
      <c r="N51" s="244">
        <f>IF($A$1="Peak","-",'Base Hours'!N51*BaseLoad!T50*IS!$B$2)</f>
        <v>66806.967415533305</v>
      </c>
      <c r="O51" s="244">
        <f>IF($A$1="Peak","-",'Base Hours'!O51*BaseLoad!U50*IS!$B$2)</f>
        <v>65150.405101811819</v>
      </c>
      <c r="P51" s="244">
        <f>IF($A$1="Peak","-",'Base Hours'!P51*BaseLoad!V50*IS!$B$2)</f>
        <v>63634.832575485561</v>
      </c>
      <c r="Q51" s="244">
        <f>IF($A$1="Peak","-",'Base Hours'!Q51*BaseLoad!W50*IS!$B$2)</f>
        <v>62679.997502354381</v>
      </c>
      <c r="R51" s="244">
        <f>IF($A$1="Peak","-",'Base Hours'!R51*BaseLoad!X50*IS!$B$2)</f>
        <v>61029.198727870629</v>
      </c>
      <c r="S51" s="244">
        <f>IF($A$1="Peak","-",'Base Hours'!S51*BaseLoad!Y50*IS!$B$2)</f>
        <v>59715.897025255363</v>
      </c>
      <c r="T51" s="244">
        <f>IF($A$1="Peak","-",'Base Hours'!T51*BaseLoad!Z50*IS!$B$2)</f>
        <v>58171.990417950947</v>
      </c>
      <c r="U51" s="244">
        <f>IF($A$1="Peak","-",'Base Hours'!U51*BaseLoad!AA50*IS!$B$2)</f>
        <v>150313.10573042952</v>
      </c>
      <c r="V51" s="244">
        <f t="shared" si="2"/>
        <v>1635724.1077436372</v>
      </c>
      <c r="W51" s="244"/>
      <c r="X51" s="244"/>
      <c r="Y51" s="245"/>
      <c r="Z51" s="245">
        <f>(BaseLoad!C50*'Base Hours'!X51*IS!$B$2)*-1</f>
        <v>-1768911.6059333766</v>
      </c>
      <c r="AA51" s="245"/>
      <c r="AB51" s="245">
        <f>(BaseLoad!D50*'Base Hours'!X51*IS!$B$2)*-1</f>
        <v>-160912.05020520679</v>
      </c>
      <c r="AC51" s="245"/>
      <c r="AD51" s="245">
        <f>(BaseLoad!E50*'Base Hours'!X51*IS!$B$2)*-1</f>
        <v>0</v>
      </c>
      <c r="AE51" s="245"/>
      <c r="AF51" s="245">
        <f>(BaseLoad!F50*'Base Hours'!X51*IS!$B$2)*-1</f>
        <v>-266136.00792442384</v>
      </c>
      <c r="AG51" s="245"/>
    </row>
    <row r="52" spans="1:33" x14ac:dyDescent="0.2">
      <c r="A52" s="1">
        <f t="shared" si="1"/>
        <v>37817.514000000054</v>
      </c>
      <c r="B52" s="244">
        <f>IF($A$1="Peak","-",'Base Hours'!B52*BaseLoad!H51*IS!$B$2)</f>
        <v>240115.4015045652</v>
      </c>
      <c r="C52" s="244">
        <f>IF($A$1="Peak","-",'Base Hours'!C52*BaseLoad!I51*IS!$B$2)</f>
        <v>132340.57843035666</v>
      </c>
      <c r="D52" s="244">
        <f>IF($A$1="Peak","-",'Base Hours'!D52*BaseLoad!J51*IS!$B$2)</f>
        <v>169755.2557366518</v>
      </c>
      <c r="E52" s="244">
        <f>IF($A$1="Peak","-",'Base Hours'!E52*BaseLoad!K51*IS!$B$2)</f>
        <v>218461.86288487678</v>
      </c>
      <c r="F52" s="244">
        <f>IF($A$1="Peak","-",'Base Hours'!F52*BaseLoad!L51*IS!$B$2)</f>
        <v>100114.90890064964</v>
      </c>
      <c r="G52" s="244">
        <f>IF($A$1="Peak","-",'Base Hours'!G52*BaseLoad!M51*IS!$B$2)</f>
        <v>162413.6482323808</v>
      </c>
      <c r="H52" s="244">
        <f>IF($A$1="Peak","-",'Base Hours'!H52*BaseLoad!N51*IS!$B$2)</f>
        <v>134333.9286419095</v>
      </c>
      <c r="I52" s="244">
        <f>IF($A$1="Peak","-",'Base Hours'!I52*BaseLoad!O51*IS!$B$2)</f>
        <v>122822.93717848128</v>
      </c>
      <c r="J52" s="244">
        <f>IF($A$1="Peak","-",'Base Hours'!J52*BaseLoad!P51*IS!$B$2)</f>
        <v>117232.73800206291</v>
      </c>
      <c r="K52" s="244">
        <f>IF($A$1="Peak","-",'Base Hours'!K52*BaseLoad!Q51*IS!$B$2)</f>
        <v>111094.1817954212</v>
      </c>
      <c r="L52" s="244">
        <f>IF($A$1="Peak","-",'Base Hours'!L52*BaseLoad!R51*IS!$B$2)</f>
        <v>91346.342146378563</v>
      </c>
      <c r="M52" s="244">
        <f>IF($A$1="Peak","-",'Base Hours'!M52*BaseLoad!S51*IS!$B$2)</f>
        <v>88269.020468917035</v>
      </c>
      <c r="N52" s="244">
        <f>IF($A$1="Peak","-",'Base Hours'!N52*BaseLoad!T51*IS!$B$2)</f>
        <v>83105.338246203231</v>
      </c>
      <c r="O52" s="244">
        <f>IF($A$1="Peak","-",'Base Hours'!O52*BaseLoad!U51*IS!$B$2)</f>
        <v>78684.543474167629</v>
      </c>
      <c r="P52" s="244">
        <f>IF($A$1="Peak","-",'Base Hours'!P52*BaseLoad!V51*IS!$B$2)</f>
        <v>74303.257402750009</v>
      </c>
      <c r="Q52" s="244">
        <f>IF($A$1="Peak","-",'Base Hours'!Q52*BaseLoad!W51*IS!$B$2)</f>
        <v>70858.368488240056</v>
      </c>
      <c r="R52" s="244">
        <f>IF($A$1="Peak","-",'Base Hours'!R52*BaseLoad!X51*IS!$B$2)</f>
        <v>69111.723228147501</v>
      </c>
      <c r="S52" s="244">
        <f>IF($A$1="Peak","-",'Base Hours'!S52*BaseLoad!Y51*IS!$B$2)</f>
        <v>67983.553442690842</v>
      </c>
      <c r="T52" s="244">
        <f>IF($A$1="Peak","-",'Base Hours'!T52*BaseLoad!Z51*IS!$B$2)</f>
        <v>66432.420238410879</v>
      </c>
      <c r="U52" s="244">
        <f>IF($A$1="Peak","-",'Base Hours'!U52*BaseLoad!AA51*IS!$B$2)</f>
        <v>168380.14581948618</v>
      </c>
      <c r="V52" s="244">
        <f t="shared" si="2"/>
        <v>2367160.1542627481</v>
      </c>
      <c r="W52" s="244"/>
      <c r="X52" s="244"/>
      <c r="Y52" s="245"/>
      <c r="Z52" s="245">
        <f>(BaseLoad!C51*'Base Hours'!X52*IS!$B$2)*-1</f>
        <v>-1768911.6059333766</v>
      </c>
      <c r="AA52" s="245"/>
      <c r="AB52" s="245">
        <f>(BaseLoad!D51*'Base Hours'!X52*IS!$B$2)*-1</f>
        <v>-161180.23695554878</v>
      </c>
      <c r="AC52" s="245"/>
      <c r="AD52" s="245">
        <f>(BaseLoad!E51*'Base Hours'!X52*IS!$B$2)*-1</f>
        <v>0</v>
      </c>
      <c r="AE52" s="245"/>
      <c r="AF52" s="245">
        <f>(BaseLoad!F51*'Base Hours'!X52*IS!$B$2)*-1</f>
        <v>-266136.00792442384</v>
      </c>
      <c r="AG52" s="245"/>
    </row>
    <row r="53" spans="1:33" x14ac:dyDescent="0.2">
      <c r="A53" s="1">
        <f t="shared" si="1"/>
        <v>37847.931000000055</v>
      </c>
      <c r="B53" s="244">
        <f>IF($A$1="Peak","-",'Base Hours'!B53*BaseLoad!H52*IS!$B$2)</f>
        <v>498248.13855008339</v>
      </c>
      <c r="C53" s="244">
        <f>IF($A$1="Peak","-",'Base Hours'!C53*BaseLoad!I52*IS!$B$2)</f>
        <v>229531.99581750433</v>
      </c>
      <c r="D53" s="244">
        <f>IF($A$1="Peak","-",'Base Hours'!D53*BaseLoad!J52*IS!$B$2)</f>
        <v>266898.41210403776</v>
      </c>
      <c r="E53" s="244">
        <f>IF($A$1="Peak","-",'Base Hours'!E53*BaseLoad!K52*IS!$B$2)</f>
        <v>277101.75919710437</v>
      </c>
      <c r="F53" s="244">
        <f>IF($A$1="Peak","-",'Base Hours'!F53*BaseLoad!L52*IS!$B$2)</f>
        <v>167775.57376647223</v>
      </c>
      <c r="G53" s="244">
        <f>IF($A$1="Peak","-",'Base Hours'!G53*BaseLoad!M52*IS!$B$2)</f>
        <v>203527.57114052691</v>
      </c>
      <c r="H53" s="244">
        <f>IF($A$1="Peak","-",'Base Hours'!H53*BaseLoad!N52*IS!$B$2)</f>
        <v>175107.14937493927</v>
      </c>
      <c r="I53" s="244">
        <f>IF($A$1="Peak","-",'Base Hours'!I53*BaseLoad!O52*IS!$B$2)</f>
        <v>162695.40376940474</v>
      </c>
      <c r="J53" s="244">
        <f>IF($A$1="Peak","-",'Base Hours'!J53*BaseLoad!P52*IS!$B$2)</f>
        <v>143865.21963177185</v>
      </c>
      <c r="K53" s="244">
        <f>IF($A$1="Peak","-",'Base Hours'!K53*BaseLoad!Q52*IS!$B$2)</f>
        <v>107186.51870302951</v>
      </c>
      <c r="L53" s="244">
        <f>IF($A$1="Peak","-",'Base Hours'!L53*BaseLoad!R52*IS!$B$2)</f>
        <v>91899.383019911693</v>
      </c>
      <c r="M53" s="244">
        <f>IF($A$1="Peak","-",'Base Hours'!M53*BaseLoad!S52*IS!$B$2)</f>
        <v>84337.740716697823</v>
      </c>
      <c r="N53" s="244">
        <f>IF($A$1="Peak","-",'Base Hours'!N53*BaseLoad!T52*IS!$B$2)</f>
        <v>76063.195324330896</v>
      </c>
      <c r="O53" s="244">
        <f>IF($A$1="Peak","-",'Base Hours'!O53*BaseLoad!U52*IS!$B$2)</f>
        <v>73004.322869921845</v>
      </c>
      <c r="P53" s="244">
        <f>IF($A$1="Peak","-",'Base Hours'!P53*BaseLoad!V52*IS!$B$2)</f>
        <v>71678.810247570262</v>
      </c>
      <c r="Q53" s="244">
        <f>IF($A$1="Peak","-",'Base Hours'!Q53*BaseLoad!W52*IS!$B$2)</f>
        <v>70417.397305662671</v>
      </c>
      <c r="R53" s="244">
        <f>IF($A$1="Peak","-",'Base Hours'!R53*BaseLoad!X52*IS!$B$2)</f>
        <v>68428.880969609774</v>
      </c>
      <c r="S53" s="244">
        <f>IF($A$1="Peak","-",'Base Hours'!S53*BaseLoad!Y52*IS!$B$2)</f>
        <v>66505.524831095085</v>
      </c>
      <c r="T53" s="244">
        <f>IF($A$1="Peak","-",'Base Hours'!T53*BaseLoad!Z52*IS!$B$2)</f>
        <v>64246.011554613273</v>
      </c>
      <c r="U53" s="244">
        <f>IF($A$1="Peak","-",'Base Hours'!U53*BaseLoad!AA52*IS!$B$2)</f>
        <v>166558.19669632558</v>
      </c>
      <c r="V53" s="244">
        <f t="shared" si="2"/>
        <v>3065077.2055906137</v>
      </c>
      <c r="W53" s="244"/>
      <c r="X53" s="244"/>
      <c r="Y53" s="245"/>
      <c r="Z53" s="245">
        <f>(BaseLoad!C52*'Base Hours'!X53*IS!$B$2)*-1</f>
        <v>-1768911.6059333766</v>
      </c>
      <c r="AA53" s="245"/>
      <c r="AB53" s="245">
        <f>(BaseLoad!D52*'Base Hours'!X53*IS!$B$2)*-1</f>
        <v>-161448.87068380805</v>
      </c>
      <c r="AC53" s="245"/>
      <c r="AD53" s="245">
        <f>(BaseLoad!E52*'Base Hours'!X53*IS!$B$2)*-1</f>
        <v>0</v>
      </c>
      <c r="AE53" s="245"/>
      <c r="AF53" s="245">
        <f>(BaseLoad!F52*'Base Hours'!X53*IS!$B$2)*-1</f>
        <v>-266136.00792442384</v>
      </c>
      <c r="AG53" s="245"/>
    </row>
    <row r="54" spans="1:33" x14ac:dyDescent="0.2">
      <c r="A54" s="1">
        <f t="shared" si="1"/>
        <v>37878.348000000056</v>
      </c>
      <c r="B54" s="244">
        <f>IF($A$1="Peak","-",'Base Hours'!B54*BaseLoad!H53*IS!$B$2)</f>
        <v>52938.851877225221</v>
      </c>
      <c r="C54" s="244">
        <f>IF($A$1="Peak","-",'Base Hours'!C54*BaseLoad!I53*IS!$B$2)</f>
        <v>32544.744974475325</v>
      </c>
      <c r="D54" s="244">
        <f>IF($A$1="Peak","-",'Base Hours'!D54*BaseLoad!J53*IS!$B$2)</f>
        <v>55472.178067334724</v>
      </c>
      <c r="E54" s="244">
        <f>IF($A$1="Peak","-",'Base Hours'!E54*BaseLoad!K53*IS!$B$2)</f>
        <v>75566.823919468341</v>
      </c>
      <c r="F54" s="244">
        <f>IF($A$1="Peak","-",'Base Hours'!F54*BaseLoad!L53*IS!$B$2)</f>
        <v>60542.383450547139</v>
      </c>
      <c r="G54" s="244">
        <f>IF($A$1="Peak","-",'Base Hours'!G54*BaseLoad!M53*IS!$B$2)</f>
        <v>117925.72708971183</v>
      </c>
      <c r="H54" s="244">
        <f>IF($A$1="Peak","-",'Base Hours'!H54*BaseLoad!N53*IS!$B$2)</f>
        <v>109943.80087687088</v>
      </c>
      <c r="I54" s="244">
        <f>IF($A$1="Peak","-",'Base Hours'!I54*BaseLoad!O53*IS!$B$2)</f>
        <v>101478.15651130817</v>
      </c>
      <c r="J54" s="244">
        <f>IF($A$1="Peak","-",'Base Hours'!J54*BaseLoad!P53*IS!$B$2)</f>
        <v>100624.24387866099</v>
      </c>
      <c r="K54" s="244">
        <f>IF($A$1="Peak","-",'Base Hours'!K54*BaseLoad!Q53*IS!$B$2)</f>
        <v>93479.327454114187</v>
      </c>
      <c r="L54" s="244">
        <f>IF($A$1="Peak","-",'Base Hours'!L54*BaseLoad!R53*IS!$B$2)</f>
        <v>83711.352319667814</v>
      </c>
      <c r="M54" s="244">
        <f>IF($A$1="Peak","-",'Base Hours'!M54*BaseLoad!S53*IS!$B$2)</f>
        <v>78578.181690365163</v>
      </c>
      <c r="N54" s="244">
        <f>IF($A$1="Peak","-",'Base Hours'!N54*BaseLoad!T53*IS!$B$2)</f>
        <v>76573.576392008166</v>
      </c>
      <c r="O54" s="244">
        <f>IF($A$1="Peak","-",'Base Hours'!O54*BaseLoad!U53*IS!$B$2)</f>
        <v>74114.424453853091</v>
      </c>
      <c r="P54" s="244">
        <f>IF($A$1="Peak","-",'Base Hours'!P54*BaseLoad!V53*IS!$B$2)</f>
        <v>73124.905105016136</v>
      </c>
      <c r="Q54" s="244">
        <f>IF($A$1="Peak","-",'Base Hours'!Q54*BaseLoad!W53*IS!$B$2)</f>
        <v>72651.126051286177</v>
      </c>
      <c r="R54" s="244">
        <f>IF($A$1="Peak","-",'Base Hours'!R54*BaseLoad!X53*IS!$B$2)</f>
        <v>71604.286455302485</v>
      </c>
      <c r="S54" s="244">
        <f>IF($A$1="Peak","-",'Base Hours'!S54*BaseLoad!Y53*IS!$B$2)</f>
        <v>69944.051892292409</v>
      </c>
      <c r="T54" s="244">
        <f>IF($A$1="Peak","-",'Base Hours'!T54*BaseLoad!Z53*IS!$B$2)</f>
        <v>68744.929759586274</v>
      </c>
      <c r="U54" s="244">
        <f>IF($A$1="Peak","-",'Base Hours'!U54*BaseLoad!AA53*IS!$B$2)</f>
        <v>177788.90317896614</v>
      </c>
      <c r="V54" s="244">
        <f t="shared" si="2"/>
        <v>1647351.9753980609</v>
      </c>
      <c r="W54" s="244"/>
      <c r="X54" s="244"/>
      <c r="Y54" s="245"/>
      <c r="Z54" s="245">
        <f>(BaseLoad!C53*'Base Hours'!X54*IS!$B$2)*-1</f>
        <v>-1768911.6059333766</v>
      </c>
      <c r="AA54" s="245"/>
      <c r="AB54" s="245">
        <f>(BaseLoad!D53*'Base Hours'!X54*IS!$B$2)*-1</f>
        <v>-161717.95213494773</v>
      </c>
      <c r="AC54" s="245"/>
      <c r="AD54" s="245">
        <f>(BaseLoad!E53*'Base Hours'!X54*IS!$B$2)*-1</f>
        <v>0</v>
      </c>
      <c r="AE54" s="245"/>
      <c r="AF54" s="245">
        <f>(BaseLoad!F53*'Base Hours'!X54*IS!$B$2)*-1</f>
        <v>-266136.00792442384</v>
      </c>
      <c r="AG54" s="245"/>
    </row>
    <row r="55" spans="1:33" x14ac:dyDescent="0.2">
      <c r="A55" s="1">
        <f t="shared" si="1"/>
        <v>37908.765000000058</v>
      </c>
      <c r="B55" s="244">
        <f>IF($A$1="Peak","-",'Base Hours'!B55*BaseLoad!H54*IS!$B$2)</f>
        <v>18432.379775945858</v>
      </c>
      <c r="C55" s="244">
        <f>IF($A$1="Peak","-",'Base Hours'!C55*BaseLoad!I54*IS!$B$2)</f>
        <v>17807.581813428431</v>
      </c>
      <c r="D55" s="244">
        <f>IF($A$1="Peak","-",'Base Hours'!D55*BaseLoad!J54*IS!$B$2)</f>
        <v>34951.789275400988</v>
      </c>
      <c r="E55" s="244">
        <f>IF($A$1="Peak","-",'Base Hours'!E55*BaseLoad!K54*IS!$B$2)</f>
        <v>65987.546158022626</v>
      </c>
      <c r="F55" s="244">
        <f>IF($A$1="Peak","-",'Base Hours'!F55*BaseLoad!L54*IS!$B$2)</f>
        <v>64184.775918801308</v>
      </c>
      <c r="G55" s="244">
        <f>IF($A$1="Peak","-",'Base Hours'!G55*BaseLoad!M54*IS!$B$2)</f>
        <v>128031.70853743629</v>
      </c>
      <c r="H55" s="244">
        <f>IF($A$1="Peak","-",'Base Hours'!H55*BaseLoad!N54*IS!$B$2)</f>
        <v>115414.36245831745</v>
      </c>
      <c r="I55" s="244">
        <f>IF($A$1="Peak","-",'Base Hours'!I55*BaseLoad!O54*IS!$B$2)</f>
        <v>97660.007373444634</v>
      </c>
      <c r="J55" s="244">
        <f>IF($A$1="Peak","-",'Base Hours'!J55*BaseLoad!P54*IS!$B$2)</f>
        <v>95892.788558200366</v>
      </c>
      <c r="K55" s="244">
        <f>IF($A$1="Peak","-",'Base Hours'!K55*BaseLoad!Q54*IS!$B$2)</f>
        <v>90231.320658751589</v>
      </c>
      <c r="L55" s="244">
        <f>IF($A$1="Peak","-",'Base Hours'!L55*BaseLoad!R54*IS!$B$2)</f>
        <v>69865.149212530916</v>
      </c>
      <c r="M55" s="244">
        <f>IF($A$1="Peak","-",'Base Hours'!M55*BaseLoad!S54*IS!$B$2)</f>
        <v>65653.673319934634</v>
      </c>
      <c r="N55" s="244">
        <f>IF($A$1="Peak","-",'Base Hours'!N55*BaseLoad!T54*IS!$B$2)</f>
        <v>64742.260548268758</v>
      </c>
      <c r="O55" s="244">
        <f>IF($A$1="Peak","-",'Base Hours'!O55*BaseLoad!U54*IS!$B$2)</f>
        <v>64677.482860868076</v>
      </c>
      <c r="P55" s="244">
        <f>IF($A$1="Peak","-",'Base Hours'!P55*BaseLoad!V54*IS!$B$2)</f>
        <v>57841.103908969293</v>
      </c>
      <c r="Q55" s="244">
        <f>IF($A$1="Peak","-",'Base Hours'!Q55*BaseLoad!W54*IS!$B$2)</f>
        <v>55080.39427412732</v>
      </c>
      <c r="R55" s="244">
        <f>IF($A$1="Peak","-",'Base Hours'!R55*BaseLoad!X54*IS!$B$2)</f>
        <v>51991.928455955254</v>
      </c>
      <c r="S55" s="244">
        <f>IF($A$1="Peak","-",'Base Hours'!S55*BaseLoad!Y54*IS!$B$2)</f>
        <v>50055.934004974144</v>
      </c>
      <c r="T55" s="244">
        <f>IF($A$1="Peak","-",'Base Hours'!T55*BaseLoad!Z54*IS!$B$2)</f>
        <v>48608.15251366992</v>
      </c>
      <c r="U55" s="244">
        <f>IF($A$1="Peak","-",'Base Hours'!U55*BaseLoad!AA54*IS!$B$2)</f>
        <v>129199.2263863945</v>
      </c>
      <c r="V55" s="244">
        <f t="shared" si="2"/>
        <v>1386309.5660134426</v>
      </c>
      <c r="W55" s="244"/>
      <c r="X55" s="244"/>
      <c r="Y55" s="245"/>
      <c r="Z55" s="245">
        <f>(BaseLoad!C54*'Base Hours'!X55*IS!$B$2)*-1</f>
        <v>-1768911.6059333766</v>
      </c>
      <c r="AA55" s="245"/>
      <c r="AB55" s="245">
        <f>(BaseLoad!D54*'Base Hours'!X55*IS!$B$2)*-1</f>
        <v>-161987.48205517264</v>
      </c>
      <c r="AC55" s="245"/>
      <c r="AD55" s="245">
        <f>(BaseLoad!E54*'Base Hours'!X55*IS!$B$2)*-1</f>
        <v>0</v>
      </c>
      <c r="AE55" s="245"/>
      <c r="AF55" s="245">
        <f>(BaseLoad!F54*'Base Hours'!X55*IS!$B$2)*-1</f>
        <v>0</v>
      </c>
      <c r="AG55" s="245"/>
    </row>
    <row r="56" spans="1:33" x14ac:dyDescent="0.2">
      <c r="A56" s="1">
        <f t="shared" si="1"/>
        <v>37939.182000000059</v>
      </c>
      <c r="B56" s="244">
        <f>IF($A$1="Peak","-",'Base Hours'!B56*BaseLoad!H55*IS!$B$2)</f>
        <v>21136.663269596258</v>
      </c>
      <c r="C56" s="244">
        <f>IF($A$1="Peak","-",'Base Hours'!C56*BaseLoad!I55*IS!$B$2)</f>
        <v>20639.657932671736</v>
      </c>
      <c r="D56" s="244">
        <f>IF($A$1="Peak","-",'Base Hours'!D56*BaseLoad!J55*IS!$B$2)</f>
        <v>39890.28873061989</v>
      </c>
      <c r="E56" s="244">
        <f>IF($A$1="Peak","-",'Base Hours'!E56*BaseLoad!K55*IS!$B$2)</f>
        <v>74760.706944170393</v>
      </c>
      <c r="F56" s="244">
        <f>IF($A$1="Peak","-",'Base Hours'!F56*BaseLoad!L55*IS!$B$2)</f>
        <v>72789.524505854526</v>
      </c>
      <c r="G56" s="244">
        <f>IF($A$1="Peak","-",'Base Hours'!G56*BaseLoad!M55*IS!$B$2)</f>
        <v>144373.77061203963</v>
      </c>
      <c r="H56" s="244">
        <f>IF($A$1="Peak","-",'Base Hours'!H56*BaseLoad!N55*IS!$B$2)</f>
        <v>128185.40149669923</v>
      </c>
      <c r="I56" s="244">
        <f>IF($A$1="Peak","-",'Base Hours'!I56*BaseLoad!O55*IS!$B$2)</f>
        <v>101138.8489237504</v>
      </c>
      <c r="J56" s="244">
        <f>IF($A$1="Peak","-",'Base Hours'!J56*BaseLoad!P55*IS!$B$2)</f>
        <v>87833.051237094551</v>
      </c>
      <c r="K56" s="244">
        <f>IF($A$1="Peak","-",'Base Hours'!K56*BaseLoad!Q55*IS!$B$2)</f>
        <v>82857.101327894547</v>
      </c>
      <c r="L56" s="244">
        <f>IF($A$1="Peak","-",'Base Hours'!L56*BaseLoad!R55*IS!$B$2)</f>
        <v>76128.291403909985</v>
      </c>
      <c r="M56" s="244">
        <f>IF($A$1="Peak","-",'Base Hours'!M56*BaseLoad!S55*IS!$B$2)</f>
        <v>74472.572106697771</v>
      </c>
      <c r="N56" s="244">
        <f>IF($A$1="Peak","-",'Base Hours'!N56*BaseLoad!T55*IS!$B$2)</f>
        <v>72410.530391715816</v>
      </c>
      <c r="O56" s="244">
        <f>IF($A$1="Peak","-",'Base Hours'!O56*BaseLoad!U55*IS!$B$2)</f>
        <v>59875.074931028335</v>
      </c>
      <c r="P56" s="244">
        <f>IF($A$1="Peak","-",'Base Hours'!P56*BaseLoad!V55*IS!$B$2)</f>
        <v>56536.3264343556</v>
      </c>
      <c r="Q56" s="244">
        <f>IF($A$1="Peak","-",'Base Hours'!Q56*BaseLoad!W55*IS!$B$2)</f>
        <v>54549.993279480601</v>
      </c>
      <c r="R56" s="244">
        <f>IF($A$1="Peak","-",'Base Hours'!R56*BaseLoad!X55*IS!$B$2)</f>
        <v>52003.072484323304</v>
      </c>
      <c r="S56" s="244">
        <f>IF($A$1="Peak","-",'Base Hours'!S56*BaseLoad!Y55*IS!$B$2)</f>
        <v>51034.886417529437</v>
      </c>
      <c r="T56" s="244">
        <f>IF($A$1="Peak","-",'Base Hours'!T56*BaseLoad!Z55*IS!$B$2)</f>
        <v>50152.660519101024</v>
      </c>
      <c r="U56" s="244">
        <f>IF($A$1="Peak","-",'Base Hours'!U56*BaseLoad!AA55*IS!$B$2)</f>
        <v>134056.25559547349</v>
      </c>
      <c r="V56" s="244">
        <f t="shared" si="2"/>
        <v>1454824.6785440068</v>
      </c>
      <c r="W56" s="244"/>
      <c r="X56" s="244"/>
      <c r="Y56" s="245"/>
      <c r="Z56" s="245">
        <f>(BaseLoad!C55*'Base Hours'!X56*IS!$B$2)*-1</f>
        <v>-1768911.6059333766</v>
      </c>
      <c r="AA56" s="245"/>
      <c r="AB56" s="245">
        <f>(BaseLoad!D55*'Base Hours'!X56*IS!$B$2)*-1</f>
        <v>-162257.46119193127</v>
      </c>
      <c r="AC56" s="245"/>
      <c r="AD56" s="245">
        <f>(BaseLoad!E55*'Base Hours'!X56*IS!$B$2)*-1</f>
        <v>0</v>
      </c>
      <c r="AE56" s="245"/>
      <c r="AF56" s="245">
        <f>(BaseLoad!F55*'Base Hours'!X56*IS!$B$2)*-1</f>
        <v>0</v>
      </c>
      <c r="AG56" s="245"/>
    </row>
    <row r="57" spans="1:33" x14ac:dyDescent="0.2">
      <c r="A57" s="1">
        <f t="shared" si="1"/>
        <v>37969.59900000006</v>
      </c>
      <c r="B57" s="244">
        <f>IF($A$1="Peak","-",'Base Hours'!B57*BaseLoad!H56*IS!$B$2)</f>
        <v>24166.534570140047</v>
      </c>
      <c r="C57" s="244">
        <f>IF($A$1="Peak","-",'Base Hours'!C57*BaseLoad!I56*IS!$B$2)</f>
        <v>21036.831618585944</v>
      </c>
      <c r="D57" s="244">
        <f>IF($A$1="Peak","-",'Base Hours'!D57*BaseLoad!J56*IS!$B$2)</f>
        <v>40874.053805904587</v>
      </c>
      <c r="E57" s="244">
        <f>IF($A$1="Peak","-",'Base Hours'!E57*BaseLoad!K56*IS!$B$2)</f>
        <v>77801.090273858441</v>
      </c>
      <c r="F57" s="244">
        <f>IF($A$1="Peak","-",'Base Hours'!F57*BaseLoad!L56*IS!$B$2)</f>
        <v>72886.728458599595</v>
      </c>
      <c r="G57" s="244">
        <f>IF($A$1="Peak","-",'Base Hours'!G57*BaseLoad!M56*IS!$B$2)</f>
        <v>143899.02713638823</v>
      </c>
      <c r="H57" s="244">
        <f>IF($A$1="Peak","-",'Base Hours'!H57*BaseLoad!N56*IS!$B$2)</f>
        <v>139735.49688022147</v>
      </c>
      <c r="I57" s="244">
        <f>IF($A$1="Peak","-",'Base Hours'!I57*BaseLoad!O56*IS!$B$2)</f>
        <v>115095.07004030758</v>
      </c>
      <c r="J57" s="244">
        <f>IF($A$1="Peak","-",'Base Hours'!J57*BaseLoad!P56*IS!$B$2)</f>
        <v>99599.879696667282</v>
      </c>
      <c r="K57" s="244">
        <f>IF($A$1="Peak","-",'Base Hours'!K57*BaseLoad!Q56*IS!$B$2)</f>
        <v>82312.559021176057</v>
      </c>
      <c r="L57" s="244">
        <f>IF($A$1="Peak","-",'Base Hours'!L57*BaseLoad!R56*IS!$B$2)</f>
        <v>81659.395213183583</v>
      </c>
      <c r="M57" s="244">
        <f>IF($A$1="Peak","-",'Base Hours'!M57*BaseLoad!S56*IS!$B$2)</f>
        <v>72890.973877822558</v>
      </c>
      <c r="N57" s="244">
        <f>IF($A$1="Peak","-",'Base Hours'!N57*BaseLoad!T56*IS!$B$2)</f>
        <v>72569.78035746915</v>
      </c>
      <c r="O57" s="244">
        <f>IF($A$1="Peak","-",'Base Hours'!O57*BaseLoad!U56*IS!$B$2)</f>
        <v>72569.78035746915</v>
      </c>
      <c r="P57" s="244">
        <f>IF($A$1="Peak","-",'Base Hours'!P57*BaseLoad!V56*IS!$B$2)</f>
        <v>72569.78035746915</v>
      </c>
      <c r="Q57" s="244">
        <f>IF($A$1="Peak","-",'Base Hours'!Q57*BaseLoad!W56*IS!$B$2)</f>
        <v>72569.78035746915</v>
      </c>
      <c r="R57" s="244">
        <f>IF($A$1="Peak","-",'Base Hours'!R57*BaseLoad!X56*IS!$B$2)</f>
        <v>69740.979549365948</v>
      </c>
      <c r="S57" s="244">
        <f>IF($A$1="Peak","-",'Base Hours'!S57*BaseLoad!Y56*IS!$B$2)</f>
        <v>61706.760475873773</v>
      </c>
      <c r="T57" s="244">
        <f>IF($A$1="Peak","-",'Base Hours'!T57*BaseLoad!Z56*IS!$B$2)</f>
        <v>59627.313261637508</v>
      </c>
      <c r="U57" s="244">
        <f>IF($A$1="Peak","-",'Base Hours'!U57*BaseLoad!AA56*IS!$B$2)</f>
        <v>148018.48779415371</v>
      </c>
      <c r="V57" s="244">
        <f t="shared" si="2"/>
        <v>1601330.3031037627</v>
      </c>
      <c r="W57" s="244">
        <f>IF($A$1="BL",(SUM(V46:V57)),0)</f>
        <v>20124115.678985223</v>
      </c>
      <c r="X57" s="244">
        <f>IF(AND($A$1="BL",W57&gt;0),(PPA!$B$5*8760*IS!$B$2*PPA!$G$4*BaseLoad!$AP$9),0)</f>
        <v>61480099.714859203</v>
      </c>
      <c r="Y57" s="245">
        <f>X57+W57</f>
        <v>81604215.393844426</v>
      </c>
      <c r="Z57" s="245">
        <f>(BaseLoad!C56*'Base Hours'!X57*IS!$B$2)*-1</f>
        <v>-1768911.6059333766</v>
      </c>
      <c r="AA57" s="245">
        <f>SUM(Z46:Z57)</f>
        <v>-21226939.271200512</v>
      </c>
      <c r="AB57" s="245">
        <f>(BaseLoad!D56*'Base Hours'!X57*IS!$B$2)*-1</f>
        <v>-162527.89029391785</v>
      </c>
      <c r="AC57" s="245">
        <f>SUM(AB46:AB57)</f>
        <v>-1932584.9855271252</v>
      </c>
      <c r="AD57" s="245">
        <f>(BaseLoad!E56*'Base Hours'!X57*IS!$B$2)*-1</f>
        <v>0</v>
      </c>
      <c r="AE57" s="245">
        <f>SUM(AD46:AD57)</f>
        <v>0</v>
      </c>
      <c r="AF57" s="245">
        <f>(BaseLoad!F56*'Base Hours'!X57*IS!$B$2)*-1</f>
        <v>0</v>
      </c>
      <c r="AG57" s="245">
        <f>SUM(AF46:AF57)</f>
        <v>-1330680.0396221192</v>
      </c>
    </row>
    <row r="58" spans="1:33" x14ac:dyDescent="0.2">
      <c r="A58" s="1">
        <f t="shared" si="1"/>
        <v>38000.016000000061</v>
      </c>
      <c r="B58" s="244">
        <f>IF($A$1="Peak","-",'Base Hours'!B58*BaseLoad!H57*IS!$B$2)</f>
        <v>20438.284621495313</v>
      </c>
      <c r="C58" s="244">
        <f>IF($A$1="Peak","-",'Base Hours'!C58*BaseLoad!I57*IS!$B$2)</f>
        <v>19583.622745688102</v>
      </c>
      <c r="D58" s="244">
        <f>IF($A$1="Peak","-",'Base Hours'!D58*BaseLoad!J57*IS!$B$2)</f>
        <v>38537.488344232661</v>
      </c>
      <c r="E58" s="244">
        <f>IF($A$1="Peak","-",'Base Hours'!E58*BaseLoad!K57*IS!$B$2)</f>
        <v>76953.323032083732</v>
      </c>
      <c r="F58" s="244">
        <f>IF($A$1="Peak","-",'Base Hours'!F58*BaseLoad!L57*IS!$B$2)</f>
        <v>75754.361247430876</v>
      </c>
      <c r="G58" s="244">
        <f>IF($A$1="Peak","-",'Base Hours'!G58*BaseLoad!M57*IS!$B$2)</f>
        <v>139290.50926097643</v>
      </c>
      <c r="H58" s="244">
        <f>IF($A$1="Peak","-",'Base Hours'!H58*BaseLoad!N57*IS!$B$2)</f>
        <v>106071.54906343114</v>
      </c>
      <c r="I58" s="244">
        <f>IF($A$1="Peak","-",'Base Hours'!I58*BaseLoad!O57*IS!$B$2)</f>
        <v>95603.169645159112</v>
      </c>
      <c r="J58" s="244">
        <f>IF($A$1="Peak","-",'Base Hours'!J58*BaseLoad!P57*IS!$B$2)</f>
        <v>92821.815449657151</v>
      </c>
      <c r="K58" s="244">
        <f>IF($A$1="Peak","-",'Base Hours'!K58*BaseLoad!Q57*IS!$B$2)</f>
        <v>78770.52371797392</v>
      </c>
      <c r="L58" s="244">
        <f>IF($A$1="Peak","-",'Base Hours'!L58*BaseLoad!R57*IS!$B$2)</f>
        <v>77691.913271406258</v>
      </c>
      <c r="M58" s="244">
        <f>IF($A$1="Peak","-",'Base Hours'!M58*BaseLoad!S57*IS!$B$2)</f>
        <v>69373.938714021351</v>
      </c>
      <c r="N58" s="244">
        <f>IF($A$1="Peak","-",'Base Hours'!N58*BaseLoad!T57*IS!$B$2)</f>
        <v>56431.38468954304</v>
      </c>
      <c r="O58" s="244">
        <f>IF($A$1="Peak","-",'Base Hours'!O58*BaseLoad!U57*IS!$B$2)</f>
        <v>53501.597379302752</v>
      </c>
      <c r="P58" s="244">
        <f>IF($A$1="Peak","-",'Base Hours'!P58*BaseLoad!V57*IS!$B$2)</f>
        <v>52298.218844423536</v>
      </c>
      <c r="Q58" s="244">
        <f>IF($A$1="Peak","-",'Base Hours'!Q58*BaseLoad!W57*IS!$B$2)</f>
        <v>49826.100685028192</v>
      </c>
      <c r="R58" s="244">
        <f>IF($A$1="Peak","-",'Base Hours'!R58*BaseLoad!X57*IS!$B$2)</f>
        <v>48926.484248330744</v>
      </c>
      <c r="S58" s="244">
        <f>IF($A$1="Peak","-",'Base Hours'!S58*BaseLoad!Y57*IS!$B$2)</f>
        <v>48274.09874908263</v>
      </c>
      <c r="T58" s="244">
        <f>IF($A$1="Peak","-",'Base Hours'!T58*BaseLoad!Z57*IS!$B$2)</f>
        <v>47661.874902436342</v>
      </c>
      <c r="U58" s="244">
        <f>IF($A$1="Peak","-",'Base Hours'!U58*BaseLoad!AA57*IS!$B$2)</f>
        <v>128082.10348761754</v>
      </c>
      <c r="V58" s="244">
        <f t="shared" si="2"/>
        <v>1375892.3620993209</v>
      </c>
      <c r="W58" s="244"/>
      <c r="X58" s="244"/>
      <c r="Y58" s="245"/>
      <c r="Z58" s="245">
        <f>(BaseLoad!C57*'Base Hours'!X58*IS!$B$2)*-1</f>
        <v>-1735774.2514120445</v>
      </c>
      <c r="AA58" s="245"/>
      <c r="AB58" s="245">
        <f>(BaseLoad!D57*'Base Hours'!X58*IS!$B$2)*-1</f>
        <v>-160439.22618961829</v>
      </c>
      <c r="AC58" s="245"/>
      <c r="AD58" s="245">
        <f>(BaseLoad!E57*'Base Hours'!X58*IS!$B$2)*-1</f>
        <v>0</v>
      </c>
      <c r="AE58" s="245"/>
      <c r="AF58" s="245">
        <f>(BaseLoad!F57*'Base Hours'!X58*IS!$B$2)*-1</f>
        <v>0</v>
      </c>
      <c r="AG58" s="245"/>
    </row>
    <row r="59" spans="1:33" x14ac:dyDescent="0.2">
      <c r="A59" s="1">
        <f t="shared" si="1"/>
        <v>38030.433000000063</v>
      </c>
      <c r="B59" s="244">
        <f>IF($A$1="Peak","-",'Base Hours'!B59*BaseLoad!H58*IS!$B$2)</f>
        <v>20495.431211680821</v>
      </c>
      <c r="C59" s="244">
        <f>IF($A$1="Peak","-",'Base Hours'!C59*BaseLoad!I58*IS!$B$2)</f>
        <v>18958.072335524495</v>
      </c>
      <c r="D59" s="244">
        <f>IF($A$1="Peak","-",'Base Hours'!D59*BaseLoad!J58*IS!$B$2)</f>
        <v>36810.589430366643</v>
      </c>
      <c r="E59" s="244">
        <f>IF($A$1="Peak","-",'Base Hours'!E59*BaseLoad!K58*IS!$B$2)</f>
        <v>69186.181327589991</v>
      </c>
      <c r="F59" s="244">
        <f>IF($A$1="Peak","-",'Base Hours'!F59*BaseLoad!L58*IS!$B$2)</f>
        <v>68115.393284546721</v>
      </c>
      <c r="G59" s="244">
        <f>IF($A$1="Peak","-",'Base Hours'!G59*BaseLoad!M58*IS!$B$2)</f>
        <v>134678.89622285683</v>
      </c>
      <c r="H59" s="244">
        <f>IF($A$1="Peak","-",'Base Hours'!H59*BaseLoad!N58*IS!$B$2)</f>
        <v>110758.76566148196</v>
      </c>
      <c r="I59" s="244">
        <f>IF($A$1="Peak","-",'Base Hours'!I59*BaseLoad!O58*IS!$B$2)</f>
        <v>92000.945576849059</v>
      </c>
      <c r="J59" s="244">
        <f>IF($A$1="Peak","-",'Base Hours'!J59*BaseLoad!P58*IS!$B$2)</f>
        <v>85679.764357822685</v>
      </c>
      <c r="K59" s="244">
        <f>IF($A$1="Peak","-",'Base Hours'!K59*BaseLoad!Q58*IS!$B$2)</f>
        <v>75235.609488882532</v>
      </c>
      <c r="L59" s="244">
        <f>IF($A$1="Peak","-",'Base Hours'!L59*BaseLoad!R58*IS!$B$2)</f>
        <v>69185.299741613038</v>
      </c>
      <c r="M59" s="244">
        <f>IF($A$1="Peak","-",'Base Hours'!M59*BaseLoad!S58*IS!$B$2)</f>
        <v>69185.299741613038</v>
      </c>
      <c r="N59" s="244">
        <f>IF($A$1="Peak","-",'Base Hours'!N59*BaseLoad!T58*IS!$B$2)</f>
        <v>68319.712491339698</v>
      </c>
      <c r="O59" s="244">
        <f>IF($A$1="Peak","-",'Base Hours'!O59*BaseLoad!U58*IS!$B$2)</f>
        <v>60438.903587574147</v>
      </c>
      <c r="P59" s="244">
        <f>IF($A$1="Peak","-",'Base Hours'!P59*BaseLoad!V58*IS!$B$2)</f>
        <v>55482.141583431519</v>
      </c>
      <c r="Q59" s="244">
        <f>IF($A$1="Peak","-",'Base Hours'!Q59*BaseLoad!W58*IS!$B$2)</f>
        <v>54263.828359485407</v>
      </c>
      <c r="R59" s="244">
        <f>IF($A$1="Peak","-",'Base Hours'!R59*BaseLoad!X58*IS!$B$2)</f>
        <v>52207.957416197263</v>
      </c>
      <c r="S59" s="244">
        <f>IF($A$1="Peak","-",'Base Hours'!S59*BaseLoad!Y58*IS!$B$2)</f>
        <v>51221.543053435904</v>
      </c>
      <c r="T59" s="244">
        <f>IF($A$1="Peak","-",'Base Hours'!T59*BaseLoad!Z58*IS!$B$2)</f>
        <v>50666.342187995127</v>
      </c>
      <c r="U59" s="244">
        <f>IF($A$1="Peak","-",'Base Hours'!U59*BaseLoad!AA58*IS!$B$2)</f>
        <v>136324.90453801528</v>
      </c>
      <c r="V59" s="244">
        <f t="shared" si="2"/>
        <v>1379215.5815983021</v>
      </c>
      <c r="W59" s="244"/>
      <c r="X59" s="244"/>
      <c r="Y59" s="245"/>
      <c r="Z59" s="245">
        <f>(BaseLoad!C58*'Base Hours'!X59*IS!$B$2)*-1</f>
        <v>-1735774.2514120445</v>
      </c>
      <c r="AA59" s="245"/>
      <c r="AB59" s="245">
        <f>(BaseLoad!D58*'Base Hours'!X59*IS!$B$2)*-1</f>
        <v>-160706.62489993434</v>
      </c>
      <c r="AC59" s="245"/>
      <c r="AD59" s="245">
        <f>(BaseLoad!E58*'Base Hours'!X59*IS!$B$2)*-1</f>
        <v>0</v>
      </c>
      <c r="AE59" s="245"/>
      <c r="AF59" s="245">
        <f>(BaseLoad!F58*'Base Hours'!X59*IS!$B$2)*-1</f>
        <v>0</v>
      </c>
      <c r="AG59" s="245"/>
    </row>
    <row r="60" spans="1:33" x14ac:dyDescent="0.2">
      <c r="A60" s="1">
        <f t="shared" si="1"/>
        <v>38060.850000000064</v>
      </c>
      <c r="B60" s="244">
        <f>IF($A$1="Peak","-",'Base Hours'!B60*BaseLoad!H59*IS!$B$2)</f>
        <v>26981.598292650975</v>
      </c>
      <c r="C60" s="244">
        <f>IF($A$1="Peak","-",'Base Hours'!C60*BaseLoad!I59*IS!$B$2)</f>
        <v>19700.186957584068</v>
      </c>
      <c r="D60" s="244">
        <f>IF($A$1="Peak","-",'Base Hours'!D60*BaseLoad!J59*IS!$B$2)</f>
        <v>32918.849826929414</v>
      </c>
      <c r="E60" s="244">
        <f>IF($A$1="Peak","-",'Base Hours'!E60*BaseLoad!K59*IS!$B$2)</f>
        <v>63175.916741486399</v>
      </c>
      <c r="F60" s="244">
        <f>IF($A$1="Peak","-",'Base Hours'!F60*BaseLoad!L59*IS!$B$2)</f>
        <v>59429.041599130069</v>
      </c>
      <c r="G60" s="244">
        <f>IF($A$1="Peak","-",'Base Hours'!G60*BaseLoad!M59*IS!$B$2)</f>
        <v>112843.95607934025</v>
      </c>
      <c r="H60" s="244">
        <f>IF($A$1="Peak","-",'Base Hours'!H60*BaseLoad!N59*IS!$B$2)</f>
        <v>111986.36610221137</v>
      </c>
      <c r="I60" s="244">
        <f>IF($A$1="Peak","-",'Base Hours'!I60*BaseLoad!O59*IS!$B$2)</f>
        <v>101735.33935819571</v>
      </c>
      <c r="J60" s="244">
        <f>IF($A$1="Peak","-",'Base Hours'!J60*BaseLoad!P59*IS!$B$2)</f>
        <v>80816.170261503386</v>
      </c>
      <c r="K60" s="244">
        <f>IF($A$1="Peak","-",'Base Hours'!K60*BaseLoad!Q59*IS!$B$2)</f>
        <v>71042.904597439512</v>
      </c>
      <c r="L60" s="244">
        <f>IF($A$1="Peak","-",'Base Hours'!L60*BaseLoad!R59*IS!$B$2)</f>
        <v>64872.235858803091</v>
      </c>
      <c r="M60" s="244">
        <f>IF($A$1="Peak","-",'Base Hours'!M60*BaseLoad!S59*IS!$B$2)</f>
        <v>60296.470593564147</v>
      </c>
      <c r="N60" s="244">
        <f>IF($A$1="Peak","-",'Base Hours'!N60*BaseLoad!T59*IS!$B$2)</f>
        <v>58135.97332838647</v>
      </c>
      <c r="O60" s="244">
        <f>IF($A$1="Peak","-",'Base Hours'!O60*BaseLoad!U59*IS!$B$2)</f>
        <v>58135.97332838647</v>
      </c>
      <c r="P60" s="244">
        <f>IF($A$1="Peak","-",'Base Hours'!P60*BaseLoad!V59*IS!$B$2)</f>
        <v>57884.392137802621</v>
      </c>
      <c r="Q60" s="244">
        <f>IF($A$1="Peak","-",'Base Hours'!Q60*BaseLoad!W59*IS!$B$2)</f>
        <v>57694.127970129332</v>
      </c>
      <c r="R60" s="244">
        <f>IF($A$1="Peak","-",'Base Hours'!R60*BaseLoad!X59*IS!$B$2)</f>
        <v>57450.90571558995</v>
      </c>
      <c r="S60" s="244">
        <f>IF($A$1="Peak","-",'Base Hours'!S60*BaseLoad!Y59*IS!$B$2)</f>
        <v>56006.364976866666</v>
      </c>
      <c r="T60" s="244">
        <f>IF($A$1="Peak","-",'Base Hours'!T60*BaseLoad!Z59*IS!$B$2)</f>
        <v>49419.359434770995</v>
      </c>
      <c r="U60" s="244">
        <f>IF($A$1="Peak","-",'Base Hours'!U60*BaseLoad!AA59*IS!$B$2)</f>
        <v>122324.39444713295</v>
      </c>
      <c r="V60" s="244">
        <f t="shared" si="2"/>
        <v>1322850.5276079036</v>
      </c>
      <c r="W60" s="244"/>
      <c r="X60" s="244"/>
      <c r="Y60" s="245"/>
      <c r="Z60" s="245">
        <f>(BaseLoad!C59*'Base Hours'!X60*IS!$B$2)*-1</f>
        <v>-1735774.2514120445</v>
      </c>
      <c r="AA60" s="245"/>
      <c r="AB60" s="245">
        <f>(BaseLoad!D59*'Base Hours'!X60*IS!$B$2)*-1</f>
        <v>-160974.46927476756</v>
      </c>
      <c r="AC60" s="245"/>
      <c r="AD60" s="245">
        <f>(BaseLoad!E59*'Base Hours'!X60*IS!$B$2)*-1</f>
        <v>0</v>
      </c>
      <c r="AE60" s="245"/>
      <c r="AF60" s="245">
        <f>(BaseLoad!F59*'Base Hours'!X60*IS!$B$2)*-1</f>
        <v>0</v>
      </c>
      <c r="AG60" s="245"/>
    </row>
    <row r="61" spans="1:33" x14ac:dyDescent="0.2">
      <c r="A61" s="1">
        <f t="shared" si="1"/>
        <v>38091.267000000065</v>
      </c>
      <c r="B61" s="244">
        <f>IF($A$1="Peak","-",'Base Hours'!B61*BaseLoad!H60*IS!$B$2)</f>
        <v>16810.719813251424</v>
      </c>
      <c r="C61" s="244">
        <f>IF($A$1="Peak","-",'Base Hours'!C61*BaseLoad!I60*IS!$B$2)</f>
        <v>14753.93140025639</v>
      </c>
      <c r="D61" s="244">
        <f>IF($A$1="Peak","-",'Base Hours'!D61*BaseLoad!J60*IS!$B$2)</f>
        <v>28549.132020214325</v>
      </c>
      <c r="E61" s="244">
        <f>IF($A$1="Peak","-",'Base Hours'!E61*BaseLoad!K60*IS!$B$2)</f>
        <v>53394.891409112417</v>
      </c>
      <c r="F61" s="244">
        <f>IF($A$1="Peak","-",'Base Hours'!F61*BaseLoad!L60*IS!$B$2)</f>
        <v>51560.583062515318</v>
      </c>
      <c r="G61" s="244">
        <f>IF($A$1="Peak","-",'Base Hours'!G61*BaseLoad!M60*IS!$B$2)</f>
        <v>102873.53699026657</v>
      </c>
      <c r="H61" s="244">
        <f>IF($A$1="Peak","-",'Base Hours'!H61*BaseLoad!N60*IS!$B$2)</f>
        <v>86498.081745213101</v>
      </c>
      <c r="I61" s="244">
        <f>IF($A$1="Peak","-",'Base Hours'!I61*BaseLoad!O60*IS!$B$2)</f>
        <v>74818.836150886505</v>
      </c>
      <c r="J61" s="244">
        <f>IF($A$1="Peak","-",'Base Hours'!J61*BaseLoad!P60*IS!$B$2)</f>
        <v>74418.878354342247</v>
      </c>
      <c r="K61" s="244">
        <f>IF($A$1="Peak","-",'Base Hours'!K61*BaseLoad!Q60*IS!$B$2)</f>
        <v>73691.805949185742</v>
      </c>
      <c r="L61" s="244">
        <f>IF($A$1="Peak","-",'Base Hours'!L61*BaseLoad!R60*IS!$B$2)</f>
        <v>62633.92580179323</v>
      </c>
      <c r="M61" s="244">
        <f>IF($A$1="Peak","-",'Base Hours'!M61*BaseLoad!S60*IS!$B$2)</f>
        <v>56965.348024218933</v>
      </c>
      <c r="N61" s="244">
        <f>IF($A$1="Peak","-",'Base Hours'!N61*BaseLoad!T60*IS!$B$2)</f>
        <v>53966.409925698252</v>
      </c>
      <c r="O61" s="244">
        <f>IF($A$1="Peak","-",'Base Hours'!O61*BaseLoad!U60*IS!$B$2)</f>
        <v>53604.037490729825</v>
      </c>
      <c r="P61" s="244">
        <f>IF($A$1="Peak","-",'Base Hours'!P61*BaseLoad!V60*IS!$B$2)</f>
        <v>53604.037490729825</v>
      </c>
      <c r="Q61" s="244">
        <f>IF($A$1="Peak","-",'Base Hours'!Q61*BaseLoad!W60*IS!$B$2)</f>
        <v>53210.79793062411</v>
      </c>
      <c r="R61" s="244">
        <f>IF($A$1="Peak","-",'Base Hours'!R61*BaseLoad!X60*IS!$B$2)</f>
        <v>51133.30328987485</v>
      </c>
      <c r="S61" s="244">
        <f>IF($A$1="Peak","-",'Base Hours'!S61*BaseLoad!Y60*IS!$B$2)</f>
        <v>50697.094014544091</v>
      </c>
      <c r="T61" s="244">
        <f>IF($A$1="Peak","-",'Base Hours'!T61*BaseLoad!Z60*IS!$B$2)</f>
        <v>50068.839646117747</v>
      </c>
      <c r="U61" s="244">
        <f>IF($A$1="Peak","-",'Base Hours'!U61*BaseLoad!AA60*IS!$B$2)</f>
        <v>134115.96066215233</v>
      </c>
      <c r="V61" s="244">
        <f t="shared" si="2"/>
        <v>1197370.1511717271</v>
      </c>
      <c r="W61" s="244"/>
      <c r="X61" s="244"/>
      <c r="Y61" s="245"/>
      <c r="Z61" s="245">
        <f>(BaseLoad!C60*'Base Hours'!X61*IS!$B$2)*-1</f>
        <v>-1735774.2514120445</v>
      </c>
      <c r="AA61" s="245"/>
      <c r="AB61" s="245">
        <f>(BaseLoad!D60*'Base Hours'!X61*IS!$B$2)*-1</f>
        <v>-161242.76005689218</v>
      </c>
      <c r="AC61" s="245"/>
      <c r="AD61" s="245">
        <f>(BaseLoad!E60*'Base Hours'!X61*IS!$B$2)*-1</f>
        <v>0</v>
      </c>
      <c r="AE61" s="245"/>
      <c r="AF61" s="245">
        <f>(BaseLoad!F60*'Base Hours'!X61*IS!$B$2)*-1</f>
        <v>0</v>
      </c>
      <c r="AG61" s="245"/>
    </row>
    <row r="62" spans="1:33" x14ac:dyDescent="0.2">
      <c r="A62" s="1">
        <f t="shared" si="1"/>
        <v>38121.684000000067</v>
      </c>
      <c r="B62" s="244">
        <f>IF($A$1="Peak","-",'Base Hours'!B62*BaseLoad!H61*IS!$B$2)</f>
        <v>18953.956544212015</v>
      </c>
      <c r="C62" s="244">
        <f>IF($A$1="Peak","-",'Base Hours'!C62*BaseLoad!I61*IS!$B$2)</f>
        <v>17974.809024543843</v>
      </c>
      <c r="D62" s="244">
        <f>IF($A$1="Peak","-",'Base Hours'!D62*BaseLoad!J61*IS!$B$2)</f>
        <v>34096.356129421547</v>
      </c>
      <c r="E62" s="244">
        <f>IF($A$1="Peak","-",'Base Hours'!E62*BaseLoad!K61*IS!$B$2)</f>
        <v>67575.180142626574</v>
      </c>
      <c r="F62" s="244">
        <f>IF($A$1="Peak","-",'Base Hours'!F62*BaseLoad!L61*IS!$B$2)</f>
        <v>60346.270957895358</v>
      </c>
      <c r="G62" s="244">
        <f>IF($A$1="Peak","-",'Base Hours'!G62*BaseLoad!M61*IS!$B$2)</f>
        <v>107489.43534174538</v>
      </c>
      <c r="H62" s="244">
        <f>IF($A$1="Peak","-",'Base Hours'!H62*BaseLoad!N61*IS!$B$2)</f>
        <v>93772.808887709019</v>
      </c>
      <c r="I62" s="244">
        <f>IF($A$1="Peak","-",'Base Hours'!I62*BaseLoad!O61*IS!$B$2)</f>
        <v>74296.471639195006</v>
      </c>
      <c r="J62" s="244">
        <f>IF($A$1="Peak","-",'Base Hours'!J62*BaseLoad!P61*IS!$B$2)</f>
        <v>68030.95638663508</v>
      </c>
      <c r="K62" s="244">
        <f>IF($A$1="Peak","-",'Base Hours'!K62*BaseLoad!Q61*IS!$B$2)</f>
        <v>66346.529932626116</v>
      </c>
      <c r="L62" s="244">
        <f>IF($A$1="Peak","-",'Base Hours'!L62*BaseLoad!R61*IS!$B$2)</f>
        <v>66091.656601548486</v>
      </c>
      <c r="M62" s="244">
        <f>IF($A$1="Peak","-",'Base Hours'!M62*BaseLoad!S61*IS!$B$2)</f>
        <v>66091.656601548486</v>
      </c>
      <c r="N62" s="244">
        <f>IF($A$1="Peak","-",'Base Hours'!N62*BaseLoad!T61*IS!$B$2)</f>
        <v>65817.612993730552</v>
      </c>
      <c r="O62" s="244">
        <f>IF($A$1="Peak","-",'Base Hours'!O62*BaseLoad!U61*IS!$B$2)</f>
        <v>65567.999752589894</v>
      </c>
      <c r="P62" s="244">
        <f>IF($A$1="Peak","-",'Base Hours'!P62*BaseLoad!V61*IS!$B$2)</f>
        <v>64424.222714779382</v>
      </c>
      <c r="Q62" s="244">
        <f>IF($A$1="Peak","-",'Base Hours'!Q62*BaseLoad!W61*IS!$B$2)</f>
        <v>62268.424804396804</v>
      </c>
      <c r="R62" s="244">
        <f>IF($A$1="Peak","-",'Base Hours'!R62*BaseLoad!X61*IS!$B$2)</f>
        <v>61148.610966515764</v>
      </c>
      <c r="S62" s="244">
        <f>IF($A$1="Peak","-",'Base Hours'!S62*BaseLoad!Y61*IS!$B$2)</f>
        <v>60849.004501830495</v>
      </c>
      <c r="T62" s="244">
        <f>IF($A$1="Peak","-",'Base Hours'!T62*BaseLoad!Z61*IS!$B$2)</f>
        <v>60023.509751257661</v>
      </c>
      <c r="U62" s="244">
        <f>IF($A$1="Peak","-",'Base Hours'!U62*BaseLoad!AA61*IS!$B$2)</f>
        <v>157902.73126729435</v>
      </c>
      <c r="V62" s="244">
        <f t="shared" si="2"/>
        <v>1339068.2049421021</v>
      </c>
      <c r="W62" s="244"/>
      <c r="X62" s="244"/>
      <c r="Y62" s="245"/>
      <c r="Z62" s="245">
        <f>(BaseLoad!C61*'Base Hours'!X62*IS!$B$2)*-1</f>
        <v>-1735774.2514120445</v>
      </c>
      <c r="AA62" s="245"/>
      <c r="AB62" s="245">
        <f>(BaseLoad!D61*'Base Hours'!X62*IS!$B$2)*-1</f>
        <v>-161511.49799032032</v>
      </c>
      <c r="AC62" s="245"/>
      <c r="AD62" s="245">
        <f>(BaseLoad!E61*'Base Hours'!X62*IS!$B$2)*-1</f>
        <v>0</v>
      </c>
      <c r="AE62" s="245"/>
      <c r="AF62" s="245">
        <f>(BaseLoad!F61*'Base Hours'!X62*IS!$B$2)*-1</f>
        <v>-223477.92103905164</v>
      </c>
      <c r="AG62" s="245"/>
    </row>
    <row r="63" spans="1:33" x14ac:dyDescent="0.2">
      <c r="A63" s="1">
        <f t="shared" si="1"/>
        <v>38152.101000000068</v>
      </c>
      <c r="B63" s="244">
        <f>IF($A$1="Peak","-",'Base Hours'!B63*BaseLoad!H62*IS!$B$2)</f>
        <v>86499.379178873874</v>
      </c>
      <c r="C63" s="244">
        <f>IF($A$1="Peak","-",'Base Hours'!C63*BaseLoad!I62*IS!$B$2)</f>
        <v>56112.266062856892</v>
      </c>
      <c r="D63" s="244">
        <f>IF($A$1="Peak","-",'Base Hours'!D63*BaseLoad!J62*IS!$B$2)</f>
        <v>82596.844860332523</v>
      </c>
      <c r="E63" s="244">
        <f>IF($A$1="Peak","-",'Base Hours'!E63*BaseLoad!K62*IS!$B$2)</f>
        <v>70527.303509604797</v>
      </c>
      <c r="F63" s="244">
        <f>IF($A$1="Peak","-",'Base Hours'!F63*BaseLoad!L62*IS!$B$2)</f>
        <v>60465.880663907024</v>
      </c>
      <c r="G63" s="244">
        <f>IF($A$1="Peak","-",'Base Hours'!G63*BaseLoad!M62*IS!$B$2)</f>
        <v>108193.95910508352</v>
      </c>
      <c r="H63" s="244">
        <f>IF($A$1="Peak","-",'Base Hours'!H63*BaseLoad!N62*IS!$B$2)</f>
        <v>99159.626232048497</v>
      </c>
      <c r="I63" s="244">
        <f>IF($A$1="Peak","-",'Base Hours'!I63*BaseLoad!O62*IS!$B$2)</f>
        <v>95714.212917836296</v>
      </c>
      <c r="J63" s="244">
        <f>IF($A$1="Peak","-",'Base Hours'!J63*BaseLoad!P62*IS!$B$2)</f>
        <v>75022.546105674075</v>
      </c>
      <c r="K63" s="244">
        <f>IF($A$1="Peak","-",'Base Hours'!K63*BaseLoad!Q62*IS!$B$2)</f>
        <v>70932.589865643546</v>
      </c>
      <c r="L63" s="244">
        <f>IF($A$1="Peak","-",'Base Hours'!L63*BaseLoad!R62*IS!$B$2)</f>
        <v>67460.404523634177</v>
      </c>
      <c r="M63" s="244">
        <f>IF($A$1="Peak","-",'Base Hours'!M63*BaseLoad!S62*IS!$B$2)</f>
        <v>61514.566679844174</v>
      </c>
      <c r="N63" s="244">
        <f>IF($A$1="Peak","-",'Base Hours'!N63*BaseLoad!T62*IS!$B$2)</f>
        <v>58252.267312712494</v>
      </c>
      <c r="O63" s="244">
        <f>IF($A$1="Peak","-",'Base Hours'!O63*BaseLoad!U62*IS!$B$2)</f>
        <v>57461.545928834501</v>
      </c>
      <c r="P63" s="244">
        <f>IF($A$1="Peak","-",'Base Hours'!P63*BaseLoad!V62*IS!$B$2)</f>
        <v>55523.403723544499</v>
      </c>
      <c r="Q63" s="244">
        <f>IF($A$1="Peak","-",'Base Hours'!Q63*BaseLoad!W62*IS!$B$2)</f>
        <v>54192.093657395897</v>
      </c>
      <c r="R63" s="244">
        <f>IF($A$1="Peak","-",'Base Hours'!R63*BaseLoad!X62*IS!$B$2)</f>
        <v>52041.881344363923</v>
      </c>
      <c r="S63" s="244">
        <f>IF($A$1="Peak","-",'Base Hours'!S63*BaseLoad!Y62*IS!$B$2)</f>
        <v>50562.232091878686</v>
      </c>
      <c r="T63" s="244">
        <f>IF($A$1="Peak","-",'Base Hours'!T63*BaseLoad!Z62*IS!$B$2)</f>
        <v>50354.97315070562</v>
      </c>
      <c r="U63" s="244">
        <f>IF($A$1="Peak","-",'Base Hours'!U63*BaseLoad!AA62*IS!$B$2)</f>
        <v>130860.10878034586</v>
      </c>
      <c r="V63" s="244">
        <f t="shared" si="2"/>
        <v>1443448.085695121</v>
      </c>
      <c r="W63" s="244"/>
      <c r="X63" s="244"/>
      <c r="Y63" s="245"/>
      <c r="Z63" s="245">
        <f>(BaseLoad!C62*'Base Hours'!X63*IS!$B$2)*-1</f>
        <v>-1735774.2514120445</v>
      </c>
      <c r="AA63" s="245"/>
      <c r="AB63" s="245">
        <f>(BaseLoad!D62*'Base Hours'!X63*IS!$B$2)*-1</f>
        <v>-161780.6838203042</v>
      </c>
      <c r="AC63" s="245"/>
      <c r="AD63" s="245">
        <f>(BaseLoad!E62*'Base Hours'!X63*IS!$B$2)*-1</f>
        <v>0</v>
      </c>
      <c r="AE63" s="245"/>
      <c r="AF63" s="245">
        <f>(BaseLoad!F62*'Base Hours'!X63*IS!$B$2)*-1</f>
        <v>-223477.92103905164</v>
      </c>
      <c r="AG63" s="245"/>
    </row>
    <row r="64" spans="1:33" x14ac:dyDescent="0.2">
      <c r="A64" s="1">
        <f t="shared" si="1"/>
        <v>38182.518000000069</v>
      </c>
      <c r="B64" s="244">
        <f>IF($A$1="Peak","-",'Base Hours'!B64*BaseLoad!H63*IS!$B$2)</f>
        <v>126078.95743244783</v>
      </c>
      <c r="C64" s="244">
        <f>IF($A$1="Peak","-",'Base Hours'!C64*BaseLoad!I63*IS!$B$2)</f>
        <v>73290.41002275428</v>
      </c>
      <c r="D64" s="244">
        <f>IF($A$1="Peak","-",'Base Hours'!D64*BaseLoad!J63*IS!$B$2)</f>
        <v>105156.07896593277</v>
      </c>
      <c r="E64" s="244">
        <f>IF($A$1="Peak","-",'Base Hours'!E64*BaseLoad!K63*IS!$B$2)</f>
        <v>121511.15454183317</v>
      </c>
      <c r="F64" s="244">
        <f>IF($A$1="Peak","-",'Base Hours'!F64*BaseLoad!L63*IS!$B$2)</f>
        <v>89362.410393447266</v>
      </c>
      <c r="G64" s="244">
        <f>IF($A$1="Peak","-",'Base Hours'!G64*BaseLoad!M63*IS!$B$2)</f>
        <v>157052.63938076963</v>
      </c>
      <c r="H64" s="244">
        <f>IF($A$1="Peak","-",'Base Hours'!H64*BaseLoad!N63*IS!$B$2)</f>
        <v>144392.52756546604</v>
      </c>
      <c r="I64" s="244">
        <f>IF($A$1="Peak","-",'Base Hours'!I64*BaseLoad!O63*IS!$B$2)</f>
        <v>140424.7197280839</v>
      </c>
      <c r="J64" s="244">
        <f>IF($A$1="Peak","-",'Base Hours'!J64*BaseLoad!P63*IS!$B$2)</f>
        <v>105152.58769700219</v>
      </c>
      <c r="K64" s="244">
        <f>IF($A$1="Peak","-",'Base Hours'!K64*BaseLoad!Q63*IS!$B$2)</f>
        <v>93804.246786131</v>
      </c>
      <c r="L64" s="244">
        <f>IF($A$1="Peak","-",'Base Hours'!L64*BaseLoad!R63*IS!$B$2)</f>
        <v>87910.824870649056</v>
      </c>
      <c r="M64" s="244">
        <f>IF($A$1="Peak","-",'Base Hours'!M64*BaseLoad!S63*IS!$B$2)</f>
        <v>74600.406124835121</v>
      </c>
      <c r="N64" s="244">
        <f>IF($A$1="Peak","-",'Base Hours'!N64*BaseLoad!T63*IS!$B$2)</f>
        <v>69594.202537906967</v>
      </c>
      <c r="O64" s="244">
        <f>IF($A$1="Peak","-",'Base Hours'!O64*BaseLoad!U63*IS!$B$2)</f>
        <v>69549.497926982847</v>
      </c>
      <c r="P64" s="244">
        <f>IF($A$1="Peak","-",'Base Hours'!P64*BaseLoad!V63*IS!$B$2)</f>
        <v>69549.497926982847</v>
      </c>
      <c r="Q64" s="244">
        <f>IF($A$1="Peak","-",'Base Hours'!Q64*BaseLoad!W63*IS!$B$2)</f>
        <v>68954.14595095822</v>
      </c>
      <c r="R64" s="244">
        <f>IF($A$1="Peak","-",'Base Hours'!R64*BaseLoad!X63*IS!$B$2)</f>
        <v>66605.438447603869</v>
      </c>
      <c r="S64" s="244">
        <f>IF($A$1="Peak","-",'Base Hours'!S64*BaseLoad!Y63*IS!$B$2)</f>
        <v>65732.854640715843</v>
      </c>
      <c r="T64" s="244">
        <f>IF($A$1="Peak","-",'Base Hours'!T64*BaseLoad!Z63*IS!$B$2)</f>
        <v>64172.088186204848</v>
      </c>
      <c r="U64" s="244">
        <f>IF($A$1="Peak","-",'Base Hours'!U64*BaseLoad!AA63*IS!$B$2)</f>
        <v>165928.83938663293</v>
      </c>
      <c r="V64" s="244">
        <f t="shared" si="2"/>
        <v>1958823.5285133405</v>
      </c>
      <c r="W64" s="244"/>
      <c r="X64" s="244"/>
      <c r="Y64" s="245"/>
      <c r="Z64" s="245">
        <f>(BaseLoad!C63*'Base Hours'!X64*IS!$B$2)*-1</f>
        <v>-1735774.2514120445</v>
      </c>
      <c r="AA64" s="245"/>
      <c r="AB64" s="245">
        <f>(BaseLoad!D63*'Base Hours'!X64*IS!$B$2)*-1</f>
        <v>-162050.31829333803</v>
      </c>
      <c r="AC64" s="245"/>
      <c r="AD64" s="245">
        <f>(BaseLoad!E63*'Base Hours'!X64*IS!$B$2)*-1</f>
        <v>0</v>
      </c>
      <c r="AE64" s="245"/>
      <c r="AF64" s="245">
        <f>(BaseLoad!F63*'Base Hours'!X64*IS!$B$2)*-1</f>
        <v>-223477.92103905164</v>
      </c>
      <c r="AG64" s="245"/>
    </row>
    <row r="65" spans="1:33" x14ac:dyDescent="0.2">
      <c r="A65" s="1">
        <f t="shared" si="1"/>
        <v>38212.93500000007</v>
      </c>
      <c r="B65" s="244">
        <f>IF($A$1="Peak","-",'Base Hours'!B65*BaseLoad!H64*IS!$B$2)</f>
        <v>427178.86326276924</v>
      </c>
      <c r="C65" s="244">
        <f>IF($A$1="Peak","-",'Base Hours'!C65*BaseLoad!I64*IS!$B$2)</f>
        <v>209178.85546645866</v>
      </c>
      <c r="D65" s="244">
        <f>IF($A$1="Peak","-",'Base Hours'!D65*BaseLoad!J64*IS!$B$2)</f>
        <v>252254.99561580087</v>
      </c>
      <c r="E65" s="244">
        <f>IF($A$1="Peak","-",'Base Hours'!E65*BaseLoad!K64*IS!$B$2)</f>
        <v>271301.37375440489</v>
      </c>
      <c r="F65" s="244">
        <f>IF($A$1="Peak","-",'Base Hours'!F65*BaseLoad!L64*IS!$B$2)</f>
        <v>162844.11786420876</v>
      </c>
      <c r="G65" s="244">
        <f>IF($A$1="Peak","-",'Base Hours'!G65*BaseLoad!M64*IS!$B$2)</f>
        <v>134666.66485875496</v>
      </c>
      <c r="H65" s="244">
        <f>IF($A$1="Peak","-",'Base Hours'!H65*BaseLoad!N64*IS!$B$2)</f>
        <v>107268.36355983766</v>
      </c>
      <c r="I65" s="244">
        <f>IF($A$1="Peak","-",'Base Hours'!I65*BaseLoad!O64*IS!$B$2)</f>
        <v>95429.310906384606</v>
      </c>
      <c r="J65" s="244">
        <f>IF($A$1="Peak","-",'Base Hours'!J65*BaseLoad!P64*IS!$B$2)</f>
        <v>91961.740026109823</v>
      </c>
      <c r="K65" s="244">
        <f>IF($A$1="Peak","-",'Base Hours'!K65*BaseLoad!Q64*IS!$B$2)</f>
        <v>74692.032214612176</v>
      </c>
      <c r="L65" s="244">
        <f>IF($A$1="Peak","-",'Base Hours'!L65*BaseLoad!R64*IS!$B$2)</f>
        <v>67973.585593414784</v>
      </c>
      <c r="M65" s="244">
        <f>IF($A$1="Peak","-",'Base Hours'!M65*BaseLoad!S64*IS!$B$2)</f>
        <v>65877.024082089323</v>
      </c>
      <c r="N65" s="244">
        <f>IF($A$1="Peak","-",'Base Hours'!N65*BaseLoad!T64*IS!$B$2)</f>
        <v>64107.334023356641</v>
      </c>
      <c r="O65" s="244">
        <f>IF($A$1="Peak","-",'Base Hours'!O65*BaseLoad!U64*IS!$B$2)</f>
        <v>62111.328716739328</v>
      </c>
      <c r="P65" s="244">
        <f>IF($A$1="Peak","-",'Base Hours'!P65*BaseLoad!V64*IS!$B$2)</f>
        <v>61183.391486603898</v>
      </c>
      <c r="Q65" s="244">
        <f>IF($A$1="Peak","-",'Base Hours'!Q65*BaseLoad!W64*IS!$B$2)</f>
        <v>60080.913202372169</v>
      </c>
      <c r="R65" s="244">
        <f>IF($A$1="Peak","-",'Base Hours'!R65*BaseLoad!X64*IS!$B$2)</f>
        <v>58909.300622051524</v>
      </c>
      <c r="S65" s="244">
        <f>IF($A$1="Peak","-",'Base Hours'!S65*BaseLoad!Y64*IS!$B$2)</f>
        <v>57719.805340740517</v>
      </c>
      <c r="T65" s="244">
        <f>IF($A$1="Peak","-",'Base Hours'!T65*BaseLoad!Z64*IS!$B$2)</f>
        <v>56436.5101476942</v>
      </c>
      <c r="U65" s="244">
        <f>IF($A$1="Peak","-",'Base Hours'!U65*BaseLoad!AA64*IS!$B$2)</f>
        <v>150055.15479575712</v>
      </c>
      <c r="V65" s="244">
        <f t="shared" si="2"/>
        <v>2531230.6655401611</v>
      </c>
      <c r="W65" s="244"/>
      <c r="X65" s="244"/>
      <c r="Y65" s="245"/>
      <c r="Z65" s="245">
        <f>(BaseLoad!C64*'Base Hours'!X65*IS!$B$2)*-1</f>
        <v>-1735774.2514120445</v>
      </c>
      <c r="AA65" s="245"/>
      <c r="AB65" s="245">
        <f>(BaseLoad!D64*'Base Hours'!X65*IS!$B$2)*-1</f>
        <v>-162320.40215716031</v>
      </c>
      <c r="AC65" s="245"/>
      <c r="AD65" s="245">
        <f>(BaseLoad!E64*'Base Hours'!X65*IS!$B$2)*-1</f>
        <v>0</v>
      </c>
      <c r="AE65" s="245"/>
      <c r="AF65" s="245">
        <f>(BaseLoad!F64*'Base Hours'!X65*IS!$B$2)*-1</f>
        <v>-223477.92103905164</v>
      </c>
      <c r="AG65" s="245"/>
    </row>
    <row r="66" spans="1:33" x14ac:dyDescent="0.2">
      <c r="A66" s="1">
        <f t="shared" si="1"/>
        <v>38243.352000000072</v>
      </c>
      <c r="B66" s="244">
        <f>IF($A$1="Peak","-",'Base Hours'!B66*BaseLoad!H65*IS!$B$2)</f>
        <v>30586.542693637035</v>
      </c>
      <c r="C66" s="244">
        <f>IF($A$1="Peak","-",'Base Hours'!C66*BaseLoad!I65*IS!$B$2)</f>
        <v>24286.941393514051</v>
      </c>
      <c r="D66" s="244">
        <f>IF($A$1="Peak","-",'Base Hours'!D66*BaseLoad!J65*IS!$B$2)</f>
        <v>41069.321861879886</v>
      </c>
      <c r="E66" s="244">
        <f>IF($A$1="Peak","-",'Base Hours'!E66*BaseLoad!K65*IS!$B$2)</f>
        <v>72065.137321996634</v>
      </c>
      <c r="F66" s="244">
        <f>IF($A$1="Peak","-",'Base Hours'!F66*BaseLoad!L65*IS!$B$2)</f>
        <v>66939.917598649568</v>
      </c>
      <c r="G66" s="244">
        <f>IF($A$1="Peak","-",'Base Hours'!G66*BaseLoad!M65*IS!$B$2)</f>
        <v>129960.02908856604</v>
      </c>
      <c r="H66" s="244">
        <f>IF($A$1="Peak","-",'Base Hours'!H66*BaseLoad!N65*IS!$B$2)</f>
        <v>112639.11748493041</v>
      </c>
      <c r="I66" s="244">
        <f>IF($A$1="Peak","-",'Base Hours'!I66*BaseLoad!O65*IS!$B$2)</f>
        <v>96866.039450941622</v>
      </c>
      <c r="J66" s="244">
        <f>IF($A$1="Peak","-",'Base Hours'!J66*BaseLoad!P65*IS!$B$2)</f>
        <v>82146.53776955283</v>
      </c>
      <c r="K66" s="244">
        <f>IF($A$1="Peak","-",'Base Hours'!K66*BaseLoad!Q65*IS!$B$2)</f>
        <v>70050.243754927724</v>
      </c>
      <c r="L66" s="244">
        <f>IF($A$1="Peak","-",'Base Hours'!L66*BaseLoad!R65*IS!$B$2)</f>
        <v>66869.868696714126</v>
      </c>
      <c r="M66" s="244">
        <f>IF($A$1="Peak","-",'Base Hours'!M66*BaseLoad!S65*IS!$B$2)</f>
        <v>65358.179533825605</v>
      </c>
      <c r="N66" s="244">
        <f>IF($A$1="Peak","-",'Base Hours'!N66*BaseLoad!T65*IS!$B$2)</f>
        <v>65133.403101683798</v>
      </c>
      <c r="O66" s="244">
        <f>IF($A$1="Peak","-",'Base Hours'!O66*BaseLoad!U65*IS!$B$2)</f>
        <v>65133.403101683798</v>
      </c>
      <c r="P66" s="244">
        <f>IF($A$1="Peak","-",'Base Hours'!P66*BaseLoad!V65*IS!$B$2)</f>
        <v>64649.222640462976</v>
      </c>
      <c r="Q66" s="244">
        <f>IF($A$1="Peak","-",'Base Hours'!Q66*BaseLoad!W65*IS!$B$2)</f>
        <v>64414.1065384428</v>
      </c>
      <c r="R66" s="244">
        <f>IF($A$1="Peak","-",'Base Hours'!R66*BaseLoad!X65*IS!$B$2)</f>
        <v>62823.752472250933</v>
      </c>
      <c r="S66" s="244">
        <f>IF($A$1="Peak","-",'Base Hours'!S66*BaseLoad!Y65*IS!$B$2)</f>
        <v>61677.847524265759</v>
      </c>
      <c r="T66" s="244">
        <f>IF($A$1="Peak","-",'Base Hours'!T66*BaseLoad!Z65*IS!$B$2)</f>
        <v>61164.795709141923</v>
      </c>
      <c r="U66" s="244">
        <f>IF($A$1="Peak","-",'Base Hours'!U66*BaseLoad!AA65*IS!$B$2)</f>
        <v>160393.05321041611</v>
      </c>
      <c r="V66" s="244">
        <f t="shared" si="2"/>
        <v>1464227.4609474838</v>
      </c>
      <c r="W66" s="244"/>
      <c r="X66" s="244"/>
      <c r="Y66" s="245"/>
      <c r="Z66" s="245">
        <f>(BaseLoad!C65*'Base Hours'!X66*IS!$B$2)*-1</f>
        <v>-1735774.2514120445</v>
      </c>
      <c r="AA66" s="245"/>
      <c r="AB66" s="245">
        <f>(BaseLoad!D65*'Base Hours'!X66*IS!$B$2)*-1</f>
        <v>-162590.93616075555</v>
      </c>
      <c r="AC66" s="245"/>
      <c r="AD66" s="245">
        <f>(BaseLoad!E65*'Base Hours'!X66*IS!$B$2)*-1</f>
        <v>0</v>
      </c>
      <c r="AE66" s="245"/>
      <c r="AF66" s="245">
        <f>(BaseLoad!F65*'Base Hours'!X66*IS!$B$2)*-1</f>
        <v>-223477.92103905164</v>
      </c>
      <c r="AG66" s="245"/>
    </row>
    <row r="67" spans="1:33" x14ac:dyDescent="0.2">
      <c r="A67" s="1">
        <f t="shared" si="1"/>
        <v>38273.769000000073</v>
      </c>
      <c r="B67" s="244">
        <f>IF($A$1="Peak","-",'Base Hours'!B67*BaseLoad!H66*IS!$B$2)</f>
        <v>16895.252996643423</v>
      </c>
      <c r="C67" s="244">
        <f>IF($A$1="Peak","-",'Base Hours'!C67*BaseLoad!I66*IS!$B$2)</f>
        <v>16514.362295988678</v>
      </c>
      <c r="D67" s="244">
        <f>IF($A$1="Peak","-",'Base Hours'!D67*BaseLoad!J66*IS!$B$2)</f>
        <v>31537.247625154829</v>
      </c>
      <c r="E67" s="244">
        <f>IF($A$1="Peak","-",'Base Hours'!E67*BaseLoad!K66*IS!$B$2)</f>
        <v>59938.006608316391</v>
      </c>
      <c r="F67" s="244">
        <f>IF($A$1="Peak","-",'Base Hours'!F67*BaseLoad!L66*IS!$B$2)</f>
        <v>59635.116299853406</v>
      </c>
      <c r="G67" s="244">
        <f>IF($A$1="Peak","-",'Base Hours'!G67*BaseLoad!M66*IS!$B$2)</f>
        <v>114351.17799788239</v>
      </c>
      <c r="H67" s="244">
        <f>IF($A$1="Peak","-",'Base Hours'!H67*BaseLoad!N66*IS!$B$2)</f>
        <v>88826.789126146832</v>
      </c>
      <c r="I67" s="244">
        <f>IF($A$1="Peak","-",'Base Hours'!I67*BaseLoad!O66*IS!$B$2)</f>
        <v>76418.418314877112</v>
      </c>
      <c r="J67" s="244">
        <f>IF($A$1="Peak","-",'Base Hours'!J67*BaseLoad!P66*IS!$B$2)</f>
        <v>68506.716107900837</v>
      </c>
      <c r="K67" s="244">
        <f>IF($A$1="Peak","-",'Base Hours'!K67*BaseLoad!Q66*IS!$B$2)</f>
        <v>63705.753778968319</v>
      </c>
      <c r="L67" s="244">
        <f>IF($A$1="Peak","-",'Base Hours'!L67*BaseLoad!R66*IS!$B$2)</f>
        <v>61177.536463179727</v>
      </c>
      <c r="M67" s="244">
        <f>IF($A$1="Peak","-",'Base Hours'!M67*BaseLoad!S66*IS!$B$2)</f>
        <v>61177.536463179727</v>
      </c>
      <c r="N67" s="244">
        <f>IF($A$1="Peak","-",'Base Hours'!N67*BaseLoad!T66*IS!$B$2)</f>
        <v>60867.980342787421</v>
      </c>
      <c r="O67" s="244">
        <f>IF($A$1="Peak","-",'Base Hours'!O67*BaseLoad!U66*IS!$B$2)</f>
        <v>60706.160952898681</v>
      </c>
      <c r="P67" s="244">
        <f>IF($A$1="Peak","-",'Base Hours'!P67*BaseLoad!V66*IS!$B$2)</f>
        <v>60369.627847669944</v>
      </c>
      <c r="Q67" s="244">
        <f>IF($A$1="Peak","-",'Base Hours'!Q67*BaseLoad!W66*IS!$B$2)</f>
        <v>60235.930393626928</v>
      </c>
      <c r="R67" s="244">
        <f>IF($A$1="Peak","-",'Base Hours'!R67*BaseLoad!X66*IS!$B$2)</f>
        <v>59585.302709955431</v>
      </c>
      <c r="S67" s="244">
        <f>IF($A$1="Peak","-",'Base Hours'!S67*BaseLoad!Y66*IS!$B$2)</f>
        <v>50441.890998995223</v>
      </c>
      <c r="T67" s="244">
        <f>IF($A$1="Peak","-",'Base Hours'!T67*BaseLoad!Z66*IS!$B$2)</f>
        <v>48001.451233114574</v>
      </c>
      <c r="U67" s="244">
        <f>IF($A$1="Peak","-",'Base Hours'!U67*BaseLoad!AA66*IS!$B$2)</f>
        <v>121447.31042073488</v>
      </c>
      <c r="V67" s="244">
        <f t="shared" si="2"/>
        <v>1240339.5689778747</v>
      </c>
      <c r="W67" s="244"/>
      <c r="X67" s="244"/>
      <c r="Y67" s="245"/>
      <c r="Z67" s="245">
        <f>(BaseLoad!C66*'Base Hours'!X67*IS!$B$2)*-1</f>
        <v>-1735774.2514120445</v>
      </c>
      <c r="AA67" s="245"/>
      <c r="AB67" s="245">
        <f>(BaseLoad!D66*'Base Hours'!X67*IS!$B$2)*-1</f>
        <v>-162861.92105435682</v>
      </c>
      <c r="AC67" s="245"/>
      <c r="AD67" s="245">
        <f>(BaseLoad!E66*'Base Hours'!X67*IS!$B$2)*-1</f>
        <v>0</v>
      </c>
      <c r="AE67" s="245"/>
      <c r="AF67" s="245">
        <f>(BaseLoad!F66*'Base Hours'!X67*IS!$B$2)*-1</f>
        <v>0</v>
      </c>
      <c r="AG67" s="245"/>
    </row>
    <row r="68" spans="1:33" x14ac:dyDescent="0.2">
      <c r="A68" s="1">
        <f t="shared" si="1"/>
        <v>38304.186000000074</v>
      </c>
      <c r="B68" s="244">
        <f>IF($A$1="Peak","-",'Base Hours'!B68*BaseLoad!H67*IS!$B$2)</f>
        <v>21037.237058999162</v>
      </c>
      <c r="C68" s="244">
        <f>IF($A$1="Peak","-",'Base Hours'!C68*BaseLoad!I67*IS!$B$2)</f>
        <v>20505.635998726335</v>
      </c>
      <c r="D68" s="244">
        <f>IF($A$1="Peak","-",'Base Hours'!D68*BaseLoad!J67*IS!$B$2)</f>
        <v>40976.68025016036</v>
      </c>
      <c r="E68" s="244">
        <f>IF($A$1="Peak","-",'Base Hours'!E68*BaseLoad!K67*IS!$B$2)</f>
        <v>81384.834983971115</v>
      </c>
      <c r="F68" s="244">
        <f>IF($A$1="Peak","-",'Base Hours'!F68*BaseLoad!L67*IS!$B$2)</f>
        <v>77967.053394589893</v>
      </c>
      <c r="G68" s="244">
        <f>IF($A$1="Peak","-",'Base Hours'!G68*BaseLoad!M67*IS!$B$2)</f>
        <v>125749.36121262734</v>
      </c>
      <c r="H68" s="244">
        <f>IF($A$1="Peak","-",'Base Hours'!H68*BaseLoad!N67*IS!$B$2)</f>
        <v>106161.11971779547</v>
      </c>
      <c r="I68" s="244">
        <f>IF($A$1="Peak","-",'Base Hours'!I68*BaseLoad!O67*IS!$B$2)</f>
        <v>94893.019891125499</v>
      </c>
      <c r="J68" s="244">
        <f>IF($A$1="Peak","-",'Base Hours'!J68*BaseLoad!P67*IS!$B$2)</f>
        <v>85239.227304760338</v>
      </c>
      <c r="K68" s="244">
        <f>IF($A$1="Peak","-",'Base Hours'!K68*BaseLoad!Q67*IS!$B$2)</f>
        <v>60652.965266863837</v>
      </c>
      <c r="L68" s="244">
        <f>IF($A$1="Peak","-",'Base Hours'!L68*BaseLoad!R67*IS!$B$2)</f>
        <v>58935.899243771062</v>
      </c>
      <c r="M68" s="244">
        <f>IF($A$1="Peak","-",'Base Hours'!M68*BaseLoad!S67*IS!$B$2)</f>
        <v>56124.469417057124</v>
      </c>
      <c r="N68" s="244">
        <f>IF($A$1="Peak","-",'Base Hours'!N68*BaseLoad!T67*IS!$B$2)</f>
        <v>53823.500838195403</v>
      </c>
      <c r="O68" s="244">
        <f>IF($A$1="Peak","-",'Base Hours'!O68*BaseLoad!U67*IS!$B$2)</f>
        <v>52894.748264746297</v>
      </c>
      <c r="P68" s="244">
        <f>IF($A$1="Peak","-",'Base Hours'!P68*BaseLoad!V67*IS!$B$2)</f>
        <v>52040.628483537061</v>
      </c>
      <c r="Q68" s="244">
        <f>IF($A$1="Peak","-",'Base Hours'!Q68*BaseLoad!W67*IS!$B$2)</f>
        <v>51369.65180867169</v>
      </c>
      <c r="R68" s="244">
        <f>IF($A$1="Peak","-",'Base Hours'!R68*BaseLoad!X67*IS!$B$2)</f>
        <v>50859.181253303243</v>
      </c>
      <c r="S68" s="244">
        <f>IF($A$1="Peak","-",'Base Hours'!S68*BaseLoad!Y67*IS!$B$2)</f>
        <v>50262.83439777579</v>
      </c>
      <c r="T68" s="244">
        <f>IF($A$1="Peak","-",'Base Hours'!T68*BaseLoad!Z67*IS!$B$2)</f>
        <v>49930.038857300351</v>
      </c>
      <c r="U68" s="244">
        <f>IF($A$1="Peak","-",'Base Hours'!U68*BaseLoad!AA67*IS!$B$2)</f>
        <v>134357.29095791178</v>
      </c>
      <c r="V68" s="244">
        <f t="shared" si="2"/>
        <v>1325165.3786018894</v>
      </c>
      <c r="W68" s="244"/>
      <c r="X68" s="244"/>
      <c r="Y68" s="245"/>
      <c r="Z68" s="245">
        <f>(BaseLoad!C67*'Base Hours'!X68*IS!$B$2)*-1</f>
        <v>-1735774.2514120445</v>
      </c>
      <c r="AA68" s="245"/>
      <c r="AB68" s="245">
        <f>(BaseLoad!D67*'Base Hours'!X68*IS!$B$2)*-1</f>
        <v>-163133.35758944741</v>
      </c>
      <c r="AC68" s="245"/>
      <c r="AD68" s="245">
        <f>(BaseLoad!E67*'Base Hours'!X68*IS!$B$2)*-1</f>
        <v>0</v>
      </c>
      <c r="AE68" s="245"/>
      <c r="AF68" s="245">
        <f>(BaseLoad!F67*'Base Hours'!X68*IS!$B$2)*-1</f>
        <v>0</v>
      </c>
      <c r="AG68" s="245"/>
    </row>
    <row r="69" spans="1:33" x14ac:dyDescent="0.2">
      <c r="A69" s="1">
        <f t="shared" si="1"/>
        <v>38334.603000000076</v>
      </c>
      <c r="B69" s="244">
        <f>IF($A$1="Peak","-",'Base Hours'!B69*BaseLoad!H68*IS!$B$2)</f>
        <v>19425.263739384387</v>
      </c>
      <c r="C69" s="244">
        <f>IF($A$1="Peak","-",'Base Hours'!C69*BaseLoad!I68*IS!$B$2)</f>
        <v>18851.581129151604</v>
      </c>
      <c r="D69" s="244">
        <f>IF($A$1="Peak","-",'Base Hours'!D69*BaseLoad!J68*IS!$B$2)</f>
        <v>36606.0030392029</v>
      </c>
      <c r="E69" s="244">
        <f>IF($A$1="Peak","-",'Base Hours'!E69*BaseLoad!K68*IS!$B$2)</f>
        <v>69093.965744130983</v>
      </c>
      <c r="F69" s="244">
        <f>IF($A$1="Peak","-",'Base Hours'!F69*BaseLoad!L68*IS!$B$2)</f>
        <v>68260.664618664363</v>
      </c>
      <c r="G69" s="244">
        <f>IF($A$1="Peak","-",'Base Hours'!G69*BaseLoad!M68*IS!$B$2)</f>
        <v>135064.47488413274</v>
      </c>
      <c r="H69" s="244">
        <f>IF($A$1="Peak","-",'Base Hours'!H69*BaseLoad!N68*IS!$B$2)</f>
        <v>112593.44062534171</v>
      </c>
      <c r="I69" s="244">
        <f>IF($A$1="Peak","-",'Base Hours'!I69*BaseLoad!O68*IS!$B$2)</f>
        <v>101780.31380537563</v>
      </c>
      <c r="J69" s="244">
        <f>IF($A$1="Peak","-",'Base Hours'!J69*BaseLoad!P68*IS!$B$2)</f>
        <v>97733.558202423126</v>
      </c>
      <c r="K69" s="244">
        <f>IF($A$1="Peak","-",'Base Hours'!K69*BaseLoad!Q68*IS!$B$2)</f>
        <v>89447.536506347999</v>
      </c>
      <c r="L69" s="244">
        <f>IF($A$1="Peak","-",'Base Hours'!L69*BaseLoad!R68*IS!$B$2)</f>
        <v>68812.271610060372</v>
      </c>
      <c r="M69" s="244">
        <f>IF($A$1="Peak","-",'Base Hours'!M69*BaseLoad!S68*IS!$B$2)</f>
        <v>68812.271610060372</v>
      </c>
      <c r="N69" s="244">
        <f>IF($A$1="Peak","-",'Base Hours'!N69*BaseLoad!T68*IS!$B$2)</f>
        <v>68569.125236863561</v>
      </c>
      <c r="O69" s="244">
        <f>IF($A$1="Peak","-",'Base Hours'!O69*BaseLoad!U68*IS!$B$2)</f>
        <v>68266.141347682962</v>
      </c>
      <c r="P69" s="244">
        <f>IF($A$1="Peak","-",'Base Hours'!P69*BaseLoad!V68*IS!$B$2)</f>
        <v>68153.897487737413</v>
      </c>
      <c r="Q69" s="244">
        <f>IF($A$1="Peak","-",'Base Hours'!Q69*BaseLoad!W68*IS!$B$2)</f>
        <v>57714.252068696544</v>
      </c>
      <c r="R69" s="244">
        <f>IF($A$1="Peak","-",'Base Hours'!R69*BaseLoad!X68*IS!$B$2)</f>
        <v>54458.149877510281</v>
      </c>
      <c r="S69" s="244">
        <f>IF($A$1="Peak","-",'Base Hours'!S69*BaseLoad!Y68*IS!$B$2)</f>
        <v>50398.429318707553</v>
      </c>
      <c r="T69" s="244">
        <f>IF($A$1="Peak","-",'Base Hours'!T69*BaseLoad!Z68*IS!$B$2)</f>
        <v>48616.199361183753</v>
      </c>
      <c r="U69" s="244">
        <f>IF($A$1="Peak","-",'Base Hours'!U69*BaseLoad!AA68*IS!$B$2)</f>
        <v>129852.09920218639</v>
      </c>
      <c r="V69" s="244">
        <f t="shared" si="2"/>
        <v>1432509.6394148446</v>
      </c>
      <c r="W69" s="244">
        <f>IF($A$1="BL",(SUM(V58:V69)),0)</f>
        <v>18010141.155110069</v>
      </c>
      <c r="X69" s="244">
        <f>IF(AND($A$1="BL",W69&gt;0),(PPA!$B$5*8760*IS!$B$2*PPA!$G$4*BaseLoad!$AP$9),0)</f>
        <v>61480099.714859203</v>
      </c>
      <c r="Y69" s="245">
        <f>X69+W69</f>
        <v>79490240.869969279</v>
      </c>
      <c r="Z69" s="245">
        <f>(BaseLoad!C68*'Base Hours'!X69*IS!$B$2)*-1</f>
        <v>-1735774.2514120445</v>
      </c>
      <c r="AA69" s="245">
        <f>SUM(Z58:Z69)</f>
        <v>-20829291.016944539</v>
      </c>
      <c r="AB69" s="245">
        <f>(BaseLoad!D68*'Base Hours'!X69*IS!$B$2)*-1</f>
        <v>-163405.24651876316</v>
      </c>
      <c r="AC69" s="245">
        <f>SUM(AB58:AB69)</f>
        <v>-1943017.4440056582</v>
      </c>
      <c r="AD69" s="245">
        <f>(BaseLoad!E68*'Base Hours'!X69*IS!$B$2)*-1</f>
        <v>0</v>
      </c>
      <c r="AE69" s="245">
        <f>SUM(AD58:AD69)</f>
        <v>0</v>
      </c>
      <c r="AF69" s="245">
        <f>(BaseLoad!F68*'Base Hours'!X69*IS!$B$2)*-1</f>
        <v>0</v>
      </c>
      <c r="AG69" s="245">
        <f>SUM(AF58:AF69)</f>
        <v>-1117389.6051952583</v>
      </c>
    </row>
    <row r="70" spans="1:33" x14ac:dyDescent="0.2">
      <c r="A70" s="1">
        <f t="shared" si="1"/>
        <v>38365.020000000077</v>
      </c>
      <c r="B70" s="244">
        <f>IF($A$1="Peak","-",'Base Hours'!B70*BaseLoad!H69*IS!$B$2)</f>
        <v>17972.435529824852</v>
      </c>
      <c r="C70" s="244">
        <f>IF($A$1="Peak","-",'Base Hours'!C70*BaseLoad!I69*IS!$B$2)</f>
        <v>17401.172363153968</v>
      </c>
      <c r="D70" s="244">
        <f>IF($A$1="Peak","-",'Base Hours'!D70*BaseLoad!J69*IS!$B$2)</f>
        <v>33175.892214967469</v>
      </c>
      <c r="E70" s="244">
        <f>IF($A$1="Peak","-",'Base Hours'!E70*BaseLoad!K69*IS!$B$2)</f>
        <v>65117.633835812951</v>
      </c>
      <c r="F70" s="244">
        <f>IF($A$1="Peak","-",'Base Hours'!F70*BaseLoad!L69*IS!$B$2)</f>
        <v>64889.510482404497</v>
      </c>
      <c r="G70" s="244">
        <f>IF($A$1="Peak","-",'Base Hours'!G70*BaseLoad!M69*IS!$B$2)</f>
        <v>118412.75035975665</v>
      </c>
      <c r="H70" s="244">
        <f>IF($A$1="Peak","-",'Base Hours'!H70*BaseLoad!N69*IS!$B$2)</f>
        <v>91268.546171431022</v>
      </c>
      <c r="I70" s="244">
        <f>IF($A$1="Peak","-",'Base Hours'!I70*BaseLoad!O69*IS!$B$2)</f>
        <v>76718.255606782288</v>
      </c>
      <c r="J70" s="244">
        <f>IF($A$1="Peak","-",'Base Hours'!J70*BaseLoad!P69*IS!$B$2)</f>
        <v>73913.064992142186</v>
      </c>
      <c r="K70" s="244">
        <f>IF($A$1="Peak","-",'Base Hours'!K70*BaseLoad!Q69*IS!$B$2)</f>
        <v>66434.456754012717</v>
      </c>
      <c r="L70" s="244">
        <f>IF($A$1="Peak","-",'Base Hours'!L70*BaseLoad!R69*IS!$B$2)</f>
        <v>65986.478255131995</v>
      </c>
      <c r="M70" s="244">
        <f>IF($A$1="Peak","-",'Base Hours'!M70*BaseLoad!S69*IS!$B$2)</f>
        <v>65986.478255131995</v>
      </c>
      <c r="N70" s="244">
        <f>IF($A$1="Peak","-",'Base Hours'!N70*BaseLoad!T69*IS!$B$2)</f>
        <v>65986.478255131995</v>
      </c>
      <c r="O70" s="244">
        <f>IF($A$1="Peak","-",'Base Hours'!O70*BaseLoad!U69*IS!$B$2)</f>
        <v>65986.478255131995</v>
      </c>
      <c r="P70" s="244">
        <f>IF($A$1="Peak","-",'Base Hours'!P70*BaseLoad!V69*IS!$B$2)</f>
        <v>65986.478255131995</v>
      </c>
      <c r="Q70" s="244">
        <f>IF($A$1="Peak","-",'Base Hours'!Q70*BaseLoad!W69*IS!$B$2)</f>
        <v>61377.451862186994</v>
      </c>
      <c r="R70" s="244">
        <f>IF($A$1="Peak","-",'Base Hours'!R70*BaseLoad!X69*IS!$B$2)</f>
        <v>55205.776517901104</v>
      </c>
      <c r="S70" s="244">
        <f>IF($A$1="Peak","-",'Base Hours'!S70*BaseLoad!Y69*IS!$B$2)</f>
        <v>53826.260155464523</v>
      </c>
      <c r="T70" s="244">
        <f>IF($A$1="Peak","-",'Base Hours'!T70*BaseLoad!Z69*IS!$B$2)</f>
        <v>51676.081195349245</v>
      </c>
      <c r="U70" s="244">
        <f>IF($A$1="Peak","-",'Base Hours'!U70*BaseLoad!AA69*IS!$B$2)</f>
        <v>137448.59433285621</v>
      </c>
      <c r="V70" s="244">
        <f>SUM(B70:U70)</f>
        <v>1314770.2736497065</v>
      </c>
      <c r="W70" s="244"/>
      <c r="X70" s="244"/>
      <c r="Y70" s="245"/>
      <c r="Z70" s="245">
        <f>(BaseLoad!C69*'Base Hours'!X70*IS!$B$2)*-1</f>
        <v>-1698319.9056382093</v>
      </c>
      <c r="AA70" s="245"/>
      <c r="AB70" s="245">
        <f>(BaseLoad!D69*'Base Hours'!X70*IS!$B$2)*-1</f>
        <v>-161222.27540517726</v>
      </c>
      <c r="AC70" s="245"/>
      <c r="AD70" s="245">
        <f>(BaseLoad!E69*'Base Hours'!X70*IS!$B$2)*-1</f>
        <v>0</v>
      </c>
      <c r="AE70" s="245"/>
      <c r="AF70" s="245">
        <f>(BaseLoad!F69*'Base Hours'!X70*IS!$B$2)*-1</f>
        <v>0</v>
      </c>
      <c r="AG70" s="245"/>
    </row>
    <row r="71" spans="1:33" x14ac:dyDescent="0.2">
      <c r="A71" s="1">
        <f t="shared" si="1"/>
        <v>38395.437000000078</v>
      </c>
      <c r="B71" s="244">
        <f>IF($A$1="Peak","-",'Base Hours'!B71*BaseLoad!H70*IS!$B$2)</f>
        <v>20050.590852772806</v>
      </c>
      <c r="C71" s="244">
        <f>IF($A$1="Peak","-",'Base Hours'!C71*BaseLoad!I70*IS!$B$2)</f>
        <v>18871.502525360436</v>
      </c>
      <c r="D71" s="244">
        <f>IF($A$1="Peak","-",'Base Hours'!D71*BaseLoad!J70*IS!$B$2)</f>
        <v>36404.194314284221</v>
      </c>
      <c r="E71" s="244">
        <f>IF($A$1="Peak","-",'Base Hours'!E71*BaseLoad!K70*IS!$B$2)</f>
        <v>68758.742464684852</v>
      </c>
      <c r="F71" s="244">
        <f>IF($A$1="Peak","-",'Base Hours'!F71*BaseLoad!L70*IS!$B$2)</f>
        <v>68412.321625897894</v>
      </c>
      <c r="G71" s="244">
        <f>IF($A$1="Peak","-",'Base Hours'!G71*BaseLoad!M70*IS!$B$2)</f>
        <v>124770.20720131883</v>
      </c>
      <c r="H71" s="244">
        <f>IF($A$1="Peak","-",'Base Hours'!H71*BaseLoad!N70*IS!$B$2)</f>
        <v>100971.73963013015</v>
      </c>
      <c r="I71" s="244">
        <f>IF($A$1="Peak","-",'Base Hours'!I71*BaseLoad!O70*IS!$B$2)</f>
        <v>96532.811287773045</v>
      </c>
      <c r="J71" s="244">
        <f>IF($A$1="Peak","-",'Base Hours'!J71*BaseLoad!P70*IS!$B$2)</f>
        <v>79562.149705480842</v>
      </c>
      <c r="K71" s="244">
        <f>IF($A$1="Peak","-",'Base Hours'!K71*BaseLoad!Q70*IS!$B$2)</f>
        <v>68391.639601145624</v>
      </c>
      <c r="L71" s="244">
        <f>IF($A$1="Peak","-",'Base Hours'!L71*BaseLoad!R70*IS!$B$2)</f>
        <v>68289.253450691613</v>
      </c>
      <c r="M71" s="244">
        <f>IF($A$1="Peak","-",'Base Hours'!M71*BaseLoad!S70*IS!$B$2)</f>
        <v>67841.17343635924</v>
      </c>
      <c r="N71" s="244">
        <f>IF($A$1="Peak","-",'Base Hours'!N71*BaseLoad!T70*IS!$B$2)</f>
        <v>67817.074490394822</v>
      </c>
      <c r="O71" s="244">
        <f>IF($A$1="Peak","-",'Base Hours'!O71*BaseLoad!U70*IS!$B$2)</f>
        <v>54738.062755030456</v>
      </c>
      <c r="P71" s="244">
        <f>IF($A$1="Peak","-",'Base Hours'!P71*BaseLoad!V70*IS!$B$2)</f>
        <v>51935.34707081801</v>
      </c>
      <c r="Q71" s="244">
        <f>IF($A$1="Peak","-",'Base Hours'!Q71*BaseLoad!W70*IS!$B$2)</f>
        <v>49845.430731025219</v>
      </c>
      <c r="R71" s="244">
        <f>IF($A$1="Peak","-",'Base Hours'!R71*BaseLoad!X70*IS!$B$2)</f>
        <v>48253.214912061376</v>
      </c>
      <c r="S71" s="244">
        <f>IF($A$1="Peak","-",'Base Hours'!S71*BaseLoad!Y70*IS!$B$2)</f>
        <v>47362.313748866181</v>
      </c>
      <c r="T71" s="244">
        <f>IF($A$1="Peak","-",'Base Hours'!T71*BaseLoad!Z70*IS!$B$2)</f>
        <v>46518.387570032515</v>
      </c>
      <c r="U71" s="244">
        <f>IF($A$1="Peak","-",'Base Hours'!U71*BaseLoad!AA70*IS!$B$2)</f>
        <v>123773.69404194479</v>
      </c>
      <c r="V71" s="244">
        <f t="shared" si="2"/>
        <v>1309099.851416073</v>
      </c>
      <c r="W71" s="244"/>
      <c r="X71" s="244"/>
      <c r="Y71" s="245"/>
      <c r="Z71" s="245">
        <f>(BaseLoad!C70*'Base Hours'!X71*IS!$B$2)*-1</f>
        <v>-1698319.9056382093</v>
      </c>
      <c r="AA71" s="245"/>
      <c r="AB71" s="245">
        <f>(BaseLoad!D70*'Base Hours'!X71*IS!$B$2)*-1</f>
        <v>-161490.97919751925</v>
      </c>
      <c r="AC71" s="245"/>
      <c r="AD71" s="245">
        <f>(BaseLoad!E70*'Base Hours'!X71*IS!$B$2)*-1</f>
        <v>0</v>
      </c>
      <c r="AE71" s="245"/>
      <c r="AF71" s="245">
        <f>(BaseLoad!F70*'Base Hours'!X71*IS!$B$2)*-1</f>
        <v>0</v>
      </c>
      <c r="AG71" s="245"/>
    </row>
    <row r="72" spans="1:33" x14ac:dyDescent="0.2">
      <c r="A72" s="1">
        <f t="shared" si="1"/>
        <v>38425.854000000079</v>
      </c>
      <c r="B72" s="244">
        <f>IF($A$1="Peak","-",'Base Hours'!B72*BaseLoad!H71*IS!$B$2)</f>
        <v>17839.515956141626</v>
      </c>
      <c r="C72" s="244">
        <f>IF($A$1="Peak","-",'Base Hours'!C72*BaseLoad!I71*IS!$B$2)</f>
        <v>17247.2210072218</v>
      </c>
      <c r="D72" s="244">
        <f>IF($A$1="Peak","-",'Base Hours'!D72*BaseLoad!J71*IS!$B$2)</f>
        <v>32763.112752836212</v>
      </c>
      <c r="E72" s="244">
        <f>IF($A$1="Peak","-",'Base Hours'!E72*BaseLoad!K71*IS!$B$2)</f>
        <v>63972.675637039109</v>
      </c>
      <c r="F72" s="244">
        <f>IF($A$1="Peak","-",'Base Hours'!F72*BaseLoad!L71*IS!$B$2)</f>
        <v>63797.974278684414</v>
      </c>
      <c r="G72" s="244">
        <f>IF($A$1="Peak","-",'Base Hours'!G72*BaseLoad!M71*IS!$B$2)</f>
        <v>116140.60307249278</v>
      </c>
      <c r="H72" s="244">
        <f>IF($A$1="Peak","-",'Base Hours'!H72*BaseLoad!N71*IS!$B$2)</f>
        <v>89724.891533422153</v>
      </c>
      <c r="I72" s="244">
        <f>IF($A$1="Peak","-",'Base Hours'!I72*BaseLoad!O71*IS!$B$2)</f>
        <v>77153.895470441814</v>
      </c>
      <c r="J72" s="244">
        <f>IF($A$1="Peak","-",'Base Hours'!J72*BaseLoad!P71*IS!$B$2)</f>
        <v>72808.049271301206</v>
      </c>
      <c r="K72" s="244">
        <f>IF($A$1="Peak","-",'Base Hours'!K72*BaseLoad!Q71*IS!$B$2)</f>
        <v>65422.897192609023</v>
      </c>
      <c r="L72" s="244">
        <f>IF($A$1="Peak","-",'Base Hours'!L72*BaseLoad!R71*IS!$B$2)</f>
        <v>63447.281065682044</v>
      </c>
      <c r="M72" s="244">
        <f>IF($A$1="Peak","-",'Base Hours'!M72*BaseLoad!S71*IS!$B$2)</f>
        <v>63447.281065682044</v>
      </c>
      <c r="N72" s="244">
        <f>IF($A$1="Peak","-",'Base Hours'!N72*BaseLoad!T71*IS!$B$2)</f>
        <v>63447.281065682044</v>
      </c>
      <c r="O72" s="244">
        <f>IF($A$1="Peak","-",'Base Hours'!O72*BaseLoad!U71*IS!$B$2)</f>
        <v>63447.281065682044</v>
      </c>
      <c r="P72" s="244">
        <f>IF($A$1="Peak","-",'Base Hours'!P72*BaseLoad!V71*IS!$B$2)</f>
        <v>63253.885542940392</v>
      </c>
      <c r="Q72" s="244">
        <f>IF($A$1="Peak","-",'Base Hours'!Q72*BaseLoad!W71*IS!$B$2)</f>
        <v>54761.069117866013</v>
      </c>
      <c r="R72" s="244">
        <f>IF($A$1="Peak","-",'Base Hours'!R72*BaseLoad!X71*IS!$B$2)</f>
        <v>52268.59163968324</v>
      </c>
      <c r="S72" s="244">
        <f>IF($A$1="Peak","-",'Base Hours'!S72*BaseLoad!Y71*IS!$B$2)</f>
        <v>49995.333043537357</v>
      </c>
      <c r="T72" s="244">
        <f>IF($A$1="Peak","-",'Base Hours'!T72*BaseLoad!Z71*IS!$B$2)</f>
        <v>48083.862101827253</v>
      </c>
      <c r="U72" s="244">
        <f>IF($A$1="Peak","-",'Base Hours'!U72*BaseLoad!AA71*IS!$B$2)</f>
        <v>126079.08718926167</v>
      </c>
      <c r="V72" s="244">
        <f t="shared" si="2"/>
        <v>1265101.7890700342</v>
      </c>
      <c r="W72" s="244"/>
      <c r="X72" s="244"/>
      <c r="Y72" s="245"/>
      <c r="Z72" s="245">
        <f>(BaseLoad!C71*'Base Hours'!X72*IS!$B$2)*-1</f>
        <v>-1698319.9056382093</v>
      </c>
      <c r="AA72" s="245"/>
      <c r="AB72" s="245">
        <f>(BaseLoad!D71*'Base Hours'!X72*IS!$B$2)*-1</f>
        <v>-161760.13082951511</v>
      </c>
      <c r="AC72" s="245"/>
      <c r="AD72" s="245">
        <f>(BaseLoad!E71*'Base Hours'!X72*IS!$B$2)*-1</f>
        <v>0</v>
      </c>
      <c r="AE72" s="245"/>
      <c r="AF72" s="245">
        <f>(BaseLoad!F71*'Base Hours'!X72*IS!$B$2)*-1</f>
        <v>0</v>
      </c>
      <c r="AG72" s="245"/>
    </row>
    <row r="73" spans="1:33" x14ac:dyDescent="0.2">
      <c r="A73" s="1">
        <f t="shared" si="1"/>
        <v>38456.271000000081</v>
      </c>
      <c r="B73" s="244">
        <f>IF($A$1="Peak","-",'Base Hours'!B73*BaseLoad!H72*IS!$B$2)</f>
        <v>14520.620184189711</v>
      </c>
      <c r="C73" s="244">
        <f>IF($A$1="Peak","-",'Base Hours'!C73*BaseLoad!I72*IS!$B$2)</f>
        <v>13993.932984705158</v>
      </c>
      <c r="D73" s="244">
        <f>IF($A$1="Peak","-",'Base Hours'!D73*BaseLoad!J72*IS!$B$2)</f>
        <v>26695.647778142862</v>
      </c>
      <c r="E73" s="244">
        <f>IF($A$1="Peak","-",'Base Hours'!E73*BaseLoad!K72*IS!$B$2)</f>
        <v>52814.949735953567</v>
      </c>
      <c r="F73" s="244">
        <f>IF($A$1="Peak","-",'Base Hours'!F73*BaseLoad!L72*IS!$B$2)</f>
        <v>52640.128849551926</v>
      </c>
      <c r="G73" s="244">
        <f>IF($A$1="Peak","-",'Base Hours'!G73*BaseLoad!M72*IS!$B$2)</f>
        <v>87991.545632546622</v>
      </c>
      <c r="H73" s="244">
        <f>IF($A$1="Peak","-",'Base Hours'!H73*BaseLoad!N72*IS!$B$2)</f>
        <v>80590.141761439212</v>
      </c>
      <c r="I73" s="244">
        <f>IF($A$1="Peak","-",'Base Hours'!I73*BaseLoad!O72*IS!$B$2)</f>
        <v>74937.695668515313</v>
      </c>
      <c r="J73" s="244">
        <f>IF($A$1="Peak","-",'Base Hours'!J73*BaseLoad!P72*IS!$B$2)</f>
        <v>65776.582410064817</v>
      </c>
      <c r="K73" s="244">
        <f>IF($A$1="Peak","-",'Base Hours'!K73*BaseLoad!Q72*IS!$B$2)</f>
        <v>55773.461718831335</v>
      </c>
      <c r="L73" s="244">
        <f>IF($A$1="Peak","-",'Base Hours'!L73*BaseLoad!R72*IS!$B$2)</f>
        <v>55026.205492521993</v>
      </c>
      <c r="M73" s="244">
        <f>IF($A$1="Peak","-",'Base Hours'!M73*BaseLoad!S72*IS!$B$2)</f>
        <v>55026.205492521993</v>
      </c>
      <c r="N73" s="244">
        <f>IF($A$1="Peak","-",'Base Hours'!N73*BaseLoad!T72*IS!$B$2)</f>
        <v>54981.961761432569</v>
      </c>
      <c r="O73" s="244">
        <f>IF($A$1="Peak","-",'Base Hours'!O73*BaseLoad!U72*IS!$B$2)</f>
        <v>52887.663230195059</v>
      </c>
      <c r="P73" s="244">
        <f>IF($A$1="Peak","-",'Base Hours'!P73*BaseLoad!V72*IS!$B$2)</f>
        <v>50990.061001382746</v>
      </c>
      <c r="Q73" s="244">
        <f>IF($A$1="Peak","-",'Base Hours'!Q73*BaseLoad!W72*IS!$B$2)</f>
        <v>50588.735398028533</v>
      </c>
      <c r="R73" s="244">
        <f>IF($A$1="Peak","-",'Base Hours'!R73*BaseLoad!X72*IS!$B$2)</f>
        <v>48554.150257004367</v>
      </c>
      <c r="S73" s="244">
        <f>IF($A$1="Peak","-",'Base Hours'!S73*BaseLoad!Y72*IS!$B$2)</f>
        <v>47459.701983480008</v>
      </c>
      <c r="T73" s="244">
        <f>IF($A$1="Peak","-",'Base Hours'!T73*BaseLoad!Z72*IS!$B$2)</f>
        <v>46549.179912029183</v>
      </c>
      <c r="U73" s="244">
        <f>IF($A$1="Peak","-",'Base Hours'!U73*BaseLoad!AA72*IS!$B$2)</f>
        <v>125738.66165863263</v>
      </c>
      <c r="V73" s="244">
        <f t="shared" si="2"/>
        <v>1113537.2329111698</v>
      </c>
      <c r="W73" s="244"/>
      <c r="X73" s="244"/>
      <c r="Y73" s="245"/>
      <c r="Z73" s="245">
        <f>(BaseLoad!C72*'Base Hours'!X73*IS!$B$2)*-1</f>
        <v>-1698319.9056382093</v>
      </c>
      <c r="AA73" s="245"/>
      <c r="AB73" s="245">
        <f>(BaseLoad!D72*'Base Hours'!X73*IS!$B$2)*-1</f>
        <v>-162029.7310475643</v>
      </c>
      <c r="AC73" s="245"/>
      <c r="AD73" s="245">
        <f>(BaseLoad!E72*'Base Hours'!X73*IS!$B$2)*-1</f>
        <v>0</v>
      </c>
      <c r="AE73" s="245"/>
      <c r="AF73" s="245">
        <f>(BaseLoad!F72*'Base Hours'!X73*IS!$B$2)*-1</f>
        <v>0</v>
      </c>
      <c r="AG73" s="245"/>
    </row>
    <row r="74" spans="1:33" x14ac:dyDescent="0.2">
      <c r="A74" s="1">
        <f t="shared" si="1"/>
        <v>38486.688000000082</v>
      </c>
      <c r="B74" s="244">
        <f>IF($A$1="Peak","-",'Base Hours'!B74*BaseLoad!H73*IS!$B$2)</f>
        <v>19331.92635804254</v>
      </c>
      <c r="C74" s="244">
        <f>IF($A$1="Peak","-",'Base Hours'!C74*BaseLoad!I73*IS!$B$2)</f>
        <v>16871.201416750551</v>
      </c>
      <c r="D74" s="244">
        <f>IF($A$1="Peak","-",'Base Hours'!D74*BaseLoad!J73*IS!$B$2)</f>
        <v>31210.942144482691</v>
      </c>
      <c r="E74" s="244">
        <f>IF($A$1="Peak","-",'Base Hours'!E74*BaseLoad!K73*IS!$B$2)</f>
        <v>58142.967974548948</v>
      </c>
      <c r="F74" s="244">
        <f>IF($A$1="Peak","-",'Base Hours'!F74*BaseLoad!L73*IS!$B$2)</f>
        <v>55486.36666942561</v>
      </c>
      <c r="G74" s="244">
        <f>IF($A$1="Peak","-",'Base Hours'!G74*BaseLoad!M73*IS!$B$2)</f>
        <v>109187.87711918607</v>
      </c>
      <c r="H74" s="244">
        <f>IF($A$1="Peak","-",'Base Hours'!H74*BaseLoad!N73*IS!$B$2)</f>
        <v>83399.308704627867</v>
      </c>
      <c r="I74" s="244">
        <f>IF($A$1="Peak","-",'Base Hours'!I74*BaseLoad!O73*IS!$B$2)</f>
        <v>74621.033792112314</v>
      </c>
      <c r="J74" s="244">
        <f>IF($A$1="Peak","-",'Base Hours'!J74*BaseLoad!P73*IS!$B$2)</f>
        <v>65662.869101835051</v>
      </c>
      <c r="K74" s="244">
        <f>IF($A$1="Peak","-",'Base Hours'!K74*BaseLoad!Q73*IS!$B$2)</f>
        <v>63843.312448193232</v>
      </c>
      <c r="L74" s="244">
        <f>IF($A$1="Peak","-",'Base Hours'!L74*BaseLoad!R73*IS!$B$2)</f>
        <v>63701.940316378583</v>
      </c>
      <c r="M74" s="244">
        <f>IF($A$1="Peak","-",'Base Hours'!M74*BaseLoad!S73*IS!$B$2)</f>
        <v>63060.385085924885</v>
      </c>
      <c r="N74" s="244">
        <f>IF($A$1="Peak","-",'Base Hours'!N74*BaseLoad!T73*IS!$B$2)</f>
        <v>61008.674247633411</v>
      </c>
      <c r="O74" s="244">
        <f>IF($A$1="Peak","-",'Base Hours'!O74*BaseLoad!U73*IS!$B$2)</f>
        <v>59847.948623768425</v>
      </c>
      <c r="P74" s="244">
        <f>IF($A$1="Peak","-",'Base Hours'!P74*BaseLoad!V73*IS!$B$2)</f>
        <v>58337.31067511165</v>
      </c>
      <c r="Q74" s="244">
        <f>IF($A$1="Peak","-",'Base Hours'!Q74*BaseLoad!W73*IS!$B$2)</f>
        <v>56694.792280509464</v>
      </c>
      <c r="R74" s="244">
        <f>IF($A$1="Peak","-",'Base Hours'!R74*BaseLoad!X73*IS!$B$2)</f>
        <v>55925.681084010816</v>
      </c>
      <c r="S74" s="244">
        <f>IF($A$1="Peak","-",'Base Hours'!S74*BaseLoad!Y73*IS!$B$2)</f>
        <v>54993.29666488435</v>
      </c>
      <c r="T74" s="244">
        <f>IF($A$1="Peak","-",'Base Hours'!T74*BaseLoad!Z73*IS!$B$2)</f>
        <v>54557.263928049673</v>
      </c>
      <c r="U74" s="244">
        <f>IF($A$1="Peak","-",'Base Hours'!U74*BaseLoad!AA73*IS!$B$2)</f>
        <v>147234.94802755344</v>
      </c>
      <c r="V74" s="244">
        <f t="shared" si="2"/>
        <v>1253120.0466630296</v>
      </c>
      <c r="W74" s="244"/>
      <c r="X74" s="244"/>
      <c r="Y74" s="245"/>
      <c r="Z74" s="245">
        <f>(BaseLoad!C73*'Base Hours'!X74*IS!$B$2)*-1</f>
        <v>-1698319.9056382093</v>
      </c>
      <c r="AA74" s="245"/>
      <c r="AB74" s="245">
        <f>(BaseLoad!D73*'Base Hours'!X74*IS!$B$2)*-1</f>
        <v>-162299.78059931024</v>
      </c>
      <c r="AC74" s="245"/>
      <c r="AD74" s="245">
        <f>(BaseLoad!E73*'Base Hours'!X74*IS!$B$2)*-1</f>
        <v>0</v>
      </c>
      <c r="AE74" s="245"/>
      <c r="AF74" s="245">
        <f>(BaseLoad!F73*'Base Hours'!X74*IS!$B$2)*-1</f>
        <v>-228520.39274524371</v>
      </c>
      <c r="AG74" s="245"/>
    </row>
    <row r="75" spans="1:33" x14ac:dyDescent="0.2">
      <c r="A75" s="1">
        <f t="shared" si="1"/>
        <v>38517.105000000083</v>
      </c>
      <c r="B75" s="244">
        <f>IF($A$1="Peak","-",'Base Hours'!B75*BaseLoad!H74*IS!$B$2)</f>
        <v>59181.818901535618</v>
      </c>
      <c r="C75" s="244">
        <f>IF($A$1="Peak","-",'Base Hours'!C75*BaseLoad!I74*IS!$B$2)</f>
        <v>43454.414186020862</v>
      </c>
      <c r="D75" s="244">
        <f>IF($A$1="Peak","-",'Base Hours'!D75*BaseLoad!J74*IS!$B$2)</f>
        <v>75935.995019696813</v>
      </c>
      <c r="E75" s="244">
        <f>IF($A$1="Peak","-",'Base Hours'!E75*BaseLoad!K74*IS!$B$2)</f>
        <v>100960.46344521649</v>
      </c>
      <c r="F75" s="244">
        <f>IF($A$1="Peak","-",'Base Hours'!F75*BaseLoad!L74*IS!$B$2)</f>
        <v>55377.647227095331</v>
      </c>
      <c r="G75" s="244">
        <f>IF($A$1="Peak","-",'Base Hours'!G75*BaseLoad!M74*IS!$B$2)</f>
        <v>97389.206973941749</v>
      </c>
      <c r="H75" s="244">
        <f>IF($A$1="Peak","-",'Base Hours'!H75*BaseLoad!N74*IS!$B$2)</f>
        <v>89657.250050190181</v>
      </c>
      <c r="I75" s="244">
        <f>IF($A$1="Peak","-",'Base Hours'!I75*BaseLoad!O74*IS!$B$2)</f>
        <v>85815.470195371352</v>
      </c>
      <c r="J75" s="244">
        <f>IF($A$1="Peak","-",'Base Hours'!J75*BaseLoad!P74*IS!$B$2)</f>
        <v>70942.256073581448</v>
      </c>
      <c r="K75" s="244">
        <f>IF($A$1="Peak","-",'Base Hours'!K75*BaseLoad!Q74*IS!$B$2)</f>
        <v>64649.534898574013</v>
      </c>
      <c r="L75" s="244">
        <f>IF($A$1="Peak","-",'Base Hours'!L75*BaseLoad!R74*IS!$B$2)</f>
        <v>62958.868019690839</v>
      </c>
      <c r="M75" s="244">
        <f>IF($A$1="Peak","-",'Base Hours'!M75*BaseLoad!S74*IS!$B$2)</f>
        <v>60579.527501699849</v>
      </c>
      <c r="N75" s="244">
        <f>IF($A$1="Peak","-",'Base Hours'!N75*BaseLoad!T74*IS!$B$2)</f>
        <v>59608.217983662791</v>
      </c>
      <c r="O75" s="244">
        <f>IF($A$1="Peak","-",'Base Hours'!O75*BaseLoad!U74*IS!$B$2)</f>
        <v>58496.185964536518</v>
      </c>
      <c r="P75" s="244">
        <f>IF($A$1="Peak","-",'Base Hours'!P75*BaseLoad!V74*IS!$B$2)</f>
        <v>56931.220508699407</v>
      </c>
      <c r="Q75" s="244">
        <f>IF($A$1="Peak","-",'Base Hours'!Q75*BaseLoad!W74*IS!$B$2)</f>
        <v>55177.05314152647</v>
      </c>
      <c r="R75" s="244">
        <f>IF($A$1="Peak","-",'Base Hours'!R75*BaseLoad!X74*IS!$B$2)</f>
        <v>54431.6172447602</v>
      </c>
      <c r="S75" s="244">
        <f>IF($A$1="Peak","-",'Base Hours'!S75*BaseLoad!Y74*IS!$B$2)</f>
        <v>53291.583036117081</v>
      </c>
      <c r="T75" s="244">
        <f>IF($A$1="Peak","-",'Base Hours'!T75*BaseLoad!Z74*IS!$B$2)</f>
        <v>52244.855143458983</v>
      </c>
      <c r="U75" s="244">
        <f>IF($A$1="Peak","-",'Base Hours'!U75*BaseLoad!AA74*IS!$B$2)</f>
        <v>136456.86478855382</v>
      </c>
      <c r="V75" s="244">
        <f t="shared" si="2"/>
        <v>1393540.05030393</v>
      </c>
      <c r="W75" s="244"/>
      <c r="X75" s="244"/>
      <c r="Y75" s="245"/>
      <c r="Z75" s="245">
        <f>(BaseLoad!C74*'Base Hours'!X75*IS!$B$2)*-1</f>
        <v>-1698319.9056382093</v>
      </c>
      <c r="AA75" s="245"/>
      <c r="AB75" s="245">
        <f>(BaseLoad!D74*'Base Hours'!X75*IS!$B$2)*-1</f>
        <v>-162570.28023364244</v>
      </c>
      <c r="AC75" s="245"/>
      <c r="AD75" s="245">
        <f>(BaseLoad!E74*'Base Hours'!X75*IS!$B$2)*-1</f>
        <v>0</v>
      </c>
      <c r="AE75" s="245"/>
      <c r="AF75" s="245">
        <f>(BaseLoad!F74*'Base Hours'!X75*IS!$B$2)*-1</f>
        <v>-228520.39274524371</v>
      </c>
      <c r="AG75" s="245"/>
    </row>
    <row r="76" spans="1:33" x14ac:dyDescent="0.2">
      <c r="A76" s="1">
        <f t="shared" ref="A76:A139" si="3">A75+30.417</f>
        <v>38547.522000000085</v>
      </c>
      <c r="B76" s="244">
        <f>IF($A$1="Peak","-",'Base Hours'!B76*BaseLoad!H75*IS!$B$2)</f>
        <v>131888.69514489878</v>
      </c>
      <c r="C76" s="244">
        <f>IF($A$1="Peak","-",'Base Hours'!C76*BaseLoad!I75*IS!$B$2)</f>
        <v>89073.83212274882</v>
      </c>
      <c r="D76" s="244">
        <f>IF($A$1="Peak","-",'Base Hours'!D76*BaseLoad!J75*IS!$B$2)</f>
        <v>129826.75740922599</v>
      </c>
      <c r="E76" s="244">
        <f>IF($A$1="Peak","-",'Base Hours'!E76*BaseLoad!K75*IS!$B$2)</f>
        <v>180468.73274962735</v>
      </c>
      <c r="F76" s="244">
        <f>IF($A$1="Peak","-",'Base Hours'!F76*BaseLoad!L75*IS!$B$2)</f>
        <v>135417.37582203929</v>
      </c>
      <c r="G76" s="244">
        <f>IF($A$1="Peak","-",'Base Hours'!G76*BaseLoad!M75*IS!$B$2)</f>
        <v>148597.82378711179</v>
      </c>
      <c r="H76" s="244">
        <f>IF($A$1="Peak","-",'Base Hours'!H76*BaseLoad!N75*IS!$B$2)</f>
        <v>109279.70740057919</v>
      </c>
      <c r="I76" s="244">
        <f>IF($A$1="Peak","-",'Base Hours'!I76*BaseLoad!O75*IS!$B$2)</f>
        <v>98636.747947520504</v>
      </c>
      <c r="J76" s="244">
        <f>IF($A$1="Peak","-",'Base Hours'!J76*BaseLoad!P75*IS!$B$2)</f>
        <v>96764.851900882466</v>
      </c>
      <c r="K76" s="244">
        <f>IF($A$1="Peak","-",'Base Hours'!K76*BaseLoad!Q75*IS!$B$2)</f>
        <v>80376.583673340909</v>
      </c>
      <c r="L76" s="244">
        <f>IF($A$1="Peak","-",'Base Hours'!L76*BaseLoad!R75*IS!$B$2)</f>
        <v>69449.983928627</v>
      </c>
      <c r="M76" s="244">
        <f>IF($A$1="Peak","-",'Base Hours'!M76*BaseLoad!S75*IS!$B$2)</f>
        <v>65835.615291647409</v>
      </c>
      <c r="N76" s="244">
        <f>IF($A$1="Peak","-",'Base Hours'!N76*BaseLoad!T75*IS!$B$2)</f>
        <v>62845.480053192754</v>
      </c>
      <c r="O76" s="244">
        <f>IF($A$1="Peak","-",'Base Hours'!O76*BaseLoad!U75*IS!$B$2)</f>
        <v>60826.525047137387</v>
      </c>
      <c r="P76" s="244">
        <f>IF($A$1="Peak","-",'Base Hours'!P76*BaseLoad!V75*IS!$B$2)</f>
        <v>60009.291116751447</v>
      </c>
      <c r="Q76" s="244">
        <f>IF($A$1="Peak","-",'Base Hours'!Q76*BaseLoad!W75*IS!$B$2)</f>
        <v>57956.664905572288</v>
      </c>
      <c r="R76" s="244">
        <f>IF($A$1="Peak","-",'Base Hours'!R76*BaseLoad!X75*IS!$B$2)</f>
        <v>56492.908112042867</v>
      </c>
      <c r="S76" s="244">
        <f>IF($A$1="Peak","-",'Base Hours'!S76*BaseLoad!Y75*IS!$B$2)</f>
        <v>55964.48197901676</v>
      </c>
      <c r="T76" s="244">
        <f>IF($A$1="Peak","-",'Base Hours'!T76*BaseLoad!Z75*IS!$B$2)</f>
        <v>54247.484964917814</v>
      </c>
      <c r="U76" s="244">
        <f>IF($A$1="Peak","-",'Base Hours'!U76*BaseLoad!AA75*IS!$B$2)</f>
        <v>136631.70203748171</v>
      </c>
      <c r="V76" s="244">
        <f t="shared" si="2"/>
        <v>1880591.2453943626</v>
      </c>
      <c r="W76" s="244"/>
      <c r="X76" s="244"/>
      <c r="Y76" s="245"/>
      <c r="Z76" s="245">
        <f>(BaseLoad!C75*'Base Hours'!X76*IS!$B$2)*-1</f>
        <v>-1698319.9056382093</v>
      </c>
      <c r="AA76" s="245"/>
      <c r="AB76" s="245">
        <f>(BaseLoad!D75*'Base Hours'!X76*IS!$B$2)*-1</f>
        <v>-162841.23070069851</v>
      </c>
      <c r="AC76" s="245"/>
      <c r="AD76" s="245">
        <f>(BaseLoad!E75*'Base Hours'!X76*IS!$B$2)*-1</f>
        <v>0</v>
      </c>
      <c r="AE76" s="245"/>
      <c r="AF76" s="245">
        <f>(BaseLoad!F75*'Base Hours'!X76*IS!$B$2)*-1</f>
        <v>-228520.39274524371</v>
      </c>
      <c r="AG76" s="245"/>
    </row>
    <row r="77" spans="1:33" x14ac:dyDescent="0.2">
      <c r="A77" s="1">
        <f t="shared" si="3"/>
        <v>38577.939000000086</v>
      </c>
      <c r="B77" s="244">
        <f>IF($A$1="Peak","-",'Base Hours'!B77*BaseLoad!H76*IS!$B$2)</f>
        <v>207780.57406337309</v>
      </c>
      <c r="C77" s="244">
        <f>IF($A$1="Peak","-",'Base Hours'!C77*BaseLoad!I76*IS!$B$2)</f>
        <v>120518.35778477887</v>
      </c>
      <c r="D77" s="244">
        <f>IF($A$1="Peak","-",'Base Hours'!D77*BaseLoad!J76*IS!$B$2)</f>
        <v>165196.19185491634</v>
      </c>
      <c r="E77" s="244">
        <f>IF($A$1="Peak","-",'Base Hours'!E77*BaseLoad!K76*IS!$B$2)</f>
        <v>207006.70788722267</v>
      </c>
      <c r="F77" s="244">
        <f>IF($A$1="Peak","-",'Base Hours'!F77*BaseLoad!L76*IS!$B$2)</f>
        <v>151172.75709962545</v>
      </c>
      <c r="G77" s="244">
        <f>IF($A$1="Peak","-",'Base Hours'!G77*BaseLoad!M76*IS!$B$2)</f>
        <v>181111.99157364911</v>
      </c>
      <c r="H77" s="244">
        <f>IF($A$1="Peak","-",'Base Hours'!H77*BaseLoad!N76*IS!$B$2)</f>
        <v>137843.5686043475</v>
      </c>
      <c r="I77" s="244">
        <f>IF($A$1="Peak","-",'Base Hours'!I77*BaseLoad!O76*IS!$B$2)</f>
        <v>124208.09616691216</v>
      </c>
      <c r="J77" s="244">
        <f>IF($A$1="Peak","-",'Base Hours'!J77*BaseLoad!P76*IS!$B$2)</f>
        <v>114799.78148844857</v>
      </c>
      <c r="K77" s="244">
        <f>IF($A$1="Peak","-",'Base Hours'!K77*BaseLoad!Q76*IS!$B$2)</f>
        <v>86497.793719363282</v>
      </c>
      <c r="L77" s="244">
        <f>IF($A$1="Peak","-",'Base Hours'!L77*BaseLoad!R76*IS!$B$2)</f>
        <v>75529.013742161231</v>
      </c>
      <c r="M77" s="244">
        <f>IF($A$1="Peak","-",'Base Hours'!M77*BaseLoad!S76*IS!$B$2)</f>
        <v>71046.504791932632</v>
      </c>
      <c r="N77" s="244">
        <f>IF($A$1="Peak","-",'Base Hours'!N77*BaseLoad!T76*IS!$B$2)</f>
        <v>69900.251101857939</v>
      </c>
      <c r="O77" s="244">
        <f>IF($A$1="Peak","-",'Base Hours'!O77*BaseLoad!U76*IS!$B$2)</f>
        <v>68530.190072656143</v>
      </c>
      <c r="P77" s="244">
        <f>IF($A$1="Peak","-",'Base Hours'!P77*BaseLoad!V76*IS!$B$2)</f>
        <v>67077.660835796531</v>
      </c>
      <c r="Q77" s="244">
        <f>IF($A$1="Peak","-",'Base Hours'!Q77*BaseLoad!W76*IS!$B$2)</f>
        <v>65613.998552432691</v>
      </c>
      <c r="R77" s="244">
        <f>IF($A$1="Peak","-",'Base Hours'!R77*BaseLoad!X76*IS!$B$2)</f>
        <v>63390.080038242973</v>
      </c>
      <c r="S77" s="244">
        <f>IF($A$1="Peak","-",'Base Hours'!S77*BaseLoad!Y76*IS!$B$2)</f>
        <v>61952.009683184428</v>
      </c>
      <c r="T77" s="244">
        <f>IF($A$1="Peak","-",'Base Hours'!T77*BaseLoad!Z76*IS!$B$2)</f>
        <v>60489.970227144047</v>
      </c>
      <c r="U77" s="244">
        <f>IF($A$1="Peak","-",'Base Hours'!U77*BaseLoad!AA76*IS!$B$2)</f>
        <v>153341.11353886576</v>
      </c>
      <c r="V77" s="244">
        <f t="shared" si="2"/>
        <v>2253006.6128269117</v>
      </c>
      <c r="W77" s="244"/>
      <c r="X77" s="244"/>
      <c r="Y77" s="245"/>
      <c r="Z77" s="245">
        <f>(BaseLoad!C76*'Base Hours'!X77*IS!$B$2)*-1</f>
        <v>-1698319.9056382093</v>
      </c>
      <c r="AA77" s="245"/>
      <c r="AB77" s="245">
        <f>(BaseLoad!D76*'Base Hours'!X77*IS!$B$2)*-1</f>
        <v>-163112.63275186636</v>
      </c>
      <c r="AC77" s="245"/>
      <c r="AD77" s="245">
        <f>(BaseLoad!E76*'Base Hours'!X77*IS!$B$2)*-1</f>
        <v>0</v>
      </c>
      <c r="AE77" s="245"/>
      <c r="AF77" s="245">
        <f>(BaseLoad!F76*'Base Hours'!X77*IS!$B$2)*-1</f>
        <v>-228520.39274524371</v>
      </c>
      <c r="AG77" s="245"/>
    </row>
    <row r="78" spans="1:33" x14ac:dyDescent="0.2">
      <c r="A78" s="1">
        <f t="shared" si="3"/>
        <v>38608.356000000087</v>
      </c>
      <c r="B78" s="244">
        <f>IF($A$1="Peak","-",'Base Hours'!B78*BaseLoad!H77*IS!$B$2)</f>
        <v>48425.990290098722</v>
      </c>
      <c r="C78" s="244">
        <f>IF($A$1="Peak","-",'Base Hours'!C78*BaseLoad!I77*IS!$B$2)</f>
        <v>39676.967826930602</v>
      </c>
      <c r="D78" s="244">
        <f>IF($A$1="Peak","-",'Base Hours'!D78*BaseLoad!J77*IS!$B$2)</f>
        <v>65747.359143634036</v>
      </c>
      <c r="E78" s="244">
        <f>IF($A$1="Peak","-",'Base Hours'!E78*BaseLoad!K77*IS!$B$2)</f>
        <v>84910.613140439396</v>
      </c>
      <c r="F78" s="244">
        <f>IF($A$1="Peak","-",'Base Hours'!F78*BaseLoad!L77*IS!$B$2)</f>
        <v>65145.291414434447</v>
      </c>
      <c r="G78" s="244">
        <f>IF($A$1="Peak","-",'Base Hours'!G78*BaseLoad!M77*IS!$B$2)</f>
        <v>117967.06139237314</v>
      </c>
      <c r="H78" s="244">
        <f>IF($A$1="Peak","-",'Base Hours'!H78*BaseLoad!N77*IS!$B$2)</f>
        <v>113957.7748536226</v>
      </c>
      <c r="I78" s="244">
        <f>IF($A$1="Peak","-",'Base Hours'!I78*BaseLoad!O77*IS!$B$2)</f>
        <v>93157.782534345853</v>
      </c>
      <c r="J78" s="244">
        <f>IF($A$1="Peak","-",'Base Hours'!J78*BaseLoad!P77*IS!$B$2)</f>
        <v>76010.408433558507</v>
      </c>
      <c r="K78" s="244">
        <f>IF($A$1="Peak","-",'Base Hours'!K78*BaseLoad!Q77*IS!$B$2)</f>
        <v>65524.937025345687</v>
      </c>
      <c r="L78" s="244">
        <f>IF($A$1="Peak","-",'Base Hours'!L78*BaseLoad!R77*IS!$B$2)</f>
        <v>63855.262743581683</v>
      </c>
      <c r="M78" s="244">
        <f>IF($A$1="Peak","-",'Base Hours'!M78*BaseLoad!S77*IS!$B$2)</f>
        <v>60568.621633473864</v>
      </c>
      <c r="N78" s="244">
        <f>IF($A$1="Peak","-",'Base Hours'!N78*BaseLoad!T77*IS!$B$2)</f>
        <v>58534.669108939037</v>
      </c>
      <c r="O78" s="244">
        <f>IF($A$1="Peak","-",'Base Hours'!O78*BaseLoad!U77*IS!$B$2)</f>
        <v>57468.028746507291</v>
      </c>
      <c r="P78" s="244">
        <f>IF($A$1="Peak","-",'Base Hours'!P78*BaseLoad!V77*IS!$B$2)</f>
        <v>56836.517532762977</v>
      </c>
      <c r="Q78" s="244">
        <f>IF($A$1="Peak","-",'Base Hours'!Q78*BaseLoad!W77*IS!$B$2)</f>
        <v>55988.752428355598</v>
      </c>
      <c r="R78" s="244">
        <f>IF($A$1="Peak","-",'Base Hours'!R78*BaseLoad!X77*IS!$B$2)</f>
        <v>55981.703419950303</v>
      </c>
      <c r="S78" s="244">
        <f>IF($A$1="Peak","-",'Base Hours'!S78*BaseLoad!Y77*IS!$B$2)</f>
        <v>55981.077663490389</v>
      </c>
      <c r="T78" s="244">
        <f>IF($A$1="Peak","-",'Base Hours'!T78*BaseLoad!Z77*IS!$B$2)</f>
        <v>55980.667420482008</v>
      </c>
      <c r="U78" s="244">
        <f>IF($A$1="Peak","-",'Base Hours'!U78*BaseLoad!AA77*IS!$B$2)</f>
        <v>146991.56561515294</v>
      </c>
      <c r="V78" s="244">
        <f t="shared" si="2"/>
        <v>1438711.0523674791</v>
      </c>
      <c r="W78" s="244"/>
      <c r="X78" s="244"/>
      <c r="Y78" s="245"/>
      <c r="Z78" s="245">
        <f>(BaseLoad!C77*'Base Hours'!X78*IS!$B$2)*-1</f>
        <v>-1698319.9056382093</v>
      </c>
      <c r="AA78" s="245"/>
      <c r="AB78" s="245">
        <f>(BaseLoad!D77*'Base Hours'!X78*IS!$B$2)*-1</f>
        <v>-163384.48713978613</v>
      </c>
      <c r="AC78" s="245"/>
      <c r="AD78" s="245">
        <f>(BaseLoad!E77*'Base Hours'!X78*IS!$B$2)*-1</f>
        <v>0</v>
      </c>
      <c r="AE78" s="245"/>
      <c r="AF78" s="245">
        <f>(BaseLoad!F77*'Base Hours'!X78*IS!$B$2)*-1</f>
        <v>-228520.39274524371</v>
      </c>
      <c r="AG78" s="245"/>
    </row>
    <row r="79" spans="1:33" x14ac:dyDescent="0.2">
      <c r="A79" s="1">
        <f t="shared" si="3"/>
        <v>38638.773000000088</v>
      </c>
      <c r="B79" s="244">
        <f>IF($A$1="Peak","-",'Base Hours'!B79*BaseLoad!H78*IS!$B$2)</f>
        <v>17346.40573816617</v>
      </c>
      <c r="C79" s="244">
        <f>IF($A$1="Peak","-",'Base Hours'!C79*BaseLoad!I78*IS!$B$2)</f>
        <v>15848.354665435987</v>
      </c>
      <c r="D79" s="244">
        <f>IF($A$1="Peak","-",'Base Hours'!D79*BaseLoad!J78*IS!$B$2)</f>
        <v>29900.3143588807</v>
      </c>
      <c r="E79" s="244">
        <f>IF($A$1="Peak","-",'Base Hours'!E79*BaseLoad!K78*IS!$B$2)</f>
        <v>57609.57179757829</v>
      </c>
      <c r="F79" s="244">
        <f>IF($A$1="Peak","-",'Base Hours'!F79*BaseLoad!L78*IS!$B$2)</f>
        <v>55399.598676806352</v>
      </c>
      <c r="G79" s="244">
        <f>IF($A$1="Peak","-",'Base Hours'!G79*BaseLoad!M78*IS!$B$2)</f>
        <v>103384.35530101604</v>
      </c>
      <c r="H79" s="244">
        <f>IF($A$1="Peak","-",'Base Hours'!H79*BaseLoad!N78*IS!$B$2)</f>
        <v>101929.58055700992</v>
      </c>
      <c r="I79" s="244">
        <f>IF($A$1="Peak","-",'Base Hours'!I79*BaseLoad!O78*IS!$B$2)</f>
        <v>99416.601423056301</v>
      </c>
      <c r="J79" s="244">
        <f>IF($A$1="Peak","-",'Base Hours'!J79*BaseLoad!P78*IS!$B$2)</f>
        <v>82451.284946531072</v>
      </c>
      <c r="K79" s="244">
        <f>IF($A$1="Peak","-",'Base Hours'!K79*BaseLoad!Q78*IS!$B$2)</f>
        <v>72529.922382485078</v>
      </c>
      <c r="L79" s="244">
        <f>IF($A$1="Peak","-",'Base Hours'!L79*BaseLoad!R78*IS!$B$2)</f>
        <v>59998.357767540714</v>
      </c>
      <c r="M79" s="244">
        <f>IF($A$1="Peak","-",'Base Hours'!M79*BaseLoad!S78*IS!$B$2)</f>
        <v>58932.971555531454</v>
      </c>
      <c r="N79" s="244">
        <f>IF($A$1="Peak","-",'Base Hours'!N79*BaseLoad!T78*IS!$B$2)</f>
        <v>55105.834363229726</v>
      </c>
      <c r="O79" s="244">
        <f>IF($A$1="Peak","-",'Base Hours'!O79*BaseLoad!U78*IS!$B$2)</f>
        <v>53799.674853527256</v>
      </c>
      <c r="P79" s="244">
        <f>IF($A$1="Peak","-",'Base Hours'!P79*BaseLoad!V78*IS!$B$2)</f>
        <v>53658.786972985399</v>
      </c>
      <c r="Q79" s="244">
        <f>IF($A$1="Peak","-",'Base Hours'!Q79*BaseLoad!W78*IS!$B$2)</f>
        <v>50193.951755141992</v>
      </c>
      <c r="R79" s="244">
        <f>IF($A$1="Peak","-",'Base Hours'!R79*BaseLoad!X78*IS!$B$2)</f>
        <v>48512.775375751691</v>
      </c>
      <c r="S79" s="244">
        <f>IF($A$1="Peak","-",'Base Hours'!S79*BaseLoad!Y78*IS!$B$2)</f>
        <v>47775.006686375244</v>
      </c>
      <c r="T79" s="244">
        <f>IF($A$1="Peak","-",'Base Hours'!T79*BaseLoad!Z78*IS!$B$2)</f>
        <v>45873.568873823788</v>
      </c>
      <c r="U79" s="244">
        <f>IF($A$1="Peak","-",'Base Hours'!U79*BaseLoad!AA78*IS!$B$2)</f>
        <v>120874.58540219287</v>
      </c>
      <c r="V79" s="244">
        <f t="shared" si="2"/>
        <v>1230541.5034530659</v>
      </c>
      <c r="W79" s="244"/>
      <c r="X79" s="244"/>
      <c r="Y79" s="245"/>
      <c r="Z79" s="245">
        <f>(BaseLoad!C78*'Base Hours'!X79*IS!$B$2)*-1</f>
        <v>-1698319.9056382093</v>
      </c>
      <c r="AA79" s="245"/>
      <c r="AB79" s="245">
        <f>(BaseLoad!D78*'Base Hours'!X79*IS!$B$2)*-1</f>
        <v>-163656.79461835243</v>
      </c>
      <c r="AC79" s="245"/>
      <c r="AD79" s="245">
        <f>(BaseLoad!E78*'Base Hours'!X79*IS!$B$2)*-1</f>
        <v>0</v>
      </c>
      <c r="AE79" s="245"/>
      <c r="AF79" s="245">
        <f>(BaseLoad!F78*'Base Hours'!X79*IS!$B$2)*-1</f>
        <v>0</v>
      </c>
      <c r="AG79" s="245"/>
    </row>
    <row r="80" spans="1:33" ht="13.5" customHeight="1" x14ac:dyDescent="0.2">
      <c r="A80" s="1">
        <f t="shared" si="3"/>
        <v>38669.19000000009</v>
      </c>
      <c r="B80" s="244">
        <f>IF($A$1="Peak","-",'Base Hours'!B80*BaseLoad!H79*IS!$B$2)</f>
        <v>19243.134843018077</v>
      </c>
      <c r="C80" s="244">
        <f>IF($A$1="Peak","-",'Base Hours'!C80*BaseLoad!I79*IS!$B$2)</f>
        <v>17985.603399258234</v>
      </c>
      <c r="D80" s="244">
        <f>IF($A$1="Peak","-",'Base Hours'!D80*BaseLoad!J79*IS!$B$2)</f>
        <v>32904.030805567359</v>
      </c>
      <c r="E80" s="244">
        <f>IF($A$1="Peak","-",'Base Hours'!E80*BaseLoad!K79*IS!$B$2)</f>
        <v>62939.880840583486</v>
      </c>
      <c r="F80" s="244">
        <f>IF($A$1="Peak","-",'Base Hours'!F80*BaseLoad!L79*IS!$B$2)</f>
        <v>59607.706813745193</v>
      </c>
      <c r="G80" s="244">
        <f>IF($A$1="Peak","-",'Base Hours'!G80*BaseLoad!M79*IS!$B$2)</f>
        <v>114468.07350500529</v>
      </c>
      <c r="H80" s="244">
        <f>IF($A$1="Peak","-",'Base Hours'!H80*BaseLoad!N79*IS!$B$2)</f>
        <v>114060.56200112336</v>
      </c>
      <c r="I80" s="244">
        <f>IF($A$1="Peak","-",'Base Hours'!I80*BaseLoad!O79*IS!$B$2)</f>
        <v>104604.36289997199</v>
      </c>
      <c r="J80" s="244">
        <f>IF($A$1="Peak","-",'Base Hours'!J80*BaseLoad!P79*IS!$B$2)</f>
        <v>80316.607874084963</v>
      </c>
      <c r="K80" s="244">
        <f>IF($A$1="Peak","-",'Base Hours'!K80*BaseLoad!Q79*IS!$B$2)</f>
        <v>80101.621565204216</v>
      </c>
      <c r="L80" s="244">
        <f>IF($A$1="Peak","-",'Base Hours'!L80*BaseLoad!R79*IS!$B$2)</f>
        <v>80025.634390858089</v>
      </c>
      <c r="M80" s="244">
        <f>IF($A$1="Peak","-",'Base Hours'!M80*BaseLoad!S79*IS!$B$2)</f>
        <v>61957.506896390471</v>
      </c>
      <c r="N80" s="244">
        <f>IF($A$1="Peak","-",'Base Hours'!N80*BaseLoad!T79*IS!$B$2)</f>
        <v>57964.855129562522</v>
      </c>
      <c r="O80" s="244">
        <f>IF($A$1="Peak","-",'Base Hours'!O80*BaseLoad!U79*IS!$B$2)</f>
        <v>57575.350267586808</v>
      </c>
      <c r="P80" s="244">
        <f>IF($A$1="Peak","-",'Base Hours'!P80*BaseLoad!V79*IS!$B$2)</f>
        <v>55653.726195554402</v>
      </c>
      <c r="Q80" s="244">
        <f>IF($A$1="Peak","-",'Base Hours'!Q80*BaseLoad!W79*IS!$B$2)</f>
        <v>52279.220542764306</v>
      </c>
      <c r="R80" s="244">
        <f>IF($A$1="Peak","-",'Base Hours'!R80*BaseLoad!X79*IS!$B$2)</f>
        <v>51414.196649141348</v>
      </c>
      <c r="S80" s="244">
        <f>IF($A$1="Peak","-",'Base Hours'!S80*BaseLoad!Y79*IS!$B$2)</f>
        <v>49845.505946613914</v>
      </c>
      <c r="T80" s="244">
        <f>IF($A$1="Peak","-",'Base Hours'!T80*BaseLoad!Z79*IS!$B$2)</f>
        <v>48388.460018636411</v>
      </c>
      <c r="U80" s="244">
        <f>IF($A$1="Peak","-",'Base Hours'!U80*BaseLoad!AA79*IS!$B$2)</f>
        <v>128227.29513059412</v>
      </c>
      <c r="V80" s="244">
        <f t="shared" si="2"/>
        <v>1329563.3357152645</v>
      </c>
      <c r="W80" s="244"/>
      <c r="X80" s="244"/>
      <c r="Y80" s="245"/>
      <c r="Z80" s="245">
        <f>(BaseLoad!C79*'Base Hours'!X80*IS!$B$2)*-1</f>
        <v>-1698319.9056382093</v>
      </c>
      <c r="AA80" s="245"/>
      <c r="AB80" s="245">
        <f>(BaseLoad!D79*'Base Hours'!X80*IS!$B$2)*-1</f>
        <v>-163929.5559427164</v>
      </c>
      <c r="AC80" s="245"/>
      <c r="AD80" s="245">
        <f>(BaseLoad!E79*'Base Hours'!X80*IS!$B$2)*-1</f>
        <v>0</v>
      </c>
      <c r="AE80" s="245"/>
      <c r="AF80" s="245">
        <f>(BaseLoad!F79*'Base Hours'!X80*IS!$B$2)*-1</f>
        <v>0</v>
      </c>
      <c r="AG80" s="245"/>
    </row>
    <row r="81" spans="1:33" x14ac:dyDescent="0.2">
      <c r="A81" s="1">
        <f t="shared" si="3"/>
        <v>38699.607000000091</v>
      </c>
      <c r="B81" s="244">
        <f>IF($A$1="Peak","-",'Base Hours'!B81*BaseLoad!H80*IS!$B$2)</f>
        <v>22156.192644489991</v>
      </c>
      <c r="C81" s="244">
        <f>IF($A$1="Peak","-",'Base Hours'!C81*BaseLoad!I80*IS!$B$2)</f>
        <v>21432.216507498357</v>
      </c>
      <c r="D81" s="244">
        <f>IF($A$1="Peak","-",'Base Hours'!D81*BaseLoad!J80*IS!$B$2)</f>
        <v>41394.609860869641</v>
      </c>
      <c r="E81" s="244">
        <f>IF($A$1="Peak","-",'Base Hours'!E81*BaseLoad!K80*IS!$B$2)</f>
        <v>78834.438212907829</v>
      </c>
      <c r="F81" s="244">
        <f>IF($A$1="Peak","-",'Base Hours'!F81*BaseLoad!L80*IS!$B$2)</f>
        <v>74992.684348018302</v>
      </c>
      <c r="G81" s="244">
        <f>IF($A$1="Peak","-",'Base Hours'!G81*BaseLoad!M80*IS!$B$2)</f>
        <v>149534.20744834526</v>
      </c>
      <c r="H81" s="244">
        <f>IF($A$1="Peak","-",'Base Hours'!H81*BaseLoad!N80*IS!$B$2)</f>
        <v>144629.92328956051</v>
      </c>
      <c r="I81" s="244">
        <f>IF($A$1="Peak","-",'Base Hours'!I81*BaseLoad!O80*IS!$B$2)</f>
        <v>121677.30269260208</v>
      </c>
      <c r="J81" s="244">
        <f>IF($A$1="Peak","-",'Base Hours'!J81*BaseLoad!P80*IS!$B$2)</f>
        <v>102721.35419255271</v>
      </c>
      <c r="K81" s="244">
        <f>IF($A$1="Peak","-",'Base Hours'!K81*BaseLoad!Q80*IS!$B$2)</f>
        <v>88924.570306096488</v>
      </c>
      <c r="L81" s="244">
        <f>IF($A$1="Peak","-",'Base Hours'!L81*BaseLoad!R80*IS!$B$2)</f>
        <v>84322.10589757697</v>
      </c>
      <c r="M81" s="244">
        <f>IF($A$1="Peak","-",'Base Hours'!M81*BaseLoad!S80*IS!$B$2)</f>
        <v>74634.270783647735</v>
      </c>
      <c r="N81" s="244">
        <f>IF($A$1="Peak","-",'Base Hours'!N81*BaseLoad!T80*IS!$B$2)</f>
        <v>59406.955956361737</v>
      </c>
      <c r="O81" s="244">
        <f>IF($A$1="Peak","-",'Base Hours'!O81*BaseLoad!U80*IS!$B$2)</f>
        <v>55432.859727536728</v>
      </c>
      <c r="P81" s="244">
        <f>IF($A$1="Peak","-",'Base Hours'!P81*BaseLoad!V80*IS!$B$2)</f>
        <v>53464.294421724495</v>
      </c>
      <c r="Q81" s="244">
        <f>IF($A$1="Peak","-",'Base Hours'!Q81*BaseLoad!W80*IS!$B$2)</f>
        <v>52970.305082856321</v>
      </c>
      <c r="R81" s="244">
        <f>IF($A$1="Peak","-",'Base Hours'!R81*BaseLoad!X80*IS!$B$2)</f>
        <v>51314.137049764773</v>
      </c>
      <c r="S81" s="244">
        <f>IF($A$1="Peak","-",'Base Hours'!S81*BaseLoad!Y80*IS!$B$2)</f>
        <v>49834.975510465476</v>
      </c>
      <c r="T81" s="244">
        <f>IF($A$1="Peak","-",'Base Hours'!T81*BaseLoad!Z80*IS!$B$2)</f>
        <v>48918.875868915609</v>
      </c>
      <c r="U81" s="244">
        <f>IF($A$1="Peak","-",'Base Hours'!U81*BaseLoad!AA80*IS!$B$2)</f>
        <v>131285.95456529359</v>
      </c>
      <c r="V81" s="244">
        <f t="shared" si="2"/>
        <v>1507882.2343670847</v>
      </c>
      <c r="W81" s="244">
        <f>IF($A$1="BL",(SUM(V70:V81)),0)</f>
        <v>17289465.228138112</v>
      </c>
      <c r="X81" s="244">
        <f>IF(AND($A$1="BL",W81&gt;0),(PPA!$B$5*8760*IS!$B$2*PPA!$G$4*BaseLoad!$AP$9),0)</f>
        <v>61480099.714859203</v>
      </c>
      <c r="Y81" s="245">
        <f>X81+W81</f>
        <v>78769564.942997307</v>
      </c>
      <c r="Z81" s="245">
        <f>(BaseLoad!C80*'Base Hours'!X81*IS!$B$2)*-1</f>
        <v>-1698319.9056382093</v>
      </c>
      <c r="AA81" s="245">
        <f>SUM(Z70:Z81)</f>
        <v>-20379838.867658511</v>
      </c>
      <c r="AB81" s="245">
        <f>(BaseLoad!D80*'Base Hours'!X81*IS!$B$2)*-1</f>
        <v>-164202.77186928759</v>
      </c>
      <c r="AC81" s="245">
        <f>SUM(AB70:AB81)</f>
        <v>-1952500.6503354358</v>
      </c>
      <c r="AD81" s="245">
        <f>(BaseLoad!E80*'Base Hours'!X81*IS!$B$2)*-1</f>
        <v>0</v>
      </c>
      <c r="AE81" s="245">
        <f>SUM(AD70:AD81)</f>
        <v>0</v>
      </c>
      <c r="AF81" s="245">
        <f>(BaseLoad!F80*'Base Hours'!X81*IS!$B$2)*-1</f>
        <v>0</v>
      </c>
      <c r="AG81" s="245">
        <f>SUM(AF70:AF81)</f>
        <v>-1142601.9637262186</v>
      </c>
    </row>
    <row r="82" spans="1:33" x14ac:dyDescent="0.2">
      <c r="A82" s="1">
        <f t="shared" si="3"/>
        <v>38730.024000000092</v>
      </c>
      <c r="B82" s="180">
        <f>IF($A$1="Peak","-",'Base Hours'!B82*BaseLoad!H81*IS!$B$2)</f>
        <v>103037.3642942154</v>
      </c>
      <c r="C82" s="180">
        <f>IF($A$1="Peak","-",'Base Hours'!C82*BaseLoad!I81*IS!$B$2)</f>
        <v>90115.339117111682</v>
      </c>
      <c r="D82" s="180">
        <f>IF($A$1="Peak","-",'Base Hours'!D82*BaseLoad!J81*IS!$B$2)</f>
        <v>163250.13248881654</v>
      </c>
      <c r="E82" s="180">
        <f>IF($A$1="Peak","-",'Base Hours'!E82*BaseLoad!K81*IS!$B$2)</f>
        <v>299828.97767527081</v>
      </c>
      <c r="F82" s="180">
        <f>IF($A$1="Peak","-",'Base Hours'!F82*BaseLoad!L81*IS!$B$2)</f>
        <v>287787.72643950133</v>
      </c>
      <c r="G82" s="180">
        <f>IF($A$1="Peak","-",'Base Hours'!G82*BaseLoad!M81*IS!$B$2)</f>
        <v>541815.56912375067</v>
      </c>
      <c r="H82" s="180">
        <f>IF($A$1="Peak","-",'Base Hours'!H82*BaseLoad!N81*IS!$B$2)</f>
        <v>514426.77160606027</v>
      </c>
      <c r="I82" s="180">
        <f>IF($A$1="Peak","-",'Base Hours'!I82*BaseLoad!O81*IS!$B$2)</f>
        <v>512354.64499639132</v>
      </c>
      <c r="J82" s="180">
        <f>IF($A$1="Peak","-",'Base Hours'!J82*BaseLoad!P81*IS!$B$2)</f>
        <v>470882.16396320512</v>
      </c>
      <c r="K82" s="180">
        <f>IF($A$1="Peak","-",'Base Hours'!K82*BaseLoad!Q81*IS!$B$2)</f>
        <v>373043.45950707799</v>
      </c>
      <c r="L82" s="180">
        <f>IF($A$1="Peak","-",'Base Hours'!L82*BaseLoad!R81*IS!$B$2)</f>
        <v>325713.83417463279</v>
      </c>
      <c r="M82" s="180">
        <f>IF($A$1="Peak","-",'Base Hours'!M82*BaseLoad!S81*IS!$B$2)</f>
        <v>295357.28614349902</v>
      </c>
      <c r="N82" s="180">
        <f>IF($A$1="Peak","-",'Base Hours'!N82*BaseLoad!T81*IS!$B$2)</f>
        <v>274727.22248528164</v>
      </c>
      <c r="O82" s="180">
        <f>IF($A$1="Peak","-",'Base Hours'!O82*BaseLoad!U81*IS!$B$2)</f>
        <v>265129.35654105415</v>
      </c>
      <c r="P82" s="180">
        <f>IF($A$1="Peak","-",'Base Hours'!P82*BaseLoad!V81*IS!$B$2)</f>
        <v>255016.99758852128</v>
      </c>
      <c r="Q82" s="180">
        <f>IF($A$1="Peak","-",'Base Hours'!Q82*BaseLoad!W81*IS!$B$2)</f>
        <v>235579.49102324992</v>
      </c>
      <c r="R82" s="180">
        <f>IF($A$1="Peak","-",'Base Hours'!R82*BaseLoad!X81*IS!$B$2)</f>
        <v>226727.50169093368</v>
      </c>
      <c r="S82" s="180">
        <f>IF($A$1="Peak","-",'Base Hours'!S82*BaseLoad!Y81*IS!$B$2)</f>
        <v>221660.96235867293</v>
      </c>
      <c r="T82" s="180">
        <f>IF($A$1="Peak","-",'Base Hours'!T82*BaseLoad!Z81*IS!$B$2)</f>
        <v>217527.28467666346</v>
      </c>
      <c r="U82" s="180">
        <f>IF($A$1="Peak","-",'Base Hours'!U82*BaseLoad!AA81*IS!$B$2)</f>
        <v>572175.83268982219</v>
      </c>
      <c r="V82" s="180">
        <f t="shared" ref="V82:V139" si="4">SUM(B82:U82)-(MAX(B82:U82))</f>
        <v>5673982.0858939104</v>
      </c>
      <c r="W82" s="180"/>
      <c r="X82" s="180"/>
      <c r="Y82" s="212"/>
      <c r="Z82" s="212">
        <f>(BaseLoad!C81*'Base Hours'!V82*IS!$B$2)*-1</f>
        <v>-1713305.3732377253</v>
      </c>
      <c r="AA82" s="212"/>
      <c r="AB82" s="212">
        <f>(BaseLoad!D81*'Base Hours'!V82*IS!$B$2)*-1</f>
        <v>-162931.95096218906</v>
      </c>
      <c r="AC82" s="212"/>
      <c r="AD82" s="212">
        <f>(BaseLoad!E81*'Base Hours'!V82*IS!$B$2)*-1</f>
        <v>-649101.69214590837</v>
      </c>
      <c r="AE82" s="212"/>
      <c r="AF82" s="212">
        <f>(BaseLoad!F81*'Base Hours'!V82*IS!$B$2)*-1</f>
        <v>0</v>
      </c>
      <c r="AG82" s="212"/>
    </row>
    <row r="83" spans="1:33" x14ac:dyDescent="0.2">
      <c r="A83" s="1">
        <f t="shared" si="3"/>
        <v>38760.441000000093</v>
      </c>
      <c r="B83" s="180">
        <f>IF($A$1="Peak","-",'Base Hours'!B83*BaseLoad!H82*IS!$B$2)</f>
        <v>87341.330112431257</v>
      </c>
      <c r="C83" s="180">
        <f>IF($A$1="Peak","-",'Base Hours'!C83*BaseLoad!I82*IS!$B$2)</f>
        <v>84014.406767042063</v>
      </c>
      <c r="D83" s="180">
        <f>IF($A$1="Peak","-",'Base Hours'!D83*BaseLoad!J82*IS!$B$2)</f>
        <v>167995.76198077586</v>
      </c>
      <c r="E83" s="180">
        <f>IF($A$1="Peak","-",'Base Hours'!E83*BaseLoad!K82*IS!$B$2)</f>
        <v>312759.6289587153</v>
      </c>
      <c r="F83" s="180">
        <f>IF($A$1="Peak","-",'Base Hours'!F83*BaseLoad!L82*IS!$B$2)</f>
        <v>247040.31222171299</v>
      </c>
      <c r="G83" s="180">
        <f>IF($A$1="Peak","-",'Base Hours'!G83*BaseLoad!M82*IS!$B$2)</f>
        <v>475268.99910309672</v>
      </c>
      <c r="H83" s="180">
        <f>IF($A$1="Peak","-",'Base Hours'!H83*BaseLoad!N82*IS!$B$2)</f>
        <v>468161.4867960246</v>
      </c>
      <c r="I83" s="180">
        <f>IF($A$1="Peak","-",'Base Hours'!I83*BaseLoad!O82*IS!$B$2)</f>
        <v>413850.04777610354</v>
      </c>
      <c r="J83" s="180">
        <f>IF($A$1="Peak","-",'Base Hours'!J83*BaseLoad!P82*IS!$B$2)</f>
        <v>374594.91674753028</v>
      </c>
      <c r="K83" s="180">
        <f>IF($A$1="Peak","-",'Base Hours'!K83*BaseLoad!Q82*IS!$B$2)</f>
        <v>333390.35397338652</v>
      </c>
      <c r="L83" s="180">
        <f>IF($A$1="Peak","-",'Base Hours'!L83*BaseLoad!R82*IS!$B$2)</f>
        <v>331190.12066004082</v>
      </c>
      <c r="M83" s="180">
        <f>IF($A$1="Peak","-",'Base Hours'!M83*BaseLoad!S82*IS!$B$2)</f>
        <v>331190.12066004082</v>
      </c>
      <c r="N83" s="180">
        <f>IF($A$1="Peak","-",'Base Hours'!N83*BaseLoad!T82*IS!$B$2)</f>
        <v>329135.12490384054</v>
      </c>
      <c r="O83" s="180">
        <f>IF($A$1="Peak","-",'Base Hours'!O83*BaseLoad!U82*IS!$B$2)</f>
        <v>328480.33042070695</v>
      </c>
      <c r="P83" s="180">
        <f>IF($A$1="Peak","-",'Base Hours'!P83*BaseLoad!V82*IS!$B$2)</f>
        <v>328480.33042070695</v>
      </c>
      <c r="Q83" s="180">
        <f>IF($A$1="Peak","-",'Base Hours'!Q83*BaseLoad!W82*IS!$B$2)</f>
        <v>328480.33042070695</v>
      </c>
      <c r="R83" s="180">
        <f>IF($A$1="Peak","-",'Base Hours'!R83*BaseLoad!X82*IS!$B$2)</f>
        <v>328480.33042070695</v>
      </c>
      <c r="S83" s="180">
        <f>IF($A$1="Peak","-",'Base Hours'!S83*BaseLoad!Y82*IS!$B$2)</f>
        <v>265080.11759686779</v>
      </c>
      <c r="T83" s="180">
        <f>IF($A$1="Peak","-",'Base Hours'!T83*BaseLoad!Z82*IS!$B$2)</f>
        <v>213598.2495517855</v>
      </c>
      <c r="U83" s="180">
        <f>IF($A$1="Peak","-",'Base Hours'!U83*BaseLoad!AA82*IS!$B$2)</f>
        <v>549915.118071754</v>
      </c>
      <c r="V83" s="180">
        <f t="shared" si="4"/>
        <v>5748532.2994922232</v>
      </c>
      <c r="W83" s="180"/>
      <c r="X83" s="180"/>
      <c r="Y83" s="212"/>
      <c r="Z83" s="212">
        <f>(BaseLoad!C82*'Base Hours'!V83*IS!$B$2)*-1</f>
        <v>-1713305.3732377253</v>
      </c>
      <c r="AA83" s="212"/>
      <c r="AB83" s="212">
        <f>(BaseLoad!D82*'Base Hours'!V83*IS!$B$2)*-1</f>
        <v>-163203.50421379274</v>
      </c>
      <c r="AC83" s="212"/>
      <c r="AD83" s="212">
        <f>(BaseLoad!E82*'Base Hours'!V83*IS!$B$2)*-1</f>
        <v>-649101.69214590837</v>
      </c>
      <c r="AE83" s="212"/>
      <c r="AF83" s="212">
        <f>(BaseLoad!F82*'Base Hours'!V83*IS!$B$2)*-1</f>
        <v>0</v>
      </c>
      <c r="AG83" s="212"/>
    </row>
    <row r="84" spans="1:33" x14ac:dyDescent="0.2">
      <c r="A84" s="1">
        <f t="shared" si="3"/>
        <v>38790.858000000095</v>
      </c>
      <c r="B84" s="180">
        <f>IF($A$1="Peak","-",'Base Hours'!B84*BaseLoad!H83*IS!$B$2)</f>
        <v>100059.28363365965</v>
      </c>
      <c r="C84" s="180">
        <f>IF($A$1="Peak","-",'Base Hours'!C84*BaseLoad!I83*IS!$B$2)</f>
        <v>90950.412023100711</v>
      </c>
      <c r="D84" s="180">
        <f>IF($A$1="Peak","-",'Base Hours'!D84*BaseLoad!J83*IS!$B$2)</f>
        <v>158406.2326548172</v>
      </c>
      <c r="E84" s="180">
        <f>IF($A$1="Peak","-",'Base Hours'!E84*BaseLoad!K83*IS!$B$2)</f>
        <v>297478.69711237552</v>
      </c>
      <c r="F84" s="180">
        <f>IF($A$1="Peak","-",'Base Hours'!F84*BaseLoad!L83*IS!$B$2)</f>
        <v>282973.06738603167</v>
      </c>
      <c r="G84" s="180">
        <f>IF($A$1="Peak","-",'Base Hours'!G84*BaseLoad!M83*IS!$B$2)</f>
        <v>527497.39059081569</v>
      </c>
      <c r="H84" s="180">
        <f>IF($A$1="Peak","-",'Base Hours'!H84*BaseLoad!N83*IS!$B$2)</f>
        <v>520860.45671586791</v>
      </c>
      <c r="I84" s="180">
        <f>IF($A$1="Peak","-",'Base Hours'!I84*BaseLoad!O83*IS!$B$2)</f>
        <v>500993.0001952321</v>
      </c>
      <c r="J84" s="180">
        <f>IF($A$1="Peak","-",'Base Hours'!J84*BaseLoad!P83*IS!$B$2)</f>
        <v>411049.3725372405</v>
      </c>
      <c r="K84" s="180">
        <f>IF($A$1="Peak","-",'Base Hours'!K84*BaseLoad!Q83*IS!$B$2)</f>
        <v>363662.20768476039</v>
      </c>
      <c r="L84" s="180">
        <f>IF($A$1="Peak","-",'Base Hours'!L84*BaseLoad!R83*IS!$B$2)</f>
        <v>300820.21823461045</v>
      </c>
      <c r="M84" s="180">
        <f>IF($A$1="Peak","-",'Base Hours'!M84*BaseLoad!S83*IS!$B$2)</f>
        <v>298835.66613532131</v>
      </c>
      <c r="N84" s="180">
        <f>IF($A$1="Peak","-",'Base Hours'!N84*BaseLoad!T83*IS!$B$2)</f>
        <v>268041.91126938717</v>
      </c>
      <c r="O84" s="180">
        <f>IF($A$1="Peak","-",'Base Hours'!O84*BaseLoad!U83*IS!$B$2)</f>
        <v>267159.61324054684</v>
      </c>
      <c r="P84" s="180">
        <f>IF($A$1="Peak","-",'Base Hours'!P84*BaseLoad!V83*IS!$B$2)</f>
        <v>267159.61324054684</v>
      </c>
      <c r="Q84" s="180">
        <f>IF($A$1="Peak","-",'Base Hours'!Q84*BaseLoad!W83*IS!$B$2)</f>
        <v>266534.36178397218</v>
      </c>
      <c r="R84" s="180">
        <f>IF($A$1="Peak","-",'Base Hours'!R84*BaseLoad!X83*IS!$B$2)</f>
        <v>260573.88613984661</v>
      </c>
      <c r="S84" s="180">
        <f>IF($A$1="Peak","-",'Base Hours'!S84*BaseLoad!Y83*IS!$B$2)</f>
        <v>237746.33986141343</v>
      </c>
      <c r="T84" s="180">
        <f>IF($A$1="Peak","-",'Base Hours'!T84*BaseLoad!Z83*IS!$B$2)</f>
        <v>225084.59348245399</v>
      </c>
      <c r="U84" s="180">
        <f>IF($A$1="Peak","-",'Base Hours'!U84*BaseLoad!AA83*IS!$B$2)</f>
        <v>584866.4902748235</v>
      </c>
      <c r="V84" s="180">
        <f t="shared" si="4"/>
        <v>5645886.3239219999</v>
      </c>
      <c r="W84" s="180"/>
      <c r="X84" s="180"/>
      <c r="Y84" s="212"/>
      <c r="Z84" s="212">
        <f>(BaseLoad!C83*'Base Hours'!V84*IS!$B$2)*-1</f>
        <v>-1713305.3732377253</v>
      </c>
      <c r="AA84" s="212"/>
      <c r="AB84" s="212">
        <f>(BaseLoad!D83*'Base Hours'!V84*IS!$B$2)*-1</f>
        <v>-163475.51005414905</v>
      </c>
      <c r="AC84" s="212"/>
      <c r="AD84" s="212">
        <f>(BaseLoad!E83*'Base Hours'!V84*IS!$B$2)*-1</f>
        <v>-649101.69214590837</v>
      </c>
      <c r="AE84" s="212"/>
      <c r="AF84" s="212">
        <f>(BaseLoad!F83*'Base Hours'!V84*IS!$B$2)*-1</f>
        <v>0</v>
      </c>
      <c r="AG84" s="212"/>
    </row>
    <row r="85" spans="1:33" x14ac:dyDescent="0.2">
      <c r="A85" s="1">
        <f t="shared" si="3"/>
        <v>38821.275000000096</v>
      </c>
      <c r="B85" s="180">
        <f>IF($A$1="Peak","-",'Base Hours'!B85*BaseLoad!H84*IS!$B$2)</f>
        <v>83271.881502445423</v>
      </c>
      <c r="C85" s="180">
        <f>IF($A$1="Peak","-",'Base Hours'!C85*BaseLoad!I84*IS!$B$2)</f>
        <v>82466.665650760115</v>
      </c>
      <c r="D85" s="180">
        <f>IF($A$1="Peak","-",'Base Hours'!D85*BaseLoad!J84*IS!$B$2)</f>
        <v>164933.33130152023</v>
      </c>
      <c r="E85" s="180">
        <f>IF($A$1="Peak","-",'Base Hours'!E85*BaseLoad!K84*IS!$B$2)</f>
        <v>321876.58812881174</v>
      </c>
      <c r="F85" s="180">
        <f>IF($A$1="Peak","-",'Base Hours'!F85*BaseLoad!L84*IS!$B$2)</f>
        <v>290356.02193612931</v>
      </c>
      <c r="G85" s="180">
        <f>IF($A$1="Peak","-",'Base Hours'!G85*BaseLoad!M84*IS!$B$2)</f>
        <v>462678.13875469193</v>
      </c>
      <c r="H85" s="180">
        <f>IF($A$1="Peak","-",'Base Hours'!H85*BaseLoad!N84*IS!$B$2)</f>
        <v>382610.91803998005</v>
      </c>
      <c r="I85" s="180">
        <f>IF($A$1="Peak","-",'Base Hours'!I85*BaseLoad!O84*IS!$B$2)</f>
        <v>366718.23447867838</v>
      </c>
      <c r="J85" s="180">
        <f>IF($A$1="Peak","-",'Base Hours'!J85*BaseLoad!P84*IS!$B$2)</f>
        <v>323208.40945481602</v>
      </c>
      <c r="K85" s="180">
        <f>IF($A$1="Peak","-",'Base Hours'!K85*BaseLoad!Q84*IS!$B$2)</f>
        <v>323208.40945481602</v>
      </c>
      <c r="L85" s="180">
        <f>IF($A$1="Peak","-",'Base Hours'!L85*BaseLoad!R84*IS!$B$2)</f>
        <v>323208.40945481602</v>
      </c>
      <c r="M85" s="180">
        <f>IF($A$1="Peak","-",'Base Hours'!M85*BaseLoad!S84*IS!$B$2)</f>
        <v>300607.64068932825</v>
      </c>
      <c r="N85" s="180">
        <f>IF($A$1="Peak","-",'Base Hours'!N85*BaseLoad!T84*IS!$B$2)</f>
        <v>243257.42154028785</v>
      </c>
      <c r="O85" s="180">
        <f>IF($A$1="Peak","-",'Base Hours'!O85*BaseLoad!U84*IS!$B$2)</f>
        <v>234925.9133602854</v>
      </c>
      <c r="P85" s="180">
        <f>IF($A$1="Peak","-",'Base Hours'!P85*BaseLoad!V84*IS!$B$2)</f>
        <v>224880.41140127994</v>
      </c>
      <c r="Q85" s="180">
        <f>IF($A$1="Peak","-",'Base Hours'!Q85*BaseLoad!W84*IS!$B$2)</f>
        <v>220618.6916865423</v>
      </c>
      <c r="R85" s="180">
        <f>IF($A$1="Peak","-",'Base Hours'!R85*BaseLoad!X84*IS!$B$2)</f>
        <v>217298.58877984408</v>
      </c>
      <c r="S85" s="180">
        <f>IF($A$1="Peak","-",'Base Hours'!S85*BaseLoad!Y84*IS!$B$2)</f>
        <v>214294.29962807364</v>
      </c>
      <c r="T85" s="180">
        <f>IF($A$1="Peak","-",'Base Hours'!T85*BaseLoad!Z84*IS!$B$2)</f>
        <v>211394.75858538813</v>
      </c>
      <c r="U85" s="180">
        <f>IF($A$1="Peak","-",'Base Hours'!U85*BaseLoad!AA84*IS!$B$2)</f>
        <v>567759.24991737574</v>
      </c>
      <c r="V85" s="180">
        <f t="shared" si="4"/>
        <v>4991814.7338284943</v>
      </c>
      <c r="W85" s="180"/>
      <c r="X85" s="180"/>
      <c r="Y85" s="212"/>
      <c r="Z85" s="212">
        <f>(BaseLoad!C84*'Base Hours'!V85*IS!$B$2)*-1</f>
        <v>-1713305.3732377253</v>
      </c>
      <c r="AA85" s="212"/>
      <c r="AB85" s="212">
        <f>(BaseLoad!D84*'Base Hours'!V85*IS!$B$2)*-1</f>
        <v>-163747.96923757266</v>
      </c>
      <c r="AC85" s="212"/>
      <c r="AD85" s="212">
        <f>(BaseLoad!E84*'Base Hours'!V85*IS!$B$2)*-1</f>
        <v>-649101.69214590837</v>
      </c>
      <c r="AE85" s="212"/>
      <c r="AF85" s="212">
        <f>(BaseLoad!F84*'Base Hours'!V85*IS!$B$2)*-1</f>
        <v>0</v>
      </c>
      <c r="AG85" s="212"/>
    </row>
    <row r="86" spans="1:33" x14ac:dyDescent="0.2">
      <c r="A86" s="1">
        <f t="shared" si="3"/>
        <v>38851.692000000097</v>
      </c>
      <c r="B86" s="180">
        <f>IF($A$1="Peak","-",'Base Hours'!B86*BaseLoad!H85*IS!$B$2)</f>
        <v>173428.06445750082</v>
      </c>
      <c r="C86" s="180">
        <f>IF($A$1="Peak","-",'Base Hours'!C86*BaseLoad!I85*IS!$B$2)</f>
        <v>103646.13184345754</v>
      </c>
      <c r="D86" s="180">
        <f>IF($A$1="Peak","-",'Base Hours'!D86*BaseLoad!J85*IS!$B$2)</f>
        <v>186195.52180281637</v>
      </c>
      <c r="E86" s="180">
        <f>IF($A$1="Peak","-",'Base Hours'!E86*BaseLoad!K85*IS!$B$2)</f>
        <v>341061.07175622217</v>
      </c>
      <c r="F86" s="180">
        <f>IF($A$1="Peak","-",'Base Hours'!F86*BaseLoad!L85*IS!$B$2)</f>
        <v>333108.26680897735</v>
      </c>
      <c r="G86" s="180">
        <f>IF($A$1="Peak","-",'Base Hours'!G86*BaseLoad!M85*IS!$B$2)</f>
        <v>639419.96532915719</v>
      </c>
      <c r="H86" s="180">
        <f>IF($A$1="Peak","-",'Base Hours'!H86*BaseLoad!N85*IS!$B$2)</f>
        <v>465428.31684322044</v>
      </c>
      <c r="I86" s="180">
        <f>IF($A$1="Peak","-",'Base Hours'!I86*BaseLoad!O85*IS!$B$2)</f>
        <v>394081.14007153065</v>
      </c>
      <c r="J86" s="180">
        <f>IF($A$1="Peak","-",'Base Hours'!J86*BaseLoad!P85*IS!$B$2)</f>
        <v>371100.26204155758</v>
      </c>
      <c r="K86" s="180">
        <f>IF($A$1="Peak","-",'Base Hours'!K86*BaseLoad!Q85*IS!$B$2)</f>
        <v>293206.04684309987</v>
      </c>
      <c r="L86" s="180">
        <f>IF($A$1="Peak","-",'Base Hours'!L86*BaseLoad!R85*IS!$B$2)</f>
        <v>281136.20846226998</v>
      </c>
      <c r="M86" s="180">
        <f>IF($A$1="Peak","-",'Base Hours'!M86*BaseLoad!S85*IS!$B$2)</f>
        <v>272834.03706402145</v>
      </c>
      <c r="N86" s="180">
        <f>IF($A$1="Peak","-",'Base Hours'!N86*BaseLoad!T85*IS!$B$2)</f>
        <v>265579.64936603938</v>
      </c>
      <c r="O86" s="180">
        <f>IF($A$1="Peak","-",'Base Hours'!O86*BaseLoad!U85*IS!$B$2)</f>
        <v>260988.44020143367</v>
      </c>
      <c r="P86" s="180">
        <f>IF($A$1="Peak","-",'Base Hours'!P86*BaseLoad!V85*IS!$B$2)</f>
        <v>257179.88806805835</v>
      </c>
      <c r="Q86" s="180">
        <f>IF($A$1="Peak","-",'Base Hours'!Q86*BaseLoad!W85*IS!$B$2)</f>
        <v>255777.78220510553</v>
      </c>
      <c r="R86" s="180">
        <f>IF($A$1="Peak","-",'Base Hours'!R86*BaseLoad!X85*IS!$B$2)</f>
        <v>254402.20475919108</v>
      </c>
      <c r="S86" s="180">
        <f>IF($A$1="Peak","-",'Base Hours'!S86*BaseLoad!Y85*IS!$B$2)</f>
        <v>252408.22213123224</v>
      </c>
      <c r="T86" s="180">
        <f>IF($A$1="Peak","-",'Base Hours'!T86*BaseLoad!Z85*IS!$B$2)</f>
        <v>251617.03935407405</v>
      </c>
      <c r="U86" s="180">
        <f>IF($A$1="Peak","-",'Base Hours'!U86*BaseLoad!AA85*IS!$B$2)</f>
        <v>673136.77997791604</v>
      </c>
      <c r="V86" s="180">
        <f t="shared" si="4"/>
        <v>5652598.2594089648</v>
      </c>
      <c r="W86" s="180"/>
      <c r="X86" s="180"/>
      <c r="Y86" s="212"/>
      <c r="Z86" s="212">
        <f>(BaseLoad!C85*'Base Hours'!V86*IS!$B$2)*-1</f>
        <v>-1713305.3732377253</v>
      </c>
      <c r="AA86" s="212"/>
      <c r="AB86" s="212">
        <f>(BaseLoad!D85*'Base Hours'!V86*IS!$B$2)*-1</f>
        <v>-164020.88251963528</v>
      </c>
      <c r="AC86" s="212"/>
      <c r="AD86" s="212">
        <f>(BaseLoad!E85*'Base Hours'!V86*IS!$B$2)*-1</f>
        <v>-649101.69214590837</v>
      </c>
      <c r="AE86" s="212"/>
      <c r="AF86" s="212">
        <f>(BaseLoad!F85*'Base Hours'!V86*IS!$B$2)*-1</f>
        <v>-235109.85525253799</v>
      </c>
      <c r="AG86" s="212"/>
    </row>
    <row r="87" spans="1:33" x14ac:dyDescent="0.2">
      <c r="A87" s="1">
        <f t="shared" si="3"/>
        <v>38882.109000000099</v>
      </c>
      <c r="B87" s="180">
        <f>IF($A$1="Peak","-",'Base Hours'!B87*BaseLoad!H86*IS!$B$2)</f>
        <v>188308.64126988145</v>
      </c>
      <c r="C87" s="180">
        <f>IF($A$1="Peak","-",'Base Hours'!C87*BaseLoad!I86*IS!$B$2)</f>
        <v>142103.4518106012</v>
      </c>
      <c r="D87" s="180">
        <f>IF($A$1="Peak","-",'Base Hours'!D87*BaseLoad!J86*IS!$B$2)</f>
        <v>207282.94503052317</v>
      </c>
      <c r="E87" s="180">
        <f>IF($A$1="Peak","-",'Base Hours'!E87*BaseLoad!K86*IS!$B$2)</f>
        <v>356873.97397850925</v>
      </c>
      <c r="F87" s="180">
        <f>IF($A$1="Peak","-",'Base Hours'!F87*BaseLoad!L86*IS!$B$2)</f>
        <v>322293.01396031823</v>
      </c>
      <c r="G87" s="180">
        <f>IF($A$1="Peak","-",'Base Hours'!G87*BaseLoad!M86*IS!$B$2)</f>
        <v>625533.56391013751</v>
      </c>
      <c r="H87" s="180">
        <f>IF($A$1="Peak","-",'Base Hours'!H87*BaseLoad!N86*IS!$B$2)</f>
        <v>497759.92632840638</v>
      </c>
      <c r="I87" s="180">
        <f>IF($A$1="Peak","-",'Base Hours'!I87*BaseLoad!O86*IS!$B$2)</f>
        <v>417258.44250545709</v>
      </c>
      <c r="J87" s="180">
        <f>IF($A$1="Peak","-",'Base Hours'!J87*BaseLoad!P86*IS!$B$2)</f>
        <v>363639.65099201031</v>
      </c>
      <c r="K87" s="180">
        <f>IF($A$1="Peak","-",'Base Hours'!K87*BaseLoad!Q86*IS!$B$2)</f>
        <v>357425.74019638932</v>
      </c>
      <c r="L87" s="180">
        <f>IF($A$1="Peak","-",'Base Hours'!L87*BaseLoad!R86*IS!$B$2)</f>
        <v>342978.91369398194</v>
      </c>
      <c r="M87" s="180">
        <f>IF($A$1="Peak","-",'Base Hours'!M87*BaseLoad!S86*IS!$B$2)</f>
        <v>323669.37074919138</v>
      </c>
      <c r="N87" s="180">
        <f>IF($A$1="Peak","-",'Base Hours'!N87*BaseLoad!T86*IS!$B$2)</f>
        <v>314984.32708574733</v>
      </c>
      <c r="O87" s="180">
        <f>IF($A$1="Peak","-",'Base Hours'!O87*BaseLoad!U86*IS!$B$2)</f>
        <v>309187.3851330381</v>
      </c>
      <c r="P87" s="180">
        <f>IF($A$1="Peak","-",'Base Hours'!P87*BaseLoad!V86*IS!$B$2)</f>
        <v>308518.06662633165</v>
      </c>
      <c r="Q87" s="180">
        <f>IF($A$1="Peak","-",'Base Hours'!Q87*BaseLoad!W86*IS!$B$2)</f>
        <v>307470.8396887728</v>
      </c>
      <c r="R87" s="180">
        <f>IF($A$1="Peak","-",'Base Hours'!R87*BaseLoad!X86*IS!$B$2)</f>
        <v>305921.23063007469</v>
      </c>
      <c r="S87" s="180">
        <f>IF($A$1="Peak","-",'Base Hours'!S87*BaseLoad!Y86*IS!$B$2)</f>
        <v>302858.49799009517</v>
      </c>
      <c r="T87" s="180">
        <f>IF($A$1="Peak","-",'Base Hours'!T87*BaseLoad!Z86*IS!$B$2)</f>
        <v>300991.25793978793</v>
      </c>
      <c r="U87" s="180">
        <f>IF($A$1="Peak","-",'Base Hours'!U87*BaseLoad!AA86*IS!$B$2)</f>
        <v>765659.63549868448</v>
      </c>
      <c r="V87" s="180">
        <f t="shared" si="4"/>
        <v>6295059.2395192534</v>
      </c>
      <c r="W87" s="180"/>
      <c r="X87" s="180"/>
      <c r="Y87" s="212"/>
      <c r="Z87" s="212">
        <f>(BaseLoad!C86*'Base Hours'!V87*IS!$B$2)*-1</f>
        <v>-1713305.3732377253</v>
      </c>
      <c r="AA87" s="212"/>
      <c r="AB87" s="212">
        <f>(BaseLoad!D86*'Base Hours'!V87*IS!$B$2)*-1</f>
        <v>-164294.25065716798</v>
      </c>
      <c r="AC87" s="212"/>
      <c r="AD87" s="212">
        <f>(BaseLoad!E86*'Base Hours'!V87*IS!$B$2)*-1</f>
        <v>-649101.69214590837</v>
      </c>
      <c r="AE87" s="212"/>
      <c r="AF87" s="212">
        <f>(BaseLoad!F86*'Base Hours'!V87*IS!$B$2)*-1</f>
        <v>-235109.85525253799</v>
      </c>
      <c r="AG87" s="212"/>
    </row>
    <row r="88" spans="1:33" x14ac:dyDescent="0.2">
      <c r="A88" s="1">
        <f t="shared" si="3"/>
        <v>38912.5260000001</v>
      </c>
      <c r="B88" s="180">
        <f>IF($A$1="Peak","-",'Base Hours'!B88*BaseLoad!H87*IS!$B$2)</f>
        <v>239633.66308955775</v>
      </c>
      <c r="C88" s="180">
        <f>IF($A$1="Peak","-",'Base Hours'!C88*BaseLoad!I87*IS!$B$2)</f>
        <v>187668.5163192566</v>
      </c>
      <c r="D88" s="180">
        <f>IF($A$1="Peak","-",'Base Hours'!D88*BaseLoad!J87*IS!$B$2)</f>
        <v>332456.47369834682</v>
      </c>
      <c r="E88" s="180">
        <f>IF($A$1="Peak","-",'Base Hours'!E88*BaseLoad!K87*IS!$B$2)</f>
        <v>540599.64175607928</v>
      </c>
      <c r="F88" s="180">
        <f>IF($A$1="Peak","-",'Base Hours'!F88*BaseLoad!L87*IS!$B$2)</f>
        <v>492811.32727101346</v>
      </c>
      <c r="G88" s="180">
        <f>IF($A$1="Peak","-",'Base Hours'!G88*BaseLoad!M87*IS!$B$2)</f>
        <v>903957.72725840926</v>
      </c>
      <c r="H88" s="180">
        <f>IF($A$1="Peak","-",'Base Hours'!H88*BaseLoad!N87*IS!$B$2)</f>
        <v>862920.26183300896</v>
      </c>
      <c r="I88" s="180">
        <f>IF($A$1="Peak","-",'Base Hours'!I88*BaseLoad!O87*IS!$B$2)</f>
        <v>629482.80510180979</v>
      </c>
      <c r="J88" s="180">
        <f>IF($A$1="Peak","-",'Base Hours'!J88*BaseLoad!P87*IS!$B$2)</f>
        <v>502309.41514290118</v>
      </c>
      <c r="K88" s="180">
        <f>IF($A$1="Peak","-",'Base Hours'!K88*BaseLoad!Q87*IS!$B$2)</f>
        <v>446063.35171549476</v>
      </c>
      <c r="L88" s="180">
        <f>IF($A$1="Peak","-",'Base Hours'!L88*BaseLoad!R87*IS!$B$2)</f>
        <v>422492.23749656253</v>
      </c>
      <c r="M88" s="180">
        <f>IF($A$1="Peak","-",'Base Hours'!M88*BaseLoad!S87*IS!$B$2)</f>
        <v>418464.72034882323</v>
      </c>
      <c r="N88" s="180">
        <f>IF($A$1="Peak","-",'Base Hours'!N88*BaseLoad!T87*IS!$B$2)</f>
        <v>418464.72034882323</v>
      </c>
      <c r="O88" s="180">
        <f>IF($A$1="Peak","-",'Base Hours'!O88*BaseLoad!U87*IS!$B$2)</f>
        <v>377881.15069453989</v>
      </c>
      <c r="P88" s="180">
        <f>IF($A$1="Peak","-",'Base Hours'!P88*BaseLoad!V87*IS!$B$2)</f>
        <v>328162.94741550292</v>
      </c>
      <c r="Q88" s="180">
        <f>IF($A$1="Peak","-",'Base Hours'!Q88*BaseLoad!W87*IS!$B$2)</f>
        <v>313135.02162778139</v>
      </c>
      <c r="R88" s="180">
        <f>IF($A$1="Peak","-",'Base Hours'!R88*BaseLoad!X87*IS!$B$2)</f>
        <v>297847.47822798882</v>
      </c>
      <c r="S88" s="180">
        <f>IF($A$1="Peak","-",'Base Hours'!S88*BaseLoad!Y87*IS!$B$2)</f>
        <v>289799.96540843946</v>
      </c>
      <c r="T88" s="180">
        <f>IF($A$1="Peak","-",'Base Hours'!T88*BaseLoad!Z87*IS!$B$2)</f>
        <v>285674.48716836132</v>
      </c>
      <c r="U88" s="180">
        <f>IF($A$1="Peak","-",'Base Hours'!U88*BaseLoad!AA87*IS!$B$2)</f>
        <v>755936.8836633258</v>
      </c>
      <c r="V88" s="180">
        <f t="shared" si="4"/>
        <v>8141805.068327616</v>
      </c>
      <c r="W88" s="180"/>
      <c r="X88" s="180"/>
      <c r="Y88" s="212"/>
      <c r="Z88" s="212">
        <f>(BaseLoad!C87*'Base Hours'!V88*IS!$B$2)*-1</f>
        <v>-1713305.3732377253</v>
      </c>
      <c r="AA88" s="212"/>
      <c r="AB88" s="212">
        <f>(BaseLoad!D87*'Base Hours'!V88*IS!$B$2)*-1</f>
        <v>-164568.07440826329</v>
      </c>
      <c r="AC88" s="212"/>
      <c r="AD88" s="212">
        <f>(BaseLoad!E87*'Base Hours'!V88*IS!$B$2)*-1</f>
        <v>-649101.69214590837</v>
      </c>
      <c r="AE88" s="212"/>
      <c r="AF88" s="212">
        <f>(BaseLoad!F87*'Base Hours'!V88*IS!$B$2)*-1</f>
        <v>-235109.85525253799</v>
      </c>
      <c r="AG88" s="212"/>
    </row>
    <row r="89" spans="1:33" x14ac:dyDescent="0.2">
      <c r="A89" s="1">
        <f t="shared" si="3"/>
        <v>38942.943000000101</v>
      </c>
      <c r="B89" s="180">
        <f>IF($A$1="Peak","-",'Base Hours'!B89*BaseLoad!H88*IS!$B$2)</f>
        <v>661919.08026940259</v>
      </c>
      <c r="C89" s="180">
        <f>IF($A$1="Peak","-",'Base Hours'!C89*BaseLoad!I88*IS!$B$2)</f>
        <v>433401.28224944382</v>
      </c>
      <c r="D89" s="180">
        <f>IF($A$1="Peak","-",'Base Hours'!D89*BaseLoad!J88*IS!$B$2)</f>
        <v>641812.70361972076</v>
      </c>
      <c r="E89" s="180">
        <f>IF($A$1="Peak","-",'Base Hours'!E89*BaseLoad!K88*IS!$B$2)</f>
        <v>887174.85508498095</v>
      </c>
      <c r="F89" s="180">
        <f>IF($A$1="Peak","-",'Base Hours'!F89*BaseLoad!L88*IS!$B$2)</f>
        <v>671713.14415039832</v>
      </c>
      <c r="G89" s="180">
        <f>IF($A$1="Peak","-",'Base Hours'!G89*BaseLoad!M88*IS!$B$2)</f>
        <v>853402.90563196654</v>
      </c>
      <c r="H89" s="180">
        <f>IF($A$1="Peak","-",'Base Hours'!H89*BaseLoad!N88*IS!$B$2)</f>
        <v>733954.44733002782</v>
      </c>
      <c r="I89" s="180">
        <f>IF($A$1="Peak","-",'Base Hours'!I89*BaseLoad!O88*IS!$B$2)</f>
        <v>689407.73153453611</v>
      </c>
      <c r="J89" s="180">
        <f>IF($A$1="Peak","-",'Base Hours'!J89*BaseLoad!P88*IS!$B$2)</f>
        <v>558693.14853978995</v>
      </c>
      <c r="K89" s="180">
        <f>IF($A$1="Peak","-",'Base Hours'!K89*BaseLoad!Q88*IS!$B$2)</f>
        <v>448907.31847760716</v>
      </c>
      <c r="L89" s="180">
        <f>IF($A$1="Peak","-",'Base Hours'!L89*BaseLoad!R88*IS!$B$2)</f>
        <v>377488.95994727028</v>
      </c>
      <c r="M89" s="180">
        <f>IF($A$1="Peak","-",'Base Hours'!M89*BaseLoad!S88*IS!$B$2)</f>
        <v>336115.08156734623</v>
      </c>
      <c r="N89" s="180">
        <f>IF($A$1="Peak","-",'Base Hours'!N89*BaseLoad!T88*IS!$B$2)</f>
        <v>333679.67990039388</v>
      </c>
      <c r="O89" s="180">
        <f>IF($A$1="Peak","-",'Base Hours'!O89*BaseLoad!U88*IS!$B$2)</f>
        <v>330742.82087154826</v>
      </c>
      <c r="P89" s="180">
        <f>IF($A$1="Peak","-",'Base Hours'!P89*BaseLoad!V88*IS!$B$2)</f>
        <v>322635.03180466994</v>
      </c>
      <c r="Q89" s="180">
        <f>IF($A$1="Peak","-",'Base Hours'!Q89*BaseLoad!W88*IS!$B$2)</f>
        <v>295410.8580835138</v>
      </c>
      <c r="R89" s="180">
        <f>IF($A$1="Peak","-",'Base Hours'!R89*BaseLoad!X88*IS!$B$2)</f>
        <v>278144.46765811142</v>
      </c>
      <c r="S89" s="180">
        <f>IF($A$1="Peak","-",'Base Hours'!S89*BaseLoad!Y88*IS!$B$2)</f>
        <v>267774.55409994198</v>
      </c>
      <c r="T89" s="180">
        <f>IF($A$1="Peak","-",'Base Hours'!T89*BaseLoad!Z88*IS!$B$2)</f>
        <v>261831.7196736733</v>
      </c>
      <c r="U89" s="180">
        <f>IF($A$1="Peak","-",'Base Hours'!U89*BaseLoad!AA88*IS!$B$2)</f>
        <v>653960.85431982332</v>
      </c>
      <c r="V89" s="180">
        <f t="shared" si="4"/>
        <v>9150995.7897291854</v>
      </c>
      <c r="W89" s="180"/>
      <c r="X89" s="180"/>
      <c r="Y89" s="212"/>
      <c r="Z89" s="212">
        <f>(BaseLoad!C88*'Base Hours'!V89*IS!$B$2)*-1</f>
        <v>-1713305.3732377253</v>
      </c>
      <c r="AA89" s="212"/>
      <c r="AB89" s="212">
        <f>(BaseLoad!D88*'Base Hours'!V89*IS!$B$2)*-1</f>
        <v>-164842.3545322771</v>
      </c>
      <c r="AC89" s="212"/>
      <c r="AD89" s="212">
        <f>(BaseLoad!E88*'Base Hours'!V89*IS!$B$2)*-1</f>
        <v>-649101.69214590837</v>
      </c>
      <c r="AE89" s="212"/>
      <c r="AF89" s="212">
        <f>(BaseLoad!F88*'Base Hours'!V89*IS!$B$2)*-1</f>
        <v>-235109.85525253799</v>
      </c>
      <c r="AG89" s="212"/>
    </row>
    <row r="90" spans="1:33" x14ac:dyDescent="0.2">
      <c r="A90" s="1">
        <f t="shared" si="3"/>
        <v>38973.360000000102</v>
      </c>
      <c r="B90" s="180">
        <f>IF($A$1="Peak","-",'Base Hours'!B90*BaseLoad!H89*IS!$B$2)</f>
        <v>263804.43424772815</v>
      </c>
      <c r="C90" s="180">
        <f>IF($A$1="Peak","-",'Base Hours'!C90*BaseLoad!I89*IS!$B$2)</f>
        <v>201580.51923135063</v>
      </c>
      <c r="D90" s="180">
        <f>IF($A$1="Peak","-",'Base Hours'!D90*BaseLoad!J89*IS!$B$2)</f>
        <v>344403.38900072197</v>
      </c>
      <c r="E90" s="180">
        <f>IF($A$1="Peak","-",'Base Hours'!E90*BaseLoad!K89*IS!$B$2)</f>
        <v>360128.92101079971</v>
      </c>
      <c r="F90" s="180">
        <f>IF($A$1="Peak","-",'Base Hours'!F90*BaseLoad!L89*IS!$B$2)</f>
        <v>316974.21743707778</v>
      </c>
      <c r="G90" s="180">
        <f>IF($A$1="Peak","-",'Base Hours'!G90*BaseLoad!M89*IS!$B$2)</f>
        <v>571605.45256104739</v>
      </c>
      <c r="H90" s="180">
        <f>IF($A$1="Peak","-",'Base Hours'!H90*BaseLoad!N89*IS!$B$2)</f>
        <v>525945.89967444842</v>
      </c>
      <c r="I90" s="180">
        <f>IF($A$1="Peak","-",'Base Hours'!I90*BaseLoad!O89*IS!$B$2)</f>
        <v>519915.3694707753</v>
      </c>
      <c r="J90" s="180">
        <f>IF($A$1="Peak","-",'Base Hours'!J90*BaseLoad!P89*IS!$B$2)</f>
        <v>437914.39654472994</v>
      </c>
      <c r="K90" s="180">
        <f>IF($A$1="Peak","-",'Base Hours'!K90*BaseLoad!Q89*IS!$B$2)</f>
        <v>364343.1057820018</v>
      </c>
      <c r="L90" s="180">
        <f>IF($A$1="Peak","-",'Base Hours'!L90*BaseLoad!R89*IS!$B$2)</f>
        <v>306502.6699201052</v>
      </c>
      <c r="M90" s="180">
        <f>IF($A$1="Peak","-",'Base Hours'!M90*BaseLoad!S89*IS!$B$2)</f>
        <v>299021.19461630529</v>
      </c>
      <c r="N90" s="180">
        <f>IF($A$1="Peak","-",'Base Hours'!N90*BaseLoad!T89*IS!$B$2)</f>
        <v>287430.64462930721</v>
      </c>
      <c r="O90" s="180">
        <f>IF($A$1="Peak","-",'Base Hours'!O90*BaseLoad!U89*IS!$B$2)</f>
        <v>273278.92109486362</v>
      </c>
      <c r="P90" s="180">
        <f>IF($A$1="Peak","-",'Base Hours'!P90*BaseLoad!V89*IS!$B$2)</f>
        <v>264472.49275343103</v>
      </c>
      <c r="Q90" s="180">
        <f>IF($A$1="Peak","-",'Base Hours'!Q90*BaseLoad!W89*IS!$B$2)</f>
        <v>259493.5677796879</v>
      </c>
      <c r="R90" s="180">
        <f>IF($A$1="Peak","-",'Base Hours'!R90*BaseLoad!X89*IS!$B$2)</f>
        <v>255628.1759991181</v>
      </c>
      <c r="S90" s="180">
        <f>IF($A$1="Peak","-",'Base Hours'!S90*BaseLoad!Y89*IS!$B$2)</f>
        <v>253711.52034370304</v>
      </c>
      <c r="T90" s="180">
        <f>IF($A$1="Peak","-",'Base Hours'!T90*BaseLoad!Z89*IS!$B$2)</f>
        <v>249568.80351522993</v>
      </c>
      <c r="U90" s="180">
        <f>IF($A$1="Peak","-",'Base Hours'!U90*BaseLoad!AA89*IS!$B$2)</f>
        <v>668481.33480591862</v>
      </c>
      <c r="V90" s="180">
        <f t="shared" si="4"/>
        <v>6355723.6956124334</v>
      </c>
      <c r="W90" s="180"/>
      <c r="X90" s="180"/>
      <c r="Y90" s="212"/>
      <c r="Z90" s="212">
        <f>(BaseLoad!C89*'Base Hours'!V90*IS!$B$2)*-1</f>
        <v>-1713305.3732377253</v>
      </c>
      <c r="AA90" s="212"/>
      <c r="AB90" s="212">
        <f>(BaseLoad!D89*'Base Hours'!V90*IS!$B$2)*-1</f>
        <v>-165117.09178983085</v>
      </c>
      <c r="AC90" s="212"/>
      <c r="AD90" s="212">
        <f>(BaseLoad!E89*'Base Hours'!V90*IS!$B$2)*-1</f>
        <v>-649101.69214590837</v>
      </c>
      <c r="AE90" s="212"/>
      <c r="AF90" s="212">
        <f>(BaseLoad!F89*'Base Hours'!V90*IS!$B$2)*-1</f>
        <v>-235109.85525253799</v>
      </c>
      <c r="AG90" s="212"/>
    </row>
    <row r="91" spans="1:33" x14ac:dyDescent="0.2">
      <c r="A91" s="1">
        <f t="shared" si="3"/>
        <v>39003.777000000104</v>
      </c>
      <c r="B91" s="180">
        <f>IF($A$1="Peak","-",'Base Hours'!B91*BaseLoad!H90*IS!$B$2)</f>
        <v>79856.482551144523</v>
      </c>
      <c r="C91" s="180">
        <f>IF($A$1="Peak","-",'Base Hours'!C91*BaseLoad!I90*IS!$B$2)</f>
        <v>77288.138724998804</v>
      </c>
      <c r="D91" s="180">
        <f>IF($A$1="Peak","-",'Base Hours'!D91*BaseLoad!J90*IS!$B$2)</f>
        <v>150102.64358550808</v>
      </c>
      <c r="E91" s="180">
        <f>IF($A$1="Peak","-",'Base Hours'!E91*BaseLoad!K90*IS!$B$2)</f>
        <v>281998.28361878748</v>
      </c>
      <c r="F91" s="180">
        <f>IF($A$1="Peak","-",'Base Hours'!F91*BaseLoad!L90*IS!$B$2)</f>
        <v>278437.17543270509</v>
      </c>
      <c r="G91" s="180">
        <f>IF($A$1="Peak","-",'Base Hours'!G91*BaseLoad!M90*IS!$B$2)</f>
        <v>546653.72477475146</v>
      </c>
      <c r="H91" s="180">
        <f>IF($A$1="Peak","-",'Base Hours'!H91*BaseLoad!N90*IS!$B$2)</f>
        <v>445030.55959305743</v>
      </c>
      <c r="I91" s="180">
        <f>IF($A$1="Peak","-",'Base Hours'!I91*BaseLoad!O90*IS!$B$2)</f>
        <v>381643.39075922698</v>
      </c>
      <c r="J91" s="180">
        <f>IF($A$1="Peak","-",'Base Hours'!J91*BaseLoad!P90*IS!$B$2)</f>
        <v>318165.56222085946</v>
      </c>
      <c r="K91" s="180">
        <f>IF($A$1="Peak","-",'Base Hours'!K91*BaseLoad!Q90*IS!$B$2)</f>
        <v>314123.62562551035</v>
      </c>
      <c r="L91" s="180">
        <f>IF($A$1="Peak","-",'Base Hours'!L91*BaseLoad!R90*IS!$B$2)</f>
        <v>279294.63937288959</v>
      </c>
      <c r="M91" s="180">
        <f>IF($A$1="Peak","-",'Base Hours'!M91*BaseLoad!S90*IS!$B$2)</f>
        <v>278769.02060352516</v>
      </c>
      <c r="N91" s="180">
        <f>IF($A$1="Peak","-",'Base Hours'!N91*BaseLoad!T90*IS!$B$2)</f>
        <v>278763.20261168393</v>
      </c>
      <c r="O91" s="180">
        <f>IF($A$1="Peak","-",'Base Hours'!O91*BaseLoad!U90*IS!$B$2)</f>
        <v>278762.76634350594</v>
      </c>
      <c r="P91" s="180">
        <f>IF($A$1="Peak","-",'Base Hours'!P91*BaseLoad!V90*IS!$B$2)</f>
        <v>278762.76634350594</v>
      </c>
      <c r="Q91" s="180">
        <f>IF($A$1="Peak","-",'Base Hours'!Q91*BaseLoad!W90*IS!$B$2)</f>
        <v>272365.31298384134</v>
      </c>
      <c r="R91" s="180">
        <f>IF($A$1="Peak","-",'Base Hours'!R91*BaseLoad!X90*IS!$B$2)</f>
        <v>246539.42613098066</v>
      </c>
      <c r="S91" s="180">
        <f>IF($A$1="Peak","-",'Base Hours'!S91*BaseLoad!Y90*IS!$B$2)</f>
        <v>241927.11810309251</v>
      </c>
      <c r="T91" s="180">
        <f>IF($A$1="Peak","-",'Base Hours'!T91*BaseLoad!Z90*IS!$B$2)</f>
        <v>231063.97034535717</v>
      </c>
      <c r="U91" s="180">
        <f>IF($A$1="Peak","-",'Base Hours'!U91*BaseLoad!AA90*IS!$B$2)</f>
        <v>609483.87005868275</v>
      </c>
      <c r="V91" s="180">
        <f t="shared" si="4"/>
        <v>5259547.8097249316</v>
      </c>
      <c r="W91" s="180"/>
      <c r="X91" s="180"/>
      <c r="Y91" s="212"/>
      <c r="Z91" s="212">
        <f>(BaseLoad!C90*'Base Hours'!V91*IS!$B$2)*-1</f>
        <v>-1713305.3732377253</v>
      </c>
      <c r="AA91" s="212"/>
      <c r="AB91" s="212">
        <f>(BaseLoad!D90*'Base Hours'!V91*IS!$B$2)*-1</f>
        <v>-165392.28694281392</v>
      </c>
      <c r="AC91" s="212"/>
      <c r="AD91" s="212">
        <f>(BaseLoad!E90*'Base Hours'!V91*IS!$B$2)*-1</f>
        <v>-649101.69214590837</v>
      </c>
      <c r="AE91" s="212"/>
      <c r="AF91" s="212">
        <f>(BaseLoad!F90*'Base Hours'!V91*IS!$B$2)*-1</f>
        <v>0</v>
      </c>
      <c r="AG91" s="212"/>
    </row>
    <row r="92" spans="1:33" x14ac:dyDescent="0.2">
      <c r="A92" s="1">
        <f t="shared" si="3"/>
        <v>39034.194000000105</v>
      </c>
      <c r="B92" s="180">
        <f>IF($A$1="Peak","-",'Base Hours'!B92*BaseLoad!H91*IS!$B$2)</f>
        <v>91843.829496117571</v>
      </c>
      <c r="C92" s="180">
        <f>IF($A$1="Peak","-",'Base Hours'!C92*BaseLoad!I91*IS!$B$2)</f>
        <v>87106.602481751586</v>
      </c>
      <c r="D92" s="180">
        <f>IF($A$1="Peak","-",'Base Hours'!D92*BaseLoad!J91*IS!$B$2)</f>
        <v>170349.08596434502</v>
      </c>
      <c r="E92" s="180">
        <f>IF($A$1="Peak","-",'Base Hours'!E92*BaseLoad!K91*IS!$B$2)</f>
        <v>321731.19334154576</v>
      </c>
      <c r="F92" s="180">
        <f>IF($A$1="Peak","-",'Base Hours'!F92*BaseLoad!L91*IS!$B$2)</f>
        <v>314792.57507619861</v>
      </c>
      <c r="G92" s="180">
        <f>IF($A$1="Peak","-",'Base Hours'!G92*BaseLoad!M91*IS!$B$2)</f>
        <v>626699.62804789329</v>
      </c>
      <c r="H92" s="180">
        <f>IF($A$1="Peak","-",'Base Hours'!H92*BaseLoad!N91*IS!$B$2)</f>
        <v>580613.43273682008</v>
      </c>
      <c r="I92" s="180">
        <f>IF($A$1="Peak","-",'Base Hours'!I92*BaseLoad!O91*IS!$B$2)</f>
        <v>436270.04637302941</v>
      </c>
      <c r="J92" s="180">
        <f>IF($A$1="Peak","-",'Base Hours'!J92*BaseLoad!P91*IS!$B$2)</f>
        <v>409572.60889468109</v>
      </c>
      <c r="K92" s="180">
        <f>IF($A$1="Peak","-",'Base Hours'!K92*BaseLoad!Q91*IS!$B$2)</f>
        <v>398960.53830414754</v>
      </c>
      <c r="L92" s="180">
        <f>IF($A$1="Peak","-",'Base Hours'!L92*BaseLoad!R91*IS!$B$2)</f>
        <v>323193.85196142178</v>
      </c>
      <c r="M92" s="180">
        <f>IF($A$1="Peak","-",'Base Hours'!M92*BaseLoad!S91*IS!$B$2)</f>
        <v>310292.00950578763</v>
      </c>
      <c r="N92" s="180">
        <f>IF($A$1="Peak","-",'Base Hours'!N92*BaseLoad!T91*IS!$B$2)</f>
        <v>310292.00950578763</v>
      </c>
      <c r="O92" s="180">
        <f>IF($A$1="Peak","-",'Base Hours'!O92*BaseLoad!U91*IS!$B$2)</f>
        <v>291047.50964824442</v>
      </c>
      <c r="P92" s="180">
        <f>IF($A$1="Peak","-",'Base Hours'!P92*BaseLoad!V91*IS!$B$2)</f>
        <v>241824.10989933534</v>
      </c>
      <c r="Q92" s="180">
        <f>IF($A$1="Peak","-",'Base Hours'!Q92*BaseLoad!W91*IS!$B$2)</f>
        <v>232852.48783741254</v>
      </c>
      <c r="R92" s="180">
        <f>IF($A$1="Peak","-",'Base Hours'!R92*BaseLoad!X91*IS!$B$2)</f>
        <v>223860.10433634909</v>
      </c>
      <c r="S92" s="180">
        <f>IF($A$1="Peak","-",'Base Hours'!S92*BaseLoad!Y91*IS!$B$2)</f>
        <v>219562.4902473187</v>
      </c>
      <c r="T92" s="180">
        <f>IF($A$1="Peak","-",'Base Hours'!T92*BaseLoad!Z91*IS!$B$2)</f>
        <v>216038.0769370207</v>
      </c>
      <c r="U92" s="180">
        <f>IF($A$1="Peak","-",'Base Hours'!U92*BaseLoad!AA91*IS!$B$2)</f>
        <v>575812.00531180832</v>
      </c>
      <c r="V92" s="180">
        <f t="shared" si="4"/>
        <v>5756014.5678591244</v>
      </c>
      <c r="W92" s="180"/>
      <c r="X92" s="180"/>
      <c r="Y92" s="212"/>
      <c r="Z92" s="212">
        <f>(BaseLoad!C91*'Base Hours'!V92*IS!$B$2)*-1</f>
        <v>-1713305.3732377253</v>
      </c>
      <c r="AA92" s="212"/>
      <c r="AB92" s="212">
        <f>(BaseLoad!D91*'Base Hours'!V92*IS!$B$2)*-1</f>
        <v>-165667.94075438529</v>
      </c>
      <c r="AC92" s="212"/>
      <c r="AD92" s="212">
        <f>(BaseLoad!E91*'Base Hours'!V92*IS!$B$2)*-1</f>
        <v>-649101.69214590837</v>
      </c>
      <c r="AE92" s="212"/>
      <c r="AF92" s="212">
        <f>(BaseLoad!F91*'Base Hours'!V92*IS!$B$2)*-1</f>
        <v>0</v>
      </c>
      <c r="AG92" s="212"/>
    </row>
    <row r="93" spans="1:33" x14ac:dyDescent="0.2">
      <c r="A93" s="1">
        <f t="shared" si="3"/>
        <v>39064.611000000106</v>
      </c>
      <c r="B93" s="180">
        <f>IF($A$1="Peak","-",'Base Hours'!B93*BaseLoad!H92*IS!$B$2)</f>
        <v>185612.1894961647</v>
      </c>
      <c r="C93" s="180">
        <f>IF($A$1="Peak","-",'Base Hours'!C93*BaseLoad!I92*IS!$B$2)</f>
        <v>174196.29665184557</v>
      </c>
      <c r="D93" s="180">
        <f>IF($A$1="Peak","-",'Base Hours'!D93*BaseLoad!J92*IS!$B$2)</f>
        <v>204321.23752962414</v>
      </c>
      <c r="E93" s="180">
        <f>IF($A$1="Peak","-",'Base Hours'!E93*BaseLoad!K92*IS!$B$2)</f>
        <v>321023.65475383104</v>
      </c>
      <c r="F93" s="180">
        <f>IF($A$1="Peak","-",'Base Hours'!F93*BaseLoad!L92*IS!$B$2)</f>
        <v>295271.79677484086</v>
      </c>
      <c r="G93" s="180">
        <f>IF($A$1="Peak","-",'Base Hours'!G93*BaseLoad!M92*IS!$B$2)</f>
        <v>567704.65547007474</v>
      </c>
      <c r="H93" s="180">
        <f>IF($A$1="Peak","-",'Base Hours'!H93*BaseLoad!N92*IS!$B$2)</f>
        <v>538063.41156238946</v>
      </c>
      <c r="I93" s="180">
        <f>IF($A$1="Peak","-",'Base Hours'!I93*BaseLoad!O92*IS!$B$2)</f>
        <v>508295.79182281054</v>
      </c>
      <c r="J93" s="180">
        <f>IF($A$1="Peak","-",'Base Hours'!J93*BaseLoad!P92*IS!$B$2)</f>
        <v>505248.2592888762</v>
      </c>
      <c r="K93" s="180">
        <f>IF($A$1="Peak","-",'Base Hours'!K93*BaseLoad!Q92*IS!$B$2)</f>
        <v>496639.3094317232</v>
      </c>
      <c r="L93" s="180">
        <f>IF($A$1="Peak","-",'Base Hours'!L93*BaseLoad!R92*IS!$B$2)</f>
        <v>439529.74733127933</v>
      </c>
      <c r="M93" s="180">
        <f>IF($A$1="Peak","-",'Base Hours'!M93*BaseLoad!S92*IS!$B$2)</f>
        <v>357561.11833403102</v>
      </c>
      <c r="N93" s="180">
        <f>IF($A$1="Peak","-",'Base Hours'!N93*BaseLoad!T92*IS!$B$2)</f>
        <v>305141.40670709719</v>
      </c>
      <c r="O93" s="180">
        <f>IF($A$1="Peak","-",'Base Hours'!O93*BaseLoad!U92*IS!$B$2)</f>
        <v>289872.53925978998</v>
      </c>
      <c r="P93" s="180">
        <f>IF($A$1="Peak","-",'Base Hours'!P93*BaseLoad!V92*IS!$B$2)</f>
        <v>262346.67346400983</v>
      </c>
      <c r="Q93" s="180">
        <f>IF($A$1="Peak","-",'Base Hours'!Q93*BaseLoad!W92*IS!$B$2)</f>
        <v>256438.33957507933</v>
      </c>
      <c r="R93" s="180">
        <f>IF($A$1="Peak","-",'Base Hours'!R93*BaseLoad!X92*IS!$B$2)</f>
        <v>256433.95863097065</v>
      </c>
      <c r="S93" s="180">
        <f>IF($A$1="Peak","-",'Base Hours'!S93*BaseLoad!Y92*IS!$B$2)</f>
        <v>253359.64735940847</v>
      </c>
      <c r="T93" s="180">
        <f>IF($A$1="Peak","-",'Base Hours'!T93*BaseLoad!Z92*IS!$B$2)</f>
        <v>242503.58246145409</v>
      </c>
      <c r="U93" s="180">
        <f>IF($A$1="Peak","-",'Base Hours'!U93*BaseLoad!AA92*IS!$B$2)</f>
        <v>621308.7287243678</v>
      </c>
      <c r="V93" s="180">
        <f t="shared" si="4"/>
        <v>6459563.6159052998</v>
      </c>
      <c r="W93" s="180"/>
      <c r="X93" s="180"/>
      <c r="Y93" s="212">
        <f>SUM(B82:U93)</f>
        <v>83162142.739634067</v>
      </c>
      <c r="Z93" s="212">
        <f>(BaseLoad!C92*'Base Hours'!V93*IS!$B$2)*-1</f>
        <v>-1713305.3732377253</v>
      </c>
      <c r="AA93" s="212">
        <f>SUM(Z82:Z93)</f>
        <v>-20559664.478852704</v>
      </c>
      <c r="AB93" s="212">
        <f>(BaseLoad!D92*'Base Hours'!V93*IS!$B$2)*-1</f>
        <v>-165944.05398897594</v>
      </c>
      <c r="AC93" s="212">
        <f>SUM(AB82:AB93)</f>
        <v>-1973205.870061053</v>
      </c>
      <c r="AD93" s="212">
        <f>(BaseLoad!E92*'Base Hours'!V93*IS!$B$2)*-1</f>
        <v>-649101.69214590837</v>
      </c>
      <c r="AE93" s="212">
        <f>SUM(AD82:AD93)</f>
        <v>-7789220.3057508999</v>
      </c>
      <c r="AF93" s="212">
        <f>(BaseLoad!F92*'Base Hours'!V93*IS!$B$2)*-1</f>
        <v>0</v>
      </c>
      <c r="AG93" s="212">
        <f>SUM(AF82:AF93)</f>
        <v>-1175549.2762626898</v>
      </c>
    </row>
    <row r="94" spans="1:33" x14ac:dyDescent="0.2">
      <c r="A94" s="1">
        <f t="shared" si="3"/>
        <v>39095.028000000108</v>
      </c>
      <c r="B94" s="180">
        <f>IF($A$1="Peak","-",'Base Hours'!B94*BaseLoad!H93*IS!$B$2)</f>
        <v>100020.25152487705</v>
      </c>
      <c r="C94" s="180">
        <f>IF($A$1="Peak","-",'Base Hours'!C94*BaseLoad!I93*IS!$B$2)</f>
        <v>96955.259620340788</v>
      </c>
      <c r="D94" s="180">
        <f>IF($A$1="Peak","-",'Base Hours'!D94*BaseLoad!J93*IS!$B$2)</f>
        <v>183940.35209234813</v>
      </c>
      <c r="E94" s="180">
        <f>IF($A$1="Peak","-",'Base Hours'!E94*BaseLoad!K93*IS!$B$2)</f>
        <v>362985.10725459066</v>
      </c>
      <c r="F94" s="180">
        <f>IF($A$1="Peak","-",'Base Hours'!F94*BaseLoad!L93*IS!$B$2)</f>
        <v>359835.7413020297</v>
      </c>
      <c r="G94" s="180">
        <f>IF($A$1="Peak","-",'Base Hours'!G94*BaseLoad!M93*IS!$B$2)</f>
        <v>650374.17839527898</v>
      </c>
      <c r="H94" s="180">
        <f>IF($A$1="Peak","-",'Base Hours'!H94*BaseLoad!N93*IS!$B$2)</f>
        <v>497389.52772845805</v>
      </c>
      <c r="I94" s="180">
        <f>IF($A$1="Peak","-",'Base Hours'!I94*BaseLoad!O93*IS!$B$2)</f>
        <v>417153.95953335316</v>
      </c>
      <c r="J94" s="180">
        <f>IF($A$1="Peak","-",'Base Hours'!J94*BaseLoad!P93*IS!$B$2)</f>
        <v>407055.41642226005</v>
      </c>
      <c r="K94" s="180">
        <f>IF($A$1="Peak","-",'Base Hours'!K94*BaseLoad!Q93*IS!$B$2)</f>
        <v>353431.42193998996</v>
      </c>
      <c r="L94" s="180">
        <f>IF($A$1="Peak","-",'Base Hours'!L94*BaseLoad!R93*IS!$B$2)</f>
        <v>347547.82632897346</v>
      </c>
      <c r="M94" s="180">
        <f>IF($A$1="Peak","-",'Base Hours'!M94*BaseLoad!S93*IS!$B$2)</f>
        <v>347547.22312581789</v>
      </c>
      <c r="N94" s="180">
        <f>IF($A$1="Peak","-",'Base Hours'!N94*BaseLoad!T93*IS!$B$2)</f>
        <v>347546.23295191058</v>
      </c>
      <c r="O94" s="180">
        <f>IF($A$1="Peak","-",'Base Hours'!O94*BaseLoad!U93*IS!$B$2)</f>
        <v>347542.24891810358</v>
      </c>
      <c r="P94" s="180">
        <f>IF($A$1="Peak","-",'Base Hours'!P94*BaseLoad!V93*IS!$B$2)</f>
        <v>326359.54043237428</v>
      </c>
      <c r="Q94" s="180">
        <f>IF($A$1="Peak","-",'Base Hours'!Q94*BaseLoad!W93*IS!$B$2)</f>
        <v>300064.24445869611</v>
      </c>
      <c r="R94" s="180">
        <f>IF($A$1="Peak","-",'Base Hours'!R94*BaseLoad!X93*IS!$B$2)</f>
        <v>284639.0109956087</v>
      </c>
      <c r="S94" s="180">
        <f>IF($A$1="Peak","-",'Base Hours'!S94*BaseLoad!Y93*IS!$B$2)</f>
        <v>279183.24495401361</v>
      </c>
      <c r="T94" s="180">
        <f>IF($A$1="Peak","-",'Base Hours'!T94*BaseLoad!Z93*IS!$B$2)</f>
        <v>277560.66871032724</v>
      </c>
      <c r="U94" s="180">
        <f>IF($A$1="Peak","-",'Base Hours'!U94*BaseLoad!AA93*IS!$B$2)</f>
        <v>743502.45918974606</v>
      </c>
      <c r="V94" s="180">
        <f t="shared" si="4"/>
        <v>6287131.4566893522</v>
      </c>
      <c r="W94" s="180"/>
      <c r="X94" s="180"/>
      <c r="Y94" s="212"/>
      <c r="Z94" s="212">
        <f>(BaseLoad!C93*'Base Hours'!V94*IS!$B$2)*-1</f>
        <v>-1766690.2523688949</v>
      </c>
      <c r="AA94" s="212"/>
      <c r="AB94" s="212">
        <f>(BaseLoad!D93*'Base Hours'!V94*IS!$B$2)*-1</f>
        <v>-166220.62741229087</v>
      </c>
      <c r="AC94" s="212"/>
      <c r="AD94" s="212">
        <f>(BaseLoad!E93*'Base Hours'!V94*IS!$B$2)*-1</f>
        <v>-719477.37293295073</v>
      </c>
      <c r="AE94" s="212"/>
      <c r="AF94" s="212">
        <f>(BaseLoad!F93*'Base Hours'!V94*IS!$B$2)*-1</f>
        <v>-128581.98450367518</v>
      </c>
      <c r="AG94" s="212"/>
    </row>
    <row r="95" spans="1:33" x14ac:dyDescent="0.2">
      <c r="A95" s="1">
        <f t="shared" si="3"/>
        <v>39125.445000000109</v>
      </c>
      <c r="B95" s="180">
        <f>IF($A$1="Peak","-",'Base Hours'!B95*BaseLoad!H94*IS!$B$2)</f>
        <v>179887.47311062034</v>
      </c>
      <c r="C95" s="180">
        <f>IF($A$1="Peak","-",'Base Hours'!C95*BaseLoad!I94*IS!$B$2)</f>
        <v>137020.93317133584</v>
      </c>
      <c r="D95" s="180">
        <f>IF($A$1="Peak","-",'Base Hours'!D95*BaseLoad!J94*IS!$B$2)</f>
        <v>217660.27765520031</v>
      </c>
      <c r="E95" s="180">
        <f>IF($A$1="Peak","-",'Base Hours'!E95*BaseLoad!K94*IS!$B$2)</f>
        <v>359845.13662655489</v>
      </c>
      <c r="F95" s="180">
        <f>IF($A$1="Peak","-",'Base Hours'!F95*BaseLoad!L94*IS!$B$2)</f>
        <v>321403.12420668837</v>
      </c>
      <c r="G95" s="180">
        <f>IF($A$1="Peak","-",'Base Hours'!G95*BaseLoad!M94*IS!$B$2)</f>
        <v>606640.70142646623</v>
      </c>
      <c r="H95" s="180">
        <f>IF($A$1="Peak","-",'Base Hours'!H95*BaseLoad!N94*IS!$B$2)</f>
        <v>580076.02591263701</v>
      </c>
      <c r="I95" s="180">
        <f>IF($A$1="Peak","-",'Base Hours'!I95*BaseLoad!O94*IS!$B$2)</f>
        <v>573540.72131366108</v>
      </c>
      <c r="J95" s="180">
        <f>IF($A$1="Peak","-",'Base Hours'!J95*BaseLoad!P94*IS!$B$2)</f>
        <v>438143.20807092305</v>
      </c>
      <c r="K95" s="180">
        <f>IF($A$1="Peak","-",'Base Hours'!K95*BaseLoad!Q94*IS!$B$2)</f>
        <v>416448.3872077656</v>
      </c>
      <c r="L95" s="180">
        <f>IF($A$1="Peak","-",'Base Hours'!L95*BaseLoad!R94*IS!$B$2)</f>
        <v>405028.98036322795</v>
      </c>
      <c r="M95" s="180">
        <f>IF($A$1="Peak","-",'Base Hours'!M95*BaseLoad!S94*IS!$B$2)</f>
        <v>354053.86680309178</v>
      </c>
      <c r="N95" s="180">
        <f>IF($A$1="Peak","-",'Base Hours'!N95*BaseLoad!T94*IS!$B$2)</f>
        <v>322016.83081693837</v>
      </c>
      <c r="O95" s="180">
        <f>IF($A$1="Peak","-",'Base Hours'!O95*BaseLoad!U94*IS!$B$2)</f>
        <v>310657.96778786019</v>
      </c>
      <c r="P95" s="180">
        <f>IF($A$1="Peak","-",'Base Hours'!P95*BaseLoad!V94*IS!$B$2)</f>
        <v>298641.78095135262</v>
      </c>
      <c r="Q95" s="180">
        <f>IF($A$1="Peak","-",'Base Hours'!Q95*BaseLoad!W94*IS!$B$2)</f>
        <v>289618.41554335324</v>
      </c>
      <c r="R95" s="180">
        <f>IF($A$1="Peak","-",'Base Hours'!R95*BaseLoad!X94*IS!$B$2)</f>
        <v>288517.46106033371</v>
      </c>
      <c r="S95" s="180">
        <f>IF($A$1="Peak","-",'Base Hours'!S95*BaseLoad!Y94*IS!$B$2)</f>
        <v>287144.38080356742</v>
      </c>
      <c r="T95" s="180">
        <f>IF($A$1="Peak","-",'Base Hours'!T95*BaseLoad!Z94*IS!$B$2)</f>
        <v>273867.43024129077</v>
      </c>
      <c r="U95" s="180">
        <f>IF($A$1="Peak","-",'Base Hours'!U95*BaseLoad!AA94*IS!$B$2)</f>
        <v>679469.59808815399</v>
      </c>
      <c r="V95" s="180">
        <f t="shared" si="4"/>
        <v>6660213.1030728687</v>
      </c>
      <c r="W95" s="180"/>
      <c r="X95" s="180"/>
      <c r="Y95" s="212"/>
      <c r="Z95" s="212">
        <f>(BaseLoad!C94*'Base Hours'!V95*IS!$B$2)*-1</f>
        <v>-1766690.2523688949</v>
      </c>
      <c r="AA95" s="212"/>
      <c r="AB95" s="212">
        <f>(BaseLoad!D94*'Base Hours'!V95*IS!$B$2)*-1</f>
        <v>-166497.66179131137</v>
      </c>
      <c r="AC95" s="212"/>
      <c r="AD95" s="212">
        <f>(BaseLoad!E94*'Base Hours'!V95*IS!$B$2)*-1</f>
        <v>-719477.37293295073</v>
      </c>
      <c r="AE95" s="212"/>
      <c r="AF95" s="212">
        <f>(BaseLoad!F94*'Base Hours'!V95*IS!$B$2)*-1</f>
        <v>-128581.98450367518</v>
      </c>
      <c r="AG95" s="212"/>
    </row>
    <row r="96" spans="1:33" x14ac:dyDescent="0.2">
      <c r="A96" s="1">
        <f t="shared" si="3"/>
        <v>39155.86200000011</v>
      </c>
      <c r="B96" s="180">
        <f>IF($A$1="Peak","-",'Base Hours'!B96*BaseLoad!H95*IS!$B$2)</f>
        <v>95702.220570760692</v>
      </c>
      <c r="C96" s="180">
        <f>IF($A$1="Peak","-",'Base Hours'!C96*BaseLoad!I95*IS!$B$2)</f>
        <v>89954.655714272187</v>
      </c>
      <c r="D96" s="180">
        <f>IF($A$1="Peak","-",'Base Hours'!D96*BaseLoad!J95*IS!$B$2)</f>
        <v>173093.38002522662</v>
      </c>
      <c r="E96" s="180">
        <f>IF($A$1="Peak","-",'Base Hours'!E96*BaseLoad!K95*IS!$B$2)</f>
        <v>333198.81982612243</v>
      </c>
      <c r="F96" s="180">
        <f>IF($A$1="Peak","-",'Base Hours'!F96*BaseLoad!L95*IS!$B$2)</f>
        <v>318836.5270947782</v>
      </c>
      <c r="G96" s="180">
        <f>IF($A$1="Peak","-",'Base Hours'!G96*BaseLoad!M95*IS!$B$2)</f>
        <v>619893.16001003678</v>
      </c>
      <c r="H96" s="180">
        <f>IF($A$1="Peak","-",'Base Hours'!H96*BaseLoad!N95*IS!$B$2)</f>
        <v>616653.24195213942</v>
      </c>
      <c r="I96" s="180">
        <f>IF($A$1="Peak","-",'Base Hours'!I96*BaseLoad!O95*IS!$B$2)</f>
        <v>577959.94567871059</v>
      </c>
      <c r="J96" s="180">
        <f>IF($A$1="Peak","-",'Base Hours'!J96*BaseLoad!P95*IS!$B$2)</f>
        <v>441738.11739093612</v>
      </c>
      <c r="K96" s="180">
        <f>IF($A$1="Peak","-",'Base Hours'!K96*BaseLoad!Q95*IS!$B$2)</f>
        <v>411456.65551496699</v>
      </c>
      <c r="L96" s="180">
        <f>IF($A$1="Peak","-",'Base Hours'!L96*BaseLoad!R95*IS!$B$2)</f>
        <v>373799.92480937851</v>
      </c>
      <c r="M96" s="180">
        <f>IF($A$1="Peak","-",'Base Hours'!M96*BaseLoad!S95*IS!$B$2)</f>
        <v>365329.85101119376</v>
      </c>
      <c r="N96" s="180">
        <f>IF($A$1="Peak","-",'Base Hours'!N96*BaseLoad!T95*IS!$B$2)</f>
        <v>303608.32917153277</v>
      </c>
      <c r="O96" s="180">
        <f>IF($A$1="Peak","-",'Base Hours'!O96*BaseLoad!U95*IS!$B$2)</f>
        <v>301120.09248996276</v>
      </c>
      <c r="P96" s="180">
        <f>IF($A$1="Peak","-",'Base Hours'!P96*BaseLoad!V95*IS!$B$2)</f>
        <v>299422.2479616999</v>
      </c>
      <c r="Q96" s="180">
        <f>IF($A$1="Peak","-",'Base Hours'!Q96*BaseLoad!W95*IS!$B$2)</f>
        <v>281867.14677954244</v>
      </c>
      <c r="R96" s="180">
        <f>IF($A$1="Peak","-",'Base Hours'!R96*BaseLoad!X95*IS!$B$2)</f>
        <v>266462.3205107734</v>
      </c>
      <c r="S96" s="180">
        <f>IF($A$1="Peak","-",'Base Hours'!S96*BaseLoad!Y95*IS!$B$2)</f>
        <v>258769.89178026622</v>
      </c>
      <c r="T96" s="180">
        <f>IF($A$1="Peak","-",'Base Hours'!T96*BaseLoad!Z95*IS!$B$2)</f>
        <v>255339.38541518577</v>
      </c>
      <c r="U96" s="180">
        <f>IF($A$1="Peak","-",'Base Hours'!U96*BaseLoad!AA95*IS!$B$2)</f>
        <v>643314.86523037404</v>
      </c>
      <c r="V96" s="180">
        <f t="shared" si="4"/>
        <v>6384205.9137074864</v>
      </c>
      <c r="W96" s="180"/>
      <c r="X96" s="180"/>
      <c r="Y96" s="212"/>
      <c r="Z96" s="212">
        <f>(BaseLoad!C95*'Base Hours'!V96*IS!$B$2)*-1</f>
        <v>-1766690.2523688949</v>
      </c>
      <c r="AA96" s="212"/>
      <c r="AB96" s="212">
        <f>(BaseLoad!D95*'Base Hours'!V96*IS!$B$2)*-1</f>
        <v>-166775.15789429692</v>
      </c>
      <c r="AC96" s="212"/>
      <c r="AD96" s="212">
        <f>(BaseLoad!E95*'Base Hours'!V96*IS!$B$2)*-1</f>
        <v>-719477.37293295073</v>
      </c>
      <c r="AE96" s="212"/>
      <c r="AF96" s="212">
        <f>(BaseLoad!F95*'Base Hours'!V96*IS!$B$2)*-1</f>
        <v>-128581.98450367518</v>
      </c>
      <c r="AG96" s="212"/>
    </row>
    <row r="97" spans="1:33" x14ac:dyDescent="0.2">
      <c r="A97" s="1">
        <f t="shared" si="3"/>
        <v>39186.279000000111</v>
      </c>
      <c r="B97" s="180">
        <f>IF($A$1="Peak","-",'Base Hours'!B97*BaseLoad!H96*IS!$B$2)</f>
        <v>93931.810865331543</v>
      </c>
      <c r="C97" s="180">
        <f>IF($A$1="Peak","-",'Base Hours'!C97*BaseLoad!I96*IS!$B$2)</f>
        <v>93931.810865331543</v>
      </c>
      <c r="D97" s="180">
        <f>IF($A$1="Peak","-",'Base Hours'!D97*BaseLoad!J96*IS!$B$2)</f>
        <v>185029.42326012056</v>
      </c>
      <c r="E97" s="180">
        <f>IF($A$1="Peak","-",'Base Hours'!E97*BaseLoad!K96*IS!$B$2)</f>
        <v>299803.58311560703</v>
      </c>
      <c r="F97" s="180">
        <f>IF($A$1="Peak","-",'Base Hours'!F97*BaseLoad!L96*IS!$B$2)</f>
        <v>256823.55099337525</v>
      </c>
      <c r="G97" s="180">
        <f>IF($A$1="Peak","-",'Base Hours'!G97*BaseLoad!M96*IS!$B$2)</f>
        <v>465571.22882032621</v>
      </c>
      <c r="H97" s="180">
        <f>IF($A$1="Peak","-",'Base Hours'!H97*BaseLoad!N96*IS!$B$2)</f>
        <v>446939.18312768103</v>
      </c>
      <c r="I97" s="180">
        <f>IF($A$1="Peak","-",'Base Hours'!I97*BaseLoad!O96*IS!$B$2)</f>
        <v>372621.83014532196</v>
      </c>
      <c r="J97" s="180">
        <f>IF($A$1="Peak","-",'Base Hours'!J97*BaseLoad!P96*IS!$B$2)</f>
        <v>369882.19292093156</v>
      </c>
      <c r="K97" s="180">
        <f>IF($A$1="Peak","-",'Base Hours'!K97*BaseLoad!Q96*IS!$B$2)</f>
        <v>366401.32778761926</v>
      </c>
      <c r="L97" s="180">
        <f>IF($A$1="Peak","-",'Base Hours'!L97*BaseLoad!R96*IS!$B$2)</f>
        <v>350743.56921948848</v>
      </c>
      <c r="M97" s="180">
        <f>IF($A$1="Peak","-",'Base Hours'!M97*BaseLoad!S96*IS!$B$2)</f>
        <v>332166.07632647891</v>
      </c>
      <c r="N97" s="180">
        <f>IF($A$1="Peak","-",'Base Hours'!N97*BaseLoad!T96*IS!$B$2)</f>
        <v>314375.83503567753</v>
      </c>
      <c r="O97" s="180">
        <f>IF($A$1="Peak","-",'Base Hours'!O97*BaseLoad!U96*IS!$B$2)</f>
        <v>304730.0799024271</v>
      </c>
      <c r="P97" s="180">
        <f>IF($A$1="Peak","-",'Base Hours'!P97*BaseLoad!V96*IS!$B$2)</f>
        <v>295021.7443176962</v>
      </c>
      <c r="Q97" s="180">
        <f>IF($A$1="Peak","-",'Base Hours'!Q97*BaseLoad!W96*IS!$B$2)</f>
        <v>286638.58972111891</v>
      </c>
      <c r="R97" s="180">
        <f>IF($A$1="Peak","-",'Base Hours'!R97*BaseLoad!X96*IS!$B$2)</f>
        <v>278721.22828295617</v>
      </c>
      <c r="S97" s="180">
        <f>IF($A$1="Peak","-",'Base Hours'!S97*BaseLoad!Y96*IS!$B$2)</f>
        <v>273131.60549757164</v>
      </c>
      <c r="T97" s="180">
        <f>IF($A$1="Peak","-",'Base Hours'!T97*BaseLoad!Z96*IS!$B$2)</f>
        <v>259272.60353602475</v>
      </c>
      <c r="U97" s="180">
        <f>IF($A$1="Peak","-",'Base Hours'!U97*BaseLoad!AA96*IS!$B$2)</f>
        <v>676333.73926405876</v>
      </c>
      <c r="V97" s="180">
        <f t="shared" si="4"/>
        <v>5645737.273741086</v>
      </c>
      <c r="W97" s="180"/>
      <c r="X97" s="180"/>
      <c r="Y97" s="212"/>
      <c r="Z97" s="212">
        <f>(BaseLoad!C96*'Base Hours'!V97*IS!$B$2)*-1</f>
        <v>-1766690.2523688949</v>
      </c>
      <c r="AA97" s="212"/>
      <c r="AB97" s="212">
        <f>(BaseLoad!D96*'Base Hours'!V97*IS!$B$2)*-1</f>
        <v>-167053.11649078745</v>
      </c>
      <c r="AC97" s="212"/>
      <c r="AD97" s="212">
        <f>(BaseLoad!E96*'Base Hours'!V97*IS!$B$2)*-1</f>
        <v>-719477.37293295073</v>
      </c>
      <c r="AE97" s="212"/>
      <c r="AF97" s="212">
        <f>(BaseLoad!F96*'Base Hours'!V97*IS!$B$2)*-1</f>
        <v>-128581.98450367518</v>
      </c>
      <c r="AG97" s="212"/>
    </row>
    <row r="98" spans="1:33" x14ac:dyDescent="0.2">
      <c r="A98" s="1">
        <f t="shared" si="3"/>
        <v>39216.696000000113</v>
      </c>
      <c r="B98" s="180">
        <f>IF($A$1="Peak","-",'Base Hours'!B98*BaseLoad!H97*IS!$B$2)</f>
        <v>85611.458110923151</v>
      </c>
      <c r="C98" s="180">
        <f>IF($A$1="Peak","-",'Base Hours'!C98*BaseLoad!I97*IS!$B$2)</f>
        <v>78446.617695404973</v>
      </c>
      <c r="D98" s="180">
        <f>IF($A$1="Peak","-",'Base Hours'!D98*BaseLoad!J97*IS!$B$2)</f>
        <v>148135.80213990304</v>
      </c>
      <c r="E98" s="180">
        <f>IF($A$1="Peak","-",'Base Hours'!E98*BaseLoad!K97*IS!$B$2)</f>
        <v>273674.88379075984</v>
      </c>
      <c r="F98" s="180">
        <f>IF($A$1="Peak","-",'Base Hours'!F98*BaseLoad!L97*IS!$B$2)</f>
        <v>267467.15241181711</v>
      </c>
      <c r="G98" s="180">
        <f>IF($A$1="Peak","-",'Base Hours'!G98*BaseLoad!M97*IS!$B$2)</f>
        <v>512331.89746224275</v>
      </c>
      <c r="H98" s="180">
        <f>IF($A$1="Peak","-",'Base Hours'!H98*BaseLoad!N97*IS!$B$2)</f>
        <v>399157.42096087011</v>
      </c>
      <c r="I98" s="180">
        <f>IF($A$1="Peak","-",'Base Hours'!I98*BaseLoad!O97*IS!$B$2)</f>
        <v>373181.58521511481</v>
      </c>
      <c r="J98" s="180">
        <f>IF($A$1="Peak","-",'Base Hours'!J98*BaseLoad!P97*IS!$B$2)</f>
        <v>345063.97626479197</v>
      </c>
      <c r="K98" s="180">
        <f>IF($A$1="Peak","-",'Base Hours'!K98*BaseLoad!Q97*IS!$B$2)</f>
        <v>327643.39727947325</v>
      </c>
      <c r="L98" s="180">
        <f>IF($A$1="Peak","-",'Base Hours'!L98*BaseLoad!R97*IS!$B$2)</f>
        <v>320643.76531596773</v>
      </c>
      <c r="M98" s="180">
        <f>IF($A$1="Peak","-",'Base Hours'!M98*BaseLoad!S97*IS!$B$2)</f>
        <v>309865.97790764051</v>
      </c>
      <c r="N98" s="180">
        <f>IF($A$1="Peak","-",'Base Hours'!N98*BaseLoad!T97*IS!$B$2)</f>
        <v>306464.06110721402</v>
      </c>
      <c r="O98" s="180">
        <f>IF($A$1="Peak","-",'Base Hours'!O98*BaseLoad!U97*IS!$B$2)</f>
        <v>303715.78640921885</v>
      </c>
      <c r="P98" s="180">
        <f>IF($A$1="Peak","-",'Base Hours'!P98*BaseLoad!V97*IS!$B$2)</f>
        <v>300393.23959286639</v>
      </c>
      <c r="Q98" s="180">
        <f>IF($A$1="Peak","-",'Base Hours'!Q98*BaseLoad!W97*IS!$B$2)</f>
        <v>283400.02835152246</v>
      </c>
      <c r="R98" s="180">
        <f>IF($A$1="Peak","-",'Base Hours'!R98*BaseLoad!X97*IS!$B$2)</f>
        <v>273238.546540568</v>
      </c>
      <c r="S98" s="180">
        <f>IF($A$1="Peak","-",'Base Hours'!S98*BaseLoad!Y97*IS!$B$2)</f>
        <v>271582.82355727785</v>
      </c>
      <c r="T98" s="180">
        <f>IF($A$1="Peak","-",'Base Hours'!T98*BaseLoad!Z97*IS!$B$2)</f>
        <v>269441.30647659849</v>
      </c>
      <c r="U98" s="180">
        <f>IF($A$1="Peak","-",'Base Hours'!U98*BaseLoad!AA97*IS!$B$2)</f>
        <v>732331.57022353448</v>
      </c>
      <c r="V98" s="180">
        <f t="shared" si="4"/>
        <v>5449459.7265901743</v>
      </c>
      <c r="W98" s="180"/>
      <c r="X98" s="180"/>
      <c r="Y98" s="212"/>
      <c r="Z98" s="212">
        <f>(BaseLoad!C97*'Base Hours'!V98*IS!$B$2)*-1</f>
        <v>-1766690.2523688949</v>
      </c>
      <c r="AA98" s="212"/>
      <c r="AB98" s="212">
        <f>(BaseLoad!D97*'Base Hours'!V98*IS!$B$2)*-1</f>
        <v>-167331.53835160541</v>
      </c>
      <c r="AC98" s="212"/>
      <c r="AD98" s="212">
        <f>(BaseLoad!E97*'Base Hours'!V98*IS!$B$2)*-1</f>
        <v>-719477.37293295073</v>
      </c>
      <c r="AE98" s="212"/>
      <c r="AF98" s="212">
        <f>(BaseLoad!F97*'Base Hours'!V98*IS!$B$2)*-1</f>
        <v>-128581.98450367518</v>
      </c>
      <c r="AG98" s="212"/>
    </row>
    <row r="99" spans="1:33" x14ac:dyDescent="0.2">
      <c r="A99" s="1">
        <f t="shared" si="3"/>
        <v>39247.113000000114</v>
      </c>
      <c r="B99" s="180">
        <f>IF($A$1="Peak","-",'Base Hours'!B99*BaseLoad!H98*IS!$B$2)</f>
        <v>238639.23491564166</v>
      </c>
      <c r="C99" s="180">
        <f>IF($A$1="Peak","-",'Base Hours'!C99*BaseLoad!I98*IS!$B$2)</f>
        <v>192818.04397835984</v>
      </c>
      <c r="D99" s="180">
        <f>IF($A$1="Peak","-",'Base Hours'!D99*BaseLoad!J98*IS!$B$2)</f>
        <v>317928.8696495152</v>
      </c>
      <c r="E99" s="180">
        <f>IF($A$1="Peak","-",'Base Hours'!E99*BaseLoad!K98*IS!$B$2)</f>
        <v>404310.99536471983</v>
      </c>
      <c r="F99" s="180">
        <f>IF($A$1="Peak","-",'Base Hours'!F99*BaseLoad!L98*IS!$B$2)</f>
        <v>337469.88003928046</v>
      </c>
      <c r="G99" s="180">
        <f>IF($A$1="Peak","-",'Base Hours'!G99*BaseLoad!M98*IS!$B$2)</f>
        <v>592269.51051263278</v>
      </c>
      <c r="H99" s="180">
        <f>IF($A$1="Peak","-",'Base Hours'!H99*BaseLoad!N98*IS!$B$2)</f>
        <v>545568.5235102002</v>
      </c>
      <c r="I99" s="180">
        <f>IF($A$1="Peak","-",'Base Hours'!I99*BaseLoad!O98*IS!$B$2)</f>
        <v>498838.08108553838</v>
      </c>
      <c r="J99" s="180">
        <f>IF($A$1="Peak","-",'Base Hours'!J99*BaseLoad!P98*IS!$B$2)</f>
        <v>407290.11640960554</v>
      </c>
      <c r="K99" s="180">
        <f>IF($A$1="Peak","-",'Base Hours'!K99*BaseLoad!Q98*IS!$B$2)</f>
        <v>380734.68079995608</v>
      </c>
      <c r="L99" s="180">
        <f>IF($A$1="Peak","-",'Base Hours'!L99*BaseLoad!R98*IS!$B$2)</f>
        <v>308775.34705877054</v>
      </c>
      <c r="M99" s="180">
        <f>IF($A$1="Peak","-",'Base Hours'!M99*BaseLoad!S98*IS!$B$2)</f>
        <v>278681.06802210835</v>
      </c>
      <c r="N99" s="180">
        <f>IF($A$1="Peak","-",'Base Hours'!N99*BaseLoad!T98*IS!$B$2)</f>
        <v>268563.96837099048</v>
      </c>
      <c r="O99" s="180">
        <f>IF($A$1="Peak","-",'Base Hours'!O99*BaseLoad!U98*IS!$B$2)</f>
        <v>268007.80290802184</v>
      </c>
      <c r="P99" s="180">
        <f>IF($A$1="Peak","-",'Base Hours'!P99*BaseLoad!V98*IS!$B$2)</f>
        <v>265549.38344086567</v>
      </c>
      <c r="Q99" s="180">
        <f>IF($A$1="Peak","-",'Base Hours'!Q99*BaseLoad!W98*IS!$B$2)</f>
        <v>262822.53582765802</v>
      </c>
      <c r="R99" s="180">
        <f>IF($A$1="Peak","-",'Base Hours'!R99*BaseLoad!X98*IS!$B$2)</f>
        <v>253512.71613902174</v>
      </c>
      <c r="S99" s="180">
        <f>IF($A$1="Peak","-",'Base Hours'!S99*BaseLoad!Y98*IS!$B$2)</f>
        <v>243799.66889400966</v>
      </c>
      <c r="T99" s="180">
        <f>IF($A$1="Peak","-",'Base Hours'!T99*BaseLoad!Z98*IS!$B$2)</f>
        <v>231247.87002543992</v>
      </c>
      <c r="U99" s="180">
        <f>IF($A$1="Peak","-",'Base Hours'!U99*BaseLoad!AA98*IS!$B$2)</f>
        <v>585153.11157358252</v>
      </c>
      <c r="V99" s="180">
        <f t="shared" si="4"/>
        <v>6289711.8980132863</v>
      </c>
      <c r="W99" s="180"/>
      <c r="X99" s="180"/>
      <c r="Y99" s="212"/>
      <c r="Z99" s="212">
        <f>(BaseLoad!C98*'Base Hours'!V99*IS!$B$2)*-1</f>
        <v>-1766690.2523688949</v>
      </c>
      <c r="AA99" s="212"/>
      <c r="AB99" s="212">
        <f>(BaseLoad!D98*'Base Hours'!V99*IS!$B$2)*-1</f>
        <v>-167610.42424885812</v>
      </c>
      <c r="AC99" s="212"/>
      <c r="AD99" s="212">
        <f>(BaseLoad!E98*'Base Hours'!V99*IS!$B$2)*-1</f>
        <v>-719477.37293295073</v>
      </c>
      <c r="AE99" s="212"/>
      <c r="AF99" s="212">
        <f>(BaseLoad!F98*'Base Hours'!V99*IS!$B$2)*-1</f>
        <v>-128581.98450367518</v>
      </c>
      <c r="AG99" s="212"/>
    </row>
    <row r="100" spans="1:33" x14ac:dyDescent="0.2">
      <c r="A100" s="1">
        <f t="shared" si="3"/>
        <v>39277.530000000115</v>
      </c>
      <c r="B100" s="180">
        <f>IF($A$1="Peak","-",'Base Hours'!B100*BaseLoad!H99*IS!$B$2)</f>
        <v>332608.11398828356</v>
      </c>
      <c r="C100" s="180">
        <f>IF($A$1="Peak","-",'Base Hours'!C100*BaseLoad!I99*IS!$B$2)</f>
        <v>254911.29519873258</v>
      </c>
      <c r="D100" s="180">
        <f>IF($A$1="Peak","-",'Base Hours'!D100*BaseLoad!J99*IS!$B$2)</f>
        <v>416237.36134478345</v>
      </c>
      <c r="E100" s="180">
        <f>IF($A$1="Peak","-",'Base Hours'!E100*BaseLoad!K99*IS!$B$2)</f>
        <v>660282.40989253239</v>
      </c>
      <c r="F100" s="180">
        <f>IF($A$1="Peak","-",'Base Hours'!F100*BaseLoad!L99*IS!$B$2)</f>
        <v>426462.68286855344</v>
      </c>
      <c r="G100" s="180">
        <f>IF($A$1="Peak","-",'Base Hours'!G100*BaseLoad!M99*IS!$B$2)</f>
        <v>758483.62590794254</v>
      </c>
      <c r="H100" s="180">
        <f>IF($A$1="Peak","-",'Base Hours'!H100*BaseLoad!N99*IS!$B$2)</f>
        <v>694722.32091378316</v>
      </c>
      <c r="I100" s="180">
        <f>IF($A$1="Peak","-",'Base Hours'!I100*BaseLoad!O99*IS!$B$2)</f>
        <v>673391.96908874402</v>
      </c>
      <c r="J100" s="180">
        <f>IF($A$1="Peak","-",'Base Hours'!J100*BaseLoad!P99*IS!$B$2)</f>
        <v>533746.24393580796</v>
      </c>
      <c r="K100" s="180">
        <f>IF($A$1="Peak","-",'Base Hours'!K100*BaseLoad!Q99*IS!$B$2)</f>
        <v>420867.78187990707</v>
      </c>
      <c r="L100" s="180">
        <f>IF($A$1="Peak","-",'Base Hours'!L100*BaseLoad!R99*IS!$B$2)</f>
        <v>383925.10433124017</v>
      </c>
      <c r="M100" s="180">
        <f>IF($A$1="Peak","-",'Base Hours'!M100*BaseLoad!S99*IS!$B$2)</f>
        <v>339451.10371609364</v>
      </c>
      <c r="N100" s="180">
        <f>IF($A$1="Peak","-",'Base Hours'!N100*BaseLoad!T99*IS!$B$2)</f>
        <v>331595.67344621767</v>
      </c>
      <c r="O100" s="180">
        <f>IF($A$1="Peak","-",'Base Hours'!O100*BaseLoad!U99*IS!$B$2)</f>
        <v>331561.81850163138</v>
      </c>
      <c r="P100" s="180">
        <f>IF($A$1="Peak","-",'Base Hours'!P100*BaseLoad!V99*IS!$B$2)</f>
        <v>331560.30832237651</v>
      </c>
      <c r="Q100" s="180">
        <f>IF($A$1="Peak","-",'Base Hours'!Q100*BaseLoad!W99*IS!$B$2)</f>
        <v>330880.1048844576</v>
      </c>
      <c r="R100" s="180">
        <f>IF($A$1="Peak","-",'Base Hours'!R100*BaseLoad!X99*IS!$B$2)</f>
        <v>318101.97892214282</v>
      </c>
      <c r="S100" s="180">
        <f>IF($A$1="Peak","-",'Base Hours'!S100*BaseLoad!Y99*IS!$B$2)</f>
        <v>308419.96560118033</v>
      </c>
      <c r="T100" s="180">
        <f>IF($A$1="Peak","-",'Base Hours'!T100*BaseLoad!Z99*IS!$B$2)</f>
        <v>297278.39437096659</v>
      </c>
      <c r="U100" s="180">
        <f>IF($A$1="Peak","-",'Base Hours'!U100*BaseLoad!AA99*IS!$B$2)</f>
        <v>764183.05083859654</v>
      </c>
      <c r="V100" s="180">
        <f t="shared" si="4"/>
        <v>8144488.257115378</v>
      </c>
      <c r="W100" s="180"/>
      <c r="X100" s="180"/>
      <c r="Y100" s="212"/>
      <c r="Z100" s="212">
        <f>(BaseLoad!C99*'Base Hours'!V100*IS!$B$2)*-1</f>
        <v>-1766690.2523688949</v>
      </c>
      <c r="AA100" s="212"/>
      <c r="AB100" s="212">
        <f>(BaseLoad!D99*'Base Hours'!V100*IS!$B$2)*-1</f>
        <v>-167889.77495593956</v>
      </c>
      <c r="AC100" s="212"/>
      <c r="AD100" s="212">
        <f>(BaseLoad!E99*'Base Hours'!V100*IS!$B$2)*-1</f>
        <v>-719477.37293295073</v>
      </c>
      <c r="AE100" s="212"/>
      <c r="AF100" s="212">
        <f>(BaseLoad!F99*'Base Hours'!V100*IS!$B$2)*-1</f>
        <v>-128581.98450367518</v>
      </c>
      <c r="AG100" s="212"/>
    </row>
    <row r="101" spans="1:33" x14ac:dyDescent="0.2">
      <c r="A101" s="1">
        <f t="shared" si="3"/>
        <v>39307.947000000117</v>
      </c>
      <c r="B101" s="180">
        <f>IF($A$1="Peak","-",'Base Hours'!B101*BaseLoad!H100*IS!$B$2)</f>
        <v>572749.80306471721</v>
      </c>
      <c r="C101" s="180">
        <f>IF($A$1="Peak","-",'Base Hours'!C101*BaseLoad!I100*IS!$B$2)</f>
        <v>392511.85805961723</v>
      </c>
      <c r="D101" s="180">
        <f>IF($A$1="Peak","-",'Base Hours'!D101*BaseLoad!J100*IS!$B$2)</f>
        <v>609626.64065134642</v>
      </c>
      <c r="E101" s="180">
        <f>IF($A$1="Peak","-",'Base Hours'!E101*BaseLoad!K100*IS!$B$2)</f>
        <v>892259.66113075661</v>
      </c>
      <c r="F101" s="180">
        <f>IF($A$1="Peak","-",'Base Hours'!F101*BaseLoad!L100*IS!$B$2)</f>
        <v>710577.25121633417</v>
      </c>
      <c r="G101" s="180">
        <f>IF($A$1="Peak","-",'Base Hours'!G101*BaseLoad!M100*IS!$B$2)</f>
        <v>952868.02468320436</v>
      </c>
      <c r="H101" s="180">
        <f>IF($A$1="Peak","-",'Base Hours'!H101*BaseLoad!N100*IS!$B$2)</f>
        <v>793110.96564431861</v>
      </c>
      <c r="I101" s="180">
        <f>IF($A$1="Peak","-",'Base Hours'!I101*BaseLoad!O100*IS!$B$2)</f>
        <v>744643.92826655007</v>
      </c>
      <c r="J101" s="180">
        <f>IF($A$1="Peak","-",'Base Hours'!J101*BaseLoad!P100*IS!$B$2)</f>
        <v>604403.21846789215</v>
      </c>
      <c r="K101" s="180">
        <f>IF($A$1="Peak","-",'Base Hours'!K101*BaseLoad!Q100*IS!$B$2)</f>
        <v>443531.21719976637</v>
      </c>
      <c r="L101" s="180">
        <f>IF($A$1="Peak","-",'Base Hours'!L101*BaseLoad!R100*IS!$B$2)</f>
        <v>382352.36324103468</v>
      </c>
      <c r="M101" s="180">
        <f>IF($A$1="Peak","-",'Base Hours'!M101*BaseLoad!S100*IS!$B$2)</f>
        <v>360439.11294592888</v>
      </c>
      <c r="N101" s="180">
        <f>IF($A$1="Peak","-",'Base Hours'!N101*BaseLoad!T100*IS!$B$2)</f>
        <v>348681.81825958117</v>
      </c>
      <c r="O101" s="180">
        <f>IF($A$1="Peak","-",'Base Hours'!O101*BaseLoad!U100*IS!$B$2)</f>
        <v>302472.56056124426</v>
      </c>
      <c r="P101" s="180">
        <f>IF($A$1="Peak","-",'Base Hours'!P101*BaseLoad!V100*IS!$B$2)</f>
        <v>295349.41049862065</v>
      </c>
      <c r="Q101" s="180">
        <f>IF($A$1="Peak","-",'Base Hours'!Q101*BaseLoad!W100*IS!$B$2)</f>
        <v>285591.00451381464</v>
      </c>
      <c r="R101" s="180">
        <f>IF($A$1="Peak","-",'Base Hours'!R101*BaseLoad!X100*IS!$B$2)</f>
        <v>277695.48699564789</v>
      </c>
      <c r="S101" s="180">
        <f>IF($A$1="Peak","-",'Base Hours'!S101*BaseLoad!Y100*IS!$B$2)</f>
        <v>268344.9705225958</v>
      </c>
      <c r="T101" s="180">
        <f>IF($A$1="Peak","-",'Base Hours'!T101*BaseLoad!Z100*IS!$B$2)</f>
        <v>261453.19716096765</v>
      </c>
      <c r="U101" s="180">
        <f>IF($A$1="Peak","-",'Base Hours'!U101*BaseLoad!AA100*IS!$B$2)</f>
        <v>648981.1607453163</v>
      </c>
      <c r="V101" s="180">
        <f t="shared" si="4"/>
        <v>9194775.6291460544</v>
      </c>
      <c r="W101" s="180"/>
      <c r="X101" s="180"/>
      <c r="Y101" s="212"/>
      <c r="Z101" s="212">
        <f>(BaseLoad!C100*'Base Hours'!V101*IS!$B$2)*-1</f>
        <v>-1766690.2523688949</v>
      </c>
      <c r="AA101" s="212"/>
      <c r="AB101" s="212">
        <f>(BaseLoad!D100*'Base Hours'!V101*IS!$B$2)*-1</f>
        <v>-168169.59124753278</v>
      </c>
      <c r="AC101" s="212"/>
      <c r="AD101" s="212">
        <f>(BaseLoad!E100*'Base Hours'!V101*IS!$B$2)*-1</f>
        <v>-719477.37293295073</v>
      </c>
      <c r="AE101" s="212"/>
      <c r="AF101" s="212">
        <f>(BaseLoad!F100*'Base Hours'!V101*IS!$B$2)*-1</f>
        <v>-128581.98450367518</v>
      </c>
      <c r="AG101" s="212"/>
    </row>
    <row r="102" spans="1:33" x14ac:dyDescent="0.2">
      <c r="A102" s="1">
        <f t="shared" si="3"/>
        <v>39338.364000000118</v>
      </c>
      <c r="B102" s="180">
        <f>IF($A$1="Peak","-",'Base Hours'!B102*BaseLoad!H101*IS!$B$2)</f>
        <v>254551.57227336246</v>
      </c>
      <c r="C102" s="180">
        <f>IF($A$1="Peak","-",'Base Hours'!C102*BaseLoad!I101*IS!$B$2)</f>
        <v>204037.61129720378</v>
      </c>
      <c r="D102" s="180">
        <f>IF($A$1="Peak","-",'Base Hours'!D102*BaseLoad!J101*IS!$B$2)</f>
        <v>357982.63894346758</v>
      </c>
      <c r="E102" s="180">
        <f>IF($A$1="Peak","-",'Base Hours'!E102*BaseLoad!K101*IS!$B$2)</f>
        <v>425845.02518074139</v>
      </c>
      <c r="F102" s="180">
        <f>IF($A$1="Peak","-",'Base Hours'!F102*BaseLoad!L101*IS!$B$2)</f>
        <v>342983.89619404619</v>
      </c>
      <c r="G102" s="180">
        <f>IF($A$1="Peak","-",'Base Hours'!G102*BaseLoad!M101*IS!$B$2)</f>
        <v>572110.69478574267</v>
      </c>
      <c r="H102" s="180">
        <f>IF($A$1="Peak","-",'Base Hours'!H102*BaseLoad!N101*IS!$B$2)</f>
        <v>510580.42235533526</v>
      </c>
      <c r="I102" s="180">
        <f>IF($A$1="Peak","-",'Base Hours'!I102*BaseLoad!O101*IS!$B$2)</f>
        <v>492387.2528820103</v>
      </c>
      <c r="J102" s="180">
        <f>IF($A$1="Peak","-",'Base Hours'!J102*BaseLoad!P101*IS!$B$2)</f>
        <v>435386.83351834316</v>
      </c>
      <c r="K102" s="180">
        <f>IF($A$1="Peak","-",'Base Hours'!K102*BaseLoad!Q101*IS!$B$2)</f>
        <v>390386.81927776797</v>
      </c>
      <c r="L102" s="180">
        <f>IF($A$1="Peak","-",'Base Hours'!L102*BaseLoad!R101*IS!$B$2)</f>
        <v>350664.47499634494</v>
      </c>
      <c r="M102" s="180">
        <f>IF($A$1="Peak","-",'Base Hours'!M102*BaseLoad!S101*IS!$B$2)</f>
        <v>305550.85722497141</v>
      </c>
      <c r="N102" s="180">
        <f>IF($A$1="Peak","-",'Base Hours'!N102*BaseLoad!T101*IS!$B$2)</f>
        <v>275187.54744946869</v>
      </c>
      <c r="O102" s="180">
        <f>IF($A$1="Peak","-",'Base Hours'!O102*BaseLoad!U101*IS!$B$2)</f>
        <v>263227.29097113624</v>
      </c>
      <c r="P102" s="180">
        <f>IF($A$1="Peak","-",'Base Hours'!P102*BaseLoad!V101*IS!$B$2)</f>
        <v>259383.97307797533</v>
      </c>
      <c r="Q102" s="180">
        <f>IF($A$1="Peak","-",'Base Hours'!Q102*BaseLoad!W101*IS!$B$2)</f>
        <v>253119.50822943769</v>
      </c>
      <c r="R102" s="180">
        <f>IF($A$1="Peak","-",'Base Hours'!R102*BaseLoad!X101*IS!$B$2)</f>
        <v>246377.61508822354</v>
      </c>
      <c r="S102" s="180">
        <f>IF($A$1="Peak","-",'Base Hours'!S102*BaseLoad!Y101*IS!$B$2)</f>
        <v>246178.45897006377</v>
      </c>
      <c r="T102" s="180">
        <f>IF($A$1="Peak","-",'Base Hours'!T102*BaseLoad!Z101*IS!$B$2)</f>
        <v>245374.74039612297</v>
      </c>
      <c r="U102" s="180">
        <f>IF($A$1="Peak","-",'Base Hours'!U102*BaseLoad!AA101*IS!$B$2)</f>
        <v>611404.19064826961</v>
      </c>
      <c r="V102" s="180">
        <f t="shared" si="4"/>
        <v>6431317.2331117643</v>
      </c>
      <c r="W102" s="180"/>
      <c r="X102" s="180"/>
      <c r="Y102" s="212"/>
      <c r="Z102" s="212">
        <f>(BaseLoad!C101*'Base Hours'!V102*IS!$B$2)*-1</f>
        <v>-1766690.2523688949</v>
      </c>
      <c r="AA102" s="212"/>
      <c r="AB102" s="212">
        <f>(BaseLoad!D101*'Base Hours'!V102*IS!$B$2)*-1</f>
        <v>-168449.87389961202</v>
      </c>
      <c r="AC102" s="212"/>
      <c r="AD102" s="212">
        <f>(BaseLoad!E101*'Base Hours'!V102*IS!$B$2)*-1</f>
        <v>-719477.37293295073</v>
      </c>
      <c r="AE102" s="212"/>
      <c r="AF102" s="212">
        <f>(BaseLoad!F101*'Base Hours'!V102*IS!$B$2)*-1</f>
        <v>-128581.98450367518</v>
      </c>
      <c r="AG102" s="212"/>
    </row>
    <row r="103" spans="1:33" x14ac:dyDescent="0.2">
      <c r="A103" s="1">
        <f t="shared" si="3"/>
        <v>39368.781000000119</v>
      </c>
      <c r="B103" s="180">
        <f>IF($A$1="Peak","-",'Base Hours'!B103*BaseLoad!H102*IS!$B$2)</f>
        <v>102341.0964860196</v>
      </c>
      <c r="C103" s="180">
        <f>IF($A$1="Peak","-",'Base Hours'!C103*BaseLoad!I102*IS!$B$2)</f>
        <v>90620.492173317645</v>
      </c>
      <c r="D103" s="180">
        <f>IF($A$1="Peak","-",'Base Hours'!D103*BaseLoad!J102*IS!$B$2)</f>
        <v>170946.69741731414</v>
      </c>
      <c r="E103" s="180">
        <f>IF($A$1="Peak","-",'Base Hours'!E103*BaseLoad!K102*IS!$B$2)</f>
        <v>321788.1903656245</v>
      </c>
      <c r="F103" s="180">
        <f>IF($A$1="Peak","-",'Base Hours'!F103*BaseLoad!L102*IS!$B$2)</f>
        <v>305948.71241177956</v>
      </c>
      <c r="G103" s="180">
        <f>IF($A$1="Peak","-",'Base Hours'!G103*BaseLoad!M102*IS!$B$2)</f>
        <v>571516.25188019138</v>
      </c>
      <c r="H103" s="180">
        <f>IF($A$1="Peak","-",'Base Hours'!H103*BaseLoad!N102*IS!$B$2)</f>
        <v>567607.901844571</v>
      </c>
      <c r="I103" s="180">
        <f>IF($A$1="Peak","-",'Base Hours'!I103*BaseLoad!O102*IS!$B$2)</f>
        <v>534764.04905214068</v>
      </c>
      <c r="J103" s="180">
        <f>IF($A$1="Peak","-",'Base Hours'!J103*BaseLoad!P102*IS!$B$2)</f>
        <v>417738.7283498827</v>
      </c>
      <c r="K103" s="180">
        <f>IF($A$1="Peak","-",'Base Hours'!K103*BaseLoad!Q102*IS!$B$2)</f>
        <v>399137.87991543964</v>
      </c>
      <c r="L103" s="180">
        <f>IF($A$1="Peak","-",'Base Hours'!L103*BaseLoad!R102*IS!$B$2)</f>
        <v>371693.96372540877</v>
      </c>
      <c r="M103" s="180">
        <f>IF($A$1="Peak","-",'Base Hours'!M103*BaseLoad!S102*IS!$B$2)</f>
        <v>324082.00761300133</v>
      </c>
      <c r="N103" s="180">
        <f>IF($A$1="Peak","-",'Base Hours'!N103*BaseLoad!T102*IS!$B$2)</f>
        <v>303373.00993017084</v>
      </c>
      <c r="O103" s="180">
        <f>IF($A$1="Peak","-",'Base Hours'!O103*BaseLoad!U102*IS!$B$2)</f>
        <v>285317.53582784085</v>
      </c>
      <c r="P103" s="180">
        <f>IF($A$1="Peak","-",'Base Hours'!P103*BaseLoad!V102*IS!$B$2)</f>
        <v>283926.8692602255</v>
      </c>
      <c r="Q103" s="180">
        <f>IF($A$1="Peak","-",'Base Hours'!Q103*BaseLoad!W102*IS!$B$2)</f>
        <v>282077.00648890791</v>
      </c>
      <c r="R103" s="180">
        <f>IF($A$1="Peak","-",'Base Hours'!R103*BaseLoad!X102*IS!$B$2)</f>
        <v>280896.35065212176</v>
      </c>
      <c r="S103" s="180">
        <f>IF($A$1="Peak","-",'Base Hours'!S103*BaseLoad!Y102*IS!$B$2)</f>
        <v>279320.09932215291</v>
      </c>
      <c r="T103" s="180">
        <f>IF($A$1="Peak","-",'Base Hours'!T103*BaseLoad!Z102*IS!$B$2)</f>
        <v>271644.98337559897</v>
      </c>
      <c r="U103" s="180">
        <f>IF($A$1="Peak","-",'Base Hours'!U103*BaseLoad!AA102*IS!$B$2)</f>
        <v>653775.80914776982</v>
      </c>
      <c r="V103" s="180">
        <f t="shared" si="4"/>
        <v>6164741.8260917095</v>
      </c>
      <c r="W103" s="180"/>
      <c r="X103" s="180"/>
      <c r="Y103" s="212"/>
      <c r="Z103" s="212">
        <f>(BaseLoad!C102*'Base Hours'!V103*IS!$B$2)*-1</f>
        <v>-1766690.2523688949</v>
      </c>
      <c r="AA103" s="212"/>
      <c r="AB103" s="212">
        <f>(BaseLoad!D102*'Base Hours'!V103*IS!$B$2)*-1</f>
        <v>-168730.62368944471</v>
      </c>
      <c r="AC103" s="212"/>
      <c r="AD103" s="212">
        <f>(BaseLoad!E102*'Base Hours'!V103*IS!$B$2)*-1</f>
        <v>-719477.37293295073</v>
      </c>
      <c r="AE103" s="212"/>
      <c r="AF103" s="212">
        <f>(BaseLoad!F102*'Base Hours'!V103*IS!$B$2)*-1</f>
        <v>-128581.98450367518</v>
      </c>
      <c r="AG103" s="212"/>
    </row>
    <row r="104" spans="1:33" x14ac:dyDescent="0.2">
      <c r="A104" s="1">
        <f t="shared" si="3"/>
        <v>39399.19800000012</v>
      </c>
      <c r="B104" s="180">
        <f>IF($A$1="Peak","-",'Base Hours'!B104*BaseLoad!H103*IS!$B$2)</f>
        <v>98946.049446786958</v>
      </c>
      <c r="C104" s="180">
        <f>IF($A$1="Peak","-",'Base Hours'!C104*BaseLoad!I103*IS!$B$2)</f>
        <v>95988.454206898125</v>
      </c>
      <c r="D104" s="180">
        <f>IF($A$1="Peak","-",'Base Hours'!D104*BaseLoad!J103*IS!$B$2)</f>
        <v>184391.1627471557</v>
      </c>
      <c r="E104" s="180">
        <f>IF($A$1="Peak","-",'Base Hours'!E104*BaseLoad!K103*IS!$B$2)</f>
        <v>348272.25880051631</v>
      </c>
      <c r="F104" s="180">
        <f>IF($A$1="Peak","-",'Base Hours'!F104*BaseLoad!L103*IS!$B$2)</f>
        <v>332008.34557641536</v>
      </c>
      <c r="G104" s="180">
        <f>IF($A$1="Peak","-",'Base Hours'!G104*BaseLoad!M103*IS!$B$2)</f>
        <v>661161.0545115727</v>
      </c>
      <c r="H104" s="180">
        <f>IF($A$1="Peak","-",'Base Hours'!H104*BaseLoad!N103*IS!$B$2)</f>
        <v>616903.11948650505</v>
      </c>
      <c r="I104" s="180">
        <f>IF($A$1="Peak","-",'Base Hours'!I104*BaseLoad!O103*IS!$B$2)</f>
        <v>467685.45225501299</v>
      </c>
      <c r="J104" s="180">
        <f>IF($A$1="Peak","-",'Base Hours'!J104*BaseLoad!P103*IS!$B$2)</f>
        <v>426750.35046238772</v>
      </c>
      <c r="K104" s="180">
        <f>IF($A$1="Peak","-",'Base Hours'!K104*BaseLoad!Q103*IS!$B$2)</f>
        <v>374465.67387685727</v>
      </c>
      <c r="L104" s="180">
        <f>IF($A$1="Peak","-",'Base Hours'!L104*BaseLoad!R103*IS!$B$2)</f>
        <v>370961.64052284037</v>
      </c>
      <c r="M104" s="180">
        <f>IF($A$1="Peak","-",'Base Hours'!M104*BaseLoad!S103*IS!$B$2)</f>
        <v>347334.68868265714</v>
      </c>
      <c r="N104" s="180">
        <f>IF($A$1="Peak","-",'Base Hours'!N104*BaseLoad!T103*IS!$B$2)</f>
        <v>333381.44803197583</v>
      </c>
      <c r="O104" s="180">
        <f>IF($A$1="Peak","-",'Base Hours'!O104*BaseLoad!U103*IS!$B$2)</f>
        <v>327467.60613550496</v>
      </c>
      <c r="P104" s="180">
        <f>IF($A$1="Peak","-",'Base Hours'!P104*BaseLoad!V103*IS!$B$2)</f>
        <v>327392.9570580931</v>
      </c>
      <c r="Q104" s="180">
        <f>IF($A$1="Peak","-",'Base Hours'!Q104*BaseLoad!W103*IS!$B$2)</f>
        <v>327392.9570580931</v>
      </c>
      <c r="R104" s="180">
        <f>IF($A$1="Peak","-",'Base Hours'!R104*BaseLoad!X103*IS!$B$2)</f>
        <v>327392.9570580931</v>
      </c>
      <c r="S104" s="180">
        <f>IF($A$1="Peak","-",'Base Hours'!S104*BaseLoad!Y103*IS!$B$2)</f>
        <v>327392.9570580931</v>
      </c>
      <c r="T104" s="180">
        <f>IF($A$1="Peak","-",'Base Hours'!T104*BaseLoad!Z103*IS!$B$2)</f>
        <v>322638.02476969262</v>
      </c>
      <c r="U104" s="180">
        <f>IF($A$1="Peak","-",'Base Hours'!U104*BaseLoad!AA103*IS!$B$2)</f>
        <v>840279.79215680587</v>
      </c>
      <c r="V104" s="180">
        <f t="shared" si="4"/>
        <v>6617927.1577451536</v>
      </c>
      <c r="W104" s="180"/>
      <c r="X104" s="180"/>
      <c r="Y104" s="212"/>
      <c r="Z104" s="212">
        <f>(BaseLoad!C103*'Base Hours'!V104*IS!$B$2)*-1</f>
        <v>-1766690.2523688949</v>
      </c>
      <c r="AA104" s="212"/>
      <c r="AB104" s="212">
        <f>(BaseLoad!D103*'Base Hours'!V104*IS!$B$2)*-1</f>
        <v>-169011.84139559377</v>
      </c>
      <c r="AC104" s="212"/>
      <c r="AD104" s="212">
        <f>(BaseLoad!E103*'Base Hours'!V104*IS!$B$2)*-1</f>
        <v>-719477.37293295073</v>
      </c>
      <c r="AE104" s="212"/>
      <c r="AF104" s="212">
        <f>(BaseLoad!F103*'Base Hours'!V104*IS!$B$2)*-1</f>
        <v>-128581.98450367518</v>
      </c>
      <c r="AG104" s="212"/>
    </row>
    <row r="105" spans="1:33" x14ac:dyDescent="0.2">
      <c r="A105" s="1">
        <f t="shared" si="3"/>
        <v>39429.615000000122</v>
      </c>
      <c r="B105" s="180">
        <f>IF($A$1="Peak","-",'Base Hours'!B105*BaseLoad!H104*IS!$B$2)</f>
        <v>111797.1157691807</v>
      </c>
      <c r="C105" s="180">
        <f>IF($A$1="Peak","-",'Base Hours'!C105*BaseLoad!I104*IS!$B$2)</f>
        <v>107204.21568318832</v>
      </c>
      <c r="D105" s="180">
        <f>IF($A$1="Peak","-",'Base Hours'!D105*BaseLoad!J104*IS!$B$2)</f>
        <v>208361.8774111653</v>
      </c>
      <c r="E105" s="180">
        <f>IF($A$1="Peak","-",'Base Hours'!E105*BaseLoad!K104*IS!$B$2)</f>
        <v>397270.47580652771</v>
      </c>
      <c r="F105" s="180">
        <f>IF($A$1="Peak","-",'Base Hours'!F105*BaseLoad!L104*IS!$B$2)</f>
        <v>379041.89992935967</v>
      </c>
      <c r="G105" s="180">
        <f>IF($A$1="Peak","-",'Base Hours'!G105*BaseLoad!M104*IS!$B$2)</f>
        <v>754687.62719268433</v>
      </c>
      <c r="H105" s="180">
        <f>IF($A$1="Peak","-",'Base Hours'!H105*BaseLoad!N104*IS!$B$2)</f>
        <v>712454.51780464419</v>
      </c>
      <c r="I105" s="180">
        <f>IF($A$1="Peak","-",'Base Hours'!I105*BaseLoad!O104*IS!$B$2)</f>
        <v>550339.6719582011</v>
      </c>
      <c r="J105" s="180">
        <f>IF($A$1="Peak","-",'Base Hours'!J105*BaseLoad!P104*IS!$B$2)</f>
        <v>483494.80560361309</v>
      </c>
      <c r="K105" s="180">
        <f>IF($A$1="Peak","-",'Base Hours'!K105*BaseLoad!Q104*IS!$B$2)</f>
        <v>425119.15820318781</v>
      </c>
      <c r="L105" s="180">
        <f>IF($A$1="Peak","-",'Base Hours'!L105*BaseLoad!R104*IS!$B$2)</f>
        <v>407728.25208660081</v>
      </c>
      <c r="M105" s="180">
        <f>IF($A$1="Peak","-",'Base Hours'!M105*BaseLoad!S104*IS!$B$2)</f>
        <v>370192.50846417708</v>
      </c>
      <c r="N105" s="180">
        <f>IF($A$1="Peak","-",'Base Hours'!N105*BaseLoad!T104*IS!$B$2)</f>
        <v>369245.83138759155</v>
      </c>
      <c r="O105" s="180">
        <f>IF($A$1="Peak","-",'Base Hours'!O105*BaseLoad!U104*IS!$B$2)</f>
        <v>362223.43012116232</v>
      </c>
      <c r="P105" s="180">
        <f>IF($A$1="Peak","-",'Base Hours'!P105*BaseLoad!V104*IS!$B$2)</f>
        <v>361089.62493001524</v>
      </c>
      <c r="Q105" s="180">
        <f>IF($A$1="Peak","-",'Base Hours'!Q105*BaseLoad!W104*IS!$B$2)</f>
        <v>361088.9055858099</v>
      </c>
      <c r="R105" s="180">
        <f>IF($A$1="Peak","-",'Base Hours'!R105*BaseLoad!X104*IS!$B$2)</f>
        <v>361088.24667258869</v>
      </c>
      <c r="S105" s="180">
        <f>IF($A$1="Peak","-",'Base Hours'!S105*BaseLoad!Y104*IS!$B$2)</f>
        <v>361087.56016565359</v>
      </c>
      <c r="T105" s="180">
        <f>IF($A$1="Peak","-",'Base Hours'!T105*BaseLoad!Z104*IS!$B$2)</f>
        <v>357457.84997891868</v>
      </c>
      <c r="U105" s="180">
        <f>IF($A$1="Peak","-",'Base Hours'!U105*BaseLoad!AA104*IS!$B$2)</f>
        <v>848068.78201334155</v>
      </c>
      <c r="V105" s="180">
        <f t="shared" si="4"/>
        <v>7440973.5747542698</v>
      </c>
      <c r="W105" s="180"/>
      <c r="X105" s="180"/>
      <c r="Y105" s="212">
        <f>SUM(B94:U105)</f>
        <v>89448484.441775069</v>
      </c>
      <c r="Z105" s="212">
        <f>(BaseLoad!C104*'Base Hours'!V105*IS!$B$2)*-1</f>
        <v>-1766690.2523688949</v>
      </c>
      <c r="AA105" s="212">
        <f>SUM(Z94:Z105)</f>
        <v>-21200283.028426737</v>
      </c>
      <c r="AB105" s="212">
        <f>(BaseLoad!D104*'Base Hours'!V105*IS!$B$2)*-1</f>
        <v>-169293.52779791976</v>
      </c>
      <c r="AC105" s="212">
        <f>SUM(AB94:AB105)</f>
        <v>-2013033.7591751928</v>
      </c>
      <c r="AD105" s="212">
        <f>(BaseLoad!E104*'Base Hours'!V105*IS!$B$2)*-1</f>
        <v>-719477.37293295073</v>
      </c>
      <c r="AE105" s="212">
        <f>SUM(AD94:AD105)</f>
        <v>-8633728.4751954097</v>
      </c>
      <c r="AF105" s="212">
        <f>(BaseLoad!F104*'Base Hours'!V105*IS!$B$2)*-1</f>
        <v>-128581.98450367518</v>
      </c>
      <c r="AG105" s="212">
        <f>SUM(AF94:AF105)</f>
        <v>-1542983.8140441023</v>
      </c>
    </row>
    <row r="106" spans="1:33" x14ac:dyDescent="0.2">
      <c r="A106" s="1">
        <f t="shared" si="3"/>
        <v>39460.032000000123</v>
      </c>
      <c r="B106" s="180">
        <f>IF($A$1="Peak","-",'Base Hours'!B106*BaseLoad!H105*IS!$B$2)</f>
        <v>165605.45231067055</v>
      </c>
      <c r="C106" s="180">
        <f>IF($A$1="Peak","-",'Base Hours'!C106*BaseLoad!I105*IS!$B$2)</f>
        <v>137222.15300919971</v>
      </c>
      <c r="D106" s="180">
        <f>IF($A$1="Peak","-",'Base Hours'!D106*BaseLoad!J105*IS!$B$2)</f>
        <v>235500.79964747015</v>
      </c>
      <c r="E106" s="180">
        <f>IF($A$1="Peak","-",'Base Hours'!E106*BaseLoad!K105*IS!$B$2)</f>
        <v>371763.82656101603</v>
      </c>
      <c r="F106" s="180">
        <f>IF($A$1="Peak","-",'Base Hours'!F106*BaseLoad!L105*IS!$B$2)</f>
        <v>347346.51924886572</v>
      </c>
      <c r="G106" s="180">
        <f>IF($A$1="Peak","-",'Base Hours'!G106*BaseLoad!M105*IS!$B$2)</f>
        <v>645817.48603333719</v>
      </c>
      <c r="H106" s="180">
        <f>IF($A$1="Peak","-",'Base Hours'!H106*BaseLoad!N105*IS!$B$2)</f>
        <v>628151.94414724479</v>
      </c>
      <c r="I106" s="180">
        <f>IF($A$1="Peak","-",'Base Hours'!I106*BaseLoad!O105*IS!$B$2)</f>
        <v>612446.43952894595</v>
      </c>
      <c r="J106" s="180">
        <f>IF($A$1="Peak","-",'Base Hours'!J106*BaseLoad!P105*IS!$B$2)</f>
        <v>501546.51895553467</v>
      </c>
      <c r="K106" s="180">
        <f>IF($A$1="Peak","-",'Base Hours'!K106*BaseLoad!Q105*IS!$B$2)</f>
        <v>432979.26616292639</v>
      </c>
      <c r="L106" s="180">
        <f>IF($A$1="Peak","-",'Base Hours'!L106*BaseLoad!R105*IS!$B$2)</f>
        <v>371014.73610144173</v>
      </c>
      <c r="M106" s="180">
        <f>IF($A$1="Peak","-",'Base Hours'!M106*BaseLoad!S105*IS!$B$2)</f>
        <v>356180.13541313959</v>
      </c>
      <c r="N106" s="180">
        <f>IF($A$1="Peak","-",'Base Hours'!N106*BaseLoad!T105*IS!$B$2)</f>
        <v>341437.97689793352</v>
      </c>
      <c r="O106" s="180">
        <f>IF($A$1="Peak","-",'Base Hours'!O106*BaseLoad!U105*IS!$B$2)</f>
        <v>323492.32969243132</v>
      </c>
      <c r="P106" s="180">
        <f>IF($A$1="Peak","-",'Base Hours'!P106*BaseLoad!V105*IS!$B$2)</f>
        <v>311380.99457723566</v>
      </c>
      <c r="Q106" s="180">
        <f>IF($A$1="Peak","-",'Base Hours'!Q106*BaseLoad!W105*IS!$B$2)</f>
        <v>308703.59759470751</v>
      </c>
      <c r="R106" s="180">
        <f>IF($A$1="Peak","-",'Base Hours'!R106*BaseLoad!X105*IS!$B$2)</f>
        <v>307017.28115031152</v>
      </c>
      <c r="S106" s="180">
        <f>IF($A$1="Peak","-",'Base Hours'!S106*BaseLoad!Y105*IS!$B$2)</f>
        <v>306215.06018783426</v>
      </c>
      <c r="T106" s="180">
        <f>IF($A$1="Peak","-",'Base Hours'!T106*BaseLoad!Z105*IS!$B$2)</f>
        <v>306052.94513227243</v>
      </c>
      <c r="U106" s="180">
        <f>IF($A$1="Peak","-",'Base Hours'!U106*BaseLoad!AA105*IS!$B$2)</f>
        <v>806781.09048266883</v>
      </c>
      <c r="V106" s="180">
        <f t="shared" si="4"/>
        <v>7009875.4623525189</v>
      </c>
      <c r="W106" s="180"/>
      <c r="X106" s="180"/>
      <c r="Y106" s="212"/>
      <c r="Z106" s="212">
        <f>(BaseLoad!C105*'Base Hours'!V106*IS!$B$2)*-1</f>
        <v>-1815584.814563798</v>
      </c>
      <c r="AA106" s="212"/>
      <c r="AB106" s="212">
        <f>(BaseLoad!D105*'Base Hours'!V106*IS!$B$2)*-1</f>
        <v>-169575.68367758297</v>
      </c>
      <c r="AC106" s="212"/>
      <c r="AD106" s="212">
        <f>(BaseLoad!E105*'Base Hours'!V106*IS!$B$2)*-1</f>
        <v>-793913.38311645295</v>
      </c>
      <c r="AE106" s="212"/>
      <c r="AF106" s="212">
        <f>(BaseLoad!F105*'Base Hours'!V106*IS!$B$2)*-1</f>
        <v>-108207.18634788167</v>
      </c>
      <c r="AG106" s="212"/>
    </row>
    <row r="107" spans="1:33" x14ac:dyDescent="0.2">
      <c r="A107" s="1">
        <f t="shared" si="3"/>
        <v>39490.449000000124</v>
      </c>
      <c r="B107" s="180">
        <f>IF($A$1="Peak","-",'Base Hours'!B107*BaseLoad!H106*IS!$B$2)</f>
        <v>124454.71598662343</v>
      </c>
      <c r="C107" s="180">
        <f>IF($A$1="Peak","-",'Base Hours'!C107*BaseLoad!I106*IS!$B$2)</f>
        <v>112663.24583442417</v>
      </c>
      <c r="D107" s="180">
        <f>IF($A$1="Peak","-",'Base Hours'!D107*BaseLoad!J106*IS!$B$2)</f>
        <v>215024.08107366477</v>
      </c>
      <c r="E107" s="180">
        <f>IF($A$1="Peak","-",'Base Hours'!E107*BaseLoad!K106*IS!$B$2)</f>
        <v>411150.173580578</v>
      </c>
      <c r="F107" s="180">
        <f>IF($A$1="Peak","-",'Base Hours'!F107*BaseLoad!L106*IS!$B$2)</f>
        <v>389135.30301242223</v>
      </c>
      <c r="G107" s="180">
        <f>IF($A$1="Peak","-",'Base Hours'!G107*BaseLoad!M106*IS!$B$2)</f>
        <v>768597.65565458511</v>
      </c>
      <c r="H107" s="180">
        <f>IF($A$1="Peak","-",'Base Hours'!H107*BaseLoad!N106*IS!$B$2)</f>
        <v>739912.09479360341</v>
      </c>
      <c r="I107" s="180">
        <f>IF($A$1="Peak","-",'Base Hours'!I107*BaseLoad!O106*IS!$B$2)</f>
        <v>616655.36036711733</v>
      </c>
      <c r="J107" s="180">
        <f>IF($A$1="Peak","-",'Base Hours'!J107*BaseLoad!P106*IS!$B$2)</f>
        <v>514037.06255225994</v>
      </c>
      <c r="K107" s="180">
        <f>IF($A$1="Peak","-",'Base Hours'!K107*BaseLoad!Q106*IS!$B$2)</f>
        <v>431084.51488372113</v>
      </c>
      <c r="L107" s="180">
        <f>IF($A$1="Peak","-",'Base Hours'!L107*BaseLoad!R106*IS!$B$2)</f>
        <v>410252.55229589209</v>
      </c>
      <c r="M107" s="180">
        <f>IF($A$1="Peak","-",'Base Hours'!M107*BaseLoad!S106*IS!$B$2)</f>
        <v>367398.28928167047</v>
      </c>
      <c r="N107" s="180">
        <f>IF($A$1="Peak","-",'Base Hours'!N107*BaseLoad!T106*IS!$B$2)</f>
        <v>337547.93499703344</v>
      </c>
      <c r="O107" s="180">
        <f>IF($A$1="Peak","-",'Base Hours'!O107*BaseLoad!U106*IS!$B$2)</f>
        <v>313889.10753480211</v>
      </c>
      <c r="P107" s="180">
        <f>IF($A$1="Peak","-",'Base Hours'!P107*BaseLoad!V106*IS!$B$2)</f>
        <v>304568.93053426238</v>
      </c>
      <c r="Q107" s="180">
        <f>IF($A$1="Peak","-",'Base Hours'!Q107*BaseLoad!W106*IS!$B$2)</f>
        <v>296337.38821178477</v>
      </c>
      <c r="R107" s="180">
        <f>IF($A$1="Peak","-",'Base Hours'!R107*BaseLoad!X106*IS!$B$2)</f>
        <v>285314.62164268515</v>
      </c>
      <c r="S107" s="180">
        <f>IF($A$1="Peak","-",'Base Hours'!S107*BaseLoad!Y106*IS!$B$2)</f>
        <v>272097.8346301376</v>
      </c>
      <c r="T107" s="180">
        <f>IF($A$1="Peak","-",'Base Hours'!T107*BaseLoad!Z106*IS!$B$2)</f>
        <v>261351.93663228626</v>
      </c>
      <c r="U107" s="180">
        <f>IF($A$1="Peak","-",'Base Hours'!U107*BaseLoad!AA106*IS!$B$2)</f>
        <v>685318.08944003412</v>
      </c>
      <c r="V107" s="180">
        <f t="shared" si="4"/>
        <v>7088193.2372850031</v>
      </c>
      <c r="W107" s="180"/>
      <c r="X107" s="180"/>
      <c r="Y107" s="212"/>
      <c r="Z107" s="212">
        <f>(BaseLoad!C106*'Base Hours'!V107*IS!$B$2)*-1</f>
        <v>-1815584.814563798</v>
      </c>
      <c r="AA107" s="212"/>
      <c r="AB107" s="212">
        <f>(BaseLoad!D106*'Base Hours'!V107*IS!$B$2)*-1</f>
        <v>-169858.30981704561</v>
      </c>
      <c r="AC107" s="212"/>
      <c r="AD107" s="212">
        <f>(BaseLoad!E106*'Base Hours'!V107*IS!$B$2)*-1</f>
        <v>-793913.38311645295</v>
      </c>
      <c r="AE107" s="212"/>
      <c r="AF107" s="212">
        <f>(BaseLoad!F106*'Base Hours'!V107*IS!$B$2)*-1</f>
        <v>-108207.18634788167</v>
      </c>
      <c r="AG107" s="212"/>
    </row>
    <row r="108" spans="1:33" x14ac:dyDescent="0.2">
      <c r="A108" s="1">
        <f t="shared" si="3"/>
        <v>39520.866000000125</v>
      </c>
      <c r="B108" s="180">
        <f>IF($A$1="Peak","-",'Base Hours'!B108*BaseLoad!H107*IS!$B$2)</f>
        <v>110787.81184482687</v>
      </c>
      <c r="C108" s="180">
        <f>IF($A$1="Peak","-",'Base Hours'!C108*BaseLoad!I107*IS!$B$2)</f>
        <v>110273.58520900013</v>
      </c>
      <c r="D108" s="180">
        <f>IF($A$1="Peak","-",'Base Hours'!D108*BaseLoad!J107*IS!$B$2)</f>
        <v>214815.47023212057</v>
      </c>
      <c r="E108" s="180">
        <f>IF($A$1="Peak","-",'Base Hours'!E108*BaseLoad!K107*IS!$B$2)</f>
        <v>374679.87969776173</v>
      </c>
      <c r="F108" s="180">
        <f>IF($A$1="Peak","-",'Base Hours'!F108*BaseLoad!L107*IS!$B$2)</f>
        <v>299745.83676107874</v>
      </c>
      <c r="G108" s="180">
        <f>IF($A$1="Peak","-",'Base Hours'!G108*BaseLoad!M107*IS!$B$2)</f>
        <v>519198.3007666613</v>
      </c>
      <c r="H108" s="180">
        <f>IF($A$1="Peak","-",'Base Hours'!H108*BaseLoad!N107*IS!$B$2)</f>
        <v>484594.75618775957</v>
      </c>
      <c r="I108" s="180">
        <f>IF($A$1="Peak","-",'Base Hours'!I108*BaseLoad!O107*IS!$B$2)</f>
        <v>431777.61787695199</v>
      </c>
      <c r="J108" s="180">
        <f>IF($A$1="Peak","-",'Base Hours'!J108*BaseLoad!P107*IS!$B$2)</f>
        <v>431777.61787695199</v>
      </c>
      <c r="K108" s="180">
        <f>IF($A$1="Peak","-",'Base Hours'!K108*BaseLoad!Q107*IS!$B$2)</f>
        <v>431332.8126723906</v>
      </c>
      <c r="L108" s="180">
        <f>IF($A$1="Peak","-",'Base Hours'!L108*BaseLoad!R107*IS!$B$2)</f>
        <v>428185.87583134824</v>
      </c>
      <c r="M108" s="180">
        <f>IF($A$1="Peak","-",'Base Hours'!M108*BaseLoad!S107*IS!$B$2)</f>
        <v>428185.87583134824</v>
      </c>
      <c r="N108" s="180">
        <f>IF($A$1="Peak","-",'Base Hours'!N108*BaseLoad!T107*IS!$B$2)</f>
        <v>428185.87583134824</v>
      </c>
      <c r="O108" s="180">
        <f>IF($A$1="Peak","-",'Base Hours'!O108*BaseLoad!U107*IS!$B$2)</f>
        <v>428185.87583134824</v>
      </c>
      <c r="P108" s="180">
        <f>IF($A$1="Peak","-",'Base Hours'!P108*BaseLoad!V107*IS!$B$2)</f>
        <v>392110.45319086849</v>
      </c>
      <c r="Q108" s="180">
        <f>IF($A$1="Peak","-",'Base Hours'!Q108*BaseLoad!W107*IS!$B$2)</f>
        <v>335447.85739100288</v>
      </c>
      <c r="R108" s="180">
        <f>IF($A$1="Peak","-",'Base Hours'!R108*BaseLoad!X107*IS!$B$2)</f>
        <v>323430.34413866419</v>
      </c>
      <c r="S108" s="180">
        <f>IF($A$1="Peak","-",'Base Hours'!S108*BaseLoad!Y107*IS!$B$2)</f>
        <v>307322.2919067152</v>
      </c>
      <c r="T108" s="180">
        <f>IF($A$1="Peak","-",'Base Hours'!T108*BaseLoad!Z107*IS!$B$2)</f>
        <v>293628.77883404848</v>
      </c>
      <c r="U108" s="180">
        <f>IF($A$1="Peak","-",'Base Hours'!U108*BaseLoad!AA107*IS!$B$2)</f>
        <v>740544.89493114804</v>
      </c>
      <c r="V108" s="180">
        <f t="shared" si="4"/>
        <v>6773666.9179121954</v>
      </c>
      <c r="W108" s="180"/>
      <c r="X108" s="180"/>
      <c r="Y108" s="212"/>
      <c r="Z108" s="212">
        <f>(BaseLoad!C107*'Base Hours'!V108*IS!$B$2)*-1</f>
        <v>-1815584.814563798</v>
      </c>
      <c r="AA108" s="212"/>
      <c r="AB108" s="212">
        <f>(BaseLoad!D107*'Base Hours'!V108*IS!$B$2)*-1</f>
        <v>-170141.40700007405</v>
      </c>
      <c r="AC108" s="212"/>
      <c r="AD108" s="212">
        <f>(BaseLoad!E107*'Base Hours'!V108*IS!$B$2)*-1</f>
        <v>-800419.63283393648</v>
      </c>
      <c r="AE108" s="212"/>
      <c r="AF108" s="212">
        <f>(BaseLoad!F107*'Base Hours'!V108*IS!$B$2)*-1</f>
        <v>-109096.37162624202</v>
      </c>
      <c r="AG108" s="212"/>
    </row>
    <row r="109" spans="1:33" x14ac:dyDescent="0.2">
      <c r="A109" s="1">
        <f t="shared" si="3"/>
        <v>39551.283000000127</v>
      </c>
      <c r="B109" s="180">
        <f>IF($A$1="Peak","-",'Base Hours'!B109*BaseLoad!H108*IS!$B$2)</f>
        <v>89361.886001654566</v>
      </c>
      <c r="C109" s="180">
        <f>IF($A$1="Peak","-",'Base Hours'!C109*BaseLoad!I108*IS!$B$2)</f>
        <v>85774.361446068069</v>
      </c>
      <c r="D109" s="180">
        <f>IF($A$1="Peak","-",'Base Hours'!D109*BaseLoad!J108*IS!$B$2)</f>
        <v>164212.93723099513</v>
      </c>
      <c r="E109" s="180">
        <f>IF($A$1="Peak","-",'Base Hours'!E109*BaseLoad!K108*IS!$B$2)</f>
        <v>312377.23215113225</v>
      </c>
      <c r="F109" s="180">
        <f>IF($A$1="Peak","-",'Base Hours'!F109*BaseLoad!L108*IS!$B$2)</f>
        <v>292628.5492433316</v>
      </c>
      <c r="G109" s="180">
        <f>IF($A$1="Peak","-",'Base Hours'!G109*BaseLoad!M108*IS!$B$2)</f>
        <v>573087.37840386271</v>
      </c>
      <c r="H109" s="180">
        <f>IF($A$1="Peak","-",'Base Hours'!H109*BaseLoad!N108*IS!$B$2)</f>
        <v>568016.84841729212</v>
      </c>
      <c r="I109" s="180">
        <f>IF($A$1="Peak","-",'Base Hours'!I109*BaseLoad!O108*IS!$B$2)</f>
        <v>491129.80474009085</v>
      </c>
      <c r="J109" s="180">
        <f>IF($A$1="Peak","-",'Base Hours'!J109*BaseLoad!P108*IS!$B$2)</f>
        <v>401164.35494568769</v>
      </c>
      <c r="K109" s="180">
        <f>IF($A$1="Peak","-",'Base Hours'!K109*BaseLoad!Q108*IS!$B$2)</f>
        <v>352914.31669337122</v>
      </c>
      <c r="L109" s="180">
        <f>IF($A$1="Peak","-",'Base Hours'!L109*BaseLoad!R108*IS!$B$2)</f>
        <v>326812.36701666919</v>
      </c>
      <c r="M109" s="180">
        <f>IF($A$1="Peak","-",'Base Hours'!M109*BaseLoad!S108*IS!$B$2)</f>
        <v>319353.77213463211</v>
      </c>
      <c r="N109" s="180">
        <f>IF($A$1="Peak","-",'Base Hours'!N109*BaseLoad!T108*IS!$B$2)</f>
        <v>294438.40613682632</v>
      </c>
      <c r="O109" s="180">
        <f>IF($A$1="Peak","-",'Base Hours'!O109*BaseLoad!U108*IS!$B$2)</f>
        <v>282792.63743293285</v>
      </c>
      <c r="P109" s="180">
        <f>IF($A$1="Peak","-",'Base Hours'!P109*BaseLoad!V108*IS!$B$2)</f>
        <v>280793.05836737377</v>
      </c>
      <c r="Q109" s="180">
        <f>IF($A$1="Peak","-",'Base Hours'!Q109*BaseLoad!W108*IS!$B$2)</f>
        <v>274452.35177844396</v>
      </c>
      <c r="R109" s="180">
        <f>IF($A$1="Peak","-",'Base Hours'!R109*BaseLoad!X108*IS!$B$2)</f>
        <v>267016.08392528899</v>
      </c>
      <c r="S109" s="180">
        <f>IF($A$1="Peak","-",'Base Hours'!S109*BaseLoad!Y108*IS!$B$2)</f>
        <v>255476.46027912223</v>
      </c>
      <c r="T109" s="180">
        <f>IF($A$1="Peak","-",'Base Hours'!T109*BaseLoad!Z108*IS!$B$2)</f>
        <v>251062.08839898664</v>
      </c>
      <c r="U109" s="180">
        <f>IF($A$1="Peak","-",'Base Hours'!U109*BaseLoad!AA108*IS!$B$2)</f>
        <v>652725.56470868515</v>
      </c>
      <c r="V109" s="180">
        <f t="shared" si="4"/>
        <v>5882864.894743762</v>
      </c>
      <c r="W109" s="180"/>
      <c r="X109" s="180"/>
      <c r="Y109" s="212"/>
      <c r="Z109" s="212">
        <f>(BaseLoad!C108*'Base Hours'!V109*IS!$B$2)*-1</f>
        <v>-1815584.814563798</v>
      </c>
      <c r="AA109" s="212"/>
      <c r="AB109" s="212">
        <f>(BaseLoad!D108*'Base Hours'!V109*IS!$B$2)*-1</f>
        <v>-170424.97601174086</v>
      </c>
      <c r="AC109" s="212"/>
      <c r="AD109" s="212">
        <f>(BaseLoad!E108*'Base Hours'!V109*IS!$B$2)*-1</f>
        <v>-806925.88255142025</v>
      </c>
      <c r="AE109" s="212"/>
      <c r="AF109" s="212">
        <f>(BaseLoad!F108*'Base Hours'!V109*IS!$B$2)*-1</f>
        <v>-109985.55690460239</v>
      </c>
      <c r="AG109" s="212"/>
    </row>
    <row r="110" spans="1:33" x14ac:dyDescent="0.2">
      <c r="A110" s="1">
        <f t="shared" si="3"/>
        <v>39581.700000000128</v>
      </c>
      <c r="B110" s="180">
        <f>IF($A$1="Peak","-",'Base Hours'!B110*BaseLoad!H109*IS!$B$2)</f>
        <v>83928.352419676128</v>
      </c>
      <c r="C110" s="180">
        <f>IF($A$1="Peak","-",'Base Hours'!C110*BaseLoad!I109*IS!$B$2)</f>
        <v>79433.926763215932</v>
      </c>
      <c r="D110" s="180">
        <f>IF($A$1="Peak","-",'Base Hours'!D110*BaseLoad!J109*IS!$B$2)</f>
        <v>149220.66229178567</v>
      </c>
      <c r="E110" s="180">
        <f>IF($A$1="Peak","-",'Base Hours'!E110*BaseLoad!K109*IS!$B$2)</f>
        <v>288208.91753749357</v>
      </c>
      <c r="F110" s="180">
        <f>IF($A$1="Peak","-",'Base Hours'!F110*BaseLoad!L109*IS!$B$2)</f>
        <v>286189.19103421445</v>
      </c>
      <c r="G110" s="180">
        <f>IF($A$1="Peak","-",'Base Hours'!G110*BaseLoad!M109*IS!$B$2)</f>
        <v>477454.28243875859</v>
      </c>
      <c r="H110" s="180">
        <f>IF($A$1="Peak","-",'Base Hours'!H110*BaseLoad!N109*IS!$B$2)</f>
        <v>402064.35945629055</v>
      </c>
      <c r="I110" s="180">
        <f>IF($A$1="Peak","-",'Base Hours'!I110*BaseLoad!O109*IS!$B$2)</f>
        <v>372627.84017162555</v>
      </c>
      <c r="J110" s="180">
        <f>IF($A$1="Peak","-",'Base Hours'!J110*BaseLoad!P109*IS!$B$2)</f>
        <v>349279.99675717216</v>
      </c>
      <c r="K110" s="180">
        <f>IF($A$1="Peak","-",'Base Hours'!K110*BaseLoad!Q109*IS!$B$2)</f>
        <v>331827.80136950972</v>
      </c>
      <c r="L110" s="180">
        <f>IF($A$1="Peak","-",'Base Hours'!L110*BaseLoad!R109*IS!$B$2)</f>
        <v>328433.9376126951</v>
      </c>
      <c r="M110" s="180">
        <f>IF($A$1="Peak","-",'Base Hours'!M110*BaseLoad!S109*IS!$B$2)</f>
        <v>325664.92576218536</v>
      </c>
      <c r="N110" s="180">
        <f>IF($A$1="Peak","-",'Base Hours'!N110*BaseLoad!T109*IS!$B$2)</f>
        <v>317473.94872624637</v>
      </c>
      <c r="O110" s="180">
        <f>IF($A$1="Peak","-",'Base Hours'!O110*BaseLoad!U109*IS!$B$2)</f>
        <v>303500.66466082126</v>
      </c>
      <c r="P110" s="180">
        <f>IF($A$1="Peak","-",'Base Hours'!P110*BaseLoad!V109*IS!$B$2)</f>
        <v>297766.027510277</v>
      </c>
      <c r="Q110" s="180">
        <f>IF($A$1="Peak","-",'Base Hours'!Q110*BaseLoad!W109*IS!$B$2)</f>
        <v>290430.53905245208</v>
      </c>
      <c r="R110" s="180">
        <f>IF($A$1="Peak","-",'Base Hours'!R110*BaseLoad!X109*IS!$B$2)</f>
        <v>286946.8623230434</v>
      </c>
      <c r="S110" s="180">
        <f>IF($A$1="Peak","-",'Base Hours'!S110*BaseLoad!Y109*IS!$B$2)</f>
        <v>286917.91569601995</v>
      </c>
      <c r="T110" s="180">
        <f>IF($A$1="Peak","-",'Base Hours'!T110*BaseLoad!Z109*IS!$B$2)</f>
        <v>284781.62956332503</v>
      </c>
      <c r="U110" s="180">
        <f>IF($A$1="Peak","-",'Base Hours'!U110*BaseLoad!AA109*IS!$B$2)</f>
        <v>750289.20605550148</v>
      </c>
      <c r="V110" s="180">
        <f t="shared" si="4"/>
        <v>5542151.7811468076</v>
      </c>
      <c r="W110" s="180"/>
      <c r="X110" s="180"/>
      <c r="Y110" s="212"/>
      <c r="Z110" s="212">
        <f>(BaseLoad!C109*'Base Hours'!V110*IS!$B$2)*-1</f>
        <v>-1815584.814563798</v>
      </c>
      <c r="AA110" s="212"/>
      <c r="AB110" s="212">
        <f>(BaseLoad!D109*'Base Hours'!V110*IS!$B$2)*-1</f>
        <v>-170709.01763842709</v>
      </c>
      <c r="AC110" s="212"/>
      <c r="AD110" s="212">
        <f>(BaseLoad!E109*'Base Hours'!V110*IS!$B$2)*-1</f>
        <v>-813432.13226890366</v>
      </c>
      <c r="AE110" s="212"/>
      <c r="AF110" s="212">
        <f>(BaseLoad!F109*'Base Hours'!V110*IS!$B$2)*-1</f>
        <v>-110874.74218296277</v>
      </c>
      <c r="AG110" s="212"/>
    </row>
    <row r="111" spans="1:33" x14ac:dyDescent="0.2">
      <c r="A111" s="1">
        <f t="shared" si="3"/>
        <v>39612.117000000129</v>
      </c>
      <c r="B111" s="180">
        <f>IF($A$1="Peak","-",'Base Hours'!B111*BaseLoad!H110*IS!$B$2)</f>
        <v>192504.98759154027</v>
      </c>
      <c r="C111" s="180">
        <f>IF($A$1="Peak","-",'Base Hours'!C111*BaseLoad!I110*IS!$B$2)</f>
        <v>173840.20511633961</v>
      </c>
      <c r="D111" s="180">
        <f>IF($A$1="Peak","-",'Base Hours'!D111*BaseLoad!J110*IS!$B$2)</f>
        <v>318657.70945200464</v>
      </c>
      <c r="E111" s="180">
        <f>IF($A$1="Peak","-",'Base Hours'!E111*BaseLoad!K110*IS!$B$2)</f>
        <v>418374.35432728368</v>
      </c>
      <c r="F111" s="180">
        <f>IF($A$1="Peak","-",'Base Hours'!F111*BaseLoad!L110*IS!$B$2)</f>
        <v>323155.5520029352</v>
      </c>
      <c r="G111" s="180">
        <f>IF($A$1="Peak","-",'Base Hours'!G111*BaseLoad!M110*IS!$B$2)</f>
        <v>577942.16749942198</v>
      </c>
      <c r="H111" s="180">
        <f>IF($A$1="Peak","-",'Base Hours'!H111*BaseLoad!N110*IS!$B$2)</f>
        <v>517924.76454567024</v>
      </c>
      <c r="I111" s="180">
        <f>IF($A$1="Peak","-",'Base Hours'!I111*BaseLoad!O110*IS!$B$2)</f>
        <v>504117.83545220416</v>
      </c>
      <c r="J111" s="180">
        <f>IF($A$1="Peak","-",'Base Hours'!J111*BaseLoad!P110*IS!$B$2)</f>
        <v>415077.01512217964</v>
      </c>
      <c r="K111" s="180">
        <f>IF($A$1="Peak","-",'Base Hours'!K111*BaseLoad!Q110*IS!$B$2)</f>
        <v>365318.672957898</v>
      </c>
      <c r="L111" s="180">
        <f>IF($A$1="Peak","-",'Base Hours'!L111*BaseLoad!R110*IS!$B$2)</f>
        <v>352188.6783290492</v>
      </c>
      <c r="M111" s="180">
        <f>IF($A$1="Peak","-",'Base Hours'!M111*BaseLoad!S110*IS!$B$2)</f>
        <v>332794.83763561124</v>
      </c>
      <c r="N111" s="180">
        <f>IF($A$1="Peak","-",'Base Hours'!N111*BaseLoad!T110*IS!$B$2)</f>
        <v>320928.79525213683</v>
      </c>
      <c r="O111" s="180">
        <f>IF($A$1="Peak","-",'Base Hours'!O111*BaseLoad!U110*IS!$B$2)</f>
        <v>291575.66412452242</v>
      </c>
      <c r="P111" s="180">
        <f>IF($A$1="Peak","-",'Base Hours'!P111*BaseLoad!V110*IS!$B$2)</f>
        <v>264786.46731662023</v>
      </c>
      <c r="Q111" s="180">
        <f>IF($A$1="Peak","-",'Base Hours'!Q111*BaseLoad!W110*IS!$B$2)</f>
        <v>259079.79847515922</v>
      </c>
      <c r="R111" s="180">
        <f>IF($A$1="Peak","-",'Base Hours'!R111*BaseLoad!X110*IS!$B$2)</f>
        <v>254911.0995221535</v>
      </c>
      <c r="S111" s="180">
        <f>IF($A$1="Peak","-",'Base Hours'!S111*BaseLoad!Y110*IS!$B$2)</f>
        <v>253516.31734906929</v>
      </c>
      <c r="T111" s="180">
        <f>IF($A$1="Peak","-",'Base Hours'!T111*BaseLoad!Z110*IS!$B$2)</f>
        <v>253107.81829154104</v>
      </c>
      <c r="U111" s="180">
        <f>IF($A$1="Peak","-",'Base Hours'!U111*BaseLoad!AA110*IS!$B$2)</f>
        <v>667357.86312431574</v>
      </c>
      <c r="V111" s="180">
        <f t="shared" si="4"/>
        <v>6389802.7403633408</v>
      </c>
      <c r="W111" s="180"/>
      <c r="X111" s="180"/>
      <c r="Y111" s="212"/>
      <c r="Z111" s="212">
        <f>(BaseLoad!C110*'Base Hours'!V111*IS!$B$2)*-1</f>
        <v>-1815584.814563798</v>
      </c>
      <c r="AA111" s="212"/>
      <c r="AB111" s="212">
        <f>(BaseLoad!D110*'Base Hours'!V111*IS!$B$2)*-1</f>
        <v>-170993.5326678245</v>
      </c>
      <c r="AC111" s="212"/>
      <c r="AD111" s="212">
        <f>(BaseLoad!E110*'Base Hours'!V111*IS!$B$2)*-1</f>
        <v>-819938.38198638731</v>
      </c>
      <c r="AE111" s="212"/>
      <c r="AF111" s="212">
        <f>(BaseLoad!F110*'Base Hours'!V111*IS!$B$2)*-1</f>
        <v>-111763.92746132314</v>
      </c>
      <c r="AG111" s="212"/>
    </row>
    <row r="112" spans="1:33" x14ac:dyDescent="0.2">
      <c r="A112" s="1">
        <f t="shared" si="3"/>
        <v>39642.534000000131</v>
      </c>
      <c r="B112" s="180">
        <f>IF($A$1="Peak","-",'Base Hours'!B112*BaseLoad!H111*IS!$B$2)</f>
        <v>350996.30206392409</v>
      </c>
      <c r="C112" s="180">
        <f>IF($A$1="Peak","-",'Base Hours'!C112*BaseLoad!I111*IS!$B$2)</f>
        <v>280770.28323011921</v>
      </c>
      <c r="D112" s="180">
        <f>IF($A$1="Peak","-",'Base Hours'!D112*BaseLoad!J111*IS!$B$2)</f>
        <v>469219.05952215596</v>
      </c>
      <c r="E112" s="180">
        <f>IF($A$1="Peak","-",'Base Hours'!E112*BaseLoad!K111*IS!$B$2)</f>
        <v>762847.66001753707</v>
      </c>
      <c r="F112" s="180">
        <f>IF($A$1="Peak","-",'Base Hours'!F112*BaseLoad!L111*IS!$B$2)</f>
        <v>637866.61890975852</v>
      </c>
      <c r="G112" s="180">
        <f>IF($A$1="Peak","-",'Base Hours'!G112*BaseLoad!M111*IS!$B$2)</f>
        <v>927059.23410339165</v>
      </c>
      <c r="H112" s="180">
        <f>IF($A$1="Peak","-",'Base Hours'!H112*BaseLoad!N111*IS!$B$2)</f>
        <v>628854.2021972168</v>
      </c>
      <c r="I112" s="180">
        <f>IF($A$1="Peak","-",'Base Hours'!I112*BaseLoad!O111*IS!$B$2)</f>
        <v>546647.73750399367</v>
      </c>
      <c r="J112" s="180">
        <f>IF($A$1="Peak","-",'Base Hours'!J112*BaseLoad!P111*IS!$B$2)</f>
        <v>532685.36108225153</v>
      </c>
      <c r="K112" s="180">
        <f>IF($A$1="Peak","-",'Base Hours'!K112*BaseLoad!Q111*IS!$B$2)</f>
        <v>523556.6137561503</v>
      </c>
      <c r="L112" s="180">
        <f>IF($A$1="Peak","-",'Base Hours'!L112*BaseLoad!R111*IS!$B$2)</f>
        <v>472352.08213873871</v>
      </c>
      <c r="M112" s="180">
        <f>IF($A$1="Peak","-",'Base Hours'!M112*BaseLoad!S111*IS!$B$2)</f>
        <v>371805.6027802584</v>
      </c>
      <c r="N112" s="180">
        <f>IF($A$1="Peak","-",'Base Hours'!N112*BaseLoad!T111*IS!$B$2)</f>
        <v>344842.19609663397</v>
      </c>
      <c r="O112" s="180">
        <f>IF($A$1="Peak","-",'Base Hours'!O112*BaseLoad!U111*IS!$B$2)</f>
        <v>319811.91258333001</v>
      </c>
      <c r="P112" s="180">
        <f>IF($A$1="Peak","-",'Base Hours'!P112*BaseLoad!V111*IS!$B$2)</f>
        <v>307089.34023792483</v>
      </c>
      <c r="Q112" s="180">
        <f>IF($A$1="Peak","-",'Base Hours'!Q112*BaseLoad!W111*IS!$B$2)</f>
        <v>286973.50421593344</v>
      </c>
      <c r="R112" s="180">
        <f>IF($A$1="Peak","-",'Base Hours'!R112*BaseLoad!X111*IS!$B$2)</f>
        <v>274184.15661751141</v>
      </c>
      <c r="S112" s="180">
        <f>IF($A$1="Peak","-",'Base Hours'!S112*BaseLoad!Y111*IS!$B$2)</f>
        <v>266112.17635012901</v>
      </c>
      <c r="T112" s="180">
        <f>IF($A$1="Peak","-",'Base Hours'!T112*BaseLoad!Z111*IS!$B$2)</f>
        <v>262889.8534721639</v>
      </c>
      <c r="U112" s="180">
        <f>IF($A$1="Peak","-",'Base Hours'!U112*BaseLoad!AA111*IS!$B$2)</f>
        <v>694633.59873733064</v>
      </c>
      <c r="V112" s="180">
        <f t="shared" si="4"/>
        <v>8334138.2615130609</v>
      </c>
      <c r="W112" s="180"/>
      <c r="X112" s="180"/>
      <c r="Y112" s="212"/>
      <c r="Z112" s="212">
        <f>(BaseLoad!C111*'Base Hours'!V112*IS!$B$2)*-1</f>
        <v>-1815584.814563798</v>
      </c>
      <c r="AA112" s="212"/>
      <c r="AB112" s="212">
        <f>(BaseLoad!D111*'Base Hours'!V112*IS!$B$2)*-1</f>
        <v>-171278.52188893751</v>
      </c>
      <c r="AC112" s="212"/>
      <c r="AD112" s="212">
        <f>(BaseLoad!E111*'Base Hours'!V112*IS!$B$2)*-1</f>
        <v>-826444.63170387084</v>
      </c>
      <c r="AE112" s="212"/>
      <c r="AF112" s="212">
        <f>(BaseLoad!F111*'Base Hours'!V112*IS!$B$2)*-1</f>
        <v>-112653.11273968349</v>
      </c>
      <c r="AG112" s="212"/>
    </row>
    <row r="113" spans="1:33" x14ac:dyDescent="0.2">
      <c r="A113" s="1">
        <f t="shared" si="3"/>
        <v>39672.951000000132</v>
      </c>
      <c r="B113" s="180">
        <f>IF($A$1="Peak","-",'Base Hours'!B113*BaseLoad!H112*IS!$B$2)</f>
        <v>612881.319764646</v>
      </c>
      <c r="C113" s="180">
        <f>IF($A$1="Peak","-",'Base Hours'!C113*BaseLoad!I112*IS!$B$2)</f>
        <v>401685.69596534839</v>
      </c>
      <c r="D113" s="180">
        <f>IF($A$1="Peak","-",'Base Hours'!D113*BaseLoad!J112*IS!$B$2)</f>
        <v>647754.0326298913</v>
      </c>
      <c r="E113" s="180">
        <f>IF($A$1="Peak","-",'Base Hours'!E113*BaseLoad!K112*IS!$B$2)</f>
        <v>991019.48455000867</v>
      </c>
      <c r="F113" s="180">
        <f>IF($A$1="Peak","-",'Base Hours'!F113*BaseLoad!L112*IS!$B$2)</f>
        <v>777920.5240408706</v>
      </c>
      <c r="G113" s="180">
        <f>IF($A$1="Peak","-",'Base Hours'!G113*BaseLoad!M112*IS!$B$2)</f>
        <v>1162825.0065840774</v>
      </c>
      <c r="H113" s="180">
        <f>IF($A$1="Peak","-",'Base Hours'!H113*BaseLoad!N112*IS!$B$2)</f>
        <v>655377.14952741028</v>
      </c>
      <c r="I113" s="180">
        <f>IF($A$1="Peak","-",'Base Hours'!I113*BaseLoad!O112*IS!$B$2)</f>
        <v>586227.17677712452</v>
      </c>
      <c r="J113" s="180">
        <f>IF($A$1="Peak","-",'Base Hours'!J113*BaseLoad!P112*IS!$B$2)</f>
        <v>497171.71190267359</v>
      </c>
      <c r="K113" s="180">
        <f>IF($A$1="Peak","-",'Base Hours'!K113*BaseLoad!Q112*IS!$B$2)</f>
        <v>372394.64849690365</v>
      </c>
      <c r="L113" s="180">
        <f>IF($A$1="Peak","-",'Base Hours'!L113*BaseLoad!R112*IS!$B$2)</f>
        <v>329600.05606508063</v>
      </c>
      <c r="M113" s="180">
        <f>IF($A$1="Peak","-",'Base Hours'!M113*BaseLoad!S112*IS!$B$2)</f>
        <v>303773.42345924157</v>
      </c>
      <c r="N113" s="180">
        <f>IF($A$1="Peak","-",'Base Hours'!N113*BaseLoad!T112*IS!$B$2)</f>
        <v>293112.28016546107</v>
      </c>
      <c r="O113" s="180">
        <f>IF($A$1="Peak","-",'Base Hours'!O113*BaseLoad!U112*IS!$B$2)</f>
        <v>292639.06902563816</v>
      </c>
      <c r="P113" s="180">
        <f>IF($A$1="Peak","-",'Base Hours'!P113*BaseLoad!V112*IS!$B$2)</f>
        <v>290496.66122813366</v>
      </c>
      <c r="Q113" s="180">
        <f>IF($A$1="Peak","-",'Base Hours'!Q113*BaseLoad!W112*IS!$B$2)</f>
        <v>288032.71708817926</v>
      </c>
      <c r="R113" s="180">
        <f>IF($A$1="Peak","-",'Base Hours'!R113*BaseLoad!X112*IS!$B$2)</f>
        <v>284134.58768890006</v>
      </c>
      <c r="S113" s="180">
        <f>IF($A$1="Peak","-",'Base Hours'!S113*BaseLoad!Y112*IS!$B$2)</f>
        <v>274625.84195322229</v>
      </c>
      <c r="T113" s="180">
        <f>IF($A$1="Peak","-",'Base Hours'!T113*BaseLoad!Z112*IS!$B$2)</f>
        <v>265907.93275061011</v>
      </c>
      <c r="U113" s="180">
        <f>IF($A$1="Peak","-",'Base Hours'!U113*BaseLoad!AA112*IS!$B$2)</f>
        <v>670738.26204544038</v>
      </c>
      <c r="V113" s="180">
        <f t="shared" si="4"/>
        <v>8835492.5751247834</v>
      </c>
      <c r="W113" s="180"/>
      <c r="X113" s="180"/>
      <c r="Y113" s="212"/>
      <c r="Z113" s="212">
        <f>(BaseLoad!C112*'Base Hours'!V113*IS!$B$2)*-1</f>
        <v>-1815584.814563798</v>
      </c>
      <c r="AA113" s="212"/>
      <c r="AB113" s="212">
        <f>(BaseLoad!D112*'Base Hours'!V113*IS!$B$2)*-1</f>
        <v>-171563.98609208575</v>
      </c>
      <c r="AC113" s="212"/>
      <c r="AD113" s="212">
        <f>(BaseLoad!E112*'Base Hours'!V113*IS!$B$2)*-1</f>
        <v>-832950.88142135448</v>
      </c>
      <c r="AE113" s="212"/>
      <c r="AF113" s="212">
        <f>(BaseLoad!F112*'Base Hours'!V113*IS!$B$2)*-1</f>
        <v>-113542.29801804388</v>
      </c>
      <c r="AG113" s="212"/>
    </row>
    <row r="114" spans="1:33" x14ac:dyDescent="0.2">
      <c r="A114" s="1">
        <f t="shared" si="3"/>
        <v>39703.368000000133</v>
      </c>
      <c r="B114" s="180">
        <f>IF($A$1="Peak","-",'Base Hours'!B114*BaseLoad!H113*IS!$B$2)</f>
        <v>204033.83170087344</v>
      </c>
      <c r="C114" s="180">
        <f>IF($A$1="Peak","-",'Base Hours'!C114*BaseLoad!I113*IS!$B$2)</f>
        <v>176731.83122827695</v>
      </c>
      <c r="D114" s="180">
        <f>IF($A$1="Peak","-",'Base Hours'!D114*BaseLoad!J113*IS!$B$2)</f>
        <v>260029.10195617177</v>
      </c>
      <c r="E114" s="180">
        <f>IF($A$1="Peak","-",'Base Hours'!E114*BaseLoad!K113*IS!$B$2)</f>
        <v>391273.4096364642</v>
      </c>
      <c r="F114" s="180">
        <f>IF($A$1="Peak","-",'Base Hours'!F114*BaseLoad!L113*IS!$B$2)</f>
        <v>308898.17408963887</v>
      </c>
      <c r="G114" s="180">
        <f>IF($A$1="Peak","-",'Base Hours'!G114*BaseLoad!M113*IS!$B$2)</f>
        <v>535096.54601135792</v>
      </c>
      <c r="H114" s="180">
        <f>IF($A$1="Peak","-",'Base Hours'!H114*BaseLoad!N113*IS!$B$2)</f>
        <v>501104.84627007873</v>
      </c>
      <c r="I114" s="180">
        <f>IF($A$1="Peak","-",'Base Hours'!I114*BaseLoad!O113*IS!$B$2)</f>
        <v>479339.67345511029</v>
      </c>
      <c r="J114" s="180">
        <f>IF($A$1="Peak","-",'Base Hours'!J114*BaseLoad!P113*IS!$B$2)</f>
        <v>456712.68318400189</v>
      </c>
      <c r="K114" s="180">
        <f>IF($A$1="Peak","-",'Base Hours'!K114*BaseLoad!Q113*IS!$B$2)</f>
        <v>382429.49377230316</v>
      </c>
      <c r="L114" s="180">
        <f>IF($A$1="Peak","-",'Base Hours'!L114*BaseLoad!R113*IS!$B$2)</f>
        <v>350020.6823487439</v>
      </c>
      <c r="M114" s="180">
        <f>IF($A$1="Peak","-",'Base Hours'!M114*BaseLoad!S113*IS!$B$2)</f>
        <v>318421.54181541567</v>
      </c>
      <c r="N114" s="180">
        <f>IF($A$1="Peak","-",'Base Hours'!N114*BaseLoad!T113*IS!$B$2)</f>
        <v>302198.64267387579</v>
      </c>
      <c r="O114" s="180">
        <f>IF($A$1="Peak","-",'Base Hours'!O114*BaseLoad!U113*IS!$B$2)</f>
        <v>287372.71966378798</v>
      </c>
      <c r="P114" s="180">
        <f>IF($A$1="Peak","-",'Base Hours'!P114*BaseLoad!V113*IS!$B$2)</f>
        <v>273431.55088196881</v>
      </c>
      <c r="Q114" s="180">
        <f>IF($A$1="Peak","-",'Base Hours'!Q114*BaseLoad!W113*IS!$B$2)</f>
        <v>264808.10684197035</v>
      </c>
      <c r="R114" s="180">
        <f>IF($A$1="Peak","-",'Base Hours'!R114*BaseLoad!X113*IS!$B$2)</f>
        <v>256693.61626084839</v>
      </c>
      <c r="S114" s="180">
        <f>IF($A$1="Peak","-",'Base Hours'!S114*BaseLoad!Y113*IS!$B$2)</f>
        <v>253494.49903479332</v>
      </c>
      <c r="T114" s="180">
        <f>IF($A$1="Peak","-",'Base Hours'!T114*BaseLoad!Z113*IS!$B$2)</f>
        <v>251560.90839395835</v>
      </c>
      <c r="U114" s="180">
        <f>IF($A$1="Peak","-",'Base Hours'!U114*BaseLoad!AA113*IS!$B$2)</f>
        <v>674367.96076779149</v>
      </c>
      <c r="V114" s="180">
        <f t="shared" si="4"/>
        <v>6253651.8592196396</v>
      </c>
      <c r="W114" s="180"/>
      <c r="X114" s="180"/>
      <c r="Y114" s="212"/>
      <c r="Z114" s="212">
        <f>(BaseLoad!C113*'Base Hours'!V114*IS!$B$2)*-1</f>
        <v>-1815584.814563798</v>
      </c>
      <c r="AA114" s="212"/>
      <c r="AB114" s="212">
        <f>(BaseLoad!D113*'Base Hours'!V114*IS!$B$2)*-1</f>
        <v>-171849.92606890592</v>
      </c>
      <c r="AC114" s="212"/>
      <c r="AD114" s="212">
        <f>(BaseLoad!E113*'Base Hours'!V114*IS!$B$2)*-1</f>
        <v>-839457.13113883801</v>
      </c>
      <c r="AE114" s="212"/>
      <c r="AF114" s="212">
        <f>(BaseLoad!F113*'Base Hours'!V114*IS!$B$2)*-1</f>
        <v>-114431.48329640424</v>
      </c>
      <c r="AG114" s="212"/>
    </row>
    <row r="115" spans="1:33" x14ac:dyDescent="0.2">
      <c r="A115" s="1">
        <f t="shared" si="3"/>
        <v>39733.785000000134</v>
      </c>
      <c r="B115" s="180">
        <f>IF($A$1="Peak","-",'Base Hours'!B115*BaseLoad!H114*IS!$B$2)</f>
        <v>88971.263999526549</v>
      </c>
      <c r="C115" s="180">
        <f>IF($A$1="Peak","-",'Base Hours'!C115*BaseLoad!I114*IS!$B$2)</f>
        <v>84520.791590368855</v>
      </c>
      <c r="D115" s="180">
        <f>IF($A$1="Peak","-",'Base Hours'!D115*BaseLoad!J114*IS!$B$2)</f>
        <v>164360.7764104371</v>
      </c>
      <c r="E115" s="180">
        <f>IF($A$1="Peak","-",'Base Hours'!E115*BaseLoad!K114*IS!$B$2)</f>
        <v>307683.85213375953</v>
      </c>
      <c r="F115" s="180">
        <f>IF($A$1="Peak","-",'Base Hours'!F115*BaseLoad!L114*IS!$B$2)</f>
        <v>302394.34555150033</v>
      </c>
      <c r="G115" s="180">
        <f>IF($A$1="Peak","-",'Base Hours'!G115*BaseLoad!M114*IS!$B$2)</f>
        <v>599522.07847815927</v>
      </c>
      <c r="H115" s="180">
        <f>IF($A$1="Peak","-",'Base Hours'!H115*BaseLoad!N114*IS!$B$2)</f>
        <v>503008.5740405494</v>
      </c>
      <c r="I115" s="180">
        <f>IF($A$1="Peak","-",'Base Hours'!I115*BaseLoad!O114*IS!$B$2)</f>
        <v>421410.51566625136</v>
      </c>
      <c r="J115" s="180">
        <f>IF($A$1="Peak","-",'Base Hours'!J115*BaseLoad!P114*IS!$B$2)</f>
        <v>376093.48054663319</v>
      </c>
      <c r="K115" s="180">
        <f>IF($A$1="Peak","-",'Base Hours'!K115*BaseLoad!Q114*IS!$B$2)</f>
        <v>343719.73378954275</v>
      </c>
      <c r="L115" s="180">
        <f>IF($A$1="Peak","-",'Base Hours'!L115*BaseLoad!R114*IS!$B$2)</f>
        <v>340441.62510973663</v>
      </c>
      <c r="M115" s="180">
        <f>IF($A$1="Peak","-",'Base Hours'!M115*BaseLoad!S114*IS!$B$2)</f>
        <v>321074.02424309991</v>
      </c>
      <c r="N115" s="180">
        <f>IF($A$1="Peak","-",'Base Hours'!N115*BaseLoad!T114*IS!$B$2)</f>
        <v>312791.94019749924</v>
      </c>
      <c r="O115" s="180">
        <f>IF($A$1="Peak","-",'Base Hours'!O115*BaseLoad!U114*IS!$B$2)</f>
        <v>303448.98205105454</v>
      </c>
      <c r="P115" s="180">
        <f>IF($A$1="Peak","-",'Base Hours'!P115*BaseLoad!V114*IS!$B$2)</f>
        <v>301064.61721629242</v>
      </c>
      <c r="Q115" s="180">
        <f>IF($A$1="Peak","-",'Base Hours'!Q115*BaseLoad!W114*IS!$B$2)</f>
        <v>301064.61721629242</v>
      </c>
      <c r="R115" s="180">
        <f>IF($A$1="Peak","-",'Base Hours'!R115*BaseLoad!X114*IS!$B$2)</f>
        <v>301064.61721629242</v>
      </c>
      <c r="S115" s="180">
        <f>IF($A$1="Peak","-",'Base Hours'!S115*BaseLoad!Y114*IS!$B$2)</f>
        <v>301064.61721629242</v>
      </c>
      <c r="T115" s="180">
        <f>IF($A$1="Peak","-",'Base Hours'!T115*BaseLoad!Z114*IS!$B$2)</f>
        <v>301064.61721629242</v>
      </c>
      <c r="U115" s="180">
        <f>IF($A$1="Peak","-",'Base Hours'!U115*BaseLoad!AA114*IS!$B$2)</f>
        <v>811970.7578718235</v>
      </c>
      <c r="V115" s="180">
        <f t="shared" si="4"/>
        <v>5974765.0698895836</v>
      </c>
      <c r="W115" s="180"/>
      <c r="X115" s="180"/>
      <c r="Y115" s="212"/>
      <c r="Z115" s="212">
        <f>(BaseLoad!C114*'Base Hours'!V115*IS!$B$2)*-1</f>
        <v>-1815584.814563798</v>
      </c>
      <c r="AA115" s="212"/>
      <c r="AB115" s="212">
        <f>(BaseLoad!D114*'Base Hours'!V115*IS!$B$2)*-1</f>
        <v>-172136.34261235408</v>
      </c>
      <c r="AC115" s="212"/>
      <c r="AD115" s="212">
        <f>(BaseLoad!E114*'Base Hours'!V115*IS!$B$2)*-1</f>
        <v>-845963.38085632166</v>
      </c>
      <c r="AE115" s="212"/>
      <c r="AF115" s="212">
        <f>(BaseLoad!F114*'Base Hours'!V115*IS!$B$2)*-1</f>
        <v>-115320.66857476461</v>
      </c>
      <c r="AG115" s="212"/>
    </row>
    <row r="116" spans="1:33" x14ac:dyDescent="0.2">
      <c r="A116" s="1">
        <f t="shared" si="3"/>
        <v>39764.202000000136</v>
      </c>
      <c r="B116" s="180">
        <f>IF($A$1="Peak","-",'Base Hours'!B116*BaseLoad!H115*IS!$B$2)</f>
        <v>108231.73047247741</v>
      </c>
      <c r="C116" s="180">
        <f>IF($A$1="Peak","-",'Base Hours'!C116*BaseLoad!I115*IS!$B$2)</f>
        <v>100355.10312868978</v>
      </c>
      <c r="D116" s="180">
        <f>IF($A$1="Peak","-",'Base Hours'!D116*BaseLoad!J115*IS!$B$2)</f>
        <v>190955.31566052191</v>
      </c>
      <c r="E116" s="180">
        <f>IF($A$1="Peak","-",'Base Hours'!E116*BaseLoad!K115*IS!$B$2)</f>
        <v>358414.70969876921</v>
      </c>
      <c r="F116" s="180">
        <f>IF($A$1="Peak","-",'Base Hours'!F116*BaseLoad!L115*IS!$B$2)</f>
        <v>344088.10128426086</v>
      </c>
      <c r="G116" s="180">
        <f>IF($A$1="Peak","-",'Base Hours'!G116*BaseLoad!M115*IS!$B$2)</f>
        <v>684181.25601873337</v>
      </c>
      <c r="H116" s="180">
        <f>IF($A$1="Peak","-",'Base Hours'!H116*BaseLoad!N115*IS!$B$2)</f>
        <v>606888.87253900676</v>
      </c>
      <c r="I116" s="180">
        <f>IF($A$1="Peak","-",'Base Hours'!I116*BaseLoad!O115*IS!$B$2)</f>
        <v>474352.05987171148</v>
      </c>
      <c r="J116" s="180">
        <f>IF($A$1="Peak","-",'Base Hours'!J116*BaseLoad!P115*IS!$B$2)</f>
        <v>411946.9941132688</v>
      </c>
      <c r="K116" s="180">
        <f>IF($A$1="Peak","-",'Base Hours'!K116*BaseLoad!Q115*IS!$B$2)</f>
        <v>388193.07323782064</v>
      </c>
      <c r="L116" s="180">
        <f>IF($A$1="Peak","-",'Base Hours'!L116*BaseLoad!R115*IS!$B$2)</f>
        <v>374987.38444518606</v>
      </c>
      <c r="M116" s="180">
        <f>IF($A$1="Peak","-",'Base Hours'!M116*BaseLoad!S115*IS!$B$2)</f>
        <v>338424.50943483668</v>
      </c>
      <c r="N116" s="180">
        <f>IF($A$1="Peak","-",'Base Hours'!N116*BaseLoad!T115*IS!$B$2)</f>
        <v>332508.31504496472</v>
      </c>
      <c r="O116" s="180">
        <f>IF($A$1="Peak","-",'Base Hours'!O116*BaseLoad!U115*IS!$B$2)</f>
        <v>332506.16654523998</v>
      </c>
      <c r="P116" s="180">
        <f>IF($A$1="Peak","-",'Base Hours'!P116*BaseLoad!V115*IS!$B$2)</f>
        <v>332506.16654523998</v>
      </c>
      <c r="Q116" s="180">
        <f>IF($A$1="Peak","-",'Base Hours'!Q116*BaseLoad!W115*IS!$B$2)</f>
        <v>332506.16654523998</v>
      </c>
      <c r="R116" s="180">
        <f>IF($A$1="Peak","-",'Base Hours'!R116*BaseLoad!X115*IS!$B$2)</f>
        <v>330209.8033898357</v>
      </c>
      <c r="S116" s="180">
        <f>IF($A$1="Peak","-",'Base Hours'!S116*BaseLoad!Y115*IS!$B$2)</f>
        <v>312123.89223912801</v>
      </c>
      <c r="T116" s="180">
        <f>IF($A$1="Peak","-",'Base Hours'!T116*BaseLoad!Z115*IS!$B$2)</f>
        <v>304299.00222259556</v>
      </c>
      <c r="U116" s="180">
        <f>IF($A$1="Peak","-",'Base Hours'!U116*BaseLoad!AA115*IS!$B$2)</f>
        <v>773919.79099780053</v>
      </c>
      <c r="V116" s="180">
        <f t="shared" si="4"/>
        <v>6657678.6224375283</v>
      </c>
      <c r="W116" s="180"/>
      <c r="X116" s="180"/>
      <c r="Y116" s="212"/>
      <c r="Z116" s="212">
        <f>(BaseLoad!C115*'Base Hours'!V116*IS!$B$2)*-1</f>
        <v>-1815584.814563798</v>
      </c>
      <c r="AA116" s="212"/>
      <c r="AB116" s="212">
        <f>(BaseLoad!D115*'Base Hours'!V116*IS!$B$2)*-1</f>
        <v>-172423.23651670804</v>
      </c>
      <c r="AC116" s="212"/>
      <c r="AD116" s="212">
        <f>(BaseLoad!E115*'Base Hours'!V116*IS!$B$2)*-1</f>
        <v>-852469.63057380531</v>
      </c>
      <c r="AE116" s="212"/>
      <c r="AF116" s="212">
        <f>(BaseLoad!F115*'Base Hours'!V116*IS!$B$2)*-1</f>
        <v>-116209.85385312498</v>
      </c>
      <c r="AG116" s="212"/>
    </row>
    <row r="117" spans="1:33" x14ac:dyDescent="0.2">
      <c r="A117" s="1">
        <f t="shared" si="3"/>
        <v>39794.619000000137</v>
      </c>
      <c r="B117" s="180">
        <f>IF($A$1="Peak","-",'Base Hours'!B117*BaseLoad!H116*IS!$B$2)</f>
        <v>202783.52002069511</v>
      </c>
      <c r="C117" s="180">
        <f>IF($A$1="Peak","-",'Base Hours'!C117*BaseLoad!I116*IS!$B$2)</f>
        <v>185933.87803685767</v>
      </c>
      <c r="D117" s="180">
        <f>IF($A$1="Peak","-",'Base Hours'!D117*BaseLoad!J116*IS!$B$2)</f>
        <v>352740.44994674617</v>
      </c>
      <c r="E117" s="180">
        <f>IF($A$1="Peak","-",'Base Hours'!E117*BaseLoad!K116*IS!$B$2)</f>
        <v>524391.31605104287</v>
      </c>
      <c r="F117" s="180">
        <f>IF($A$1="Peak","-",'Base Hours'!F117*BaseLoad!L116*IS!$B$2)</f>
        <v>397843.9004731864</v>
      </c>
      <c r="G117" s="180">
        <f>IF($A$1="Peak","-",'Base Hours'!G117*BaseLoad!M116*IS!$B$2)</f>
        <v>675572.05121605855</v>
      </c>
      <c r="H117" s="180">
        <f>IF($A$1="Peak","-",'Base Hours'!H117*BaseLoad!N116*IS!$B$2)</f>
        <v>612154.56352564087</v>
      </c>
      <c r="I117" s="180">
        <f>IF($A$1="Peak","-",'Base Hours'!I117*BaseLoad!O116*IS!$B$2)</f>
        <v>574411.36620439892</v>
      </c>
      <c r="J117" s="180">
        <f>IF($A$1="Peak","-",'Base Hours'!J117*BaseLoad!P116*IS!$B$2)</f>
        <v>545785.49770313571</v>
      </c>
      <c r="K117" s="180">
        <f>IF($A$1="Peak","-",'Base Hours'!K117*BaseLoad!Q116*IS!$B$2)</f>
        <v>544693.54729100014</v>
      </c>
      <c r="L117" s="180">
        <f>IF($A$1="Peak","-",'Base Hours'!L117*BaseLoad!R116*IS!$B$2)</f>
        <v>532324.60421098641</v>
      </c>
      <c r="M117" s="180">
        <f>IF($A$1="Peak","-",'Base Hours'!M117*BaseLoad!S116*IS!$B$2)</f>
        <v>435241.29669982637</v>
      </c>
      <c r="N117" s="180">
        <f>IF($A$1="Peak","-",'Base Hours'!N117*BaseLoad!T116*IS!$B$2)</f>
        <v>377267.77616468578</v>
      </c>
      <c r="O117" s="180">
        <f>IF($A$1="Peak","-",'Base Hours'!O117*BaseLoad!U116*IS!$B$2)</f>
        <v>316306.767352461</v>
      </c>
      <c r="P117" s="180">
        <f>IF($A$1="Peak","-",'Base Hours'!P117*BaseLoad!V116*IS!$B$2)</f>
        <v>310882.41265186167</v>
      </c>
      <c r="Q117" s="180">
        <f>IF($A$1="Peak","-",'Base Hours'!Q117*BaseLoad!W116*IS!$B$2)</f>
        <v>288555.88531751826</v>
      </c>
      <c r="R117" s="180">
        <f>IF($A$1="Peak","-",'Base Hours'!R117*BaseLoad!X116*IS!$B$2)</f>
        <v>271679.7099391165</v>
      </c>
      <c r="S117" s="180">
        <f>IF($A$1="Peak","-",'Base Hours'!S117*BaseLoad!Y116*IS!$B$2)</f>
        <v>270590.41366071766</v>
      </c>
      <c r="T117" s="180">
        <f>IF($A$1="Peak","-",'Base Hours'!T117*BaseLoad!Z116*IS!$B$2)</f>
        <v>268663.92898689391</v>
      </c>
      <c r="U117" s="180">
        <f>IF($A$1="Peak","-",'Base Hours'!U117*BaseLoad!AA116*IS!$B$2)</f>
        <v>690969.26602769305</v>
      </c>
      <c r="V117" s="180">
        <f t="shared" si="4"/>
        <v>7687822.8854528312</v>
      </c>
      <c r="W117" s="180"/>
      <c r="X117" s="180"/>
      <c r="Y117" s="212">
        <f>SUM(B106:U117)</f>
        <v>91857512.598750517</v>
      </c>
      <c r="Z117" s="212">
        <f>(BaseLoad!C116*'Base Hours'!V117*IS!$B$2)*-1</f>
        <v>-1815584.814563798</v>
      </c>
      <c r="AA117" s="212">
        <f>SUM(Z106:Z117)</f>
        <v>-21787017.774765581</v>
      </c>
      <c r="AB117" s="212">
        <f>(BaseLoad!D116*'Base Hours'!V117*IS!$B$2)*-1</f>
        <v>-172710.60857756922</v>
      </c>
      <c r="AC117" s="212">
        <f>SUM(AB106:AB117)</f>
        <v>-2053665.5485692557</v>
      </c>
      <c r="AD117" s="212">
        <f>(BaseLoad!E116*'Base Hours'!V117*IS!$B$2)*-1</f>
        <v>-858975.88029128883</v>
      </c>
      <c r="AE117" s="212">
        <f>SUM(AD106:AD117)</f>
        <v>-9884804.3318590336</v>
      </c>
      <c r="AF117" s="212">
        <f>(BaseLoad!F116*'Base Hours'!V117*IS!$B$2)*-1</f>
        <v>-117099.03913148535</v>
      </c>
      <c r="AG117" s="212">
        <f>SUM(AF106:AF117)</f>
        <v>-1347391.4264844002</v>
      </c>
    </row>
    <row r="118" spans="1:33" x14ac:dyDescent="0.2">
      <c r="A118" s="1">
        <f t="shared" si="3"/>
        <v>39825.036000000138</v>
      </c>
      <c r="B118" s="180">
        <f>IF($A$1="Peak","-",'Base Hours'!B118*BaseLoad!H117*IS!$B$2)</f>
        <v>132334.00410931362</v>
      </c>
      <c r="C118" s="180">
        <f>IF($A$1="Peak","-",'Base Hours'!C118*BaseLoad!I117*IS!$B$2)</f>
        <v>119733.07404801264</v>
      </c>
      <c r="D118" s="180">
        <f>IF($A$1="Peak","-",'Base Hours'!D118*BaseLoad!J117*IS!$B$2)</f>
        <v>211852.68747826223</v>
      </c>
      <c r="E118" s="180">
        <f>IF($A$1="Peak","-",'Base Hours'!E118*BaseLoad!K117*IS!$B$2)</f>
        <v>394101.93782490597</v>
      </c>
      <c r="F118" s="180">
        <f>IF($A$1="Peak","-",'Base Hours'!F118*BaseLoad!L117*IS!$B$2)</f>
        <v>373104.50221287267</v>
      </c>
      <c r="G118" s="180">
        <f>IF($A$1="Peak","-",'Base Hours'!G118*BaseLoad!M117*IS!$B$2)</f>
        <v>695946.34008764476</v>
      </c>
      <c r="H118" s="180">
        <f>IF($A$1="Peak","-",'Base Hours'!H118*BaseLoad!N117*IS!$B$2)</f>
        <v>689410.97710840171</v>
      </c>
      <c r="I118" s="180">
        <f>IF($A$1="Peak","-",'Base Hours'!I118*BaseLoad!O117*IS!$B$2)</f>
        <v>638937.04939367063</v>
      </c>
      <c r="J118" s="180">
        <f>IF($A$1="Peak","-",'Base Hours'!J118*BaseLoad!P117*IS!$B$2)</f>
        <v>488081.18163570348</v>
      </c>
      <c r="K118" s="180">
        <f>IF($A$1="Peak","-",'Base Hours'!K118*BaseLoad!Q117*IS!$B$2)</f>
        <v>424914.65489451628</v>
      </c>
      <c r="L118" s="180">
        <f>IF($A$1="Peak","-",'Base Hours'!L118*BaseLoad!R117*IS!$B$2)</f>
        <v>390301.31974622892</v>
      </c>
      <c r="M118" s="180">
        <f>IF($A$1="Peak","-",'Base Hours'!M118*BaseLoad!S117*IS!$B$2)</f>
        <v>362331.58092685236</v>
      </c>
      <c r="N118" s="180">
        <f>IF($A$1="Peak","-",'Base Hours'!N118*BaseLoad!T117*IS!$B$2)</f>
        <v>339782.66054462059</v>
      </c>
      <c r="O118" s="180">
        <f>IF($A$1="Peak","-",'Base Hours'!O118*BaseLoad!U117*IS!$B$2)</f>
        <v>339782.66054462059</v>
      </c>
      <c r="P118" s="180">
        <f>IF($A$1="Peak","-",'Base Hours'!P118*BaseLoad!V117*IS!$B$2)</f>
        <v>339782.66054462059</v>
      </c>
      <c r="Q118" s="180">
        <f>IF($A$1="Peak","-",'Base Hours'!Q118*BaseLoad!W117*IS!$B$2)</f>
        <v>339782.66054462059</v>
      </c>
      <c r="R118" s="180">
        <f>IF($A$1="Peak","-",'Base Hours'!R118*BaseLoad!X117*IS!$B$2)</f>
        <v>324772.680589739</v>
      </c>
      <c r="S118" s="180">
        <f>IF($A$1="Peak","-",'Base Hours'!S118*BaseLoad!Y117*IS!$B$2)</f>
        <v>300279.98547278508</v>
      </c>
      <c r="T118" s="180">
        <f>IF($A$1="Peak","-",'Base Hours'!T118*BaseLoad!Z117*IS!$B$2)</f>
        <v>292948.7316801108</v>
      </c>
      <c r="U118" s="180">
        <f>IF($A$1="Peak","-",'Base Hours'!U118*BaseLoad!AA117*IS!$B$2)</f>
        <v>741496.68367197155</v>
      </c>
      <c r="V118" s="180">
        <f t="shared" si="4"/>
        <v>7198181.3493875042</v>
      </c>
      <c r="W118" s="180"/>
      <c r="X118" s="180"/>
      <c r="Y118" s="212"/>
      <c r="Z118" s="212">
        <f>(BaseLoad!C117*'Base Hours'!V118*IS!$B$2)*-1</f>
        <v>-1870965.3901110862</v>
      </c>
      <c r="AA118" s="212"/>
      <c r="AB118" s="212">
        <f>(BaseLoad!D117*'Base Hours'!V118*IS!$B$2)*-1</f>
        <v>-172998.45959186519</v>
      </c>
      <c r="AC118" s="212"/>
      <c r="AD118" s="212">
        <f>(BaseLoad!E117*'Base Hours'!V118*IS!$B$2)*-1</f>
        <v>-871988.37972625566</v>
      </c>
      <c r="AE118" s="212"/>
      <c r="AF118" s="212">
        <f>(BaseLoad!F117*'Base Hours'!V118*IS!$B$2)*-1</f>
        <v>-118877.4096882061</v>
      </c>
      <c r="AG118" s="212"/>
    </row>
    <row r="119" spans="1:33" x14ac:dyDescent="0.2">
      <c r="A119" s="1">
        <f t="shared" si="3"/>
        <v>39855.45300000014</v>
      </c>
      <c r="B119" s="180">
        <f>IF($A$1="Peak","-",'Base Hours'!B119*BaseLoad!H118*IS!$B$2)</f>
        <v>184860.31781452699</v>
      </c>
      <c r="C119" s="180">
        <f>IF($A$1="Peak","-",'Base Hours'!C119*BaseLoad!I118*IS!$B$2)</f>
        <v>173527.00088849149</v>
      </c>
      <c r="D119" s="180">
        <f>IF($A$1="Peak","-",'Base Hours'!D119*BaseLoad!J118*IS!$B$2)</f>
        <v>272088.59247839847</v>
      </c>
      <c r="E119" s="180">
        <f>IF($A$1="Peak","-",'Base Hours'!E119*BaseLoad!K118*IS!$B$2)</f>
        <v>400738.97726710932</v>
      </c>
      <c r="F119" s="180">
        <f>IF($A$1="Peak","-",'Base Hours'!F119*BaseLoad!L118*IS!$B$2)</f>
        <v>373752.34514034115</v>
      </c>
      <c r="G119" s="180">
        <f>IF($A$1="Peak","-",'Base Hours'!G119*BaseLoad!M118*IS!$B$2)</f>
        <v>704000.42021821486</v>
      </c>
      <c r="H119" s="180">
        <f>IF($A$1="Peak","-",'Base Hours'!H119*BaseLoad!N118*IS!$B$2)</f>
        <v>667687.36237870832</v>
      </c>
      <c r="I119" s="180">
        <f>IF($A$1="Peak","-",'Base Hours'!I119*BaseLoad!O118*IS!$B$2)</f>
        <v>656347.96051318175</v>
      </c>
      <c r="J119" s="180">
        <f>IF($A$1="Peak","-",'Base Hours'!J119*BaseLoad!P118*IS!$B$2)</f>
        <v>531435.30790227908</v>
      </c>
      <c r="K119" s="180">
        <f>IF($A$1="Peak","-",'Base Hours'!K119*BaseLoad!Q118*IS!$B$2)</f>
        <v>443324.40189400275</v>
      </c>
      <c r="L119" s="180">
        <f>IF($A$1="Peak","-",'Base Hours'!L119*BaseLoad!R118*IS!$B$2)</f>
        <v>377195.79707092128</v>
      </c>
      <c r="M119" s="180">
        <f>IF($A$1="Peak","-",'Base Hours'!M119*BaseLoad!S118*IS!$B$2)</f>
        <v>357235.96515024087</v>
      </c>
      <c r="N119" s="180">
        <f>IF($A$1="Peak","-",'Base Hours'!N119*BaseLoad!T118*IS!$B$2)</f>
        <v>327503.49846168776</v>
      </c>
      <c r="O119" s="180">
        <f>IF($A$1="Peak","-",'Base Hours'!O119*BaseLoad!U118*IS!$B$2)</f>
        <v>327356.98833237251</v>
      </c>
      <c r="P119" s="180">
        <f>IF($A$1="Peak","-",'Base Hours'!P119*BaseLoad!V118*IS!$B$2)</f>
        <v>322317.93663930381</v>
      </c>
      <c r="Q119" s="180">
        <f>IF($A$1="Peak","-",'Base Hours'!Q119*BaseLoad!W118*IS!$B$2)</f>
        <v>320715.84283363097</v>
      </c>
      <c r="R119" s="180">
        <f>IF($A$1="Peak","-",'Base Hours'!R119*BaseLoad!X118*IS!$B$2)</f>
        <v>306618.1644733877</v>
      </c>
      <c r="S119" s="180">
        <f>IF($A$1="Peak","-",'Base Hours'!S119*BaseLoad!Y118*IS!$B$2)</f>
        <v>300065.32502137456</v>
      </c>
      <c r="T119" s="180">
        <f>IF($A$1="Peak","-",'Base Hours'!T119*BaseLoad!Z118*IS!$B$2)</f>
        <v>292218.62436059181</v>
      </c>
      <c r="U119" s="180">
        <f>IF($A$1="Peak","-",'Base Hours'!U119*BaseLoad!AA118*IS!$B$2)</f>
        <v>734492.34953400283</v>
      </c>
      <c r="V119" s="180">
        <f t="shared" si="4"/>
        <v>7338990.8288387656</v>
      </c>
      <c r="W119" s="180"/>
      <c r="X119" s="180"/>
      <c r="Y119" s="212"/>
      <c r="Z119" s="212">
        <f>(BaseLoad!C118*'Base Hours'!V119*IS!$B$2)*-1</f>
        <v>-1870965.3901110862</v>
      </c>
      <c r="AA119" s="212"/>
      <c r="AB119" s="212">
        <f>(BaseLoad!D118*'Base Hours'!V119*IS!$B$2)*-1</f>
        <v>-173286.79035785166</v>
      </c>
      <c r="AC119" s="212"/>
      <c r="AD119" s="212">
        <f>(BaseLoad!E118*'Base Hours'!V119*IS!$B$2)*-1</f>
        <v>-871988.37972625566</v>
      </c>
      <c r="AE119" s="212"/>
      <c r="AF119" s="212">
        <f>(BaseLoad!F118*'Base Hours'!V119*IS!$B$2)*-1</f>
        <v>-118877.4096882061</v>
      </c>
      <c r="AG119" s="212"/>
    </row>
    <row r="120" spans="1:33" x14ac:dyDescent="0.2">
      <c r="A120" s="1">
        <f t="shared" si="3"/>
        <v>39885.870000000141</v>
      </c>
      <c r="B120" s="180">
        <f>IF($A$1="Peak","-",'Base Hours'!B120*BaseLoad!H119*IS!$B$2)</f>
        <v>111369.42079925037</v>
      </c>
      <c r="C120" s="180">
        <f>IF($A$1="Peak","-",'Base Hours'!C120*BaseLoad!I119*IS!$B$2)</f>
        <v>99044.035534476498</v>
      </c>
      <c r="D120" s="180">
        <f>IF($A$1="Peak","-",'Base Hours'!D120*BaseLoad!J119*IS!$B$2)</f>
        <v>190848.62624584124</v>
      </c>
      <c r="E120" s="180">
        <f>IF($A$1="Peak","-",'Base Hours'!E120*BaseLoad!K119*IS!$B$2)</f>
        <v>359914.16457553767</v>
      </c>
      <c r="F120" s="180">
        <f>IF($A$1="Peak","-",'Base Hours'!F120*BaseLoad!L119*IS!$B$2)</f>
        <v>334929.55496864597</v>
      </c>
      <c r="G120" s="180">
        <f>IF($A$1="Peak","-",'Base Hours'!G120*BaseLoad!M119*IS!$B$2)</f>
        <v>661215.91201739979</v>
      </c>
      <c r="H120" s="180">
        <f>IF($A$1="Peak","-",'Base Hours'!H120*BaseLoad!N119*IS!$B$2)</f>
        <v>638288.55896293791</v>
      </c>
      <c r="I120" s="180">
        <f>IF($A$1="Peak","-",'Base Hours'!I120*BaseLoad!O119*IS!$B$2)</f>
        <v>505455.48346659157</v>
      </c>
      <c r="J120" s="180">
        <f>IF($A$1="Peak","-",'Base Hours'!J120*BaseLoad!P119*IS!$B$2)</f>
        <v>450572.04965200997</v>
      </c>
      <c r="K120" s="180">
        <f>IF($A$1="Peak","-",'Base Hours'!K120*BaseLoad!Q119*IS!$B$2)</f>
        <v>390197.99939093943</v>
      </c>
      <c r="L120" s="180">
        <f>IF($A$1="Peak","-",'Base Hours'!L120*BaseLoad!R119*IS!$B$2)</f>
        <v>373814.25161055557</v>
      </c>
      <c r="M120" s="180">
        <f>IF($A$1="Peak","-",'Base Hours'!M120*BaseLoad!S119*IS!$B$2)</f>
        <v>370682.38899753679</v>
      </c>
      <c r="N120" s="180">
        <f>IF($A$1="Peak","-",'Base Hours'!N120*BaseLoad!T119*IS!$B$2)</f>
        <v>347534.1623037961</v>
      </c>
      <c r="O120" s="180">
        <f>IF($A$1="Peak","-",'Base Hours'!O120*BaseLoad!U119*IS!$B$2)</f>
        <v>328427.36553145282</v>
      </c>
      <c r="P120" s="180">
        <f>IF($A$1="Peak","-",'Base Hours'!P120*BaseLoad!V119*IS!$B$2)</f>
        <v>328024.66081662785</v>
      </c>
      <c r="Q120" s="180">
        <f>IF($A$1="Peak","-",'Base Hours'!Q120*BaseLoad!W119*IS!$B$2)</f>
        <v>323713.16484058881</v>
      </c>
      <c r="R120" s="180">
        <f>IF($A$1="Peak","-",'Base Hours'!R120*BaseLoad!X119*IS!$B$2)</f>
        <v>320700.97839302197</v>
      </c>
      <c r="S120" s="180">
        <f>IF($A$1="Peak","-",'Base Hours'!S120*BaseLoad!Y119*IS!$B$2)</f>
        <v>320400.23464002844</v>
      </c>
      <c r="T120" s="180">
        <f>IF($A$1="Peak","-",'Base Hours'!T120*BaseLoad!Z119*IS!$B$2)</f>
        <v>320399.84079372801</v>
      </c>
      <c r="U120" s="180">
        <f>IF($A$1="Peak","-",'Base Hours'!U120*BaseLoad!AA119*IS!$B$2)</f>
        <v>869831.75052346638</v>
      </c>
      <c r="V120" s="180">
        <f t="shared" si="4"/>
        <v>6775532.8535409672</v>
      </c>
      <c r="W120" s="180"/>
      <c r="X120" s="180"/>
      <c r="Y120" s="212"/>
      <c r="Z120" s="212">
        <f>(BaseLoad!C119*'Base Hours'!V120*IS!$B$2)*-1</f>
        <v>-1870965.3901110862</v>
      </c>
      <c r="AA120" s="212"/>
      <c r="AB120" s="212">
        <f>(BaseLoad!D119*'Base Hours'!V120*IS!$B$2)*-1</f>
        <v>-173575.60167511474</v>
      </c>
      <c r="AC120" s="212"/>
      <c r="AD120" s="212">
        <f>(BaseLoad!E119*'Base Hours'!V120*IS!$B$2)*-1</f>
        <v>-871988.37972625566</v>
      </c>
      <c r="AE120" s="212"/>
      <c r="AF120" s="212">
        <f>(BaseLoad!F119*'Base Hours'!V120*IS!$B$2)*-1</f>
        <v>-118877.4096882061</v>
      </c>
      <c r="AG120" s="212"/>
    </row>
    <row r="121" spans="1:33" x14ac:dyDescent="0.2">
      <c r="A121" s="1">
        <f t="shared" si="3"/>
        <v>39916.287000000142</v>
      </c>
      <c r="B121" s="180">
        <f>IF($A$1="Peak","-",'Base Hours'!B121*BaseLoad!H120*IS!$B$2)</f>
        <v>90258.778611748508</v>
      </c>
      <c r="C121" s="180">
        <f>IF($A$1="Peak","-",'Base Hours'!C121*BaseLoad!I120*IS!$B$2)</f>
        <v>87154.916546371111</v>
      </c>
      <c r="D121" s="180">
        <f>IF($A$1="Peak","-",'Base Hours'!D121*BaseLoad!J120*IS!$B$2)</f>
        <v>165531.3772326071</v>
      </c>
      <c r="E121" s="180">
        <f>IF($A$1="Peak","-",'Base Hours'!E121*BaseLoad!K120*IS!$B$2)</f>
        <v>316869.61775953538</v>
      </c>
      <c r="F121" s="180">
        <f>IF($A$1="Peak","-",'Base Hours'!F121*BaseLoad!L120*IS!$B$2)</f>
        <v>316175.52557865734</v>
      </c>
      <c r="G121" s="180">
        <f>IF($A$1="Peak","-",'Base Hours'!G121*BaseLoad!M120*IS!$B$2)</f>
        <v>574760.39334185689</v>
      </c>
      <c r="H121" s="180">
        <f>IF($A$1="Peak","-",'Base Hours'!H121*BaseLoad!N120*IS!$B$2)</f>
        <v>439632.39308076567</v>
      </c>
      <c r="I121" s="180">
        <f>IF($A$1="Peak","-",'Base Hours'!I121*BaseLoad!O120*IS!$B$2)</f>
        <v>402965.55709355552</v>
      </c>
      <c r="J121" s="180">
        <f>IF($A$1="Peak","-",'Base Hours'!J121*BaseLoad!P120*IS!$B$2)</f>
        <v>363641.42122565844</v>
      </c>
      <c r="K121" s="180">
        <f>IF($A$1="Peak","-",'Base Hours'!K121*BaseLoad!Q120*IS!$B$2)</f>
        <v>358768.1174307646</v>
      </c>
      <c r="L121" s="180">
        <f>IF($A$1="Peak","-",'Base Hours'!L121*BaseLoad!R120*IS!$B$2)</f>
        <v>349238.60494429007</v>
      </c>
      <c r="M121" s="180">
        <f>IF($A$1="Peak","-",'Base Hours'!M121*BaseLoad!S120*IS!$B$2)</f>
        <v>328821.3013612678</v>
      </c>
      <c r="N121" s="180">
        <f>IF($A$1="Peak","-",'Base Hours'!N121*BaseLoad!T120*IS!$B$2)</f>
        <v>319809.21441594447</v>
      </c>
      <c r="O121" s="180">
        <f>IF($A$1="Peak","-",'Base Hours'!O121*BaseLoad!U120*IS!$B$2)</f>
        <v>315628.30306494486</v>
      </c>
      <c r="P121" s="180">
        <f>IF($A$1="Peak","-",'Base Hours'!P121*BaseLoad!V120*IS!$B$2)</f>
        <v>315289.22525537055</v>
      </c>
      <c r="Q121" s="180">
        <f>IF($A$1="Peak","-",'Base Hours'!Q121*BaseLoad!W120*IS!$B$2)</f>
        <v>310999.7306651448</v>
      </c>
      <c r="R121" s="180">
        <f>IF($A$1="Peak","-",'Base Hours'!R121*BaseLoad!X120*IS!$B$2)</f>
        <v>307798.5069059672</v>
      </c>
      <c r="S121" s="180">
        <f>IF($A$1="Peak","-",'Base Hours'!S121*BaseLoad!Y120*IS!$B$2)</f>
        <v>307796.96566984255</v>
      </c>
      <c r="T121" s="180">
        <f>IF($A$1="Peak","-",'Base Hours'!T121*BaseLoad!Z120*IS!$B$2)</f>
        <v>307796.47197092295</v>
      </c>
      <c r="U121" s="180">
        <f>IF($A$1="Peak","-",'Base Hours'!U121*BaseLoad!AA120*IS!$B$2)</f>
        <v>837120.38734656596</v>
      </c>
      <c r="V121" s="180">
        <f t="shared" si="4"/>
        <v>5978936.4221552163</v>
      </c>
      <c r="W121" s="180"/>
      <c r="X121" s="180"/>
      <c r="Y121" s="212"/>
      <c r="Z121" s="212">
        <f>(BaseLoad!C120*'Base Hours'!V121*IS!$B$2)*-1</f>
        <v>-1870965.3901110862</v>
      </c>
      <c r="AA121" s="212"/>
      <c r="AB121" s="212">
        <f>(BaseLoad!D120*'Base Hours'!V121*IS!$B$2)*-1</f>
        <v>-173864.89434457326</v>
      </c>
      <c r="AC121" s="212"/>
      <c r="AD121" s="212">
        <f>(BaseLoad!E120*'Base Hours'!V121*IS!$B$2)*-1</f>
        <v>-871988.37972625566</v>
      </c>
      <c r="AE121" s="212"/>
      <c r="AF121" s="212">
        <f>(BaseLoad!F120*'Base Hours'!V121*IS!$B$2)*-1</f>
        <v>-118877.4096882061</v>
      </c>
      <c r="AG121" s="212"/>
    </row>
    <row r="122" spans="1:33" x14ac:dyDescent="0.2">
      <c r="A122" s="1">
        <f t="shared" si="3"/>
        <v>39946.704000000143</v>
      </c>
      <c r="B122" s="180">
        <f>IF($A$1="Peak","-",'Base Hours'!B122*BaseLoad!H121*IS!$B$2)</f>
        <v>124687.76245975436</v>
      </c>
      <c r="C122" s="180">
        <f>IF($A$1="Peak","-",'Base Hours'!C122*BaseLoad!I121*IS!$B$2)</f>
        <v>96429.550295820809</v>
      </c>
      <c r="D122" s="180">
        <f>IF($A$1="Peak","-",'Base Hours'!D122*BaseLoad!J121*IS!$B$2)</f>
        <v>174664.32305033744</v>
      </c>
      <c r="E122" s="180">
        <f>IF($A$1="Peak","-",'Base Hours'!E122*BaseLoad!K121*IS!$B$2)</f>
        <v>324432.18920868641</v>
      </c>
      <c r="F122" s="180">
        <f>IF($A$1="Peak","-",'Base Hours'!F122*BaseLoad!L121*IS!$B$2)</f>
        <v>319077.8707028029</v>
      </c>
      <c r="G122" s="180">
        <f>IF($A$1="Peak","-",'Base Hours'!G122*BaseLoad!M121*IS!$B$2)</f>
        <v>532205.38912766811</v>
      </c>
      <c r="H122" s="180">
        <f>IF($A$1="Peak","-",'Base Hours'!H122*BaseLoad!N121*IS!$B$2)</f>
        <v>441319.173324787</v>
      </c>
      <c r="I122" s="180">
        <f>IF($A$1="Peak","-",'Base Hours'!I122*BaseLoad!O121*IS!$B$2)</f>
        <v>405284.57704704651</v>
      </c>
      <c r="J122" s="180">
        <f>IF($A$1="Peak","-",'Base Hours'!J122*BaseLoad!P121*IS!$B$2)</f>
        <v>370146.90010981949</v>
      </c>
      <c r="K122" s="180">
        <f>IF($A$1="Peak","-",'Base Hours'!K122*BaseLoad!Q121*IS!$B$2)</f>
        <v>319422.2309641256</v>
      </c>
      <c r="L122" s="180">
        <f>IF($A$1="Peak","-",'Base Hours'!L122*BaseLoad!R121*IS!$B$2)</f>
        <v>316475.5417957211</v>
      </c>
      <c r="M122" s="180">
        <f>IF($A$1="Peak","-",'Base Hours'!M122*BaseLoad!S121*IS!$B$2)</f>
        <v>313418.7072852964</v>
      </c>
      <c r="N122" s="180">
        <f>IF($A$1="Peak","-",'Base Hours'!N122*BaseLoad!T121*IS!$B$2)</f>
        <v>308950.20627927198</v>
      </c>
      <c r="O122" s="180">
        <f>IF($A$1="Peak","-",'Base Hours'!O122*BaseLoad!U121*IS!$B$2)</f>
        <v>308950.20627927198</v>
      </c>
      <c r="P122" s="180">
        <f>IF($A$1="Peak","-",'Base Hours'!P122*BaseLoad!V121*IS!$B$2)</f>
        <v>308950.20627927198</v>
      </c>
      <c r="Q122" s="180">
        <f>IF($A$1="Peak","-",'Base Hours'!Q122*BaseLoad!W121*IS!$B$2)</f>
        <v>308949.48198051332</v>
      </c>
      <c r="R122" s="180">
        <f>IF($A$1="Peak","-",'Base Hours'!R122*BaseLoad!X121*IS!$B$2)</f>
        <v>308947.3990898332</v>
      </c>
      <c r="S122" s="180">
        <f>IF($A$1="Peak","-",'Base Hours'!S122*BaseLoad!Y121*IS!$B$2)</f>
        <v>304701.02362354798</v>
      </c>
      <c r="T122" s="180">
        <f>IF($A$1="Peak","-",'Base Hours'!T122*BaseLoad!Z121*IS!$B$2)</f>
        <v>291456.00644424662</v>
      </c>
      <c r="U122" s="180">
        <f>IF($A$1="Peak","-",'Base Hours'!U122*BaseLoad!AA121*IS!$B$2)</f>
        <v>747809.56519095728</v>
      </c>
      <c r="V122" s="180">
        <f t="shared" si="4"/>
        <v>5878468.745347823</v>
      </c>
      <c r="W122" s="180"/>
      <c r="X122" s="180"/>
      <c r="Y122" s="212"/>
      <c r="Z122" s="212">
        <f>(BaseLoad!C121*'Base Hours'!V122*IS!$B$2)*-1</f>
        <v>-1870965.3901110862</v>
      </c>
      <c r="AA122" s="212"/>
      <c r="AB122" s="212">
        <f>(BaseLoad!D121*'Base Hours'!V122*IS!$B$2)*-1</f>
        <v>-174154.6691684809</v>
      </c>
      <c r="AC122" s="212"/>
      <c r="AD122" s="212">
        <f>(BaseLoad!E121*'Base Hours'!V122*IS!$B$2)*-1</f>
        <v>-871988.37972625566</v>
      </c>
      <c r="AE122" s="212"/>
      <c r="AF122" s="212">
        <f>(BaseLoad!F121*'Base Hours'!V122*IS!$B$2)*-1</f>
        <v>-118877.4096882061</v>
      </c>
      <c r="AG122" s="212"/>
    </row>
    <row r="123" spans="1:33" x14ac:dyDescent="0.2">
      <c r="A123" s="1">
        <f t="shared" si="3"/>
        <v>39977.121000000145</v>
      </c>
      <c r="B123" s="180">
        <f>IF($A$1="Peak","-",'Base Hours'!B123*BaseLoad!H122*IS!$B$2)</f>
        <v>231941.48060680315</v>
      </c>
      <c r="C123" s="180">
        <f>IF($A$1="Peak","-",'Base Hours'!C123*BaseLoad!I122*IS!$B$2)</f>
        <v>198071.65318006277</v>
      </c>
      <c r="D123" s="180">
        <f>IF($A$1="Peak","-",'Base Hours'!D123*BaseLoad!J122*IS!$B$2)</f>
        <v>356805.94117586024</v>
      </c>
      <c r="E123" s="180">
        <f>IF($A$1="Peak","-",'Base Hours'!E123*BaseLoad!K122*IS!$B$2)</f>
        <v>579637.20949519274</v>
      </c>
      <c r="F123" s="180">
        <f>IF($A$1="Peak","-",'Base Hours'!F123*BaseLoad!L122*IS!$B$2)</f>
        <v>354734.9675379112</v>
      </c>
      <c r="G123" s="180">
        <f>IF($A$1="Peak","-",'Base Hours'!G123*BaseLoad!M122*IS!$B$2)</f>
        <v>589812.54276967491</v>
      </c>
      <c r="H123" s="180">
        <f>IF($A$1="Peak","-",'Base Hours'!H123*BaseLoad!N122*IS!$B$2)</f>
        <v>550496.33247370541</v>
      </c>
      <c r="I123" s="180">
        <f>IF($A$1="Peak","-",'Base Hours'!I123*BaseLoad!O122*IS!$B$2)</f>
        <v>474306.95574183384</v>
      </c>
      <c r="J123" s="180">
        <f>IF($A$1="Peak","-",'Base Hours'!J123*BaseLoad!P122*IS!$B$2)</f>
        <v>385424.80667088943</v>
      </c>
      <c r="K123" s="180">
        <f>IF($A$1="Peak","-",'Base Hours'!K123*BaseLoad!Q122*IS!$B$2)</f>
        <v>352925.09863471822</v>
      </c>
      <c r="L123" s="180">
        <f>IF($A$1="Peak","-",'Base Hours'!L123*BaseLoad!R122*IS!$B$2)</f>
        <v>324506.3002472815</v>
      </c>
      <c r="M123" s="180">
        <f>IF($A$1="Peak","-",'Base Hours'!M123*BaseLoad!S122*IS!$B$2)</f>
        <v>315491.7105253808</v>
      </c>
      <c r="N123" s="180">
        <f>IF($A$1="Peak","-",'Base Hours'!N123*BaseLoad!T122*IS!$B$2)</f>
        <v>313856.18191558262</v>
      </c>
      <c r="O123" s="180">
        <f>IF($A$1="Peak","-",'Base Hours'!O123*BaseLoad!U122*IS!$B$2)</f>
        <v>305532.96353519137</v>
      </c>
      <c r="P123" s="180">
        <f>IF($A$1="Peak","-",'Base Hours'!P123*BaseLoad!V122*IS!$B$2)</f>
        <v>293699.90464789892</v>
      </c>
      <c r="Q123" s="180">
        <f>IF($A$1="Peak","-",'Base Hours'!Q123*BaseLoad!W122*IS!$B$2)</f>
        <v>284674.35065808269</v>
      </c>
      <c r="R123" s="180">
        <f>IF($A$1="Peak","-",'Base Hours'!R123*BaseLoad!X122*IS!$B$2)</f>
        <v>279363.8448547736</v>
      </c>
      <c r="S123" s="180">
        <f>IF($A$1="Peak","-",'Base Hours'!S123*BaseLoad!Y122*IS!$B$2)</f>
        <v>277808.94712630112</v>
      </c>
      <c r="T123" s="180">
        <f>IF($A$1="Peak","-",'Base Hours'!T123*BaseLoad!Z122*IS!$B$2)</f>
        <v>273296.03515388054</v>
      </c>
      <c r="U123" s="180">
        <f>IF($A$1="Peak","-",'Base Hours'!U123*BaseLoad!AA122*IS!$B$2)</f>
        <v>747265.84035369533</v>
      </c>
      <c r="V123" s="180">
        <f t="shared" si="4"/>
        <v>6742387.2269510254</v>
      </c>
      <c r="W123" s="180"/>
      <c r="X123" s="180"/>
      <c r="Y123" s="212"/>
      <c r="Z123" s="212">
        <f>(BaseLoad!C122*'Base Hours'!V123*IS!$B$2)*-1</f>
        <v>-1870965.3901110862</v>
      </c>
      <c r="AA123" s="212"/>
      <c r="AB123" s="212">
        <f>(BaseLoad!D122*'Base Hours'!V123*IS!$B$2)*-1</f>
        <v>-174444.9269504284</v>
      </c>
      <c r="AC123" s="212"/>
      <c r="AD123" s="212">
        <f>(BaseLoad!E122*'Base Hours'!V123*IS!$B$2)*-1</f>
        <v>-871988.37972625566</v>
      </c>
      <c r="AE123" s="212"/>
      <c r="AF123" s="212">
        <f>(BaseLoad!F122*'Base Hours'!V123*IS!$B$2)*-1</f>
        <v>-118877.4096882061</v>
      </c>
      <c r="AG123" s="212"/>
    </row>
    <row r="124" spans="1:33" x14ac:dyDescent="0.2">
      <c r="A124" s="1">
        <f t="shared" si="3"/>
        <v>40007.538000000146</v>
      </c>
      <c r="B124" s="180">
        <f>IF($A$1="Peak","-",'Base Hours'!B124*BaseLoad!H123*IS!$B$2)</f>
        <v>363883.52573439776</v>
      </c>
      <c r="C124" s="180">
        <f>IF($A$1="Peak","-",'Base Hours'!C124*BaseLoad!I123*IS!$B$2)</f>
        <v>301696.42365621449</v>
      </c>
      <c r="D124" s="180">
        <f>IF($A$1="Peak","-",'Base Hours'!D124*BaseLoad!J123*IS!$B$2)</f>
        <v>518576.72570605628</v>
      </c>
      <c r="E124" s="180">
        <f>IF($A$1="Peak","-",'Base Hours'!E124*BaseLoad!K123*IS!$B$2)</f>
        <v>861049.07288736373</v>
      </c>
      <c r="F124" s="180">
        <f>IF($A$1="Peak","-",'Base Hours'!F124*BaseLoad!L123*IS!$B$2)</f>
        <v>736170.80902552174</v>
      </c>
      <c r="G124" s="180">
        <f>IF($A$1="Peak","-",'Base Hours'!G124*BaseLoad!M123*IS!$B$2)</f>
        <v>1217388.6668934363</v>
      </c>
      <c r="H124" s="180">
        <f>IF($A$1="Peak","-",'Base Hours'!H124*BaseLoad!N123*IS!$B$2)</f>
        <v>673227.6846166735</v>
      </c>
      <c r="I124" s="180">
        <f>IF($A$1="Peak","-",'Base Hours'!I124*BaseLoad!O123*IS!$B$2)</f>
        <v>581491.09423933062</v>
      </c>
      <c r="J124" s="180">
        <f>IF($A$1="Peak","-",'Base Hours'!J124*BaseLoad!P123*IS!$B$2)</f>
        <v>556594.65796245902</v>
      </c>
      <c r="K124" s="180">
        <f>IF($A$1="Peak","-",'Base Hours'!K124*BaseLoad!Q123*IS!$B$2)</f>
        <v>480790.29749726591</v>
      </c>
      <c r="L124" s="180">
        <f>IF($A$1="Peak","-",'Base Hours'!L124*BaseLoad!R123*IS!$B$2)</f>
        <v>366867.83439698431</v>
      </c>
      <c r="M124" s="180">
        <f>IF($A$1="Peak","-",'Base Hours'!M124*BaseLoad!S123*IS!$B$2)</f>
        <v>318160.37891647266</v>
      </c>
      <c r="N124" s="180">
        <f>IF($A$1="Peak","-",'Base Hours'!N124*BaseLoad!T123*IS!$B$2)</f>
        <v>294015.73748245341</v>
      </c>
      <c r="O124" s="180">
        <f>IF($A$1="Peak","-",'Base Hours'!O124*BaseLoad!U123*IS!$B$2)</f>
        <v>277921.83220902277</v>
      </c>
      <c r="P124" s="180">
        <f>IF($A$1="Peak","-",'Base Hours'!P124*BaseLoad!V123*IS!$B$2)</f>
        <v>276388.73099232296</v>
      </c>
      <c r="Q124" s="180">
        <f>IF($A$1="Peak","-",'Base Hours'!Q124*BaseLoad!W123*IS!$B$2)</f>
        <v>276386.82555194007</v>
      </c>
      <c r="R124" s="180">
        <f>IF($A$1="Peak","-",'Base Hours'!R124*BaseLoad!X123*IS!$B$2)</f>
        <v>276386.82555194007</v>
      </c>
      <c r="S124" s="180">
        <f>IF($A$1="Peak","-",'Base Hours'!S124*BaseLoad!Y123*IS!$B$2)</f>
        <v>274904.41102637164</v>
      </c>
      <c r="T124" s="180">
        <f>IF($A$1="Peak","-",'Base Hours'!T124*BaseLoad!Z123*IS!$B$2)</f>
        <v>263853.01860438765</v>
      </c>
      <c r="U124" s="180">
        <f>IF($A$1="Peak","-",'Base Hours'!U124*BaseLoad!AA123*IS!$B$2)</f>
        <v>652340.50397159148</v>
      </c>
      <c r="V124" s="180">
        <f t="shared" si="4"/>
        <v>8350706.3900287701</v>
      </c>
      <c r="W124" s="180"/>
      <c r="X124" s="180"/>
      <c r="Y124" s="212"/>
      <c r="Z124" s="212">
        <f>(BaseLoad!C123*'Base Hours'!V124*IS!$B$2)*-1</f>
        <v>-1870965.3901110862</v>
      </c>
      <c r="AA124" s="212"/>
      <c r="AB124" s="212">
        <f>(BaseLoad!D123*'Base Hours'!V124*IS!$B$2)*-1</f>
        <v>-174735.66849534574</v>
      </c>
      <c r="AC124" s="212"/>
      <c r="AD124" s="212">
        <f>(BaseLoad!E123*'Base Hours'!V124*IS!$B$2)*-1</f>
        <v>-871988.37972625566</v>
      </c>
      <c r="AE124" s="212"/>
      <c r="AF124" s="212">
        <f>(BaseLoad!F123*'Base Hours'!V124*IS!$B$2)*-1</f>
        <v>-118877.4096882061</v>
      </c>
      <c r="AG124" s="212"/>
    </row>
    <row r="125" spans="1:33" x14ac:dyDescent="0.2">
      <c r="A125" s="1">
        <f t="shared" si="3"/>
        <v>40037.955000000147</v>
      </c>
      <c r="B125" s="180">
        <f>IF($A$1="Peak","-",'Base Hours'!B125*BaseLoad!H124*IS!$B$2)</f>
        <v>415625.82851602999</v>
      </c>
      <c r="C125" s="180">
        <f>IF($A$1="Peak","-",'Base Hours'!C125*BaseLoad!I124*IS!$B$2)</f>
        <v>312755.16927818931</v>
      </c>
      <c r="D125" s="180">
        <f>IF($A$1="Peak","-",'Base Hours'!D125*BaseLoad!J124*IS!$B$2)</f>
        <v>521803.84755591472</v>
      </c>
      <c r="E125" s="180">
        <f>IF($A$1="Peak","-",'Base Hours'!E125*BaseLoad!K124*IS!$B$2)</f>
        <v>833209.61459063436</v>
      </c>
      <c r="F125" s="180">
        <f>IF($A$1="Peak","-",'Base Hours'!F125*BaseLoad!L124*IS!$B$2)</f>
        <v>703407.57263084478</v>
      </c>
      <c r="G125" s="180">
        <f>IF($A$1="Peak","-",'Base Hours'!G125*BaseLoad!M124*IS!$B$2)</f>
        <v>980283.97939146042</v>
      </c>
      <c r="H125" s="180">
        <f>IF($A$1="Peak","-",'Base Hours'!H125*BaseLoad!N124*IS!$B$2)</f>
        <v>735694.71342767146</v>
      </c>
      <c r="I125" s="180">
        <f>IF($A$1="Peak","-",'Base Hours'!I125*BaseLoad!O124*IS!$B$2)</f>
        <v>681464.7303356562</v>
      </c>
      <c r="J125" s="180">
        <f>IF($A$1="Peak","-",'Base Hours'!J125*BaseLoad!P124*IS!$B$2)</f>
        <v>521802.39124841709</v>
      </c>
      <c r="K125" s="180">
        <f>IF($A$1="Peak","-",'Base Hours'!K125*BaseLoad!Q124*IS!$B$2)</f>
        <v>396777.81639418344</v>
      </c>
      <c r="L125" s="180">
        <f>IF($A$1="Peak","-",'Base Hours'!L125*BaseLoad!R124*IS!$B$2)</f>
        <v>369498.03633761068</v>
      </c>
      <c r="M125" s="180">
        <f>IF($A$1="Peak","-",'Base Hours'!M125*BaseLoad!S124*IS!$B$2)</f>
        <v>344127.36948846356</v>
      </c>
      <c r="N125" s="180">
        <f>IF($A$1="Peak","-",'Base Hours'!N125*BaseLoad!T124*IS!$B$2)</f>
        <v>332306.57965887827</v>
      </c>
      <c r="O125" s="180">
        <f>IF($A$1="Peak","-",'Base Hours'!O125*BaseLoad!U124*IS!$B$2)</f>
        <v>332305.57879576395</v>
      </c>
      <c r="P125" s="180">
        <f>IF($A$1="Peak","-",'Base Hours'!P125*BaseLoad!V124*IS!$B$2)</f>
        <v>332304.63601146126</v>
      </c>
      <c r="Q125" s="180">
        <f>IF($A$1="Peak","-",'Base Hours'!Q125*BaseLoad!W124*IS!$B$2)</f>
        <v>332303.40452698019</v>
      </c>
      <c r="R125" s="180">
        <f>IF($A$1="Peak","-",'Base Hours'!R125*BaseLoad!X124*IS!$B$2)</f>
        <v>331897.75547118462</v>
      </c>
      <c r="S125" s="180">
        <f>IF($A$1="Peak","-",'Base Hours'!S125*BaseLoad!Y124*IS!$B$2)</f>
        <v>318193.24438674771</v>
      </c>
      <c r="T125" s="180">
        <f>IF($A$1="Peak","-",'Base Hours'!T125*BaseLoad!Z124*IS!$B$2)</f>
        <v>304989.85020732012</v>
      </c>
      <c r="U125" s="180">
        <f>IF($A$1="Peak","-",'Base Hours'!U125*BaseLoad!AA124*IS!$B$2)</f>
        <v>749068.77676175185</v>
      </c>
      <c r="V125" s="180">
        <f t="shared" si="4"/>
        <v>8869536.9156237021</v>
      </c>
      <c r="W125" s="180"/>
      <c r="X125" s="180"/>
      <c r="Y125" s="212"/>
      <c r="Z125" s="212">
        <f>(BaseLoad!C124*'Base Hours'!V125*IS!$B$2)*-1</f>
        <v>-1870965.3901110862</v>
      </c>
      <c r="AA125" s="212"/>
      <c r="AB125" s="212">
        <f>(BaseLoad!D124*'Base Hours'!V125*IS!$B$2)*-1</f>
        <v>-175026.89460950467</v>
      </c>
      <c r="AC125" s="212"/>
      <c r="AD125" s="212">
        <f>(BaseLoad!E124*'Base Hours'!V125*IS!$B$2)*-1</f>
        <v>-871988.37972625566</v>
      </c>
      <c r="AE125" s="212"/>
      <c r="AF125" s="212">
        <f>(BaseLoad!F124*'Base Hours'!V125*IS!$B$2)*-1</f>
        <v>-118877.4096882061</v>
      </c>
      <c r="AG125" s="212"/>
    </row>
    <row r="126" spans="1:33" x14ac:dyDescent="0.2">
      <c r="A126" s="1">
        <f t="shared" si="3"/>
        <v>40068.372000000149</v>
      </c>
      <c r="B126" s="180">
        <f>IF($A$1="Peak","-",'Base Hours'!B126*BaseLoad!H125*IS!$B$2)</f>
        <v>225896.45492115949</v>
      </c>
      <c r="C126" s="180">
        <f>IF($A$1="Peak","-",'Base Hours'!C126*BaseLoad!I125*IS!$B$2)</f>
        <v>199375.10574681518</v>
      </c>
      <c r="D126" s="180">
        <f>IF($A$1="Peak","-",'Base Hours'!D126*BaseLoad!J125*IS!$B$2)</f>
        <v>368063.04720190732</v>
      </c>
      <c r="E126" s="180">
        <f>IF($A$1="Peak","-",'Base Hours'!E126*BaseLoad!K125*IS!$B$2)</f>
        <v>615481.98785013461</v>
      </c>
      <c r="F126" s="180">
        <f>IF($A$1="Peak","-",'Base Hours'!F126*BaseLoad!L125*IS!$B$2)</f>
        <v>312097.77269884135</v>
      </c>
      <c r="G126" s="180">
        <f>IF($A$1="Peak","-",'Base Hours'!G126*BaseLoad!M125*IS!$B$2)</f>
        <v>557418.31097475614</v>
      </c>
      <c r="H126" s="180">
        <f>IF($A$1="Peak","-",'Base Hours'!H126*BaseLoad!N125*IS!$B$2)</f>
        <v>525532.59421945247</v>
      </c>
      <c r="I126" s="180">
        <f>IF($A$1="Peak","-",'Base Hours'!I126*BaseLoad!O125*IS!$B$2)</f>
        <v>443163.40293889761</v>
      </c>
      <c r="J126" s="180">
        <f>IF($A$1="Peak","-",'Base Hours'!J126*BaseLoad!P125*IS!$B$2)</f>
        <v>338848.02484064526</v>
      </c>
      <c r="K126" s="180">
        <f>IF($A$1="Peak","-",'Base Hours'!K126*BaseLoad!Q125*IS!$B$2)</f>
        <v>299955.30486439663</v>
      </c>
      <c r="L126" s="180">
        <f>IF($A$1="Peak","-",'Base Hours'!L126*BaseLoad!R125*IS!$B$2)</f>
        <v>272938.71391874459</v>
      </c>
      <c r="M126" s="180">
        <f>IF($A$1="Peak","-",'Base Hours'!M126*BaseLoad!S125*IS!$B$2)</f>
        <v>271091.37530296127</v>
      </c>
      <c r="N126" s="180">
        <f>IF($A$1="Peak","-",'Base Hours'!N126*BaseLoad!T125*IS!$B$2)</f>
        <v>270373.00357969588</v>
      </c>
      <c r="O126" s="180">
        <f>IF($A$1="Peak","-",'Base Hours'!O126*BaseLoad!U125*IS!$B$2)</f>
        <v>269047.8125615801</v>
      </c>
      <c r="P126" s="180">
        <f>IF($A$1="Peak","-",'Base Hours'!P126*BaseLoad!V125*IS!$B$2)</f>
        <v>269047.8125615801</v>
      </c>
      <c r="Q126" s="180">
        <f>IF($A$1="Peak","-",'Base Hours'!Q126*BaseLoad!W125*IS!$B$2)</f>
        <v>269047.8125615801</v>
      </c>
      <c r="R126" s="180">
        <f>IF($A$1="Peak","-",'Base Hours'!R126*BaseLoad!X125*IS!$B$2)</f>
        <v>266719.07731483062</v>
      </c>
      <c r="S126" s="180">
        <f>IF($A$1="Peak","-",'Base Hours'!S126*BaseLoad!Y125*IS!$B$2)</f>
        <v>263567.73290488735</v>
      </c>
      <c r="T126" s="180">
        <f>IF($A$1="Peak","-",'Base Hours'!T126*BaseLoad!Z125*IS!$B$2)</f>
        <v>262902.17013086117</v>
      </c>
      <c r="U126" s="180">
        <f>IF($A$1="Peak","-",'Base Hours'!U126*BaseLoad!AA125*IS!$B$2)</f>
        <v>665821.46749813715</v>
      </c>
      <c r="V126" s="180">
        <f t="shared" si="4"/>
        <v>6300567.5170937274</v>
      </c>
      <c r="W126" s="180"/>
      <c r="X126" s="180"/>
      <c r="Y126" s="212"/>
      <c r="Z126" s="212">
        <f>(BaseLoad!C125*'Base Hours'!V126*IS!$B$2)*-1</f>
        <v>-1870965.3901110862</v>
      </c>
      <c r="AA126" s="212"/>
      <c r="AB126" s="212">
        <f>(BaseLoad!D125*'Base Hours'!V126*IS!$B$2)*-1</f>
        <v>-175318.60610052053</v>
      </c>
      <c r="AC126" s="212"/>
      <c r="AD126" s="212">
        <f>(BaseLoad!E125*'Base Hours'!V126*IS!$B$2)*-1</f>
        <v>-871988.37972625566</v>
      </c>
      <c r="AE126" s="212"/>
      <c r="AF126" s="212">
        <f>(BaseLoad!F125*'Base Hours'!V126*IS!$B$2)*-1</f>
        <v>-118877.4096882061</v>
      </c>
      <c r="AG126" s="212"/>
    </row>
    <row r="127" spans="1:33" x14ac:dyDescent="0.2">
      <c r="A127" s="1">
        <f t="shared" si="3"/>
        <v>40098.78900000015</v>
      </c>
      <c r="B127" s="180">
        <f>IF($A$1="Peak","-",'Base Hours'!B127*BaseLoad!H126*IS!$B$2)</f>
        <v>90760.341275864252</v>
      </c>
      <c r="C127" s="180">
        <f>IF($A$1="Peak","-",'Base Hours'!C127*BaseLoad!I126*IS!$B$2)</f>
        <v>89780.186702469044</v>
      </c>
      <c r="D127" s="180">
        <f>IF($A$1="Peak","-",'Base Hours'!D127*BaseLoad!J126*IS!$B$2)</f>
        <v>179560.37340493809</v>
      </c>
      <c r="E127" s="180">
        <f>IF($A$1="Peak","-",'Base Hours'!E127*BaseLoad!K126*IS!$B$2)</f>
        <v>355982.20577171555</v>
      </c>
      <c r="F127" s="180">
        <f>IF($A$1="Peak","-",'Base Hours'!F127*BaseLoad!L126*IS!$B$2)</f>
        <v>334663.43001772778</v>
      </c>
      <c r="G127" s="180">
        <f>IF($A$1="Peak","-",'Base Hours'!G127*BaseLoad!M126*IS!$B$2)</f>
        <v>513398.55382107827</v>
      </c>
      <c r="H127" s="180">
        <f>IF($A$1="Peak","-",'Base Hours'!H127*BaseLoad!N126*IS!$B$2)</f>
        <v>433899.23113419942</v>
      </c>
      <c r="I127" s="180">
        <f>IF($A$1="Peak","-",'Base Hours'!I127*BaseLoad!O126*IS!$B$2)</f>
        <v>404227.89513181034</v>
      </c>
      <c r="J127" s="180">
        <f>IF($A$1="Peak","-",'Base Hours'!J127*BaseLoad!P126*IS!$B$2)</f>
        <v>380742.18995215034</v>
      </c>
      <c r="K127" s="180">
        <f>IF($A$1="Peak","-",'Base Hours'!K127*BaseLoad!Q126*IS!$B$2)</f>
        <v>357010.46709430922</v>
      </c>
      <c r="L127" s="180">
        <f>IF($A$1="Peak","-",'Base Hours'!L127*BaseLoad!R126*IS!$B$2)</f>
        <v>357010.46709430922</v>
      </c>
      <c r="M127" s="180">
        <f>IF($A$1="Peak","-",'Base Hours'!M127*BaseLoad!S126*IS!$B$2)</f>
        <v>355293.90579838597</v>
      </c>
      <c r="N127" s="180">
        <f>IF($A$1="Peak","-",'Base Hours'!N127*BaseLoad!T126*IS!$B$2)</f>
        <v>354142.46204680792</v>
      </c>
      <c r="O127" s="180">
        <f>IF($A$1="Peak","-",'Base Hours'!O127*BaseLoad!U126*IS!$B$2)</f>
        <v>354142.46204680792</v>
      </c>
      <c r="P127" s="180">
        <f>IF($A$1="Peak","-",'Base Hours'!P127*BaseLoad!V126*IS!$B$2)</f>
        <v>353261.50890231336</v>
      </c>
      <c r="Q127" s="180">
        <f>IF($A$1="Peak","-",'Base Hours'!Q127*BaseLoad!W126*IS!$B$2)</f>
        <v>327655.69552766887</v>
      </c>
      <c r="R127" s="180">
        <f>IF($A$1="Peak","-",'Base Hours'!R127*BaseLoad!X126*IS!$B$2)</f>
        <v>309486.26333179895</v>
      </c>
      <c r="S127" s="180">
        <f>IF($A$1="Peak","-",'Base Hours'!S127*BaseLoad!Y126*IS!$B$2)</f>
        <v>296436.54695053661</v>
      </c>
      <c r="T127" s="180">
        <f>IF($A$1="Peak","-",'Base Hours'!T127*BaseLoad!Z126*IS!$B$2)</f>
        <v>286336.12122079969</v>
      </c>
      <c r="U127" s="180">
        <f>IF($A$1="Peak","-",'Base Hours'!U127*BaseLoad!AA126*IS!$B$2)</f>
        <v>740570.72981614294</v>
      </c>
      <c r="V127" s="180">
        <f t="shared" si="4"/>
        <v>6133790.3072256912</v>
      </c>
      <c r="W127" s="180"/>
      <c r="X127" s="180"/>
      <c r="Y127" s="212"/>
      <c r="Z127" s="212">
        <f>(BaseLoad!C126*'Base Hours'!V127*IS!$B$2)*-1</f>
        <v>-1870965.3901110862</v>
      </c>
      <c r="AA127" s="212"/>
      <c r="AB127" s="212">
        <f>(BaseLoad!D126*'Base Hours'!V127*IS!$B$2)*-1</f>
        <v>-175610.80377735471</v>
      </c>
      <c r="AC127" s="212"/>
      <c r="AD127" s="212">
        <f>(BaseLoad!E126*'Base Hours'!V127*IS!$B$2)*-1</f>
        <v>-871988.37972625566</v>
      </c>
      <c r="AE127" s="212"/>
      <c r="AF127" s="212">
        <f>(BaseLoad!F126*'Base Hours'!V127*IS!$B$2)*-1</f>
        <v>-118877.4096882061</v>
      </c>
      <c r="AG127" s="212"/>
    </row>
    <row r="128" spans="1:33" x14ac:dyDescent="0.2">
      <c r="A128" s="1">
        <f t="shared" si="3"/>
        <v>40129.206000000151</v>
      </c>
      <c r="B128" s="180">
        <f>IF($A$1="Peak","-",'Base Hours'!B128*BaseLoad!H127*IS!$B$2)</f>
        <v>172806.49268666905</v>
      </c>
      <c r="C128" s="180">
        <f>IF($A$1="Peak","-",'Base Hours'!C128*BaseLoad!I127*IS!$B$2)</f>
        <v>159909.12391553863</v>
      </c>
      <c r="D128" s="180">
        <f>IF($A$1="Peak","-",'Base Hours'!D128*BaseLoad!J127*IS!$B$2)</f>
        <v>261815.31001945212</v>
      </c>
      <c r="E128" s="180">
        <f>IF($A$1="Peak","-",'Base Hours'!E128*BaseLoad!K127*IS!$B$2)</f>
        <v>376950.595595925</v>
      </c>
      <c r="F128" s="180">
        <f>IF($A$1="Peak","-",'Base Hours'!F128*BaseLoad!L127*IS!$B$2)</f>
        <v>339759.39126872446</v>
      </c>
      <c r="G128" s="180">
        <f>IF($A$1="Peak","-",'Base Hours'!G128*BaseLoad!M127*IS!$B$2)</f>
        <v>652313.95172338479</v>
      </c>
      <c r="H128" s="180">
        <f>IF($A$1="Peak","-",'Base Hours'!H128*BaseLoad!N127*IS!$B$2)</f>
        <v>604807.38989500317</v>
      </c>
      <c r="I128" s="180">
        <f>IF($A$1="Peak","-",'Base Hours'!I128*BaseLoad!O127*IS!$B$2)</f>
        <v>464323.91903698526</v>
      </c>
      <c r="J128" s="180">
        <f>IF($A$1="Peak","-",'Base Hours'!J128*BaseLoad!P127*IS!$B$2)</f>
        <v>461271.89891132794</v>
      </c>
      <c r="K128" s="180">
        <f>IF($A$1="Peak","-",'Base Hours'!K128*BaseLoad!Q127*IS!$B$2)</f>
        <v>452078.57976679003</v>
      </c>
      <c r="L128" s="180">
        <f>IF($A$1="Peak","-",'Base Hours'!L128*BaseLoad!R127*IS!$B$2)</f>
        <v>377009.94852290599</v>
      </c>
      <c r="M128" s="180">
        <f>IF($A$1="Peak","-",'Base Hours'!M128*BaseLoad!S127*IS!$B$2)</f>
        <v>364998.28299799026</v>
      </c>
      <c r="N128" s="180">
        <f>IF($A$1="Peak","-",'Base Hours'!N128*BaseLoad!T127*IS!$B$2)</f>
        <v>325655.133034645</v>
      </c>
      <c r="O128" s="180">
        <f>IF($A$1="Peak","-",'Base Hours'!O128*BaseLoad!U127*IS!$B$2)</f>
        <v>322563.83317574428</v>
      </c>
      <c r="P128" s="180">
        <f>IF($A$1="Peak","-",'Base Hours'!P128*BaseLoad!V127*IS!$B$2)</f>
        <v>321165.95172453189</v>
      </c>
      <c r="Q128" s="180">
        <f>IF($A$1="Peak","-",'Base Hours'!Q128*BaseLoad!W127*IS!$B$2)</f>
        <v>321165.95172453189</v>
      </c>
      <c r="R128" s="180">
        <f>IF($A$1="Peak","-",'Base Hours'!R128*BaseLoad!X127*IS!$B$2)</f>
        <v>321165.95172453189</v>
      </c>
      <c r="S128" s="180">
        <f>IF($A$1="Peak","-",'Base Hours'!S128*BaseLoad!Y127*IS!$B$2)</f>
        <v>317949.41757841763</v>
      </c>
      <c r="T128" s="180">
        <f>IF($A$1="Peak","-",'Base Hours'!T128*BaseLoad!Z127*IS!$B$2)</f>
        <v>300056.31630706775</v>
      </c>
      <c r="U128" s="180">
        <f>IF($A$1="Peak","-",'Base Hours'!U128*BaseLoad!AA127*IS!$B$2)</f>
        <v>690551.85506388941</v>
      </c>
      <c r="V128" s="180">
        <f t="shared" si="4"/>
        <v>6917767.4396101674</v>
      </c>
      <c r="W128" s="180"/>
      <c r="X128" s="180"/>
      <c r="Y128" s="212"/>
      <c r="Z128" s="212">
        <f>(BaseLoad!C127*'Base Hours'!V128*IS!$B$2)*-1</f>
        <v>-1870965.3901110862</v>
      </c>
      <c r="AA128" s="212"/>
      <c r="AB128" s="212">
        <f>(BaseLoad!D127*'Base Hours'!V128*IS!$B$2)*-1</f>
        <v>-175903.488450317</v>
      </c>
      <c r="AC128" s="212"/>
      <c r="AD128" s="212">
        <f>(BaseLoad!E127*'Base Hours'!V128*IS!$B$2)*-1</f>
        <v>-871988.37972625566</v>
      </c>
      <c r="AE128" s="212"/>
      <c r="AF128" s="212">
        <f>(BaseLoad!F127*'Base Hours'!V128*IS!$B$2)*-1</f>
        <v>-118877.4096882061</v>
      </c>
      <c r="AG128" s="212"/>
    </row>
    <row r="129" spans="1:33" x14ac:dyDescent="0.2">
      <c r="A129" s="1">
        <f t="shared" si="3"/>
        <v>40159.623000000152</v>
      </c>
      <c r="B129" s="180">
        <f>IF($A$1="Peak","-",'Base Hours'!B129*BaseLoad!H128*IS!$B$2)</f>
        <v>170731.65333771444</v>
      </c>
      <c r="C129" s="180">
        <f>IF($A$1="Peak","-",'Base Hours'!C129*BaseLoad!I128*IS!$B$2)</f>
        <v>140862.09617892653</v>
      </c>
      <c r="D129" s="180">
        <f>IF($A$1="Peak","-",'Base Hours'!D129*BaseLoad!J128*IS!$B$2)</f>
        <v>214346.4592522099</v>
      </c>
      <c r="E129" s="180">
        <f>IF($A$1="Peak","-",'Base Hours'!E129*BaseLoad!K128*IS!$B$2)</f>
        <v>398220.99432676967</v>
      </c>
      <c r="F129" s="180">
        <f>IF($A$1="Peak","-",'Base Hours'!F129*BaseLoad!L128*IS!$B$2)</f>
        <v>378275.14398560114</v>
      </c>
      <c r="G129" s="180">
        <f>IF($A$1="Peak","-",'Base Hours'!G129*BaseLoad!M128*IS!$B$2)</f>
        <v>708473.17989605339</v>
      </c>
      <c r="H129" s="180">
        <f>IF($A$1="Peak","-",'Base Hours'!H129*BaseLoad!N128*IS!$B$2)</f>
        <v>703530.59074470669</v>
      </c>
      <c r="I129" s="180">
        <f>IF($A$1="Peak","-",'Base Hours'!I129*BaseLoad!O128*IS!$B$2)</f>
        <v>669171.0700206164</v>
      </c>
      <c r="J129" s="180">
        <f>IF($A$1="Peak","-",'Base Hours'!J129*BaseLoad!P128*IS!$B$2)</f>
        <v>522205.59416666493</v>
      </c>
      <c r="K129" s="180">
        <f>IF($A$1="Peak","-",'Base Hours'!K129*BaseLoad!Q128*IS!$B$2)</f>
        <v>466745.11520661431</v>
      </c>
      <c r="L129" s="180">
        <f>IF($A$1="Peak","-",'Base Hours'!L129*BaseLoad!R128*IS!$B$2)</f>
        <v>397327.09822004358</v>
      </c>
      <c r="M129" s="180">
        <f>IF($A$1="Peak","-",'Base Hours'!M129*BaseLoad!S128*IS!$B$2)</f>
        <v>390149.73094077216</v>
      </c>
      <c r="N129" s="180">
        <f>IF($A$1="Peak","-",'Base Hours'!N129*BaseLoad!T128*IS!$B$2)</f>
        <v>349314.41134834097</v>
      </c>
      <c r="O129" s="180">
        <f>IF($A$1="Peak","-",'Base Hours'!O129*BaseLoad!U128*IS!$B$2)</f>
        <v>348630.51605454378</v>
      </c>
      <c r="P129" s="180">
        <f>IF($A$1="Peak","-",'Base Hours'!P129*BaseLoad!V128*IS!$B$2)</f>
        <v>348630.51605454378</v>
      </c>
      <c r="Q129" s="180">
        <f>IF($A$1="Peak","-",'Base Hours'!Q129*BaseLoad!W128*IS!$B$2)</f>
        <v>348630.51605454378</v>
      </c>
      <c r="R129" s="180">
        <f>IF($A$1="Peak","-",'Base Hours'!R129*BaseLoad!X128*IS!$B$2)</f>
        <v>343314.44164478709</v>
      </c>
      <c r="S129" s="180">
        <f>IF($A$1="Peak","-",'Base Hours'!S129*BaseLoad!Y128*IS!$B$2)</f>
        <v>328369.56343210756</v>
      </c>
      <c r="T129" s="180">
        <f>IF($A$1="Peak","-",'Base Hours'!T129*BaseLoad!Z128*IS!$B$2)</f>
        <v>304435.27709913329</v>
      </c>
      <c r="U129" s="180">
        <f>IF($A$1="Peak","-",'Base Hours'!U129*BaseLoad!AA128*IS!$B$2)</f>
        <v>765456.16843768163</v>
      </c>
      <c r="V129" s="180">
        <f t="shared" si="4"/>
        <v>7531363.9679646939</v>
      </c>
      <c r="W129" s="180"/>
      <c r="X129" s="180"/>
      <c r="Y129" s="212">
        <f>SUM(B118:U129)</f>
        <v>93754319.407489449</v>
      </c>
      <c r="Z129" s="212">
        <f>(BaseLoad!C128*'Base Hours'!V129*IS!$B$2)*-1</f>
        <v>-1870965.3901110862</v>
      </c>
      <c r="AA129" s="212">
        <f>SUM(Z118:Z129)</f>
        <v>-22451584.681333032</v>
      </c>
      <c r="AB129" s="212">
        <f>(BaseLoad!D128*'Base Hours'!V129*IS!$B$2)*-1</f>
        <v>-176196.66093106757</v>
      </c>
      <c r="AC129" s="212">
        <f>SUM(AB118:AB129)</f>
        <v>-2095117.4644524243</v>
      </c>
      <c r="AD129" s="212">
        <f>(BaseLoad!E128*'Base Hours'!V129*IS!$B$2)*-1</f>
        <v>-871988.37972625566</v>
      </c>
      <c r="AE129" s="212">
        <f>SUM(AD118:AD129)</f>
        <v>-10463860.556715066</v>
      </c>
      <c r="AF129" s="212">
        <f>(BaseLoad!F128*'Base Hours'!V129*IS!$B$2)*-1</f>
        <v>-118877.4096882061</v>
      </c>
      <c r="AG129" s="212">
        <f>SUM(AF118:AF129)</f>
        <v>-1426528.9162584736</v>
      </c>
    </row>
    <row r="130" spans="1:33" x14ac:dyDescent="0.2">
      <c r="A130" s="1">
        <f t="shared" si="3"/>
        <v>40190.040000000154</v>
      </c>
      <c r="B130" s="180">
        <f>IF($A$1="Peak","-",'Base Hours'!B130*BaseLoad!H129*IS!$B$2)</f>
        <v>108401.85216719522</v>
      </c>
      <c r="C130" s="180">
        <f>IF($A$1="Peak","-",'Base Hours'!C130*BaseLoad!I129*IS!$B$2)</f>
        <v>108401.85216719522</v>
      </c>
      <c r="D130" s="180">
        <f>IF($A$1="Peak","-",'Base Hours'!D130*BaseLoad!J129*IS!$B$2)</f>
        <v>215035.00663853169</v>
      </c>
      <c r="E130" s="180">
        <f>IF($A$1="Peak","-",'Base Hours'!E130*BaseLoad!K129*IS!$B$2)</f>
        <v>405645.29897593491</v>
      </c>
      <c r="F130" s="180">
        <f>IF($A$1="Peak","-",'Base Hours'!F130*BaseLoad!L129*IS!$B$2)</f>
        <v>389194.70901676302</v>
      </c>
      <c r="G130" s="180">
        <f>IF($A$1="Peak","-",'Base Hours'!G130*BaseLoad!M129*IS!$B$2)</f>
        <v>770649.73564819375</v>
      </c>
      <c r="H130" s="180">
        <f>IF($A$1="Peak","-",'Base Hours'!H130*BaseLoad!N129*IS!$B$2)</f>
        <v>572881.63979332859</v>
      </c>
      <c r="I130" s="180">
        <f>IF($A$1="Peak","-",'Base Hours'!I130*BaseLoad!O129*IS!$B$2)</f>
        <v>495245.94147573493</v>
      </c>
      <c r="J130" s="180">
        <f>IF($A$1="Peak","-",'Base Hours'!J130*BaseLoad!P129*IS!$B$2)</f>
        <v>416008.87340298051</v>
      </c>
      <c r="K130" s="180">
        <f>IF($A$1="Peak","-",'Base Hours'!K130*BaseLoad!Q129*IS!$B$2)</f>
        <v>388346.30419968575</v>
      </c>
      <c r="L130" s="180">
        <f>IF($A$1="Peak","-",'Base Hours'!L130*BaseLoad!R129*IS!$B$2)</f>
        <v>378827.50190247089</v>
      </c>
      <c r="M130" s="180">
        <f>IF($A$1="Peak","-",'Base Hours'!M130*BaseLoad!S129*IS!$B$2)</f>
        <v>378827.50190247089</v>
      </c>
      <c r="N130" s="180">
        <f>IF($A$1="Peak","-",'Base Hours'!N130*BaseLoad!T129*IS!$B$2)</f>
        <v>376417.67933442997</v>
      </c>
      <c r="O130" s="180">
        <f>IF($A$1="Peak","-",'Base Hours'!O130*BaseLoad!U129*IS!$B$2)</f>
        <v>369857.24890522641</v>
      </c>
      <c r="P130" s="180">
        <f>IF($A$1="Peak","-",'Base Hours'!P130*BaseLoad!V129*IS!$B$2)</f>
        <v>369492.27847795212</v>
      </c>
      <c r="Q130" s="180">
        <f>IF($A$1="Peak","-",'Base Hours'!Q130*BaseLoad!W129*IS!$B$2)</f>
        <v>369492.27847795212</v>
      </c>
      <c r="R130" s="180">
        <f>IF($A$1="Peak","-",'Base Hours'!R130*BaseLoad!X129*IS!$B$2)</f>
        <v>369492.1846979963</v>
      </c>
      <c r="S130" s="180">
        <f>IF($A$1="Peak","-",'Base Hours'!S130*BaseLoad!Y129*IS!$B$2)</f>
        <v>369490.02747633576</v>
      </c>
      <c r="T130" s="180">
        <f>IF($A$1="Peak","-",'Base Hours'!T130*BaseLoad!Z129*IS!$B$2)</f>
        <v>368891.03349732741</v>
      </c>
      <c r="U130" s="180">
        <f>IF($A$1="Peak","-",'Base Hours'!U130*BaseLoad!AA129*IS!$B$2)</f>
        <v>803544.79806989559</v>
      </c>
      <c r="V130" s="180">
        <f t="shared" si="4"/>
        <v>7220598.9481577054</v>
      </c>
      <c r="W130" s="180"/>
      <c r="X130" s="180"/>
      <c r="Y130" s="212"/>
      <c r="Z130" s="212">
        <f>(BaseLoad!C129*'Base Hours'!V130*IS!$B$2)*-1</f>
        <v>-1897907.2917286858</v>
      </c>
      <c r="AA130" s="212"/>
      <c r="AB130" s="212">
        <f>(BaseLoad!D129*'Base Hours'!V130*IS!$B$2)*-1</f>
        <v>-176490.32203261936</v>
      </c>
      <c r="AC130" s="212"/>
      <c r="AD130" s="212">
        <f>(BaseLoad!E129*'Base Hours'!V130*IS!$B$2)*-1</f>
        <v>-969785.14689320745</v>
      </c>
      <c r="AE130" s="212"/>
      <c r="AF130" s="212">
        <f>(BaseLoad!F129*'Base Hours'!V130*IS!$B$2)*-1</f>
        <v>-113116.40819948568</v>
      </c>
      <c r="AG130" s="212"/>
    </row>
    <row r="131" spans="1:33" x14ac:dyDescent="0.2">
      <c r="A131" s="1">
        <f t="shared" si="3"/>
        <v>40220.457000000155</v>
      </c>
      <c r="B131" s="180">
        <f>IF($A$1="Peak","-",'Base Hours'!B131*BaseLoad!H130*IS!$B$2)</f>
        <v>127165.76936291656</v>
      </c>
      <c r="C131" s="180">
        <f>IF($A$1="Peak","-",'Base Hours'!C131*BaseLoad!I130*IS!$B$2)</f>
        <v>108411.90508469671</v>
      </c>
      <c r="D131" s="180">
        <f>IF($A$1="Peak","-",'Base Hours'!D131*BaseLoad!J130*IS!$B$2)</f>
        <v>209110.20945541433</v>
      </c>
      <c r="E131" s="180">
        <f>IF($A$1="Peak","-",'Base Hours'!E131*BaseLoad!K130*IS!$B$2)</f>
        <v>394951.08709220169</v>
      </c>
      <c r="F131" s="180">
        <f>IF($A$1="Peak","-",'Base Hours'!F131*BaseLoad!L130*IS!$B$2)</f>
        <v>374623.19268104254</v>
      </c>
      <c r="G131" s="180">
        <f>IF($A$1="Peak","-",'Base Hours'!G131*BaseLoad!M130*IS!$B$2)</f>
        <v>722917.78004215856</v>
      </c>
      <c r="H131" s="180">
        <f>IF($A$1="Peak","-",'Base Hours'!H131*BaseLoad!N130*IS!$B$2)</f>
        <v>703287.39892160334</v>
      </c>
      <c r="I131" s="180">
        <f>IF($A$1="Peak","-",'Base Hours'!I131*BaseLoad!O130*IS!$B$2)</f>
        <v>582140.25981539942</v>
      </c>
      <c r="J131" s="180">
        <f>IF($A$1="Peak","-",'Base Hours'!J131*BaseLoad!P130*IS!$B$2)</f>
        <v>479875.84222030302</v>
      </c>
      <c r="K131" s="180">
        <f>IF($A$1="Peak","-",'Base Hours'!K131*BaseLoad!Q130*IS!$B$2)</f>
        <v>406721.91455709358</v>
      </c>
      <c r="L131" s="180">
        <f>IF($A$1="Peak","-",'Base Hours'!L131*BaseLoad!R130*IS!$B$2)</f>
        <v>384225.17368199071</v>
      </c>
      <c r="M131" s="180">
        <f>IF($A$1="Peak","-",'Base Hours'!M131*BaseLoad!S130*IS!$B$2)</f>
        <v>347431.83867691684</v>
      </c>
      <c r="N131" s="180">
        <f>IF($A$1="Peak","-",'Base Hours'!N131*BaseLoad!T130*IS!$B$2)</f>
        <v>347409.52872551302</v>
      </c>
      <c r="O131" s="180">
        <f>IF($A$1="Peak","-",'Base Hours'!O131*BaseLoad!U130*IS!$B$2)</f>
        <v>347408.66577789973</v>
      </c>
      <c r="P131" s="180">
        <f>IF($A$1="Peak","-",'Base Hours'!P131*BaseLoad!V130*IS!$B$2)</f>
        <v>347407.56088449323</v>
      </c>
      <c r="Q131" s="180">
        <f>IF($A$1="Peak","-",'Base Hours'!Q131*BaseLoad!W130*IS!$B$2)</f>
        <v>327158.06770961039</v>
      </c>
      <c r="R131" s="180">
        <f>IF($A$1="Peak","-",'Base Hours'!R131*BaseLoad!X130*IS!$B$2)</f>
        <v>301436.13848145952</v>
      </c>
      <c r="S131" s="180">
        <f>IF($A$1="Peak","-",'Base Hours'!S131*BaseLoad!Y130*IS!$B$2)</f>
        <v>295723.96168687689</v>
      </c>
      <c r="T131" s="180">
        <f>IF($A$1="Peak","-",'Base Hours'!T131*BaseLoad!Z130*IS!$B$2)</f>
        <v>287691.35311452905</v>
      </c>
      <c r="U131" s="180">
        <f>IF($A$1="Peak","-",'Base Hours'!U131*BaseLoad!AA130*IS!$B$2)</f>
        <v>749720.67899448494</v>
      </c>
      <c r="V131" s="180">
        <f t="shared" si="4"/>
        <v>7095097.64797212</v>
      </c>
      <c r="W131" s="180"/>
      <c r="X131" s="180"/>
      <c r="Y131" s="212"/>
      <c r="Z131" s="212">
        <f>(BaseLoad!C130*'Base Hours'!V131*IS!$B$2)*-1</f>
        <v>-1897907.2917286858</v>
      </c>
      <c r="AA131" s="212"/>
      <c r="AB131" s="212">
        <f>(BaseLoad!D130*'Base Hours'!V131*IS!$B$2)*-1</f>
        <v>-176784.4725693404</v>
      </c>
      <c r="AC131" s="212"/>
      <c r="AD131" s="212">
        <f>(BaseLoad!E130*'Base Hours'!V131*IS!$B$2)*-1</f>
        <v>-969785.14689320745</v>
      </c>
      <c r="AE131" s="212"/>
      <c r="AF131" s="212">
        <f>(BaseLoad!F130*'Base Hours'!V131*IS!$B$2)*-1</f>
        <v>-113116.40819948568</v>
      </c>
      <c r="AG131" s="212"/>
    </row>
    <row r="132" spans="1:33" x14ac:dyDescent="0.2">
      <c r="A132" s="1">
        <f t="shared" si="3"/>
        <v>40250.874000000156</v>
      </c>
      <c r="B132" s="180">
        <f>IF($A$1="Peak","-",'Base Hours'!B132*BaseLoad!H131*IS!$B$2)</f>
        <v>93242.047206611649</v>
      </c>
      <c r="C132" s="180">
        <f>IF($A$1="Peak","-",'Base Hours'!C132*BaseLoad!I131*IS!$B$2)</f>
        <v>89796.477997797716</v>
      </c>
      <c r="D132" s="180">
        <f>IF($A$1="Peak","-",'Base Hours'!D132*BaseLoad!J131*IS!$B$2)</f>
        <v>174985.07242424748</v>
      </c>
      <c r="E132" s="180">
        <f>IF($A$1="Peak","-",'Base Hours'!E132*BaseLoad!K131*IS!$B$2)</f>
        <v>327306.6542374632</v>
      </c>
      <c r="F132" s="180">
        <f>IF($A$1="Peak","-",'Base Hours'!F132*BaseLoad!L131*IS!$B$2)</f>
        <v>317704.106944745</v>
      </c>
      <c r="G132" s="180">
        <f>IF($A$1="Peak","-",'Base Hours'!G132*BaseLoad!M131*IS!$B$2)</f>
        <v>629788.93300096586</v>
      </c>
      <c r="H132" s="180">
        <f>IF($A$1="Peak","-",'Base Hours'!H132*BaseLoad!N131*IS!$B$2)</f>
        <v>545258.26193681813</v>
      </c>
      <c r="I132" s="180">
        <f>IF($A$1="Peak","-",'Base Hours'!I132*BaseLoad!O131*IS!$B$2)</f>
        <v>441661.64144292095</v>
      </c>
      <c r="J132" s="180">
        <f>IF($A$1="Peak","-",'Base Hours'!J132*BaseLoad!P131*IS!$B$2)</f>
        <v>414566.72456704878</v>
      </c>
      <c r="K132" s="180">
        <f>IF($A$1="Peak","-",'Base Hours'!K132*BaseLoad!Q131*IS!$B$2)</f>
        <v>371506.54146779713</v>
      </c>
      <c r="L132" s="180">
        <f>IF($A$1="Peak","-",'Base Hours'!L132*BaseLoad!R131*IS!$B$2)</f>
        <v>360050.145942337</v>
      </c>
      <c r="M132" s="180">
        <f>IF($A$1="Peak","-",'Base Hours'!M132*BaseLoad!S131*IS!$B$2)</f>
        <v>354765.86307513842</v>
      </c>
      <c r="N132" s="180">
        <f>IF($A$1="Peak","-",'Base Hours'!N132*BaseLoad!T131*IS!$B$2)</f>
        <v>336097.89285702095</v>
      </c>
      <c r="O132" s="180">
        <f>IF($A$1="Peak","-",'Base Hours'!O132*BaseLoad!U131*IS!$B$2)</f>
        <v>327928.63597948459</v>
      </c>
      <c r="P132" s="180">
        <f>IF($A$1="Peak","-",'Base Hours'!P132*BaseLoad!V131*IS!$B$2)</f>
        <v>318745.74888045841</v>
      </c>
      <c r="Q132" s="180">
        <f>IF($A$1="Peak","-",'Base Hours'!Q132*BaseLoad!W131*IS!$B$2)</f>
        <v>316838.61397062405</v>
      </c>
      <c r="R132" s="180">
        <f>IF($A$1="Peak","-",'Base Hours'!R132*BaseLoad!X131*IS!$B$2)</f>
        <v>316838.61397062405</v>
      </c>
      <c r="S132" s="180">
        <f>IF($A$1="Peak","-",'Base Hours'!S132*BaseLoad!Y131*IS!$B$2)</f>
        <v>316838.61397062405</v>
      </c>
      <c r="T132" s="180">
        <f>IF($A$1="Peak","-",'Base Hours'!T132*BaseLoad!Z131*IS!$B$2)</f>
        <v>316838.61397062405</v>
      </c>
      <c r="U132" s="180">
        <f>IF($A$1="Peak","-",'Base Hours'!U132*BaseLoad!AA131*IS!$B$2)</f>
        <v>855566.80347248958</v>
      </c>
      <c r="V132" s="180">
        <f t="shared" si="4"/>
        <v>6370759.2038433533</v>
      </c>
      <c r="W132" s="180"/>
      <c r="X132" s="180"/>
      <c r="Y132" s="212"/>
      <c r="Z132" s="212">
        <f>(BaseLoad!C131*'Base Hours'!V132*IS!$B$2)*-1</f>
        <v>-1897907.2917286858</v>
      </c>
      <c r="AA132" s="212"/>
      <c r="AB132" s="212">
        <f>(BaseLoad!D131*'Base Hours'!V132*IS!$B$2)*-1</f>
        <v>-177079.11335695593</v>
      </c>
      <c r="AC132" s="212"/>
      <c r="AD132" s="212">
        <f>(BaseLoad!E131*'Base Hours'!V132*IS!$B$2)*-1</f>
        <v>-969785.14689320745</v>
      </c>
      <c r="AE132" s="212"/>
      <c r="AF132" s="212">
        <f>(BaseLoad!F131*'Base Hours'!V132*IS!$B$2)*-1</f>
        <v>-113116.40819948568</v>
      </c>
      <c r="AG132" s="212"/>
    </row>
    <row r="133" spans="1:33" x14ac:dyDescent="0.2">
      <c r="A133" s="1">
        <f t="shared" si="3"/>
        <v>40281.291000000158</v>
      </c>
      <c r="B133" s="180">
        <f>IF($A$1="Peak","-",'Base Hours'!B133*BaseLoad!H132*IS!$B$2)</f>
        <v>86772.097887720345</v>
      </c>
      <c r="C133" s="180">
        <f>IF($A$1="Peak","-",'Base Hours'!C133*BaseLoad!I132*IS!$B$2)</f>
        <v>83922.783417959654</v>
      </c>
      <c r="D133" s="180">
        <f>IF($A$1="Peak","-",'Base Hours'!D133*BaseLoad!J132*IS!$B$2)</f>
        <v>160392.60327052939</v>
      </c>
      <c r="E133" s="180">
        <f>IF($A$1="Peak","-",'Base Hours'!E133*BaseLoad!K132*IS!$B$2)</f>
        <v>311242.62432549027</v>
      </c>
      <c r="F133" s="180">
        <f>IF($A$1="Peak","-",'Base Hours'!F133*BaseLoad!L132*IS!$B$2)</f>
        <v>310001.04883473058</v>
      </c>
      <c r="G133" s="180">
        <f>IF($A$1="Peak","-",'Base Hours'!G133*BaseLoad!M132*IS!$B$2)</f>
        <v>477142.16352661443</v>
      </c>
      <c r="H133" s="180">
        <f>IF($A$1="Peak","-",'Base Hours'!H133*BaseLoad!N132*IS!$B$2)</f>
        <v>411884.03813231114</v>
      </c>
      <c r="I133" s="180">
        <f>IF($A$1="Peak","-",'Base Hours'!I133*BaseLoad!O132*IS!$B$2)</f>
        <v>357125.86796344089</v>
      </c>
      <c r="J133" s="180">
        <f>IF($A$1="Peak","-",'Base Hours'!J133*BaseLoad!P132*IS!$B$2)</f>
        <v>342183.71354264254</v>
      </c>
      <c r="K133" s="180">
        <f>IF($A$1="Peak","-",'Base Hours'!K133*BaseLoad!Q132*IS!$B$2)</f>
        <v>325295.62286179379</v>
      </c>
      <c r="L133" s="180">
        <f>IF($A$1="Peak","-",'Base Hours'!L133*BaseLoad!R132*IS!$B$2)</f>
        <v>316183.97645116149</v>
      </c>
      <c r="M133" s="180">
        <f>IF($A$1="Peak","-",'Base Hours'!M133*BaseLoad!S132*IS!$B$2)</f>
        <v>309951.85095222434</v>
      </c>
      <c r="N133" s="180">
        <f>IF($A$1="Peak","-",'Base Hours'!N133*BaseLoad!T132*IS!$B$2)</f>
        <v>309529.14166209148</v>
      </c>
      <c r="O133" s="180">
        <f>IF($A$1="Peak","-",'Base Hours'!O133*BaseLoad!U132*IS!$B$2)</f>
        <v>308690.1624528942</v>
      </c>
      <c r="P133" s="180">
        <f>IF($A$1="Peak","-",'Base Hours'!P133*BaseLoad!V132*IS!$B$2)</f>
        <v>305689.258192626</v>
      </c>
      <c r="Q133" s="180">
        <f>IF($A$1="Peak","-",'Base Hours'!Q133*BaseLoad!W132*IS!$B$2)</f>
        <v>302218.22372122249</v>
      </c>
      <c r="R133" s="180">
        <f>IF($A$1="Peak","-",'Base Hours'!R133*BaseLoad!X132*IS!$B$2)</f>
        <v>302214.63650179358</v>
      </c>
      <c r="S133" s="180">
        <f>IF($A$1="Peak","-",'Base Hours'!S133*BaseLoad!Y132*IS!$B$2)</f>
        <v>302214.63650179358</v>
      </c>
      <c r="T133" s="180">
        <f>IF($A$1="Peak","-",'Base Hours'!T133*BaseLoad!Z132*IS!$B$2)</f>
        <v>302214.15709062258</v>
      </c>
      <c r="U133" s="180">
        <f>IF($A$1="Peak","-",'Base Hours'!U133*BaseLoad!AA132*IS!$B$2)</f>
        <v>808531.91176071798</v>
      </c>
      <c r="V133" s="180">
        <f t="shared" si="4"/>
        <v>5624868.6072896626</v>
      </c>
      <c r="W133" s="180"/>
      <c r="X133" s="180"/>
      <c r="Y133" s="212"/>
      <c r="Z133" s="212">
        <f>(BaseLoad!C132*'Base Hours'!V133*IS!$B$2)*-1</f>
        <v>-1897907.2917286858</v>
      </c>
      <c r="AA133" s="212"/>
      <c r="AB133" s="212">
        <f>(BaseLoad!D132*'Base Hours'!V133*IS!$B$2)*-1</f>
        <v>-177374.24521255089</v>
      </c>
      <c r="AC133" s="212"/>
      <c r="AD133" s="212">
        <f>(BaseLoad!E132*'Base Hours'!V133*IS!$B$2)*-1</f>
        <v>-969785.14689320745</v>
      </c>
      <c r="AE133" s="212"/>
      <c r="AF133" s="212">
        <f>(BaseLoad!F132*'Base Hours'!V133*IS!$B$2)*-1</f>
        <v>-113116.40819948568</v>
      </c>
      <c r="AG133" s="212"/>
    </row>
    <row r="134" spans="1:33" x14ac:dyDescent="0.2">
      <c r="A134" s="1">
        <f t="shared" si="3"/>
        <v>40311.708000000159</v>
      </c>
      <c r="B134" s="180">
        <f>IF($A$1="Peak","-",'Base Hours'!B134*BaseLoad!H133*IS!$B$2)</f>
        <v>141659.59053670021</v>
      </c>
      <c r="C134" s="180">
        <f>IF($A$1="Peak","-",'Base Hours'!C134*BaseLoad!I133*IS!$B$2)</f>
        <v>83445.004174602407</v>
      </c>
      <c r="D134" s="180">
        <f>IF($A$1="Peak","-",'Base Hours'!D134*BaseLoad!J133*IS!$B$2)</f>
        <v>156492.21947350356</v>
      </c>
      <c r="E134" s="180">
        <f>IF($A$1="Peak","-",'Base Hours'!E134*BaseLoad!K133*IS!$B$2)</f>
        <v>288131.49323196436</v>
      </c>
      <c r="F134" s="180">
        <f>IF($A$1="Peak","-",'Base Hours'!F134*BaseLoad!L133*IS!$B$2)</f>
        <v>277216.93771437451</v>
      </c>
      <c r="G134" s="180">
        <f>IF($A$1="Peak","-",'Base Hours'!G134*BaseLoad!M133*IS!$B$2)</f>
        <v>535615.33749149949</v>
      </c>
      <c r="H134" s="180">
        <f>IF($A$1="Peak","-",'Base Hours'!H134*BaseLoad!N133*IS!$B$2)</f>
        <v>412578.85770935914</v>
      </c>
      <c r="I134" s="180">
        <f>IF($A$1="Peak","-",'Base Hours'!I134*BaseLoad!O133*IS!$B$2)</f>
        <v>381528.60927905975</v>
      </c>
      <c r="J134" s="180">
        <f>IF($A$1="Peak","-",'Base Hours'!J134*BaseLoad!P133*IS!$B$2)</f>
        <v>353342.75566942833</v>
      </c>
      <c r="K134" s="180">
        <f>IF($A$1="Peak","-",'Base Hours'!K134*BaseLoad!Q133*IS!$B$2)</f>
        <v>334960.28059242398</v>
      </c>
      <c r="L134" s="180">
        <f>IF($A$1="Peak","-",'Base Hours'!L134*BaseLoad!R133*IS!$B$2)</f>
        <v>321478.49931975757</v>
      </c>
      <c r="M134" s="180">
        <f>IF($A$1="Peak","-",'Base Hours'!M134*BaseLoad!S133*IS!$B$2)</f>
        <v>316868.17337761866</v>
      </c>
      <c r="N134" s="180">
        <f>IF($A$1="Peak","-",'Base Hours'!N134*BaseLoad!T133*IS!$B$2)</f>
        <v>315169.62743198342</v>
      </c>
      <c r="O134" s="180">
        <f>IF($A$1="Peak","-",'Base Hours'!O134*BaseLoad!U133*IS!$B$2)</f>
        <v>311228.84444404097</v>
      </c>
      <c r="P134" s="180">
        <f>IF($A$1="Peak","-",'Base Hours'!P134*BaseLoad!V133*IS!$B$2)</f>
        <v>306302.95106402558</v>
      </c>
      <c r="Q134" s="180">
        <f>IF($A$1="Peak","-",'Base Hours'!Q134*BaseLoad!W133*IS!$B$2)</f>
        <v>297559.02409835916</v>
      </c>
      <c r="R134" s="180">
        <f>IF($A$1="Peak","-",'Base Hours'!R134*BaseLoad!X133*IS!$B$2)</f>
        <v>289168.28085399128</v>
      </c>
      <c r="S134" s="180">
        <f>IF($A$1="Peak","-",'Base Hours'!S134*BaseLoad!Y133*IS!$B$2)</f>
        <v>284358.17700473795</v>
      </c>
      <c r="T134" s="180">
        <f>IF($A$1="Peak","-",'Base Hours'!T134*BaseLoad!Z133*IS!$B$2)</f>
        <v>278146.23295173544</v>
      </c>
      <c r="U134" s="180">
        <f>IF($A$1="Peak","-",'Base Hours'!U134*BaseLoad!AA133*IS!$B$2)</f>
        <v>755003.29221327172</v>
      </c>
      <c r="V134" s="180">
        <f t="shared" si="4"/>
        <v>5685250.8964191657</v>
      </c>
      <c r="W134" s="180"/>
      <c r="X134" s="180"/>
      <c r="Y134" s="212"/>
      <c r="Z134" s="212">
        <f>(BaseLoad!C133*'Base Hours'!V134*IS!$B$2)*-1</f>
        <v>-1897907.2917286858</v>
      </c>
      <c r="AA134" s="212"/>
      <c r="AB134" s="212">
        <f>(BaseLoad!D133*'Base Hours'!V134*IS!$B$2)*-1</f>
        <v>-177669.86895457184</v>
      </c>
      <c r="AC134" s="212"/>
      <c r="AD134" s="212">
        <f>(BaseLoad!E133*'Base Hours'!V134*IS!$B$2)*-1</f>
        <v>-969785.14689320745</v>
      </c>
      <c r="AE134" s="212"/>
      <c r="AF134" s="212">
        <f>(BaseLoad!F133*'Base Hours'!V134*IS!$B$2)*-1</f>
        <v>-113116.40819948568</v>
      </c>
      <c r="AG134" s="212"/>
    </row>
    <row r="135" spans="1:33" x14ac:dyDescent="0.2">
      <c r="A135" s="1">
        <f t="shared" si="3"/>
        <v>40342.12500000016</v>
      </c>
      <c r="B135" s="180">
        <f>IF($A$1="Peak","-",'Base Hours'!B135*BaseLoad!H134*IS!$B$2)</f>
        <v>187673.77186792693</v>
      </c>
      <c r="C135" s="180">
        <f>IF($A$1="Peak","-",'Base Hours'!C135*BaseLoad!I134*IS!$B$2)</f>
        <v>171631.33724736085</v>
      </c>
      <c r="D135" s="180">
        <f>IF($A$1="Peak","-",'Base Hours'!D135*BaseLoad!J134*IS!$B$2)</f>
        <v>254007.06717345671</v>
      </c>
      <c r="E135" s="180">
        <f>IF($A$1="Peak","-",'Base Hours'!E135*BaseLoad!K134*IS!$B$2)</f>
        <v>422026.11130860809</v>
      </c>
      <c r="F135" s="180">
        <f>IF($A$1="Peak","-",'Base Hours'!F135*BaseLoad!L134*IS!$B$2)</f>
        <v>395645.39365890267</v>
      </c>
      <c r="G135" s="180">
        <f>IF($A$1="Peak","-",'Base Hours'!G135*BaseLoad!M134*IS!$B$2)</f>
        <v>538377.03001457162</v>
      </c>
      <c r="H135" s="180">
        <f>IF($A$1="Peak","-",'Base Hours'!H135*BaseLoad!N134*IS!$B$2)</f>
        <v>440736.5005268727</v>
      </c>
      <c r="I135" s="180">
        <f>IF($A$1="Peak","-",'Base Hours'!I135*BaseLoad!O134*IS!$B$2)</f>
        <v>395525.86644646584</v>
      </c>
      <c r="J135" s="180">
        <f>IF($A$1="Peak","-",'Base Hours'!J135*BaseLoad!P134*IS!$B$2)</f>
        <v>395525.86644646584</v>
      </c>
      <c r="K135" s="180">
        <f>IF($A$1="Peak","-",'Base Hours'!K135*BaseLoad!Q134*IS!$B$2)</f>
        <v>395525.48746586387</v>
      </c>
      <c r="L135" s="180">
        <f>IF($A$1="Peak","-",'Base Hours'!L135*BaseLoad!R134*IS!$B$2)</f>
        <v>395523.83724721638</v>
      </c>
      <c r="M135" s="180">
        <f>IF($A$1="Peak","-",'Base Hours'!M135*BaseLoad!S134*IS!$B$2)</f>
        <v>395522.30965803005</v>
      </c>
      <c r="N135" s="180">
        <f>IF($A$1="Peak","-",'Base Hours'!N135*BaseLoad!T134*IS!$B$2)</f>
        <v>395518.21221540641</v>
      </c>
      <c r="O135" s="180">
        <f>IF($A$1="Peak","-",'Base Hours'!O135*BaseLoad!U134*IS!$B$2)</f>
        <v>365685.40565797425</v>
      </c>
      <c r="P135" s="180">
        <f>IF($A$1="Peak","-",'Base Hours'!P135*BaseLoad!V134*IS!$B$2)</f>
        <v>331518.67360454134</v>
      </c>
      <c r="Q135" s="180">
        <f>IF($A$1="Peak","-",'Base Hours'!Q135*BaseLoad!W134*IS!$B$2)</f>
        <v>313363.35542034893</v>
      </c>
      <c r="R135" s="180">
        <f>IF($A$1="Peak","-",'Base Hours'!R135*BaseLoad!X134*IS!$B$2)</f>
        <v>301933.26106954674</v>
      </c>
      <c r="S135" s="180">
        <f>IF($A$1="Peak","-",'Base Hours'!S135*BaseLoad!Y134*IS!$B$2)</f>
        <v>293306.81128015538</v>
      </c>
      <c r="T135" s="180">
        <f>IF($A$1="Peak","-",'Base Hours'!T135*BaseLoad!Z134*IS!$B$2)</f>
        <v>280970.00520260941</v>
      </c>
      <c r="U135" s="180">
        <f>IF($A$1="Peak","-",'Base Hours'!U135*BaseLoad!AA134*IS!$B$2)</f>
        <v>717307.7068268212</v>
      </c>
      <c r="V135" s="180">
        <f t="shared" si="4"/>
        <v>6670016.3035123236</v>
      </c>
      <c r="W135" s="180"/>
      <c r="X135" s="180"/>
      <c r="Y135" s="212"/>
      <c r="Z135" s="212">
        <f>(BaseLoad!C134*'Base Hours'!V135*IS!$B$2)*-1</f>
        <v>-1897907.2917286858</v>
      </c>
      <c r="AA135" s="212"/>
      <c r="AB135" s="212">
        <f>(BaseLoad!D134*'Base Hours'!V135*IS!$B$2)*-1</f>
        <v>-177965.98540282945</v>
      </c>
      <c r="AC135" s="212"/>
      <c r="AD135" s="212">
        <f>(BaseLoad!E134*'Base Hours'!V135*IS!$B$2)*-1</f>
        <v>-969785.14689320745</v>
      </c>
      <c r="AE135" s="212"/>
      <c r="AF135" s="212">
        <f>(BaseLoad!F134*'Base Hours'!V135*IS!$B$2)*-1</f>
        <v>-113116.40819948568</v>
      </c>
      <c r="AG135" s="212"/>
    </row>
    <row r="136" spans="1:33" x14ac:dyDescent="0.2">
      <c r="A136" s="1">
        <f t="shared" si="3"/>
        <v>40372.542000000161</v>
      </c>
      <c r="B136" s="180">
        <f>IF($A$1="Peak","-",'Base Hours'!B136*BaseLoad!H135*IS!$B$2)</f>
        <v>430962.98795505316</v>
      </c>
      <c r="C136" s="180">
        <f>IF($A$1="Peak","-",'Base Hours'!C136*BaseLoad!I135*IS!$B$2)</f>
        <v>324333.57624604832</v>
      </c>
      <c r="D136" s="180">
        <f>IF($A$1="Peak","-",'Base Hours'!D136*BaseLoad!J135*IS!$B$2)</f>
        <v>570629.93078100705</v>
      </c>
      <c r="E136" s="180">
        <f>IF($A$1="Peak","-",'Base Hours'!E136*BaseLoad!K135*IS!$B$2)</f>
        <v>968770.14332274161</v>
      </c>
      <c r="F136" s="180">
        <f>IF($A$1="Peak","-",'Base Hours'!F136*BaseLoad!L135*IS!$B$2)</f>
        <v>832221.20660194196</v>
      </c>
      <c r="G136" s="180">
        <f>IF($A$1="Peak","-",'Base Hours'!G136*BaseLoad!M135*IS!$B$2)</f>
        <v>1439381.2240688482</v>
      </c>
      <c r="H136" s="180">
        <f>IF($A$1="Peak","-",'Base Hours'!H136*BaseLoad!N135*IS!$B$2)</f>
        <v>773470.81374467863</v>
      </c>
      <c r="I136" s="180">
        <f>IF($A$1="Peak","-",'Base Hours'!I136*BaseLoad!O135*IS!$B$2)</f>
        <v>453448.37634833856</v>
      </c>
      <c r="J136" s="180">
        <f>IF($A$1="Peak","-",'Base Hours'!J136*BaseLoad!P135*IS!$B$2)</f>
        <v>406250.98869104055</v>
      </c>
      <c r="K136" s="180">
        <f>IF($A$1="Peak","-",'Base Hours'!K136*BaseLoad!Q135*IS!$B$2)</f>
        <v>383302.4386510211</v>
      </c>
      <c r="L136" s="180">
        <f>IF($A$1="Peak","-",'Base Hours'!L136*BaseLoad!R135*IS!$B$2)</f>
        <v>364169.66112807702</v>
      </c>
      <c r="M136" s="180">
        <f>IF($A$1="Peak","-",'Base Hours'!M136*BaseLoad!S135*IS!$B$2)</f>
        <v>301030.31341753248</v>
      </c>
      <c r="N136" s="180">
        <f>IF($A$1="Peak","-",'Base Hours'!N136*BaseLoad!T135*IS!$B$2)</f>
        <v>281027.87552903441</v>
      </c>
      <c r="O136" s="180">
        <f>IF($A$1="Peak","-",'Base Hours'!O136*BaseLoad!U135*IS!$B$2)</f>
        <v>268401.97861448553</v>
      </c>
      <c r="P136" s="180">
        <f>IF($A$1="Peak","-",'Base Hours'!P136*BaseLoad!V135*IS!$B$2)</f>
        <v>258675.83331411815</v>
      </c>
      <c r="Q136" s="180">
        <f>IF($A$1="Peak","-",'Base Hours'!Q136*BaseLoad!W135*IS!$B$2)</f>
        <v>250755.82905845257</v>
      </c>
      <c r="R136" s="180">
        <f>IF($A$1="Peak","-",'Base Hours'!R136*BaseLoad!X135*IS!$B$2)</f>
        <v>243445.5966961314</v>
      </c>
      <c r="S136" s="180">
        <f>IF($A$1="Peak","-",'Base Hours'!S136*BaseLoad!Y135*IS!$B$2)</f>
        <v>239339.91711298953</v>
      </c>
      <c r="T136" s="180">
        <f>IF($A$1="Peak","-",'Base Hours'!T136*BaseLoad!Z135*IS!$B$2)</f>
        <v>232215.67853634284</v>
      </c>
      <c r="U136" s="180">
        <f>IF($A$1="Peak","-",'Base Hours'!U136*BaseLoad!AA135*IS!$B$2)</f>
        <v>608260.52694855665</v>
      </c>
      <c r="V136" s="180">
        <f t="shared" si="4"/>
        <v>8190713.6726975907</v>
      </c>
      <c r="W136" s="180"/>
      <c r="X136" s="180"/>
      <c r="Y136" s="212"/>
      <c r="Z136" s="212">
        <f>(BaseLoad!C135*'Base Hours'!V136*IS!$B$2)*-1</f>
        <v>-1897907.2917286858</v>
      </c>
      <c r="AA136" s="212"/>
      <c r="AB136" s="212">
        <f>(BaseLoad!D135*'Base Hours'!V136*IS!$B$2)*-1</f>
        <v>-178262.59537850085</v>
      </c>
      <c r="AC136" s="212"/>
      <c r="AD136" s="212">
        <f>(BaseLoad!E135*'Base Hours'!V136*IS!$B$2)*-1</f>
        <v>-969785.14689320745</v>
      </c>
      <c r="AE136" s="212"/>
      <c r="AF136" s="212">
        <f>(BaseLoad!F135*'Base Hours'!V136*IS!$B$2)*-1</f>
        <v>-113116.40819948568</v>
      </c>
      <c r="AG136" s="212"/>
    </row>
    <row r="137" spans="1:33" x14ac:dyDescent="0.2">
      <c r="A137" s="1">
        <f t="shared" si="3"/>
        <v>40402.959000000163</v>
      </c>
      <c r="B137" s="180">
        <f>IF($A$1="Peak","-",'Base Hours'!B137*BaseLoad!H136*IS!$B$2)</f>
        <v>702996.09404297953</v>
      </c>
      <c r="C137" s="180">
        <f>IF($A$1="Peak","-",'Base Hours'!C137*BaseLoad!I136*IS!$B$2)</f>
        <v>413020.39287094673</v>
      </c>
      <c r="D137" s="180">
        <f>IF($A$1="Peak","-",'Base Hours'!D137*BaseLoad!J136*IS!$B$2)</f>
        <v>647907.03492198302</v>
      </c>
      <c r="E137" s="180">
        <f>IF($A$1="Peak","-",'Base Hours'!E137*BaseLoad!K136*IS!$B$2)</f>
        <v>1065569.7520911337</v>
      </c>
      <c r="F137" s="180">
        <f>IF($A$1="Peak","-",'Base Hours'!F137*BaseLoad!L136*IS!$B$2)</f>
        <v>895686.68860163575</v>
      </c>
      <c r="G137" s="180">
        <f>IF($A$1="Peak","-",'Base Hours'!G137*BaseLoad!M136*IS!$B$2)</f>
        <v>1512251.9747502289</v>
      </c>
      <c r="H137" s="180">
        <f>IF($A$1="Peak","-",'Base Hours'!H137*BaseLoad!N136*IS!$B$2)</f>
        <v>1122990.9466412419</v>
      </c>
      <c r="I137" s="180">
        <f>IF($A$1="Peak","-",'Base Hours'!I137*BaseLoad!O136*IS!$B$2)</f>
        <v>329118.92179387546</v>
      </c>
      <c r="J137" s="180">
        <f>IF($A$1="Peak","-",'Base Hours'!J137*BaseLoad!P136*IS!$B$2)</f>
        <v>298648.57442768425</v>
      </c>
      <c r="K137" s="180">
        <f>IF($A$1="Peak","-",'Base Hours'!K137*BaseLoad!Q136*IS!$B$2)</f>
        <v>287365.45316261525</v>
      </c>
      <c r="L137" s="180">
        <f>IF($A$1="Peak","-",'Base Hours'!L137*BaseLoad!R136*IS!$B$2)</f>
        <v>278833.49486934242</v>
      </c>
      <c r="M137" s="180">
        <f>IF($A$1="Peak","-",'Base Hours'!M137*BaseLoad!S136*IS!$B$2)</f>
        <v>270467.79662191129</v>
      </c>
      <c r="N137" s="180">
        <f>IF($A$1="Peak","-",'Base Hours'!N137*BaseLoad!T136*IS!$B$2)</f>
        <v>265131.13282346673</v>
      </c>
      <c r="O137" s="180">
        <f>IF($A$1="Peak","-",'Base Hours'!O137*BaseLoad!U136*IS!$B$2)</f>
        <v>257060.22132436698</v>
      </c>
      <c r="P137" s="180">
        <f>IF($A$1="Peak","-",'Base Hours'!P137*BaseLoad!V136*IS!$B$2)</f>
        <v>251454.03539050708</v>
      </c>
      <c r="Q137" s="180">
        <f>IF($A$1="Peak","-",'Base Hours'!Q137*BaseLoad!W136*IS!$B$2)</f>
        <v>246917.51019895723</v>
      </c>
      <c r="R137" s="180">
        <f>IF($A$1="Peak","-",'Base Hours'!R137*BaseLoad!X136*IS!$B$2)</f>
        <v>243384.46313672198</v>
      </c>
      <c r="S137" s="180">
        <f>IF($A$1="Peak","-",'Base Hours'!S137*BaseLoad!Y136*IS!$B$2)</f>
        <v>240621.73954451244</v>
      </c>
      <c r="T137" s="180">
        <f>IF($A$1="Peak","-",'Base Hours'!T137*BaseLoad!Z136*IS!$B$2)</f>
        <v>238911.9259308959</v>
      </c>
      <c r="U137" s="180">
        <f>IF($A$1="Peak","-",'Base Hours'!U137*BaseLoad!AA136*IS!$B$2)</f>
        <v>640121.17904801376</v>
      </c>
      <c r="V137" s="180">
        <f t="shared" si="4"/>
        <v>8696207.3574427906</v>
      </c>
      <c r="W137" s="180"/>
      <c r="X137" s="180"/>
      <c r="Y137" s="212"/>
      <c r="Z137" s="212">
        <f>(BaseLoad!C136*'Base Hours'!V137*IS!$B$2)*-1</f>
        <v>-1897907.2917286858</v>
      </c>
      <c r="AA137" s="212"/>
      <c r="AB137" s="212">
        <f>(BaseLoad!D136*'Base Hours'!V137*IS!$B$2)*-1</f>
        <v>-178559.69970413166</v>
      </c>
      <c r="AC137" s="212"/>
      <c r="AD137" s="212">
        <f>(BaseLoad!E136*'Base Hours'!V137*IS!$B$2)*-1</f>
        <v>-969785.14689320745</v>
      </c>
      <c r="AE137" s="212"/>
      <c r="AF137" s="212">
        <f>(BaseLoad!F136*'Base Hours'!V137*IS!$B$2)*-1</f>
        <v>-113116.40819948568</v>
      </c>
      <c r="AG137" s="212"/>
    </row>
    <row r="138" spans="1:33" x14ac:dyDescent="0.2">
      <c r="A138" s="1">
        <f t="shared" si="3"/>
        <v>40433.376000000164</v>
      </c>
      <c r="B138" s="180">
        <f>IF($A$1="Peak","-",'Base Hours'!B138*BaseLoad!H137*IS!$B$2)</f>
        <v>175753.31606777673</v>
      </c>
      <c r="C138" s="180">
        <f>IF($A$1="Peak","-",'Base Hours'!C138*BaseLoad!I137*IS!$B$2)</f>
        <v>146373.76945390971</v>
      </c>
      <c r="D138" s="180">
        <f>IF($A$1="Peak","-",'Base Hours'!D138*BaseLoad!J137*IS!$B$2)</f>
        <v>219752.06092347795</v>
      </c>
      <c r="E138" s="180">
        <f>IF($A$1="Peak","-",'Base Hours'!E138*BaseLoad!K137*IS!$B$2)</f>
        <v>388499.62278363126</v>
      </c>
      <c r="F138" s="180">
        <f>IF($A$1="Peak","-",'Base Hours'!F138*BaseLoad!L137*IS!$B$2)</f>
        <v>363152.49363350478</v>
      </c>
      <c r="G138" s="180">
        <f>IF($A$1="Peak","-",'Base Hours'!G138*BaseLoad!M137*IS!$B$2)</f>
        <v>707763.347119365</v>
      </c>
      <c r="H138" s="180">
        <f>IF($A$1="Peak","-",'Base Hours'!H138*BaseLoad!N137*IS!$B$2)</f>
        <v>531401.96804809675</v>
      </c>
      <c r="I138" s="180">
        <f>IF($A$1="Peak","-",'Base Hours'!I138*BaseLoad!O137*IS!$B$2)</f>
        <v>429545.74229179631</v>
      </c>
      <c r="J138" s="180">
        <f>IF($A$1="Peak","-",'Base Hours'!J138*BaseLoad!P137*IS!$B$2)</f>
        <v>405085.81468495313</v>
      </c>
      <c r="K138" s="180">
        <f>IF($A$1="Peak","-",'Base Hours'!K138*BaseLoad!Q137*IS!$B$2)</f>
        <v>357628.80906914867</v>
      </c>
      <c r="L138" s="180">
        <f>IF($A$1="Peak","-",'Base Hours'!L138*BaseLoad!R137*IS!$B$2)</f>
        <v>351969.63098478259</v>
      </c>
      <c r="M138" s="180">
        <f>IF($A$1="Peak","-",'Base Hours'!M138*BaseLoad!S137*IS!$B$2)</f>
        <v>349208.83913585171</v>
      </c>
      <c r="N138" s="180">
        <f>IF($A$1="Peak","-",'Base Hours'!N138*BaseLoad!T137*IS!$B$2)</f>
        <v>343542.86071273318</v>
      </c>
      <c r="O138" s="180">
        <f>IF($A$1="Peak","-",'Base Hours'!O138*BaseLoad!U137*IS!$B$2)</f>
        <v>326438.50155711797</v>
      </c>
      <c r="P138" s="180">
        <f>IF($A$1="Peak","-",'Base Hours'!P138*BaseLoad!V137*IS!$B$2)</f>
        <v>314935.44481789338</v>
      </c>
      <c r="Q138" s="180">
        <f>IF($A$1="Peak","-",'Base Hours'!Q138*BaseLoad!W137*IS!$B$2)</f>
        <v>304737.82637913228</v>
      </c>
      <c r="R138" s="180">
        <f>IF($A$1="Peak","-",'Base Hours'!R138*BaseLoad!X137*IS!$B$2)</f>
        <v>294245.06154778256</v>
      </c>
      <c r="S138" s="180">
        <f>IF($A$1="Peak","-",'Base Hours'!S138*BaseLoad!Y137*IS!$B$2)</f>
        <v>290704.16840780556</v>
      </c>
      <c r="T138" s="180">
        <f>IF($A$1="Peak","-",'Base Hours'!T138*BaseLoad!Z137*IS!$B$2)</f>
        <v>280912.95033582876</v>
      </c>
      <c r="U138" s="180">
        <f>IF($A$1="Peak","-",'Base Hours'!U138*BaseLoad!AA137*IS!$B$2)</f>
        <v>724027.23277877935</v>
      </c>
      <c r="V138" s="180">
        <f t="shared" si="4"/>
        <v>6581652.2279545879</v>
      </c>
      <c r="W138" s="180"/>
      <c r="X138" s="180"/>
      <c r="Y138" s="212"/>
      <c r="Z138" s="212">
        <f>(BaseLoad!C137*'Base Hours'!V138*IS!$B$2)*-1</f>
        <v>-1897907.2917286858</v>
      </c>
      <c r="AA138" s="212"/>
      <c r="AB138" s="212">
        <f>(BaseLoad!D137*'Base Hours'!V138*IS!$B$2)*-1</f>
        <v>-178857.29920363854</v>
      </c>
      <c r="AC138" s="212"/>
      <c r="AD138" s="212">
        <f>(BaseLoad!E137*'Base Hours'!V138*IS!$B$2)*-1</f>
        <v>-969785.14689320745</v>
      </c>
      <c r="AE138" s="212"/>
      <c r="AF138" s="212">
        <f>(BaseLoad!F137*'Base Hours'!V138*IS!$B$2)*-1</f>
        <v>-113116.40819948568</v>
      </c>
      <c r="AG138" s="212"/>
    </row>
    <row r="139" spans="1:33" x14ac:dyDescent="0.2">
      <c r="A139" s="1">
        <f t="shared" si="3"/>
        <v>40463.793000000165</v>
      </c>
      <c r="B139" s="180">
        <f>IF($A$1="Peak","-",'Base Hours'!B139*BaseLoad!H138*IS!$B$2)</f>
        <v>90510.178911258437</v>
      </c>
      <c r="C139" s="180">
        <f>IF($A$1="Peak","-",'Base Hours'!C139*BaseLoad!I138*IS!$B$2)</f>
        <v>84561.461859291318</v>
      </c>
      <c r="D139" s="180">
        <f>IF($A$1="Peak","-",'Base Hours'!D139*BaseLoad!J138*IS!$B$2)</f>
        <v>165785.14732139878</v>
      </c>
      <c r="E139" s="180">
        <f>IF($A$1="Peak","-",'Base Hours'!E139*BaseLoad!K138*IS!$B$2)</f>
        <v>313125.96595146402</v>
      </c>
      <c r="F139" s="180">
        <f>IF($A$1="Peak","-",'Base Hours'!F139*BaseLoad!L138*IS!$B$2)</f>
        <v>300271.50047213974</v>
      </c>
      <c r="G139" s="180">
        <f>IF($A$1="Peak","-",'Base Hours'!G139*BaseLoad!M138*IS!$B$2)</f>
        <v>597405.4730788155</v>
      </c>
      <c r="H139" s="180">
        <f>IF($A$1="Peak","-",'Base Hours'!H139*BaseLoad!N138*IS!$B$2)</f>
        <v>568497.943713916</v>
      </c>
      <c r="I139" s="180">
        <f>IF($A$1="Peak","-",'Base Hours'!I139*BaseLoad!O138*IS!$B$2)</f>
        <v>425882.21540621429</v>
      </c>
      <c r="J139" s="180">
        <f>IF($A$1="Peak","-",'Base Hours'!J139*BaseLoad!P138*IS!$B$2)</f>
        <v>399174.52253393759</v>
      </c>
      <c r="K139" s="180">
        <f>IF($A$1="Peak","-",'Base Hours'!K139*BaseLoad!Q138*IS!$B$2)</f>
        <v>366316.49196929112</v>
      </c>
      <c r="L139" s="180">
        <f>IF($A$1="Peak","-",'Base Hours'!L139*BaseLoad!R138*IS!$B$2)</f>
        <v>361763.26746845216</v>
      </c>
      <c r="M139" s="180">
        <f>IF($A$1="Peak","-",'Base Hours'!M139*BaseLoad!S138*IS!$B$2)</f>
        <v>327767.42526943004</v>
      </c>
      <c r="N139" s="180">
        <f>IF($A$1="Peak","-",'Base Hours'!N139*BaseLoad!T138*IS!$B$2)</f>
        <v>313941.36670636345</v>
      </c>
      <c r="O139" s="180">
        <f>IF($A$1="Peak","-",'Base Hours'!O139*BaseLoad!U138*IS!$B$2)</f>
        <v>302143.69899960555</v>
      </c>
      <c r="P139" s="180">
        <f>IF($A$1="Peak","-",'Base Hours'!P139*BaseLoad!V138*IS!$B$2)</f>
        <v>295055.37430092902</v>
      </c>
      <c r="Q139" s="180">
        <f>IF($A$1="Peak","-",'Base Hours'!Q139*BaseLoad!W138*IS!$B$2)</f>
        <v>294628.38938065112</v>
      </c>
      <c r="R139" s="180">
        <f>IF($A$1="Peak","-",'Base Hours'!R139*BaseLoad!X138*IS!$B$2)</f>
        <v>294628.38938065112</v>
      </c>
      <c r="S139" s="180">
        <f>IF($A$1="Peak","-",'Base Hours'!S139*BaseLoad!Y138*IS!$B$2)</f>
        <v>294628.38938065112</v>
      </c>
      <c r="T139" s="180">
        <f>IF($A$1="Peak","-",'Base Hours'!T139*BaseLoad!Z138*IS!$B$2)</f>
        <v>292811.38198259723</v>
      </c>
      <c r="U139" s="180">
        <f>IF($A$1="Peak","-",'Base Hours'!U139*BaseLoad!AA138*IS!$B$2)</f>
        <v>780592.48404399469</v>
      </c>
      <c r="V139" s="180">
        <f t="shared" si="4"/>
        <v>6088898.5840870589</v>
      </c>
      <c r="W139" s="180"/>
      <c r="X139" s="180"/>
      <c r="Y139" s="212"/>
      <c r="Z139" s="212">
        <f>(BaseLoad!C138*'Base Hours'!V139*IS!$B$2)*-1</f>
        <v>-1897907.2917286858</v>
      </c>
      <c r="AA139" s="212"/>
      <c r="AB139" s="212">
        <f>(BaseLoad!D138*'Base Hours'!V139*IS!$B$2)*-1</f>
        <v>-179155.39470231129</v>
      </c>
      <c r="AC139" s="212"/>
      <c r="AD139" s="212">
        <f>(BaseLoad!E138*'Base Hours'!V139*IS!$B$2)*-1</f>
        <v>-969785.14689320745</v>
      </c>
      <c r="AE139" s="212"/>
      <c r="AF139" s="212">
        <f>(BaseLoad!F138*'Base Hours'!V139*IS!$B$2)*-1</f>
        <v>-113116.40819948568</v>
      </c>
      <c r="AG139" s="212"/>
    </row>
    <row r="140" spans="1:33" x14ac:dyDescent="0.2">
      <c r="A140" s="1">
        <f t="shared" ref="A140:A203" si="5">A139+30.417</f>
        <v>40494.210000000166</v>
      </c>
      <c r="B140" s="180">
        <f>IF($A$1="Peak","-",'Base Hours'!B140*BaseLoad!H139*IS!$B$2)</f>
        <v>134412.06304482551</v>
      </c>
      <c r="C140" s="180">
        <f>IF($A$1="Peak","-",'Base Hours'!C140*BaseLoad!I139*IS!$B$2)</f>
        <v>134410.43976967855</v>
      </c>
      <c r="D140" s="180">
        <f>IF($A$1="Peak","-",'Base Hours'!D140*BaseLoad!J139*IS!$B$2)</f>
        <v>267552.74778711912</v>
      </c>
      <c r="E140" s="180">
        <f>IF($A$1="Peak","-",'Base Hours'!E140*BaseLoad!K139*IS!$B$2)</f>
        <v>490216.87224981881</v>
      </c>
      <c r="F140" s="180">
        <f>IF($A$1="Peak","-",'Base Hours'!F140*BaseLoad!L139*IS!$B$2)</f>
        <v>372347.83381634118</v>
      </c>
      <c r="G140" s="180">
        <f>IF($A$1="Peak","-",'Base Hours'!G140*BaseLoad!M139*IS!$B$2)</f>
        <v>650431.33744266909</v>
      </c>
      <c r="H140" s="180">
        <f>IF($A$1="Peak","-",'Base Hours'!H140*BaseLoad!N139*IS!$B$2)</f>
        <v>594650.30821857089</v>
      </c>
      <c r="I140" s="180">
        <f>IF($A$1="Peak","-",'Base Hours'!I140*BaseLoad!O139*IS!$B$2)</f>
        <v>504324.24774931429</v>
      </c>
      <c r="J140" s="180">
        <f>IF($A$1="Peak","-",'Base Hours'!J140*BaseLoad!P139*IS!$B$2)</f>
        <v>499980.28988232935</v>
      </c>
      <c r="K140" s="180">
        <f>IF($A$1="Peak","-",'Base Hours'!K140*BaseLoad!Q139*IS!$B$2)</f>
        <v>499978.95386547514</v>
      </c>
      <c r="L140" s="180">
        <f>IF($A$1="Peak","-",'Base Hours'!L140*BaseLoad!R139*IS!$B$2)</f>
        <v>499977.970844822</v>
      </c>
      <c r="M140" s="180">
        <f>IF($A$1="Peak","-",'Base Hours'!M140*BaseLoad!S139*IS!$B$2)</f>
        <v>499977.970844822</v>
      </c>
      <c r="N140" s="180">
        <f>IF($A$1="Peak","-",'Base Hours'!N140*BaseLoad!T139*IS!$B$2)</f>
        <v>396097.21852785052</v>
      </c>
      <c r="O140" s="180">
        <f>IF($A$1="Peak","-",'Base Hours'!O140*BaseLoad!U139*IS!$B$2)</f>
        <v>325933.16770611494</v>
      </c>
      <c r="P140" s="180">
        <f>IF($A$1="Peak","-",'Base Hours'!P140*BaseLoad!V139*IS!$B$2)</f>
        <v>310674.46851432323</v>
      </c>
      <c r="Q140" s="180">
        <f>IF($A$1="Peak","-",'Base Hours'!Q140*BaseLoad!W139*IS!$B$2)</f>
        <v>297058.16271424957</v>
      </c>
      <c r="R140" s="180">
        <f>IF($A$1="Peak","-",'Base Hours'!R140*BaseLoad!X139*IS!$B$2)</f>
        <v>290647.06144000584</v>
      </c>
      <c r="S140" s="180">
        <f>IF($A$1="Peak","-",'Base Hours'!S140*BaseLoad!Y139*IS!$B$2)</f>
        <v>284281.2492107015</v>
      </c>
      <c r="T140" s="180">
        <f>IF($A$1="Peak","-",'Base Hours'!T140*BaseLoad!Z139*IS!$B$2)</f>
        <v>275048.7040536686</v>
      </c>
      <c r="U140" s="180">
        <f>IF($A$1="Peak","-",'Base Hours'!U140*BaseLoad!AA139*IS!$B$2)</f>
        <v>711533.70484851021</v>
      </c>
      <c r="V140" s="180">
        <f t="shared" ref="V140:V203" si="6">SUM(B140:U140)-(MAX(B140:U140))</f>
        <v>7328001.0676826993</v>
      </c>
      <c r="W140" s="180"/>
      <c r="X140" s="180"/>
      <c r="Y140" s="212"/>
      <c r="Z140" s="212">
        <f>(BaseLoad!C139*'Base Hours'!V140*IS!$B$2)*-1</f>
        <v>-1897907.2917286858</v>
      </c>
      <c r="AA140" s="212"/>
      <c r="AB140" s="212">
        <f>(BaseLoad!D139*'Base Hours'!V140*IS!$B$2)*-1</f>
        <v>-179453.98702681516</v>
      </c>
      <c r="AC140" s="212"/>
      <c r="AD140" s="212">
        <f>(BaseLoad!E139*'Base Hours'!V140*IS!$B$2)*-1</f>
        <v>-969785.14689320745</v>
      </c>
      <c r="AE140" s="212"/>
      <c r="AF140" s="212">
        <f>(BaseLoad!F139*'Base Hours'!V140*IS!$B$2)*-1</f>
        <v>-113116.40819948568</v>
      </c>
      <c r="AG140" s="212"/>
    </row>
    <row r="141" spans="1:33" x14ac:dyDescent="0.2">
      <c r="A141" s="1">
        <f t="shared" si="5"/>
        <v>40524.627000000168</v>
      </c>
      <c r="B141" s="180">
        <f>IF($A$1="Peak","-",'Base Hours'!B141*BaseLoad!H140*IS!$B$2)</f>
        <v>153922.54060217491</v>
      </c>
      <c r="C141" s="180">
        <f>IF($A$1="Peak","-",'Base Hours'!C141*BaseLoad!I140*IS!$B$2)</f>
        <v>131677.07960200304</v>
      </c>
      <c r="D141" s="180">
        <f>IF($A$1="Peak","-",'Base Hours'!D141*BaseLoad!J140*IS!$B$2)</f>
        <v>225445.24009603789</v>
      </c>
      <c r="E141" s="180">
        <f>IF($A$1="Peak","-",'Base Hours'!E141*BaseLoad!K140*IS!$B$2)</f>
        <v>418614.83429351152</v>
      </c>
      <c r="F141" s="180">
        <f>IF($A$1="Peak","-",'Base Hours'!F141*BaseLoad!L140*IS!$B$2)</f>
        <v>393716.09138919984</v>
      </c>
      <c r="G141" s="180">
        <f>IF($A$1="Peak","-",'Base Hours'!G141*BaseLoad!M140*IS!$B$2)</f>
        <v>750977.23898177571</v>
      </c>
      <c r="H141" s="180">
        <f>IF($A$1="Peak","-",'Base Hours'!H141*BaseLoad!N140*IS!$B$2)</f>
        <v>745551.30070219748</v>
      </c>
      <c r="I141" s="180">
        <f>IF($A$1="Peak","-",'Base Hours'!I141*BaseLoad!O140*IS!$B$2)</f>
        <v>687780.46918108105</v>
      </c>
      <c r="J141" s="180">
        <f>IF($A$1="Peak","-",'Base Hours'!J141*BaseLoad!P140*IS!$B$2)</f>
        <v>527693.45202528534</v>
      </c>
      <c r="K141" s="180">
        <f>IF($A$1="Peak","-",'Base Hours'!K141*BaseLoad!Q140*IS!$B$2)</f>
        <v>472561.08691167191</v>
      </c>
      <c r="L141" s="180">
        <f>IF($A$1="Peak","-",'Base Hours'!L141*BaseLoad!R140*IS!$B$2)</f>
        <v>421073.43516603799</v>
      </c>
      <c r="M141" s="180">
        <f>IF($A$1="Peak","-",'Base Hours'!M141*BaseLoad!S140*IS!$B$2)</f>
        <v>404108.96894824662</v>
      </c>
      <c r="N141" s="180">
        <f>IF($A$1="Peak","-",'Base Hours'!N141*BaseLoad!T140*IS!$B$2)</f>
        <v>365522.20641155326</v>
      </c>
      <c r="O141" s="180">
        <f>IF($A$1="Peak","-",'Base Hours'!O141*BaseLoad!U140*IS!$B$2)</f>
        <v>363165.46687408874</v>
      </c>
      <c r="P141" s="180">
        <f>IF($A$1="Peak","-",'Base Hours'!P141*BaseLoad!V140*IS!$B$2)</f>
        <v>360375.27081740019</v>
      </c>
      <c r="Q141" s="180">
        <f>IF($A$1="Peak","-",'Base Hours'!Q141*BaseLoad!W140*IS!$B$2)</f>
        <v>359500.5434695693</v>
      </c>
      <c r="R141" s="180">
        <f>IF($A$1="Peak","-",'Base Hours'!R141*BaseLoad!X140*IS!$B$2)</f>
        <v>359500.24472803174</v>
      </c>
      <c r="S141" s="180">
        <f>IF($A$1="Peak","-",'Base Hours'!S141*BaseLoad!Y140*IS!$B$2)</f>
        <v>359500.24472803174</v>
      </c>
      <c r="T141" s="180">
        <f>IF($A$1="Peak","-",'Base Hours'!T141*BaseLoad!Z140*IS!$B$2)</f>
        <v>344229.05386860407</v>
      </c>
      <c r="U141" s="180">
        <f>IF($A$1="Peak","-",'Base Hours'!U141*BaseLoad!AA140*IS!$B$2)</f>
        <v>836197.72439561179</v>
      </c>
      <c r="V141" s="180">
        <f t="shared" si="6"/>
        <v>7844914.7687965035</v>
      </c>
      <c r="W141" s="180"/>
      <c r="X141" s="180"/>
      <c r="Y141" s="212">
        <f>SUM(B130:U141)</f>
        <v>94090638.822079167</v>
      </c>
      <c r="Z141" s="212">
        <f>(BaseLoad!C140*'Base Hours'!V141*IS!$B$2)*-1</f>
        <v>-1897907.2917286858</v>
      </c>
      <c r="AA141" s="212">
        <f>SUM(Z130:Z141)</f>
        <v>-22774887.500744235</v>
      </c>
      <c r="AB141" s="212">
        <f>(BaseLoad!D140*'Base Hours'!V141*IS!$B$2)*-1</f>
        <v>-179753.07700519316</v>
      </c>
      <c r="AC141" s="212">
        <f>SUM(AB130:AB141)</f>
        <v>-2137406.0605494585</v>
      </c>
      <c r="AD141" s="212">
        <f>(BaseLoad!E140*'Base Hours'!V141*IS!$B$2)*-1</f>
        <v>-969785.14689320745</v>
      </c>
      <c r="AE141" s="212">
        <f>SUM(AD130:AD141)</f>
        <v>-11637421.762718486</v>
      </c>
      <c r="AF141" s="212">
        <f>(BaseLoad!F140*'Base Hours'!V141*IS!$B$2)*-1</f>
        <v>-113116.40819948568</v>
      </c>
      <c r="AG141" s="212">
        <f>SUM(AF130:AF141)</f>
        <v>-1357396.8983938277</v>
      </c>
    </row>
    <row r="142" spans="1:33" x14ac:dyDescent="0.2">
      <c r="A142" s="1">
        <f t="shared" si="5"/>
        <v>40555.044000000169</v>
      </c>
      <c r="B142" s="180">
        <f>IF($A$1="Peak","-",'Base Hours'!B142*BaseLoad!H141*IS!$B$2)</f>
        <v>186225.32157747433</v>
      </c>
      <c r="C142" s="180">
        <f>IF($A$1="Peak","-",'Base Hours'!C142*BaseLoad!I141*IS!$B$2)</f>
        <v>179075.45948570533</v>
      </c>
      <c r="D142" s="180">
        <f>IF($A$1="Peak","-",'Base Hours'!D142*BaseLoad!J141*IS!$B$2)</f>
        <v>347420.33172534895</v>
      </c>
      <c r="E142" s="180">
        <f>IF($A$1="Peak","-",'Base Hours'!E142*BaseLoad!K141*IS!$B$2)</f>
        <v>565833.41666941426</v>
      </c>
      <c r="F142" s="180">
        <f>IF($A$1="Peak","-",'Base Hours'!F142*BaseLoad!L141*IS!$B$2)</f>
        <v>371413.19076279161</v>
      </c>
      <c r="G142" s="180">
        <f>IF($A$1="Peak","-",'Base Hours'!G142*BaseLoad!M141*IS!$B$2)</f>
        <v>689004.66563083918</v>
      </c>
      <c r="H142" s="180">
        <f>IF($A$1="Peak","-",'Base Hours'!H142*BaseLoad!N141*IS!$B$2)</f>
        <v>633343.49343886506</v>
      </c>
      <c r="I142" s="180">
        <f>IF($A$1="Peak","-",'Base Hours'!I142*BaseLoad!O141*IS!$B$2)</f>
        <v>627853.52744019299</v>
      </c>
      <c r="J142" s="180">
        <f>IF($A$1="Peak","-",'Base Hours'!J142*BaseLoad!P141*IS!$B$2)</f>
        <v>595591.71904982277</v>
      </c>
      <c r="K142" s="180">
        <f>IF($A$1="Peak","-",'Base Hours'!K142*BaseLoad!Q141*IS!$B$2)</f>
        <v>457711.13198662683</v>
      </c>
      <c r="L142" s="180">
        <f>IF($A$1="Peak","-",'Base Hours'!L142*BaseLoad!R141*IS!$B$2)</f>
        <v>404867.12623512634</v>
      </c>
      <c r="M142" s="180">
        <f>IF($A$1="Peak","-",'Base Hours'!M142*BaseLoad!S141*IS!$B$2)</f>
        <v>356592.44813949498</v>
      </c>
      <c r="N142" s="180">
        <f>IF($A$1="Peak","-",'Base Hours'!N142*BaseLoad!T141*IS!$B$2)</f>
        <v>345791.39796711749</v>
      </c>
      <c r="O142" s="180">
        <f>IF($A$1="Peak","-",'Base Hours'!O142*BaseLoad!U141*IS!$B$2)</f>
        <v>315779.23257446103</v>
      </c>
      <c r="P142" s="180">
        <f>IF($A$1="Peak","-",'Base Hours'!P142*BaseLoad!V141*IS!$B$2)</f>
        <v>312785.53247266629</v>
      </c>
      <c r="Q142" s="180">
        <f>IF($A$1="Peak","-",'Base Hours'!Q142*BaseLoad!W141*IS!$B$2)</f>
        <v>309645.93166857638</v>
      </c>
      <c r="R142" s="180">
        <f>IF($A$1="Peak","-",'Base Hours'!R142*BaseLoad!X141*IS!$B$2)</f>
        <v>307805.05960986845</v>
      </c>
      <c r="S142" s="180">
        <f>IF($A$1="Peak","-",'Base Hours'!S142*BaseLoad!Y141*IS!$B$2)</f>
        <v>307804.59096201195</v>
      </c>
      <c r="T142" s="180">
        <f>IF($A$1="Peak","-",'Base Hours'!T142*BaseLoad!Z141*IS!$B$2)</f>
        <v>307804.31775240274</v>
      </c>
      <c r="U142" s="180">
        <f>IF($A$1="Peak","-",'Base Hours'!U142*BaseLoad!AA141*IS!$B$2)</f>
        <v>804523.99688561144</v>
      </c>
      <c r="V142" s="180">
        <f t="shared" si="6"/>
        <v>7622347.8951488072</v>
      </c>
      <c r="W142" s="180"/>
      <c r="X142" s="180"/>
      <c r="Y142" s="212"/>
      <c r="Z142" s="212">
        <f>(BaseLoad!C141*'Base Hours'!V142*IS!$B$2)*-1</f>
        <v>-1929838.4343865823</v>
      </c>
      <c r="AA142" s="212"/>
      <c r="AB142" s="212">
        <f>(BaseLoad!D141*'Base Hours'!V142*IS!$B$2)*-1</f>
        <v>-180052.66546686849</v>
      </c>
      <c r="AC142" s="212"/>
      <c r="AD142" s="212">
        <f>(BaseLoad!E141*'Base Hours'!V142*IS!$B$2)*-1</f>
        <v>-1068291.6781029883</v>
      </c>
      <c r="AE142" s="212"/>
      <c r="AF142" s="212">
        <f>(BaseLoad!F141*'Base Hours'!V142*IS!$B$2)*-1</f>
        <v>-116356.15535837652</v>
      </c>
      <c r="AG142" s="212"/>
    </row>
    <row r="143" spans="1:33" x14ac:dyDescent="0.2">
      <c r="A143" s="1">
        <f t="shared" si="5"/>
        <v>40585.46100000017</v>
      </c>
      <c r="B143" s="180">
        <f>IF($A$1="Peak","-",'Base Hours'!B143*BaseLoad!H142*IS!$B$2)</f>
        <v>163444.94011255234</v>
      </c>
      <c r="C143" s="180">
        <f>IF($A$1="Peak","-",'Base Hours'!C143*BaseLoad!I142*IS!$B$2)</f>
        <v>129852.21510900017</v>
      </c>
      <c r="D143" s="180">
        <f>IF($A$1="Peak","-",'Base Hours'!D143*BaseLoad!J142*IS!$B$2)</f>
        <v>219705.22017244113</v>
      </c>
      <c r="E143" s="180">
        <f>IF($A$1="Peak","-",'Base Hours'!E143*BaseLoad!K142*IS!$B$2)</f>
        <v>409548.54306805035</v>
      </c>
      <c r="F143" s="180">
        <f>IF($A$1="Peak","-",'Base Hours'!F143*BaseLoad!L142*IS!$B$2)</f>
        <v>386711.57014198595</v>
      </c>
      <c r="G143" s="180">
        <f>IF($A$1="Peak","-",'Base Hours'!G143*BaseLoad!M142*IS!$B$2)</f>
        <v>715946.48605448252</v>
      </c>
      <c r="H143" s="180">
        <f>IF($A$1="Peak","-",'Base Hours'!H143*BaseLoad!N142*IS!$B$2)</f>
        <v>704675.4661742833</v>
      </c>
      <c r="I143" s="180">
        <f>IF($A$1="Peak","-",'Base Hours'!I143*BaseLoad!O142*IS!$B$2)</f>
        <v>617156.43347502989</v>
      </c>
      <c r="J143" s="180">
        <f>IF($A$1="Peak","-",'Base Hours'!J143*BaseLoad!P142*IS!$B$2)</f>
        <v>490732.27101967228</v>
      </c>
      <c r="K143" s="180">
        <f>IF($A$1="Peak","-",'Base Hours'!K143*BaseLoad!Q142*IS!$B$2)</f>
        <v>451662.24031355168</v>
      </c>
      <c r="L143" s="180">
        <f>IF($A$1="Peak","-",'Base Hours'!L143*BaseLoad!R142*IS!$B$2)</f>
        <v>407509.07457519427</v>
      </c>
      <c r="M143" s="180">
        <f>IF($A$1="Peak","-",'Base Hours'!M143*BaseLoad!S142*IS!$B$2)</f>
        <v>399555.92225870129</v>
      </c>
      <c r="N143" s="180">
        <f>IF($A$1="Peak","-",'Base Hours'!N143*BaseLoad!T142*IS!$B$2)</f>
        <v>385753.46706213825</v>
      </c>
      <c r="O143" s="180">
        <f>IF($A$1="Peak","-",'Base Hours'!O143*BaseLoad!U142*IS!$B$2)</f>
        <v>375290.13026649941</v>
      </c>
      <c r="P143" s="180">
        <f>IF($A$1="Peak","-",'Base Hours'!P143*BaseLoad!V142*IS!$B$2)</f>
        <v>367076.89256710123</v>
      </c>
      <c r="Q143" s="180">
        <f>IF($A$1="Peak","-",'Base Hours'!Q143*BaseLoad!W142*IS!$B$2)</f>
        <v>352181.8727752908</v>
      </c>
      <c r="R143" s="180">
        <f>IF($A$1="Peak","-",'Base Hours'!R143*BaseLoad!X142*IS!$B$2)</f>
        <v>350250.82446607825</v>
      </c>
      <c r="S143" s="180">
        <f>IF($A$1="Peak","-",'Base Hours'!S143*BaseLoad!Y142*IS!$B$2)</f>
        <v>350250.82446607825</v>
      </c>
      <c r="T143" s="180">
        <f>IF($A$1="Peak","-",'Base Hours'!T143*BaseLoad!Z142*IS!$B$2)</f>
        <v>350250.82446607825</v>
      </c>
      <c r="U143" s="180">
        <f>IF($A$1="Peak","-",'Base Hours'!U143*BaseLoad!AA142*IS!$B$2)</f>
        <v>948131.4416228187</v>
      </c>
      <c r="V143" s="180">
        <f t="shared" si="6"/>
        <v>7627555.2185442084</v>
      </c>
      <c r="W143" s="180"/>
      <c r="X143" s="180"/>
      <c r="Y143" s="212"/>
      <c r="Z143" s="212">
        <f>(BaseLoad!C142*'Base Hours'!V143*IS!$B$2)*-1</f>
        <v>-1929838.4343865823</v>
      </c>
      <c r="AA143" s="212"/>
      <c r="AB143" s="212">
        <f>(BaseLoad!D142*'Base Hours'!V143*IS!$B$2)*-1</f>
        <v>-180352.75324264658</v>
      </c>
      <c r="AC143" s="212"/>
      <c r="AD143" s="212">
        <f>(BaseLoad!E142*'Base Hours'!V143*IS!$B$2)*-1</f>
        <v>-1068291.6781029883</v>
      </c>
      <c r="AE143" s="212"/>
      <c r="AF143" s="212">
        <f>(BaseLoad!F142*'Base Hours'!V143*IS!$B$2)*-1</f>
        <v>-116356.15535837652</v>
      </c>
      <c r="AG143" s="212"/>
    </row>
    <row r="144" spans="1:33" x14ac:dyDescent="0.2">
      <c r="A144" s="1">
        <f t="shared" si="5"/>
        <v>40615.878000000172</v>
      </c>
      <c r="B144" s="180">
        <f>IF($A$1="Peak","-",'Base Hours'!B144*BaseLoad!H143*IS!$B$2)</f>
        <v>153187.91353156173</v>
      </c>
      <c r="C144" s="180">
        <f>IF($A$1="Peak","-",'Base Hours'!C144*BaseLoad!I143*IS!$B$2)</f>
        <v>125838.98032805785</v>
      </c>
      <c r="D144" s="180">
        <f>IF($A$1="Peak","-",'Base Hours'!D144*BaseLoad!J143*IS!$B$2)</f>
        <v>193243.31138104034</v>
      </c>
      <c r="E144" s="180">
        <f>IF($A$1="Peak","-",'Base Hours'!E144*BaseLoad!K143*IS!$B$2)</f>
        <v>344345.83830409904</v>
      </c>
      <c r="F144" s="180">
        <f>IF($A$1="Peak","-",'Base Hours'!F144*BaseLoad!L143*IS!$B$2)</f>
        <v>324627.26562901813</v>
      </c>
      <c r="G144" s="180">
        <f>IF($A$1="Peak","-",'Base Hours'!G144*BaseLoad!M143*IS!$B$2)</f>
        <v>609314.70856576017</v>
      </c>
      <c r="H144" s="180">
        <f>IF($A$1="Peak","-",'Base Hours'!H144*BaseLoad!N143*IS!$B$2)</f>
        <v>605978.77989777911</v>
      </c>
      <c r="I144" s="180">
        <f>IF($A$1="Peak","-",'Base Hours'!I144*BaseLoad!O143*IS!$B$2)</f>
        <v>569285.73489724426</v>
      </c>
      <c r="J144" s="180">
        <f>IF($A$1="Peak","-",'Base Hours'!J144*BaseLoad!P143*IS!$B$2)</f>
        <v>454440.77910956682</v>
      </c>
      <c r="K144" s="180">
        <f>IF($A$1="Peak","-",'Base Hours'!K144*BaseLoad!Q143*IS!$B$2)</f>
        <v>423985.49147474498</v>
      </c>
      <c r="L144" s="180">
        <f>IF($A$1="Peak","-",'Base Hours'!L144*BaseLoad!R143*IS!$B$2)</f>
        <v>402811.65446934639</v>
      </c>
      <c r="M144" s="180">
        <f>IF($A$1="Peak","-",'Base Hours'!M144*BaseLoad!S143*IS!$B$2)</f>
        <v>374980.16243522801</v>
      </c>
      <c r="N144" s="180">
        <f>IF($A$1="Peak","-",'Base Hours'!N144*BaseLoad!T143*IS!$B$2)</f>
        <v>356064.18380393222</v>
      </c>
      <c r="O144" s="180">
        <f>IF($A$1="Peak","-",'Base Hours'!O144*BaseLoad!U143*IS!$B$2)</f>
        <v>349032.77610417054</v>
      </c>
      <c r="P144" s="180">
        <f>IF($A$1="Peak","-",'Base Hours'!P144*BaseLoad!V143*IS!$B$2)</f>
        <v>344798.43112484901</v>
      </c>
      <c r="Q144" s="180">
        <f>IF($A$1="Peak","-",'Base Hours'!Q144*BaseLoad!W143*IS!$B$2)</f>
        <v>343637.63024672616</v>
      </c>
      <c r="R144" s="180">
        <f>IF($A$1="Peak","-",'Base Hours'!R144*BaseLoad!X143*IS!$B$2)</f>
        <v>336731.04408359196</v>
      </c>
      <c r="S144" s="180">
        <f>IF($A$1="Peak","-",'Base Hours'!S144*BaseLoad!Y143*IS!$B$2)</f>
        <v>325963.87482091703</v>
      </c>
      <c r="T144" s="180">
        <f>IF($A$1="Peak","-",'Base Hours'!T144*BaseLoad!Z143*IS!$B$2)</f>
        <v>309543.83906500373</v>
      </c>
      <c r="U144" s="180">
        <f>IF($A$1="Peak","-",'Base Hours'!U144*BaseLoad!AA143*IS!$B$2)</f>
        <v>823181.98844290385</v>
      </c>
      <c r="V144" s="180">
        <f t="shared" si="6"/>
        <v>6947812.3992726374</v>
      </c>
      <c r="W144" s="180"/>
      <c r="X144" s="180"/>
      <c r="Y144" s="212"/>
      <c r="Z144" s="212">
        <f>(BaseLoad!C143*'Base Hours'!V144*IS!$B$2)*-1</f>
        <v>-1929838.4343865823</v>
      </c>
      <c r="AA144" s="212"/>
      <c r="AB144" s="212">
        <f>(BaseLoad!D143*'Base Hours'!V144*IS!$B$2)*-1</f>
        <v>-180653.34116471768</v>
      </c>
      <c r="AC144" s="212"/>
      <c r="AD144" s="212">
        <f>(BaseLoad!E143*'Base Hours'!V144*IS!$B$2)*-1</f>
        <v>-1068291.6781029883</v>
      </c>
      <c r="AE144" s="212"/>
      <c r="AF144" s="212">
        <f>(BaseLoad!F143*'Base Hours'!V144*IS!$B$2)*-1</f>
        <v>-116356.15535837652</v>
      </c>
      <c r="AG144" s="212"/>
    </row>
    <row r="145" spans="1:33" x14ac:dyDescent="0.2">
      <c r="A145" s="1">
        <f t="shared" si="5"/>
        <v>40646.295000000173</v>
      </c>
      <c r="B145" s="180">
        <f>IF($A$1="Peak","-",'Base Hours'!B145*BaseLoad!H144*IS!$B$2)</f>
        <v>91251.14332020437</v>
      </c>
      <c r="C145" s="180">
        <f>IF($A$1="Peak","-",'Base Hours'!C145*BaseLoad!I144*IS!$B$2)</f>
        <v>87941.133000669681</v>
      </c>
      <c r="D145" s="180">
        <f>IF($A$1="Peak","-",'Base Hours'!D145*BaseLoad!J144*IS!$B$2)</f>
        <v>165146.93523656816</v>
      </c>
      <c r="E145" s="180">
        <f>IF($A$1="Peak","-",'Base Hours'!E145*BaseLoad!K144*IS!$B$2)</f>
        <v>318980.20025314094</v>
      </c>
      <c r="F145" s="180">
        <f>IF($A$1="Peak","-",'Base Hours'!F145*BaseLoad!L144*IS!$B$2)</f>
        <v>318176.2640017682</v>
      </c>
      <c r="G145" s="180">
        <f>IF($A$1="Peak","-",'Base Hours'!G145*BaseLoad!M144*IS!$B$2)</f>
        <v>557713.16301378119</v>
      </c>
      <c r="H145" s="180">
        <f>IF($A$1="Peak","-",'Base Hours'!H145*BaseLoad!N144*IS!$B$2)</f>
        <v>443828.00862346019</v>
      </c>
      <c r="I145" s="180">
        <f>IF($A$1="Peak","-",'Base Hours'!I145*BaseLoad!O144*IS!$B$2)</f>
        <v>386542.31022391381</v>
      </c>
      <c r="J145" s="180">
        <f>IF($A$1="Peak","-",'Base Hours'!J145*BaseLoad!P144*IS!$B$2)</f>
        <v>361411.31213795947</v>
      </c>
      <c r="K145" s="180">
        <f>IF($A$1="Peak","-",'Base Hours'!K145*BaseLoad!Q144*IS!$B$2)</f>
        <v>357703.9627896226</v>
      </c>
      <c r="L145" s="180">
        <f>IF($A$1="Peak","-",'Base Hours'!L145*BaseLoad!R144*IS!$B$2)</f>
        <v>340453.16763628082</v>
      </c>
      <c r="M145" s="180">
        <f>IF($A$1="Peak","-",'Base Hours'!M145*BaseLoad!S144*IS!$B$2)</f>
        <v>330205.2044559489</v>
      </c>
      <c r="N145" s="180">
        <f>IF($A$1="Peak","-",'Base Hours'!N145*BaseLoad!T144*IS!$B$2)</f>
        <v>321621.59757616092</v>
      </c>
      <c r="O145" s="180">
        <f>IF($A$1="Peak","-",'Base Hours'!O145*BaseLoad!U144*IS!$B$2)</f>
        <v>315220.12504133279</v>
      </c>
      <c r="P145" s="180">
        <f>IF($A$1="Peak","-",'Base Hours'!P145*BaseLoad!V144*IS!$B$2)</f>
        <v>311298.59811431158</v>
      </c>
      <c r="Q145" s="180">
        <f>IF($A$1="Peak","-",'Base Hours'!Q145*BaseLoad!W144*IS!$B$2)</f>
        <v>310921.35706189508</v>
      </c>
      <c r="R145" s="180">
        <f>IF($A$1="Peak","-",'Base Hours'!R145*BaseLoad!X144*IS!$B$2)</f>
        <v>310921.35706189508</v>
      </c>
      <c r="S145" s="180">
        <f>IF($A$1="Peak","-",'Base Hours'!S145*BaseLoad!Y144*IS!$B$2)</f>
        <v>310921.35706189508</v>
      </c>
      <c r="T145" s="180">
        <f>IF($A$1="Peak","-",'Base Hours'!T145*BaseLoad!Z144*IS!$B$2)</f>
        <v>310921.35706189508</v>
      </c>
      <c r="U145" s="180">
        <f>IF($A$1="Peak","-",'Base Hours'!U145*BaseLoad!AA144*IS!$B$2)</f>
        <v>844377.48987295839</v>
      </c>
      <c r="V145" s="180">
        <f t="shared" si="6"/>
        <v>5951178.553672703</v>
      </c>
      <c r="W145" s="180"/>
      <c r="X145" s="180"/>
      <c r="Y145" s="212"/>
      <c r="Z145" s="212">
        <f>(BaseLoad!C144*'Base Hours'!V145*IS!$B$2)*-1</f>
        <v>-1929838.4343865823</v>
      </c>
      <c r="AA145" s="212"/>
      <c r="AB145" s="212">
        <f>(BaseLoad!D144*'Base Hours'!V145*IS!$B$2)*-1</f>
        <v>-180954.43006665891</v>
      </c>
      <c r="AC145" s="212"/>
      <c r="AD145" s="212">
        <f>(BaseLoad!E144*'Base Hours'!V145*IS!$B$2)*-1</f>
        <v>-1068291.6781029883</v>
      </c>
      <c r="AE145" s="212"/>
      <c r="AF145" s="212">
        <f>(BaseLoad!F144*'Base Hours'!V145*IS!$B$2)*-1</f>
        <v>-116356.15535837652</v>
      </c>
      <c r="AG145" s="212"/>
    </row>
    <row r="146" spans="1:33" x14ac:dyDescent="0.2">
      <c r="A146" s="1">
        <f t="shared" si="5"/>
        <v>40676.712000000174</v>
      </c>
      <c r="B146" s="180">
        <f>IF($A$1="Peak","-",'Base Hours'!B146*BaseLoad!H145*IS!$B$2)</f>
        <v>115538.2754684096</v>
      </c>
      <c r="C146" s="180">
        <f>IF($A$1="Peak","-",'Base Hours'!C146*BaseLoad!I145*IS!$B$2)</f>
        <v>90173.411426079314</v>
      </c>
      <c r="D146" s="180">
        <f>IF($A$1="Peak","-",'Base Hours'!D146*BaseLoad!J145*IS!$B$2)</f>
        <v>154742.59654639411</v>
      </c>
      <c r="E146" s="180">
        <f>IF($A$1="Peak","-",'Base Hours'!E146*BaseLoad!K145*IS!$B$2)</f>
        <v>294133.06205783848</v>
      </c>
      <c r="F146" s="180">
        <f>IF($A$1="Peak","-",'Base Hours'!F146*BaseLoad!L145*IS!$B$2)</f>
        <v>290343.38676334033</v>
      </c>
      <c r="G146" s="180">
        <f>IF($A$1="Peak","-",'Base Hours'!G146*BaseLoad!M145*IS!$B$2)</f>
        <v>549992.83362352732</v>
      </c>
      <c r="H146" s="180">
        <f>IF($A$1="Peak","-",'Base Hours'!H146*BaseLoad!N145*IS!$B$2)</f>
        <v>527027.94083032606</v>
      </c>
      <c r="I146" s="180">
        <f>IF($A$1="Peak","-",'Base Hours'!I146*BaseLoad!O145*IS!$B$2)</f>
        <v>411855.77989659121</v>
      </c>
      <c r="J146" s="180">
        <f>IF($A$1="Peak","-",'Base Hours'!J146*BaseLoad!P145*IS!$B$2)</f>
        <v>385554.31622912711</v>
      </c>
      <c r="K146" s="180">
        <f>IF($A$1="Peak","-",'Base Hours'!K146*BaseLoad!Q145*IS!$B$2)</f>
        <v>368475.59586870729</v>
      </c>
      <c r="L146" s="180">
        <f>IF($A$1="Peak","-",'Base Hours'!L146*BaseLoad!R145*IS!$B$2)</f>
        <v>347006.64453739807</v>
      </c>
      <c r="M146" s="180">
        <f>IF($A$1="Peak","-",'Base Hours'!M146*BaseLoad!S145*IS!$B$2)</f>
        <v>336659.06227082666</v>
      </c>
      <c r="N146" s="180">
        <f>IF($A$1="Peak","-",'Base Hours'!N146*BaseLoad!T145*IS!$B$2)</f>
        <v>327278.97249268432</v>
      </c>
      <c r="O146" s="180">
        <f>IF($A$1="Peak","-",'Base Hours'!O146*BaseLoad!U145*IS!$B$2)</f>
        <v>317579.13985126535</v>
      </c>
      <c r="P146" s="180">
        <f>IF($A$1="Peak","-",'Base Hours'!P146*BaseLoad!V145*IS!$B$2)</f>
        <v>310388.17562175955</v>
      </c>
      <c r="Q146" s="180">
        <f>IF($A$1="Peak","-",'Base Hours'!Q146*BaseLoad!W145*IS!$B$2)</f>
        <v>291411.6748463909</v>
      </c>
      <c r="R146" s="180">
        <f>IF($A$1="Peak","-",'Base Hours'!R146*BaseLoad!X145*IS!$B$2)</f>
        <v>275712.0299462183</v>
      </c>
      <c r="S146" s="180">
        <f>IF($A$1="Peak","-",'Base Hours'!S146*BaseLoad!Y145*IS!$B$2)</f>
        <v>272934.44419842417</v>
      </c>
      <c r="T146" s="180">
        <f>IF($A$1="Peak","-",'Base Hours'!T146*BaseLoad!Z145*IS!$B$2)</f>
        <v>271740.40593548148</v>
      </c>
      <c r="U146" s="180">
        <f>IF($A$1="Peak","-",'Base Hours'!U146*BaseLoad!AA145*IS!$B$2)</f>
        <v>746891.97809228301</v>
      </c>
      <c r="V146" s="180">
        <f t="shared" si="6"/>
        <v>5938547.7484107893</v>
      </c>
      <c r="W146" s="180"/>
      <c r="X146" s="180"/>
      <c r="Y146" s="212"/>
      <c r="Z146" s="212">
        <f>(BaseLoad!C145*'Base Hours'!V146*IS!$B$2)*-1</f>
        <v>-1929838.4343865823</v>
      </c>
      <c r="AA146" s="212"/>
      <c r="AB146" s="212">
        <f>(BaseLoad!D145*'Base Hours'!V146*IS!$B$2)*-1</f>
        <v>-181256.02078343666</v>
      </c>
      <c r="AC146" s="212"/>
      <c r="AD146" s="212">
        <f>(BaseLoad!E145*'Base Hours'!V146*IS!$B$2)*-1</f>
        <v>-1068291.6781029883</v>
      </c>
      <c r="AE146" s="212"/>
      <c r="AF146" s="212">
        <f>(BaseLoad!F145*'Base Hours'!V146*IS!$B$2)*-1</f>
        <v>-116356.15535837652</v>
      </c>
      <c r="AG146" s="212"/>
    </row>
    <row r="147" spans="1:33" x14ac:dyDescent="0.2">
      <c r="A147" s="1">
        <f t="shared" si="5"/>
        <v>40707.129000000175</v>
      </c>
      <c r="B147" s="180">
        <f>IF($A$1="Peak","-",'Base Hours'!B147*BaseLoad!H146*IS!$B$2)</f>
        <v>266001.57281080581</v>
      </c>
      <c r="C147" s="180">
        <f>IF($A$1="Peak","-",'Base Hours'!C147*BaseLoad!I146*IS!$B$2)</f>
        <v>235776.65210845796</v>
      </c>
      <c r="D147" s="180">
        <f>IF($A$1="Peak","-",'Base Hours'!D147*BaseLoad!J146*IS!$B$2)</f>
        <v>424560.64709076786</v>
      </c>
      <c r="E147" s="180">
        <f>IF($A$1="Peak","-",'Base Hours'!E147*BaseLoad!K146*IS!$B$2)</f>
        <v>741838.96805194439</v>
      </c>
      <c r="F147" s="180">
        <f>IF($A$1="Peak","-",'Base Hours'!F147*BaseLoad!L146*IS!$B$2)</f>
        <v>664688.80932200665</v>
      </c>
      <c r="G147" s="180">
        <f>IF($A$1="Peak","-",'Base Hours'!G147*BaseLoad!M146*IS!$B$2)</f>
        <v>739552.34636163642</v>
      </c>
      <c r="H147" s="180">
        <f>IF($A$1="Peak","-",'Base Hours'!H147*BaseLoad!N146*IS!$B$2)</f>
        <v>477825.95453228027</v>
      </c>
      <c r="I147" s="180">
        <f>IF($A$1="Peak","-",'Base Hours'!I147*BaseLoad!O146*IS!$B$2)</f>
        <v>426146.20235068974</v>
      </c>
      <c r="J147" s="180">
        <f>IF($A$1="Peak","-",'Base Hours'!J147*BaseLoad!P146*IS!$B$2)</f>
        <v>413533.42317792738</v>
      </c>
      <c r="K147" s="180">
        <f>IF($A$1="Peak","-",'Base Hours'!K147*BaseLoad!Q146*IS!$B$2)</f>
        <v>349180.75705370377</v>
      </c>
      <c r="L147" s="180">
        <f>IF($A$1="Peak","-",'Base Hours'!L147*BaseLoad!R146*IS!$B$2)</f>
        <v>303112.33720707457</v>
      </c>
      <c r="M147" s="180">
        <f>IF($A$1="Peak","-",'Base Hours'!M147*BaseLoad!S146*IS!$B$2)</f>
        <v>291454.90325050382</v>
      </c>
      <c r="N147" s="180">
        <f>IF($A$1="Peak","-",'Base Hours'!N147*BaseLoad!T146*IS!$B$2)</f>
        <v>282291.31878951844</v>
      </c>
      <c r="O147" s="180">
        <f>IF($A$1="Peak","-",'Base Hours'!O147*BaseLoad!U146*IS!$B$2)</f>
        <v>272579.39076837647</v>
      </c>
      <c r="P147" s="180">
        <f>IF($A$1="Peak","-",'Base Hours'!P147*BaseLoad!V146*IS!$B$2)</f>
        <v>260947.39849971852</v>
      </c>
      <c r="Q147" s="180">
        <f>IF($A$1="Peak","-",'Base Hours'!Q147*BaseLoad!W146*IS!$B$2)</f>
        <v>247487.56160538658</v>
      </c>
      <c r="R147" s="180">
        <f>IF($A$1="Peak","-",'Base Hours'!R147*BaseLoad!X146*IS!$B$2)</f>
        <v>243505.01172283047</v>
      </c>
      <c r="S147" s="180">
        <f>IF($A$1="Peak","-",'Base Hours'!S147*BaseLoad!Y146*IS!$B$2)</f>
        <v>239968.76493747919</v>
      </c>
      <c r="T147" s="180">
        <f>IF($A$1="Peak","-",'Base Hours'!T147*BaseLoad!Z146*IS!$B$2)</f>
        <v>228589.95996946003</v>
      </c>
      <c r="U147" s="180">
        <f>IF($A$1="Peak","-",'Base Hours'!U147*BaseLoad!AA146*IS!$B$2)</f>
        <v>600714.16277464572</v>
      </c>
      <c r="V147" s="180">
        <f t="shared" si="6"/>
        <v>6967917.1743332688</v>
      </c>
      <c r="W147" s="180"/>
      <c r="X147" s="180"/>
      <c r="Y147" s="212"/>
      <c r="Z147" s="212">
        <f>(BaseLoad!C146*'Base Hours'!V147*IS!$B$2)*-1</f>
        <v>-1929838.4343865823</v>
      </c>
      <c r="AA147" s="212"/>
      <c r="AB147" s="212">
        <f>(BaseLoad!D146*'Base Hours'!V147*IS!$B$2)*-1</f>
        <v>-181558.11415140907</v>
      </c>
      <c r="AC147" s="212"/>
      <c r="AD147" s="212">
        <f>(BaseLoad!E146*'Base Hours'!V147*IS!$B$2)*-1</f>
        <v>-1068291.6781029883</v>
      </c>
      <c r="AE147" s="212"/>
      <c r="AF147" s="212">
        <f>(BaseLoad!F146*'Base Hours'!V147*IS!$B$2)*-1</f>
        <v>-116356.15535837652</v>
      </c>
      <c r="AG147" s="212"/>
    </row>
    <row r="148" spans="1:33" x14ac:dyDescent="0.2">
      <c r="A148" s="1">
        <f t="shared" si="5"/>
        <v>40737.546000000177</v>
      </c>
      <c r="B148" s="180">
        <f>IF($A$1="Peak","-",'Base Hours'!B148*BaseLoad!H147*IS!$B$2)</f>
        <v>261106.07592736007</v>
      </c>
      <c r="C148" s="180">
        <f>IF($A$1="Peak","-",'Base Hours'!C148*BaseLoad!I147*IS!$B$2)</f>
        <v>226010.72419491326</v>
      </c>
      <c r="D148" s="180">
        <f>IF($A$1="Peak","-",'Base Hours'!D148*BaseLoad!J147*IS!$B$2)</f>
        <v>403951.65928725206</v>
      </c>
      <c r="E148" s="180">
        <f>IF($A$1="Peak","-",'Base Hours'!E148*BaseLoad!K147*IS!$B$2)</f>
        <v>710101.25964191032</v>
      </c>
      <c r="F148" s="180">
        <f>IF($A$1="Peak","-",'Base Hours'!F148*BaseLoad!L147*IS!$B$2)</f>
        <v>596687.0911896046</v>
      </c>
      <c r="G148" s="180">
        <f>IF($A$1="Peak","-",'Base Hours'!G148*BaseLoad!M147*IS!$B$2)</f>
        <v>918807.29632919829</v>
      </c>
      <c r="H148" s="180">
        <f>IF($A$1="Peak","-",'Base Hours'!H148*BaseLoad!N147*IS!$B$2)</f>
        <v>860690.60810731398</v>
      </c>
      <c r="I148" s="180">
        <f>IF($A$1="Peak","-",'Base Hours'!I148*BaseLoad!O147*IS!$B$2)</f>
        <v>688486.57448091533</v>
      </c>
      <c r="J148" s="180">
        <f>IF($A$1="Peak","-",'Base Hours'!J148*BaseLoad!P147*IS!$B$2)</f>
        <v>527242.63412929128</v>
      </c>
      <c r="K148" s="180">
        <f>IF($A$1="Peak","-",'Base Hours'!K148*BaseLoad!Q147*IS!$B$2)</f>
        <v>470496.82389427436</v>
      </c>
      <c r="L148" s="180">
        <f>IF($A$1="Peak","-",'Base Hours'!L148*BaseLoad!R147*IS!$B$2)</f>
        <v>412006.63753840217</v>
      </c>
      <c r="M148" s="180">
        <f>IF($A$1="Peak","-",'Base Hours'!M148*BaseLoad!S147*IS!$B$2)</f>
        <v>410408.33347189747</v>
      </c>
      <c r="N148" s="180">
        <f>IF($A$1="Peak","-",'Base Hours'!N148*BaseLoad!T147*IS!$B$2)</f>
        <v>410406.45871941349</v>
      </c>
      <c r="O148" s="180">
        <f>IF($A$1="Peak","-",'Base Hours'!O148*BaseLoad!U147*IS!$B$2)</f>
        <v>403889.24791706336</v>
      </c>
      <c r="P148" s="180">
        <f>IF($A$1="Peak","-",'Base Hours'!P148*BaseLoad!V147*IS!$B$2)</f>
        <v>365263.80300284905</v>
      </c>
      <c r="Q148" s="180">
        <f>IF($A$1="Peak","-",'Base Hours'!Q148*BaseLoad!W147*IS!$B$2)</f>
        <v>345335.56308320339</v>
      </c>
      <c r="R148" s="180">
        <f>IF($A$1="Peak","-",'Base Hours'!R148*BaseLoad!X147*IS!$B$2)</f>
        <v>330853.91426871205</v>
      </c>
      <c r="S148" s="180">
        <f>IF($A$1="Peak","-",'Base Hours'!S148*BaseLoad!Y147*IS!$B$2)</f>
        <v>322288.14720934647</v>
      </c>
      <c r="T148" s="180">
        <f>IF($A$1="Peak","-",'Base Hours'!T148*BaseLoad!Z147*IS!$B$2)</f>
        <v>316526.54314437078</v>
      </c>
      <c r="U148" s="180">
        <f>IF($A$1="Peak","-",'Base Hours'!U148*BaseLoad!AA147*IS!$B$2)</f>
        <v>784906.45304123359</v>
      </c>
      <c r="V148" s="180">
        <f t="shared" si="6"/>
        <v>8846658.5522493273</v>
      </c>
      <c r="W148" s="180"/>
      <c r="X148" s="180"/>
      <c r="Y148" s="212"/>
      <c r="Z148" s="212">
        <f>(BaseLoad!C147*'Base Hours'!V148*IS!$B$2)*-1</f>
        <v>-1929838.4343865823</v>
      </c>
      <c r="AA148" s="212"/>
      <c r="AB148" s="212">
        <f>(BaseLoad!D147*'Base Hours'!V148*IS!$B$2)*-1</f>
        <v>-181860.71100832807</v>
      </c>
      <c r="AC148" s="212"/>
      <c r="AD148" s="212">
        <f>(BaseLoad!E147*'Base Hours'!V148*IS!$B$2)*-1</f>
        <v>-1068291.6781029883</v>
      </c>
      <c r="AE148" s="212"/>
      <c r="AF148" s="212">
        <f>(BaseLoad!F147*'Base Hours'!V148*IS!$B$2)*-1</f>
        <v>-116356.15535837652</v>
      </c>
      <c r="AG148" s="212"/>
    </row>
    <row r="149" spans="1:33" x14ac:dyDescent="0.2">
      <c r="A149" s="1">
        <f t="shared" si="5"/>
        <v>40767.963000000178</v>
      </c>
      <c r="B149" s="180">
        <f>IF($A$1="Peak","-",'Base Hours'!B149*BaseLoad!H148*IS!$B$2)</f>
        <v>259135.96577478509</v>
      </c>
      <c r="C149" s="180">
        <f>IF($A$1="Peak","-",'Base Hours'!C149*BaseLoad!I148*IS!$B$2)</f>
        <v>222315.92783948535</v>
      </c>
      <c r="D149" s="180">
        <f>IF($A$1="Peak","-",'Base Hours'!D149*BaseLoad!J148*IS!$B$2)</f>
        <v>400741.07309328223</v>
      </c>
      <c r="E149" s="180">
        <f>IF($A$1="Peak","-",'Base Hours'!E149*BaseLoad!K148*IS!$B$2)</f>
        <v>709950.9174919622</v>
      </c>
      <c r="F149" s="180">
        <f>IF($A$1="Peak","-",'Base Hours'!F149*BaseLoad!L148*IS!$B$2)</f>
        <v>651124.15117254551</v>
      </c>
      <c r="G149" s="180">
        <f>IF($A$1="Peak","-",'Base Hours'!G149*BaseLoad!M148*IS!$B$2)</f>
        <v>1161592.0677627113</v>
      </c>
      <c r="H149" s="180">
        <f>IF($A$1="Peak","-",'Base Hours'!H149*BaseLoad!N148*IS!$B$2)</f>
        <v>739307.72466377891</v>
      </c>
      <c r="I149" s="180">
        <f>IF($A$1="Peak","-",'Base Hours'!I149*BaseLoad!O148*IS!$B$2)</f>
        <v>605634.85704510473</v>
      </c>
      <c r="J149" s="180">
        <f>IF($A$1="Peak","-",'Base Hours'!J149*BaseLoad!P148*IS!$B$2)</f>
        <v>570231.71509966464</v>
      </c>
      <c r="K149" s="180">
        <f>IF($A$1="Peak","-",'Base Hours'!K149*BaseLoad!Q148*IS!$B$2)</f>
        <v>558182.60602392664</v>
      </c>
      <c r="L149" s="180">
        <f>IF($A$1="Peak","-",'Base Hours'!L149*BaseLoad!R148*IS!$B$2)</f>
        <v>555338.29349790351</v>
      </c>
      <c r="M149" s="180">
        <f>IF($A$1="Peak","-",'Base Hours'!M149*BaseLoad!S148*IS!$B$2)</f>
        <v>538112.90352164209</v>
      </c>
      <c r="N149" s="180">
        <f>IF($A$1="Peak","-",'Base Hours'!N149*BaseLoad!T148*IS!$B$2)</f>
        <v>424083.02805573418</v>
      </c>
      <c r="O149" s="180">
        <f>IF($A$1="Peak","-",'Base Hours'!O149*BaseLoad!U148*IS!$B$2)</f>
        <v>392717.52327185642</v>
      </c>
      <c r="P149" s="180">
        <f>IF($A$1="Peak","-",'Base Hours'!P149*BaseLoad!V148*IS!$B$2)</f>
        <v>376509.15557414864</v>
      </c>
      <c r="Q149" s="180">
        <f>IF($A$1="Peak","-",'Base Hours'!Q149*BaseLoad!W148*IS!$B$2)</f>
        <v>361611.57106326352</v>
      </c>
      <c r="R149" s="180">
        <f>IF($A$1="Peak","-",'Base Hours'!R149*BaseLoad!X148*IS!$B$2)</f>
        <v>354028.22257466032</v>
      </c>
      <c r="S149" s="180">
        <f>IF($A$1="Peak","-",'Base Hours'!S149*BaseLoad!Y148*IS!$B$2)</f>
        <v>333431.55888615095</v>
      </c>
      <c r="T149" s="180">
        <f>IF($A$1="Peak","-",'Base Hours'!T149*BaseLoad!Z148*IS!$B$2)</f>
        <v>306881.08507730672</v>
      </c>
      <c r="U149" s="180">
        <f>IF($A$1="Peak","-",'Base Hours'!U149*BaseLoad!AA148*IS!$B$2)</f>
        <v>776209.68745107716</v>
      </c>
      <c r="V149" s="180">
        <f t="shared" si="6"/>
        <v>9135547.9671782795</v>
      </c>
      <c r="W149" s="180"/>
      <c r="X149" s="180"/>
      <c r="Y149" s="212"/>
      <c r="Z149" s="212">
        <f>(BaseLoad!C148*'Base Hours'!V149*IS!$B$2)*-1</f>
        <v>-1929838.4343865823</v>
      </c>
      <c r="AA149" s="212"/>
      <c r="AB149" s="212">
        <f>(BaseLoad!D148*'Base Hours'!V149*IS!$B$2)*-1</f>
        <v>-182163.81219334196</v>
      </c>
      <c r="AC149" s="212"/>
      <c r="AD149" s="212">
        <f>(BaseLoad!E148*'Base Hours'!V149*IS!$B$2)*-1</f>
        <v>-1068291.6781029883</v>
      </c>
      <c r="AE149" s="212"/>
      <c r="AF149" s="212">
        <f>(BaseLoad!F148*'Base Hours'!V149*IS!$B$2)*-1</f>
        <v>-116356.15535837652</v>
      </c>
      <c r="AG149" s="212"/>
    </row>
    <row r="150" spans="1:33" x14ac:dyDescent="0.2">
      <c r="A150" s="1">
        <f t="shared" si="5"/>
        <v>40798.380000000179</v>
      </c>
      <c r="B150" s="180">
        <f>IF($A$1="Peak","-",'Base Hours'!B150*BaseLoad!H149*IS!$B$2)</f>
        <v>173940.77345142476</v>
      </c>
      <c r="C150" s="180">
        <f>IF($A$1="Peak","-",'Base Hours'!C150*BaseLoad!I149*IS!$B$2)</f>
        <v>117397.67921941582</v>
      </c>
      <c r="D150" s="180">
        <f>IF($A$1="Peak","-",'Base Hours'!D150*BaseLoad!J149*IS!$B$2)</f>
        <v>183254.63640731029</v>
      </c>
      <c r="E150" s="180">
        <f>IF($A$1="Peak","-",'Base Hours'!E150*BaseLoad!K149*IS!$B$2)</f>
        <v>335338.73953625263</v>
      </c>
      <c r="F150" s="180">
        <f>IF($A$1="Peak","-",'Base Hours'!F150*BaseLoad!L149*IS!$B$2)</f>
        <v>311060.15277766023</v>
      </c>
      <c r="G150" s="180">
        <f>IF($A$1="Peak","-",'Base Hours'!G150*BaseLoad!M149*IS!$B$2)</f>
        <v>608179.29945134884</v>
      </c>
      <c r="H150" s="180">
        <f>IF($A$1="Peak","-",'Base Hours'!H150*BaseLoad!N149*IS!$B$2)</f>
        <v>497495.64321094827</v>
      </c>
      <c r="I150" s="180">
        <f>IF($A$1="Peak","-",'Base Hours'!I150*BaseLoad!O149*IS!$B$2)</f>
        <v>431612.00148410856</v>
      </c>
      <c r="J150" s="180">
        <f>IF($A$1="Peak","-",'Base Hours'!J150*BaseLoad!P149*IS!$B$2)</f>
        <v>407184.57592049584</v>
      </c>
      <c r="K150" s="180">
        <f>IF($A$1="Peak","-",'Base Hours'!K150*BaseLoad!Q149*IS!$B$2)</f>
        <v>383848.90813683049</v>
      </c>
      <c r="L150" s="180">
        <f>IF($A$1="Peak","-",'Base Hours'!L150*BaseLoad!R149*IS!$B$2)</f>
        <v>368418.20713972702</v>
      </c>
      <c r="M150" s="180">
        <f>IF($A$1="Peak","-",'Base Hours'!M150*BaseLoad!S149*IS!$B$2)</f>
        <v>355047.10386558063</v>
      </c>
      <c r="N150" s="180">
        <f>IF($A$1="Peak","-",'Base Hours'!N150*BaseLoad!T149*IS!$B$2)</f>
        <v>350801.42690386227</v>
      </c>
      <c r="O150" s="180">
        <f>IF($A$1="Peak","-",'Base Hours'!O150*BaseLoad!U149*IS!$B$2)</f>
        <v>338948.63640426315</v>
      </c>
      <c r="P150" s="180">
        <f>IF($A$1="Peak","-",'Base Hours'!P150*BaseLoad!V149*IS!$B$2)</f>
        <v>313099.79110378906</v>
      </c>
      <c r="Q150" s="180">
        <f>IF($A$1="Peak","-",'Base Hours'!Q150*BaseLoad!W149*IS!$B$2)</f>
        <v>306530.28075131611</v>
      </c>
      <c r="R150" s="180">
        <f>IF($A$1="Peak","-",'Base Hours'!R150*BaseLoad!X149*IS!$B$2)</f>
        <v>303403.36765770259</v>
      </c>
      <c r="S150" s="180">
        <f>IF($A$1="Peak","-",'Base Hours'!S150*BaseLoad!Y149*IS!$B$2)</f>
        <v>303403.36765770259</v>
      </c>
      <c r="T150" s="180">
        <f>IF($A$1="Peak","-",'Base Hours'!T150*BaseLoad!Z149*IS!$B$2)</f>
        <v>303403.36765770259</v>
      </c>
      <c r="U150" s="180">
        <f>IF($A$1="Peak","-",'Base Hours'!U150*BaseLoad!AA149*IS!$B$2)</f>
        <v>829241.95392326778</v>
      </c>
      <c r="V150" s="180">
        <f t="shared" si="6"/>
        <v>6392367.9587374404</v>
      </c>
      <c r="W150" s="180"/>
      <c r="X150" s="180"/>
      <c r="Y150" s="212"/>
      <c r="Z150" s="212">
        <f>(BaseLoad!C149*'Base Hours'!V150*IS!$B$2)*-1</f>
        <v>-1929838.4343865823</v>
      </c>
      <c r="AA150" s="212"/>
      <c r="AB150" s="212">
        <f>(BaseLoad!D149*'Base Hours'!V150*IS!$B$2)*-1</f>
        <v>-182467.41854699756</v>
      </c>
      <c r="AC150" s="212"/>
      <c r="AD150" s="212">
        <f>(BaseLoad!E149*'Base Hours'!V150*IS!$B$2)*-1</f>
        <v>-1068291.6781029883</v>
      </c>
      <c r="AE150" s="212"/>
      <c r="AF150" s="212">
        <f>(BaseLoad!F149*'Base Hours'!V150*IS!$B$2)*-1</f>
        <v>-116356.15535837652</v>
      </c>
      <c r="AG150" s="212"/>
    </row>
    <row r="151" spans="1:33" x14ac:dyDescent="0.2">
      <c r="A151" s="1">
        <f t="shared" si="5"/>
        <v>40828.797000000181</v>
      </c>
      <c r="B151" s="180">
        <f>IF($A$1="Peak","-",'Base Hours'!B151*BaseLoad!H150*IS!$B$2)</f>
        <v>91832.182593719452</v>
      </c>
      <c r="C151" s="180">
        <f>IF($A$1="Peak","-",'Base Hours'!C151*BaseLoad!I150*IS!$B$2)</f>
        <v>90130.042110694776</v>
      </c>
      <c r="D151" s="180">
        <f>IF($A$1="Peak","-",'Base Hours'!D151*BaseLoad!J150*IS!$B$2)</f>
        <v>175915.30418291889</v>
      </c>
      <c r="E151" s="180">
        <f>IF($A$1="Peak","-",'Base Hours'!E151*BaseLoad!K150*IS!$B$2)</f>
        <v>330754.20187349833</v>
      </c>
      <c r="F151" s="180">
        <f>IF($A$1="Peak","-",'Base Hours'!F151*BaseLoad!L150*IS!$B$2)</f>
        <v>319524.66921266547</v>
      </c>
      <c r="G151" s="180">
        <f>IF($A$1="Peak","-",'Base Hours'!G151*BaseLoad!M150*IS!$B$2)</f>
        <v>630607.70823083248</v>
      </c>
      <c r="H151" s="180">
        <f>IF($A$1="Peak","-",'Base Hours'!H151*BaseLoad!N150*IS!$B$2)</f>
        <v>476696.91182056617</v>
      </c>
      <c r="I151" s="180">
        <f>IF($A$1="Peak","-",'Base Hours'!I151*BaseLoad!O150*IS!$B$2)</f>
        <v>446221.0744185638</v>
      </c>
      <c r="J151" s="180">
        <f>IF($A$1="Peak","-",'Base Hours'!J151*BaseLoad!P150*IS!$B$2)</f>
        <v>404602.74673759053</v>
      </c>
      <c r="K151" s="180">
        <f>IF($A$1="Peak","-",'Base Hours'!K151*BaseLoad!Q150*IS!$B$2)</f>
        <v>343150.58848577994</v>
      </c>
      <c r="L151" s="180">
        <f>IF($A$1="Peak","-",'Base Hours'!L151*BaseLoad!R150*IS!$B$2)</f>
        <v>321947.13788152975</v>
      </c>
      <c r="M151" s="180">
        <f>IF($A$1="Peak","-",'Base Hours'!M151*BaseLoad!S150*IS!$B$2)</f>
        <v>317656.85524515976</v>
      </c>
      <c r="N151" s="180">
        <f>IF($A$1="Peak","-",'Base Hours'!N151*BaseLoad!T150*IS!$B$2)</f>
        <v>315703.54650767171</v>
      </c>
      <c r="O151" s="180">
        <f>IF($A$1="Peak","-",'Base Hours'!O151*BaseLoad!U150*IS!$B$2)</f>
        <v>313692.18425371533</v>
      </c>
      <c r="P151" s="180">
        <f>IF($A$1="Peak","-",'Base Hours'!P151*BaseLoad!V150*IS!$B$2)</f>
        <v>312609.83667460433</v>
      </c>
      <c r="Q151" s="180">
        <f>IF($A$1="Peak","-",'Base Hours'!Q151*BaseLoad!W150*IS!$B$2)</f>
        <v>310142.09075764503</v>
      </c>
      <c r="R151" s="180">
        <f>IF($A$1="Peak","-",'Base Hours'!R151*BaseLoad!X150*IS!$B$2)</f>
        <v>310121.27831051481</v>
      </c>
      <c r="S151" s="180">
        <f>IF($A$1="Peak","-",'Base Hours'!S151*BaseLoad!Y150*IS!$B$2)</f>
        <v>310121.27831051481</v>
      </c>
      <c r="T151" s="180">
        <f>IF($A$1="Peak","-",'Base Hours'!T151*BaseLoad!Z150*IS!$B$2)</f>
        <v>310121.27831051481</v>
      </c>
      <c r="U151" s="180">
        <f>IF($A$1="Peak","-",'Base Hours'!U151*BaseLoad!AA150*IS!$B$2)</f>
        <v>798915.42529560009</v>
      </c>
      <c r="V151" s="180">
        <f t="shared" si="6"/>
        <v>6131550.9159187004</v>
      </c>
      <c r="W151" s="180"/>
      <c r="X151" s="180"/>
      <c r="Y151" s="212"/>
      <c r="Z151" s="212">
        <f>(BaseLoad!C150*'Base Hours'!V151*IS!$B$2)*-1</f>
        <v>-1929838.4343865823</v>
      </c>
      <c r="AA151" s="212"/>
      <c r="AB151" s="212">
        <f>(BaseLoad!D150*'Base Hours'!V151*IS!$B$2)*-1</f>
        <v>-182771.53091124256</v>
      </c>
      <c r="AC151" s="212"/>
      <c r="AD151" s="212">
        <f>(BaseLoad!E150*'Base Hours'!V151*IS!$B$2)*-1</f>
        <v>-1068291.6781029883</v>
      </c>
      <c r="AE151" s="212"/>
      <c r="AF151" s="212">
        <f>(BaseLoad!F150*'Base Hours'!V151*IS!$B$2)*-1</f>
        <v>-116356.15535837652</v>
      </c>
      <c r="AG151" s="212"/>
    </row>
    <row r="152" spans="1:33" x14ac:dyDescent="0.2">
      <c r="A152" s="1">
        <f t="shared" si="5"/>
        <v>40859.214000000182</v>
      </c>
      <c r="B152" s="180">
        <f>IF($A$1="Peak","-",'Base Hours'!B152*BaseLoad!H151*IS!$B$2)</f>
        <v>174625.13531720659</v>
      </c>
      <c r="C152" s="180">
        <f>IF($A$1="Peak","-",'Base Hours'!C152*BaseLoad!I151*IS!$B$2)</f>
        <v>169075.67095299906</v>
      </c>
      <c r="D152" s="180">
        <f>IF($A$1="Peak","-",'Base Hours'!D152*BaseLoad!J151*IS!$B$2)</f>
        <v>214449.03514972833</v>
      </c>
      <c r="E152" s="180">
        <f>IF($A$1="Peak","-",'Base Hours'!E152*BaseLoad!K151*IS!$B$2)</f>
        <v>367587.44204204174</v>
      </c>
      <c r="F152" s="180">
        <f>IF($A$1="Peak","-",'Base Hours'!F152*BaseLoad!L151*IS!$B$2)</f>
        <v>311595.91995149862</v>
      </c>
      <c r="G152" s="180">
        <f>IF($A$1="Peak","-",'Base Hours'!G152*BaseLoad!M151*IS!$B$2)</f>
        <v>589096.07144055667</v>
      </c>
      <c r="H152" s="180">
        <f>IF($A$1="Peak","-",'Base Hours'!H152*BaseLoad!N151*IS!$B$2)</f>
        <v>550149.84748758492</v>
      </c>
      <c r="I152" s="180">
        <f>IF($A$1="Peak","-",'Base Hours'!I152*BaseLoad!O151*IS!$B$2)</f>
        <v>535770.35410559608</v>
      </c>
      <c r="J152" s="180">
        <f>IF($A$1="Peak","-",'Base Hours'!J152*BaseLoad!P151*IS!$B$2)</f>
        <v>524081.80621603638</v>
      </c>
      <c r="K152" s="180">
        <f>IF($A$1="Peak","-",'Base Hours'!K152*BaseLoad!Q151*IS!$B$2)</f>
        <v>430085.8941253621</v>
      </c>
      <c r="L152" s="180">
        <f>IF($A$1="Peak","-",'Base Hours'!L152*BaseLoad!R151*IS!$B$2)</f>
        <v>382252.62677266274</v>
      </c>
      <c r="M152" s="180">
        <f>IF($A$1="Peak","-",'Base Hours'!M152*BaseLoad!S151*IS!$B$2)</f>
        <v>376127.98475829692</v>
      </c>
      <c r="N152" s="180">
        <f>IF($A$1="Peak","-",'Base Hours'!N152*BaseLoad!T151*IS!$B$2)</f>
        <v>373086.10077548871</v>
      </c>
      <c r="O152" s="180">
        <f>IF($A$1="Peak","-",'Base Hours'!O152*BaseLoad!U151*IS!$B$2)</f>
        <v>363014.51872229192</v>
      </c>
      <c r="P152" s="180">
        <f>IF($A$1="Peak","-",'Base Hours'!P152*BaseLoad!V151*IS!$B$2)</f>
        <v>350871.23563814821</v>
      </c>
      <c r="Q152" s="180">
        <f>IF($A$1="Peak","-",'Base Hours'!Q152*BaseLoad!W151*IS!$B$2)</f>
        <v>336970.06184288196</v>
      </c>
      <c r="R152" s="180">
        <f>IF($A$1="Peak","-",'Base Hours'!R152*BaseLoad!X151*IS!$B$2)</f>
        <v>318065.06168776902</v>
      </c>
      <c r="S152" s="180">
        <f>IF($A$1="Peak","-",'Base Hours'!S152*BaseLoad!Y151*IS!$B$2)</f>
        <v>290499.04917456425</v>
      </c>
      <c r="T152" s="180">
        <f>IF($A$1="Peak","-",'Base Hours'!T152*BaseLoad!Z151*IS!$B$2)</f>
        <v>273379.10417584085</v>
      </c>
      <c r="U152" s="180">
        <f>IF($A$1="Peak","-",'Base Hours'!U152*BaseLoad!AA151*IS!$B$2)</f>
        <v>734416.41553785955</v>
      </c>
      <c r="V152" s="180">
        <f t="shared" si="6"/>
        <v>6930782.9203365548</v>
      </c>
      <c r="W152" s="180"/>
      <c r="X152" s="180"/>
      <c r="Y152" s="212"/>
      <c r="Z152" s="212">
        <f>(BaseLoad!C151*'Base Hours'!V152*IS!$B$2)*-1</f>
        <v>-1929838.4343865823</v>
      </c>
      <c r="AA152" s="212"/>
      <c r="AB152" s="212">
        <f>(BaseLoad!D151*'Base Hours'!V152*IS!$B$2)*-1</f>
        <v>-183076.15012942796</v>
      </c>
      <c r="AC152" s="212"/>
      <c r="AD152" s="212">
        <f>(BaseLoad!E151*'Base Hours'!V152*IS!$B$2)*-1</f>
        <v>-1068291.6781029883</v>
      </c>
      <c r="AE152" s="212"/>
      <c r="AF152" s="212">
        <f>(BaseLoad!F151*'Base Hours'!V152*IS!$B$2)*-1</f>
        <v>-116356.15535837652</v>
      </c>
      <c r="AG152" s="212"/>
    </row>
    <row r="153" spans="1:33" x14ac:dyDescent="0.2">
      <c r="A153" s="1">
        <f t="shared" si="5"/>
        <v>40889.631000000183</v>
      </c>
      <c r="B153" s="180">
        <f>IF($A$1="Peak","-",'Base Hours'!B153*BaseLoad!H152*IS!$B$2)</f>
        <v>114174.86525239494</v>
      </c>
      <c r="C153" s="180">
        <f>IF($A$1="Peak","-",'Base Hours'!C153*BaseLoad!I152*IS!$B$2)</f>
        <v>108183.3677216958</v>
      </c>
      <c r="D153" s="180">
        <f>IF($A$1="Peak","-",'Base Hours'!D153*BaseLoad!J152*IS!$B$2)</f>
        <v>209235.88584767317</v>
      </c>
      <c r="E153" s="180">
        <f>IF($A$1="Peak","-",'Base Hours'!E153*BaseLoad!K152*IS!$B$2)</f>
        <v>390832.4245645958</v>
      </c>
      <c r="F153" s="180">
        <f>IF($A$1="Peak","-",'Base Hours'!F153*BaseLoad!L152*IS!$B$2)</f>
        <v>383800.8710094915</v>
      </c>
      <c r="G153" s="180">
        <f>IF($A$1="Peak","-",'Base Hours'!G153*BaseLoad!M152*IS!$B$2)</f>
        <v>754185.4993308594</v>
      </c>
      <c r="H153" s="180">
        <f>IF($A$1="Peak","-",'Base Hours'!H153*BaseLoad!N152*IS!$B$2)</f>
        <v>610324.53274378623</v>
      </c>
      <c r="I153" s="180">
        <f>IF($A$1="Peak","-",'Base Hours'!I153*BaseLoad!O152*IS!$B$2)</f>
        <v>520564.50683133339</v>
      </c>
      <c r="J153" s="180">
        <f>IF($A$1="Peak","-",'Base Hours'!J153*BaseLoad!P152*IS!$B$2)</f>
        <v>441492.05935679807</v>
      </c>
      <c r="K153" s="180">
        <f>IF($A$1="Peak","-",'Base Hours'!K153*BaseLoad!Q152*IS!$B$2)</f>
        <v>430553.36094473337</v>
      </c>
      <c r="L153" s="180">
        <f>IF($A$1="Peak","-",'Base Hours'!L153*BaseLoad!R152*IS!$B$2)</f>
        <v>410923.04306309973</v>
      </c>
      <c r="M153" s="180">
        <f>IF($A$1="Peak","-",'Base Hours'!M153*BaseLoad!S152*IS!$B$2)</f>
        <v>380504.13711286255</v>
      </c>
      <c r="N153" s="180">
        <f>IF($A$1="Peak","-",'Base Hours'!N153*BaseLoad!T152*IS!$B$2)</f>
        <v>373699.57935618493</v>
      </c>
      <c r="O153" s="180">
        <f>IF($A$1="Peak","-",'Base Hours'!O153*BaseLoad!U152*IS!$B$2)</f>
        <v>372372.21874661103</v>
      </c>
      <c r="P153" s="180">
        <f>IF($A$1="Peak","-",'Base Hours'!P153*BaseLoad!V152*IS!$B$2)</f>
        <v>371269.14914467232</v>
      </c>
      <c r="Q153" s="180">
        <f>IF($A$1="Peak","-",'Base Hours'!Q153*BaseLoad!W152*IS!$B$2)</f>
        <v>368210.83733448439</v>
      </c>
      <c r="R153" s="180">
        <f>IF($A$1="Peak","-",'Base Hours'!R153*BaseLoad!X152*IS!$B$2)</f>
        <v>366224.39700408612</v>
      </c>
      <c r="S153" s="180">
        <f>IF($A$1="Peak","-",'Base Hours'!S153*BaseLoad!Y152*IS!$B$2)</f>
        <v>366224.39700408612</v>
      </c>
      <c r="T153" s="180">
        <f>IF($A$1="Peak","-",'Base Hours'!T153*BaseLoad!Z152*IS!$B$2)</f>
        <v>366224.39700408612</v>
      </c>
      <c r="U153" s="180">
        <f>IF($A$1="Peak","-",'Base Hours'!U153*BaseLoad!AA152*IS!$B$2)</f>
        <v>964272.42017800512</v>
      </c>
      <c r="V153" s="180">
        <f t="shared" si="6"/>
        <v>7338999.5293735368</v>
      </c>
      <c r="W153" s="180"/>
      <c r="X153" s="180"/>
      <c r="Y153" s="212">
        <f>SUM(B142:U153)</f>
        <v>96147458.275171414</v>
      </c>
      <c r="Z153" s="212">
        <f>(BaseLoad!C152*'Base Hours'!V153*IS!$B$2)*-1</f>
        <v>-1929838.4343865823</v>
      </c>
      <c r="AA153" s="212">
        <f>SUM(Z142:Z153)</f>
        <v>-23158061.212638985</v>
      </c>
      <c r="AB153" s="212">
        <f>(BaseLoad!D152*'Base Hours'!V153*IS!$B$2)*-1</f>
        <v>-183381.2770463104</v>
      </c>
      <c r="AC153" s="212">
        <f>SUM(AB142:AB153)</f>
        <v>-2180548.224711386</v>
      </c>
      <c r="AD153" s="212">
        <f>(BaseLoad!E152*'Base Hours'!V153*IS!$B$2)*-1</f>
        <v>-1068291.6781029883</v>
      </c>
      <c r="AE153" s="212">
        <f>SUM(AD142:AD153)</f>
        <v>-12819500.137235863</v>
      </c>
      <c r="AF153" s="212">
        <f>(BaseLoad!F152*'Base Hours'!V153*IS!$B$2)*-1</f>
        <v>-116356.15535837652</v>
      </c>
      <c r="AG153" s="212">
        <f>SUM(AF142:AF153)</f>
        <v>-1396273.8643005183</v>
      </c>
    </row>
    <row r="154" spans="1:33" x14ac:dyDescent="0.2">
      <c r="A154" s="1">
        <f t="shared" si="5"/>
        <v>40920.048000000184</v>
      </c>
      <c r="B154" s="180">
        <f>IF($A$1="Peak","-",'Base Hours'!B154*BaseLoad!H153*IS!$B$2)</f>
        <v>115430.58803728124</v>
      </c>
      <c r="C154" s="180">
        <f>IF($A$1="Peak","-",'Base Hours'!C154*BaseLoad!I153*IS!$B$2)</f>
        <v>112132.52540449983</v>
      </c>
      <c r="D154" s="180">
        <f>IF($A$1="Peak","-",'Base Hours'!D154*BaseLoad!J153*IS!$B$2)</f>
        <v>224234.44332172457</v>
      </c>
      <c r="E154" s="180">
        <f>IF($A$1="Peak","-",'Base Hours'!E154*BaseLoad!K153*IS!$B$2)</f>
        <v>438196.52326924162</v>
      </c>
      <c r="F154" s="180">
        <f>IF($A$1="Peak","-",'Base Hours'!F154*BaseLoad!L153*IS!$B$2)</f>
        <v>372410.10998359491</v>
      </c>
      <c r="G154" s="180">
        <f>IF($A$1="Peak","-",'Base Hours'!G154*BaseLoad!M153*IS!$B$2)</f>
        <v>581980.97590155725</v>
      </c>
      <c r="H154" s="180">
        <f>IF($A$1="Peak","-",'Base Hours'!H154*BaseLoad!N153*IS!$B$2)</f>
        <v>499532.57762095489</v>
      </c>
      <c r="I154" s="180">
        <f>IF($A$1="Peak","-",'Base Hours'!I154*BaseLoad!O153*IS!$B$2)</f>
        <v>452681.14045337064</v>
      </c>
      <c r="J154" s="180">
        <f>IF($A$1="Peak","-",'Base Hours'!J154*BaseLoad!P153*IS!$B$2)</f>
        <v>431289.60254140588</v>
      </c>
      <c r="K154" s="180">
        <f>IF($A$1="Peak","-",'Base Hours'!K154*BaseLoad!Q153*IS!$B$2)</f>
        <v>431289.60254140588</v>
      </c>
      <c r="L154" s="180">
        <f>IF($A$1="Peak","-",'Base Hours'!L154*BaseLoad!R153*IS!$B$2)</f>
        <v>431289.60254140588</v>
      </c>
      <c r="M154" s="180">
        <f>IF($A$1="Peak","-",'Base Hours'!M154*BaseLoad!S153*IS!$B$2)</f>
        <v>431289.60254140588</v>
      </c>
      <c r="N154" s="180">
        <f>IF($A$1="Peak","-",'Base Hours'!N154*BaseLoad!T153*IS!$B$2)</f>
        <v>429678.22019461682</v>
      </c>
      <c r="O154" s="180">
        <f>IF($A$1="Peak","-",'Base Hours'!O154*BaseLoad!U153*IS!$B$2)</f>
        <v>427641.59006057744</v>
      </c>
      <c r="P154" s="180">
        <f>IF($A$1="Peak","-",'Base Hours'!P154*BaseLoad!V153*IS!$B$2)</f>
        <v>427641.59006057744</v>
      </c>
      <c r="Q154" s="180">
        <f>IF($A$1="Peak","-",'Base Hours'!Q154*BaseLoad!W153*IS!$B$2)</f>
        <v>427641.59006057744</v>
      </c>
      <c r="R154" s="180">
        <f>IF($A$1="Peak","-",'Base Hours'!R154*BaseLoad!X153*IS!$B$2)</f>
        <v>427099.17069273267</v>
      </c>
      <c r="S154" s="180">
        <f>IF($A$1="Peak","-",'Base Hours'!S154*BaseLoad!Y153*IS!$B$2)</f>
        <v>384969.12605387525</v>
      </c>
      <c r="T154" s="180">
        <f>IF($A$1="Peak","-",'Base Hours'!T154*BaseLoad!Z153*IS!$B$2)</f>
        <v>348690.41836173629</v>
      </c>
      <c r="U154" s="180">
        <f>IF($A$1="Peak","-",'Base Hours'!U154*BaseLoad!AA153*IS!$B$2)</f>
        <v>882887.18029290834</v>
      </c>
      <c r="V154" s="180">
        <f t="shared" si="6"/>
        <v>7395118.9996425426</v>
      </c>
      <c r="W154" s="180"/>
      <c r="X154" s="180"/>
      <c r="Y154" s="212"/>
      <c r="Z154" s="212">
        <f>(BaseLoad!C153*'Base Hours'!V154*IS!$B$2)*-1</f>
        <v>-1940482.1486058803</v>
      </c>
      <c r="AA154" s="212"/>
      <c r="AB154" s="212">
        <f>(BaseLoad!D153*'Base Hours'!V154*IS!$B$2)*-1</f>
        <v>-183686.91250805426</v>
      </c>
      <c r="AC154" s="212"/>
      <c r="AD154" s="212">
        <f>(BaseLoad!E153*'Base Hours'!V154*IS!$B$2)*-1</f>
        <v>-1183635.1509850933</v>
      </c>
      <c r="AE154" s="212"/>
      <c r="AF154" s="212">
        <f>(BaseLoad!F153*'Base Hours'!V154*IS!$B$2)*-1</f>
        <v>-119373.37192508664</v>
      </c>
      <c r="AG154" s="212"/>
    </row>
    <row r="155" spans="1:33" x14ac:dyDescent="0.2">
      <c r="A155" s="1">
        <f t="shared" si="5"/>
        <v>40950.465000000186</v>
      </c>
      <c r="B155" s="180">
        <f>IF($A$1="Peak","-",'Base Hours'!B155*BaseLoad!H154*IS!$B$2)</f>
        <v>132377.42173984321</v>
      </c>
      <c r="C155" s="180">
        <f>IF($A$1="Peak","-",'Base Hours'!C155*BaseLoad!I154*IS!$B$2)</f>
        <v>116278.77567424861</v>
      </c>
      <c r="D155" s="180">
        <f>IF($A$1="Peak","-",'Base Hours'!D155*BaseLoad!J154*IS!$B$2)</f>
        <v>221849.98498997471</v>
      </c>
      <c r="E155" s="180">
        <f>IF($A$1="Peak","-",'Base Hours'!E155*BaseLoad!K154*IS!$B$2)</f>
        <v>413190.6549254675</v>
      </c>
      <c r="F155" s="180">
        <f>IF($A$1="Peak","-",'Base Hours'!F155*BaseLoad!L154*IS!$B$2)</f>
        <v>388311.93697678566</v>
      </c>
      <c r="G155" s="180">
        <f>IF($A$1="Peak","-",'Base Hours'!G155*BaseLoad!M154*IS!$B$2)</f>
        <v>770571.66035507561</v>
      </c>
      <c r="H155" s="180">
        <f>IF($A$1="Peak","-",'Base Hours'!H155*BaseLoad!N154*IS!$B$2)</f>
        <v>677062.551173424</v>
      </c>
      <c r="I155" s="180">
        <f>IF($A$1="Peak","-",'Base Hours'!I155*BaseLoad!O154*IS!$B$2)</f>
        <v>525030.20511431363</v>
      </c>
      <c r="J155" s="180">
        <f>IF($A$1="Peak","-",'Base Hours'!J155*BaseLoad!P154*IS!$B$2)</f>
        <v>435728.15075238934</v>
      </c>
      <c r="K155" s="180">
        <f>IF($A$1="Peak","-",'Base Hours'!K155*BaseLoad!Q154*IS!$B$2)</f>
        <v>414486.52122442343</v>
      </c>
      <c r="L155" s="180">
        <f>IF($A$1="Peak","-",'Base Hours'!L155*BaseLoad!R154*IS!$B$2)</f>
        <v>378864.18792554596</v>
      </c>
      <c r="M155" s="180">
        <f>IF($A$1="Peak","-",'Base Hours'!M155*BaseLoad!S154*IS!$B$2)</f>
        <v>375561.31476921792</v>
      </c>
      <c r="N155" s="180">
        <f>IF($A$1="Peak","-",'Base Hours'!N155*BaseLoad!T154*IS!$B$2)</f>
        <v>373765.11263122753</v>
      </c>
      <c r="O155" s="180">
        <f>IF($A$1="Peak","-",'Base Hours'!O155*BaseLoad!U154*IS!$B$2)</f>
        <v>371556.67322423868</v>
      </c>
      <c r="P155" s="180">
        <f>IF($A$1="Peak","-",'Base Hours'!P155*BaseLoad!V154*IS!$B$2)</f>
        <v>370652.75944180728</v>
      </c>
      <c r="Q155" s="180">
        <f>IF($A$1="Peak","-",'Base Hours'!Q155*BaseLoad!W154*IS!$B$2)</f>
        <v>370652.14117072464</v>
      </c>
      <c r="R155" s="180">
        <f>IF($A$1="Peak","-",'Base Hours'!R155*BaseLoad!X154*IS!$B$2)</f>
        <v>351490.98843312089</v>
      </c>
      <c r="S155" s="180">
        <f>IF($A$1="Peak","-",'Base Hours'!S155*BaseLoad!Y154*IS!$B$2)</f>
        <v>318765.38683908124</v>
      </c>
      <c r="T155" s="180">
        <f>IF($A$1="Peak","-",'Base Hours'!T155*BaseLoad!Z154*IS!$B$2)</f>
        <v>303248.34696264676</v>
      </c>
      <c r="U155" s="180">
        <f>IF($A$1="Peak","-",'Base Hours'!U155*BaseLoad!AA154*IS!$B$2)</f>
        <v>775213.77326934575</v>
      </c>
      <c r="V155" s="180">
        <f t="shared" si="6"/>
        <v>7309444.7743235556</v>
      </c>
      <c r="W155" s="180"/>
      <c r="X155" s="180"/>
      <c r="Y155" s="212"/>
      <c r="Z155" s="212">
        <f>(BaseLoad!C154*'Base Hours'!V155*IS!$B$2)*-1</f>
        <v>-1940482.1486058803</v>
      </c>
      <c r="AA155" s="212"/>
      <c r="AB155" s="212">
        <f>(BaseLoad!D154*'Base Hours'!V155*IS!$B$2)*-1</f>
        <v>-183993.05736223437</v>
      </c>
      <c r="AC155" s="212"/>
      <c r="AD155" s="212">
        <f>(BaseLoad!E154*'Base Hours'!V155*IS!$B$2)*-1</f>
        <v>-1183635.1509850933</v>
      </c>
      <c r="AE155" s="212"/>
      <c r="AF155" s="212">
        <f>(BaseLoad!F154*'Base Hours'!V155*IS!$B$2)*-1</f>
        <v>-119373.37192508664</v>
      </c>
      <c r="AG155" s="212"/>
    </row>
    <row r="156" spans="1:33" x14ac:dyDescent="0.2">
      <c r="A156" s="1">
        <f t="shared" si="5"/>
        <v>40980.882000000187</v>
      </c>
      <c r="B156" s="180">
        <f>IF($A$1="Peak","-",'Base Hours'!B156*BaseLoad!H155*IS!$B$2)</f>
        <v>120287.96403022272</v>
      </c>
      <c r="C156" s="180">
        <f>IF($A$1="Peak","-",'Base Hours'!C156*BaseLoad!I155*IS!$B$2)</f>
        <v>106421.36911387669</v>
      </c>
      <c r="D156" s="180">
        <f>IF($A$1="Peak","-",'Base Hours'!D156*BaseLoad!J155*IS!$B$2)</f>
        <v>203052.66971128969</v>
      </c>
      <c r="E156" s="180">
        <f>IF($A$1="Peak","-",'Base Hours'!E156*BaseLoad!K155*IS!$B$2)</f>
        <v>379392.01210793183</v>
      </c>
      <c r="F156" s="180">
        <f>IF($A$1="Peak","-",'Base Hours'!F156*BaseLoad!L155*IS!$B$2)</f>
        <v>355867.95403347519</v>
      </c>
      <c r="G156" s="180">
        <f>IF($A$1="Peak","-",'Base Hours'!G156*BaseLoad!M155*IS!$B$2)</f>
        <v>708854.66169924883</v>
      </c>
      <c r="H156" s="180">
        <f>IF($A$1="Peak","-",'Base Hours'!H156*BaseLoad!N155*IS!$B$2)</f>
        <v>610164.01631050662</v>
      </c>
      <c r="I156" s="180">
        <f>IF($A$1="Peak","-",'Base Hours'!I156*BaseLoad!O155*IS!$B$2)</f>
        <v>489070.81828845566</v>
      </c>
      <c r="J156" s="180">
        <f>IF($A$1="Peak","-",'Base Hours'!J156*BaseLoad!P155*IS!$B$2)</f>
        <v>403427.49593640951</v>
      </c>
      <c r="K156" s="180">
        <f>IF($A$1="Peak","-",'Base Hours'!K156*BaseLoad!Q155*IS!$B$2)</f>
        <v>399693.17463358241</v>
      </c>
      <c r="L156" s="180">
        <f>IF($A$1="Peak","-",'Base Hours'!L156*BaseLoad!R155*IS!$B$2)</f>
        <v>370735.43932838482</v>
      </c>
      <c r="M156" s="180">
        <f>IF($A$1="Peak","-",'Base Hours'!M156*BaseLoad!S155*IS!$B$2)</f>
        <v>349593.43922960997</v>
      </c>
      <c r="N156" s="180">
        <f>IF($A$1="Peak","-",'Base Hours'!N156*BaseLoad!T155*IS!$B$2)</f>
        <v>346428.91026393167</v>
      </c>
      <c r="O156" s="180">
        <f>IF($A$1="Peak","-",'Base Hours'!O156*BaseLoad!U155*IS!$B$2)</f>
        <v>343101.34772540291</v>
      </c>
      <c r="P156" s="180">
        <f>IF($A$1="Peak","-",'Base Hours'!P156*BaseLoad!V155*IS!$B$2)</f>
        <v>343101.34772540291</v>
      </c>
      <c r="Q156" s="180">
        <f>IF($A$1="Peak","-",'Base Hours'!Q156*BaseLoad!W155*IS!$B$2)</f>
        <v>343098.37585931865</v>
      </c>
      <c r="R156" s="180">
        <f>IF($A$1="Peak","-",'Base Hours'!R156*BaseLoad!X155*IS!$B$2)</f>
        <v>343091.28259335627</v>
      </c>
      <c r="S156" s="180">
        <f>IF($A$1="Peak","-",'Base Hours'!S156*BaseLoad!Y155*IS!$B$2)</f>
        <v>337789.00920650497</v>
      </c>
      <c r="T156" s="180">
        <f>IF($A$1="Peak","-",'Base Hours'!T156*BaseLoad!Z155*IS!$B$2)</f>
        <v>317953.39476980991</v>
      </c>
      <c r="U156" s="180">
        <f>IF($A$1="Peak","-",'Base Hours'!U156*BaseLoad!AA155*IS!$B$2)</f>
        <v>783857.39452182618</v>
      </c>
      <c r="V156" s="180">
        <f t="shared" si="6"/>
        <v>6871124.6825667201</v>
      </c>
      <c r="W156" s="180"/>
      <c r="X156" s="180"/>
      <c r="Y156" s="212"/>
      <c r="Z156" s="212">
        <f>(BaseLoad!C155*'Base Hours'!V156*IS!$B$2)*-1</f>
        <v>-1940482.1486058803</v>
      </c>
      <c r="AA156" s="212"/>
      <c r="AB156" s="212">
        <f>(BaseLoad!D155*'Base Hours'!V156*IS!$B$2)*-1</f>
        <v>-184299.71245783809</v>
      </c>
      <c r="AC156" s="212"/>
      <c r="AD156" s="212">
        <f>(BaseLoad!E155*'Base Hours'!V156*IS!$B$2)*-1</f>
        <v>-1183635.1509850933</v>
      </c>
      <c r="AE156" s="212"/>
      <c r="AF156" s="212">
        <f>(BaseLoad!F155*'Base Hours'!V156*IS!$B$2)*-1</f>
        <v>-119373.37192508664</v>
      </c>
      <c r="AG156" s="212"/>
    </row>
    <row r="157" spans="1:33" x14ac:dyDescent="0.2">
      <c r="A157" s="1">
        <f t="shared" si="5"/>
        <v>41011.299000000188</v>
      </c>
      <c r="B157" s="180">
        <f>IF($A$1="Peak","-",'Base Hours'!B157*BaseLoad!H156*IS!$B$2)</f>
        <v>90142.561759817501</v>
      </c>
      <c r="C157" s="180">
        <f>IF($A$1="Peak","-",'Base Hours'!C157*BaseLoad!I156*IS!$B$2)</f>
        <v>88268.466064919165</v>
      </c>
      <c r="D157" s="180">
        <f>IF($A$1="Peak","-",'Base Hours'!D157*BaseLoad!J156*IS!$B$2)</f>
        <v>176536.93212983833</v>
      </c>
      <c r="E157" s="180">
        <f>IF($A$1="Peak","-",'Base Hours'!E157*BaseLoad!K156*IS!$B$2)</f>
        <v>324286.82391522505</v>
      </c>
      <c r="F157" s="180">
        <f>IF($A$1="Peak","-",'Base Hours'!F157*BaseLoad!L156*IS!$B$2)</f>
        <v>245948.05678069376</v>
      </c>
      <c r="G157" s="180">
        <f>IF($A$1="Peak","-",'Base Hours'!G157*BaseLoad!M156*IS!$B$2)</f>
        <v>455652.1107459389</v>
      </c>
      <c r="H157" s="180">
        <f>IF($A$1="Peak","-",'Base Hours'!H157*BaseLoad!N156*IS!$B$2)</f>
        <v>398342.93691399699</v>
      </c>
      <c r="I157" s="180">
        <f>IF($A$1="Peak","-",'Base Hours'!I157*BaseLoad!O156*IS!$B$2)</f>
        <v>395386.06195259339</v>
      </c>
      <c r="J157" s="180">
        <f>IF($A$1="Peak","-",'Base Hours'!J157*BaseLoad!P156*IS!$B$2)</f>
        <v>367887.79256426613</v>
      </c>
      <c r="K157" s="180">
        <f>IF($A$1="Peak","-",'Base Hours'!K157*BaseLoad!Q156*IS!$B$2)</f>
        <v>354030.8059980658</v>
      </c>
      <c r="L157" s="180">
        <f>IF($A$1="Peak","-",'Base Hours'!L157*BaseLoad!R156*IS!$B$2)</f>
        <v>348088.54938460863</v>
      </c>
      <c r="M157" s="180">
        <f>IF($A$1="Peak","-",'Base Hours'!M157*BaseLoad!S156*IS!$B$2)</f>
        <v>344406.171875873</v>
      </c>
      <c r="N157" s="180">
        <f>IF($A$1="Peak","-",'Base Hours'!N157*BaseLoad!T156*IS!$B$2)</f>
        <v>343210.85225746571</v>
      </c>
      <c r="O157" s="180">
        <f>IF($A$1="Peak","-",'Base Hours'!O157*BaseLoad!U156*IS!$B$2)</f>
        <v>343210.85225746571</v>
      </c>
      <c r="P157" s="180">
        <f>IF($A$1="Peak","-",'Base Hours'!P157*BaseLoad!V156*IS!$B$2)</f>
        <v>340595.1255318817</v>
      </c>
      <c r="Q157" s="180">
        <f>IF($A$1="Peak","-",'Base Hours'!Q157*BaseLoad!W156*IS!$B$2)</f>
        <v>340396.19662986428</v>
      </c>
      <c r="R157" s="180">
        <f>IF($A$1="Peak","-",'Base Hours'!R157*BaseLoad!X156*IS!$B$2)</f>
        <v>340396.19662986428</v>
      </c>
      <c r="S157" s="180">
        <f>IF($A$1="Peak","-",'Base Hours'!S157*BaseLoad!Y156*IS!$B$2)</f>
        <v>340396.19662986428</v>
      </c>
      <c r="T157" s="180">
        <f>IF($A$1="Peak","-",'Base Hours'!T157*BaseLoad!Z156*IS!$B$2)</f>
        <v>340395.47567109717</v>
      </c>
      <c r="U157" s="180">
        <f>IF($A$1="Peak","-",'Base Hours'!U157*BaseLoad!AA156*IS!$B$2)</f>
        <v>864070.48209355574</v>
      </c>
      <c r="V157" s="180">
        <f t="shared" si="6"/>
        <v>5977578.165693339</v>
      </c>
      <c r="W157" s="180"/>
      <c r="X157" s="180"/>
      <c r="Y157" s="212"/>
      <c r="Z157" s="212">
        <f>(BaseLoad!C156*'Base Hours'!V157*IS!$B$2)*-1</f>
        <v>-1940482.1486058803</v>
      </c>
      <c r="AA157" s="212"/>
      <c r="AB157" s="212">
        <f>(BaseLoad!D156*'Base Hours'!V157*IS!$B$2)*-1</f>
        <v>-184606.87864526783</v>
      </c>
      <c r="AC157" s="212"/>
      <c r="AD157" s="212">
        <f>(BaseLoad!E156*'Base Hours'!V157*IS!$B$2)*-1</f>
        <v>-1183635.1509850933</v>
      </c>
      <c r="AE157" s="212"/>
      <c r="AF157" s="212">
        <f>(BaseLoad!F156*'Base Hours'!V157*IS!$B$2)*-1</f>
        <v>-119373.37192508664</v>
      </c>
      <c r="AG157" s="212"/>
    </row>
    <row r="158" spans="1:33" x14ac:dyDescent="0.2">
      <c r="A158" s="1">
        <f t="shared" si="5"/>
        <v>41041.71600000019</v>
      </c>
      <c r="B158" s="180">
        <f>IF($A$1="Peak","-",'Base Hours'!B158*BaseLoad!H157*IS!$B$2)</f>
        <v>175928.79953755971</v>
      </c>
      <c r="C158" s="180">
        <f>IF($A$1="Peak","-",'Base Hours'!C158*BaseLoad!I157*IS!$B$2)</f>
        <v>151348.7520573131</v>
      </c>
      <c r="D158" s="180">
        <f>IF($A$1="Peak","-",'Base Hours'!D158*BaseLoad!J157*IS!$B$2)</f>
        <v>189049.79376842815</v>
      </c>
      <c r="E158" s="180">
        <f>IF($A$1="Peak","-",'Base Hours'!E158*BaseLoad!K157*IS!$B$2)</f>
        <v>328509.60826341773</v>
      </c>
      <c r="F158" s="180">
        <f>IF($A$1="Peak","-",'Base Hours'!F158*BaseLoad!L157*IS!$B$2)</f>
        <v>310516.71820069535</v>
      </c>
      <c r="G158" s="180">
        <f>IF($A$1="Peak","-",'Base Hours'!G158*BaseLoad!M157*IS!$B$2)</f>
        <v>576958.99498282652</v>
      </c>
      <c r="H158" s="180">
        <f>IF($A$1="Peak","-",'Base Hours'!H158*BaseLoad!N157*IS!$B$2)</f>
        <v>564650.41608664428</v>
      </c>
      <c r="I158" s="180">
        <f>IF($A$1="Peak","-",'Base Hours'!I158*BaseLoad!O157*IS!$B$2)</f>
        <v>465801.63467632729</v>
      </c>
      <c r="J158" s="180">
        <f>IF($A$1="Peak","-",'Base Hours'!J158*BaseLoad!P157*IS!$B$2)</f>
        <v>394920.06827588059</v>
      </c>
      <c r="K158" s="180">
        <f>IF($A$1="Peak","-",'Base Hours'!K158*BaseLoad!Q157*IS!$B$2)</f>
        <v>333962.39599263592</v>
      </c>
      <c r="L158" s="180">
        <f>IF($A$1="Peak","-",'Base Hours'!L158*BaseLoad!R157*IS!$B$2)</f>
        <v>322673.18324315286</v>
      </c>
      <c r="M158" s="180">
        <f>IF($A$1="Peak","-",'Base Hours'!M158*BaseLoad!S157*IS!$B$2)</f>
        <v>316377.73263794353</v>
      </c>
      <c r="N158" s="180">
        <f>IF($A$1="Peak","-",'Base Hours'!N158*BaseLoad!T157*IS!$B$2)</f>
        <v>301172.850599339</v>
      </c>
      <c r="O158" s="180">
        <f>IF($A$1="Peak","-",'Base Hours'!O158*BaseLoad!U157*IS!$B$2)</f>
        <v>291454.74568628508</v>
      </c>
      <c r="P158" s="180">
        <f>IF($A$1="Peak","-",'Base Hours'!P158*BaseLoad!V157*IS!$B$2)</f>
        <v>282101.86769680225</v>
      </c>
      <c r="Q158" s="180">
        <f>IF($A$1="Peak","-",'Base Hours'!Q158*BaseLoad!W157*IS!$B$2)</f>
        <v>280544.75736373686</v>
      </c>
      <c r="R158" s="180">
        <f>IF($A$1="Peak","-",'Base Hours'!R158*BaseLoad!X157*IS!$B$2)</f>
        <v>279141.06521889666</v>
      </c>
      <c r="S158" s="180">
        <f>IF($A$1="Peak","-",'Base Hours'!S158*BaseLoad!Y157*IS!$B$2)</f>
        <v>278465.63436640531</v>
      </c>
      <c r="T158" s="180">
        <f>IF($A$1="Peak","-",'Base Hours'!T158*BaseLoad!Z157*IS!$B$2)</f>
        <v>268916.38622350455</v>
      </c>
      <c r="U158" s="180">
        <f>IF($A$1="Peak","-",'Base Hours'!U158*BaseLoad!AA157*IS!$B$2)</f>
        <v>653078.22752699617</v>
      </c>
      <c r="V158" s="180">
        <f t="shared" si="6"/>
        <v>6112495.404877794</v>
      </c>
      <c r="W158" s="180"/>
      <c r="X158" s="180"/>
      <c r="Y158" s="212"/>
      <c r="Z158" s="212">
        <f>(BaseLoad!C157*'Base Hours'!V158*IS!$B$2)*-1</f>
        <v>-1940482.1486058803</v>
      </c>
      <c r="AA158" s="212"/>
      <c r="AB158" s="212">
        <f>(BaseLoad!D157*'Base Hours'!V158*IS!$B$2)*-1</f>
        <v>-184914.55677634329</v>
      </c>
      <c r="AC158" s="212"/>
      <c r="AD158" s="212">
        <f>(BaseLoad!E157*'Base Hours'!V158*IS!$B$2)*-1</f>
        <v>-1183635.1509850933</v>
      </c>
      <c r="AE158" s="212"/>
      <c r="AF158" s="212">
        <f>(BaseLoad!F157*'Base Hours'!V158*IS!$B$2)*-1</f>
        <v>-119373.37192508664</v>
      </c>
      <c r="AG158" s="212"/>
    </row>
    <row r="159" spans="1:33" x14ac:dyDescent="0.2">
      <c r="A159" s="1">
        <f t="shared" si="5"/>
        <v>41072.133000000191</v>
      </c>
      <c r="B159" s="180">
        <f>IF($A$1="Peak","-",'Base Hours'!B159*BaseLoad!H158*IS!$B$2)</f>
        <v>219308.27511500512</v>
      </c>
      <c r="C159" s="180">
        <f>IF($A$1="Peak","-",'Base Hours'!C159*BaseLoad!I158*IS!$B$2)</f>
        <v>198939.32065008744</v>
      </c>
      <c r="D159" s="180">
        <f>IF($A$1="Peak","-",'Base Hours'!D159*BaseLoad!J158*IS!$B$2)</f>
        <v>363154.26153478457</v>
      </c>
      <c r="E159" s="180">
        <f>IF($A$1="Peak","-",'Base Hours'!E159*BaseLoad!K158*IS!$B$2)</f>
        <v>607820.25394534704</v>
      </c>
      <c r="F159" s="180">
        <f>IF($A$1="Peak","-",'Base Hours'!F159*BaseLoad!L158*IS!$B$2)</f>
        <v>408180.70720129373</v>
      </c>
      <c r="G159" s="180">
        <f>IF($A$1="Peak","-",'Base Hours'!G159*BaseLoad!M158*IS!$B$2)</f>
        <v>710963.42262297275</v>
      </c>
      <c r="H159" s="180">
        <f>IF($A$1="Peak","-",'Base Hours'!H159*BaseLoad!N158*IS!$B$2)</f>
        <v>478776.8191561313</v>
      </c>
      <c r="I159" s="180">
        <f>IF($A$1="Peak","-",'Base Hours'!I159*BaseLoad!O158*IS!$B$2)</f>
        <v>424198.82602744078</v>
      </c>
      <c r="J159" s="180">
        <f>IF($A$1="Peak","-",'Base Hours'!J159*BaseLoad!P158*IS!$B$2)</f>
        <v>380405.68308969704</v>
      </c>
      <c r="K159" s="180">
        <f>IF($A$1="Peak","-",'Base Hours'!K159*BaseLoad!Q158*IS!$B$2)</f>
        <v>374706.80957125878</v>
      </c>
      <c r="L159" s="180">
        <f>IF($A$1="Peak","-",'Base Hours'!L159*BaseLoad!R158*IS!$B$2)</f>
        <v>371029.09655661375</v>
      </c>
      <c r="M159" s="180">
        <f>IF($A$1="Peak","-",'Base Hours'!M159*BaseLoad!S158*IS!$B$2)</f>
        <v>364245.86084889912</v>
      </c>
      <c r="N159" s="180">
        <f>IF($A$1="Peak","-",'Base Hours'!N159*BaseLoad!T158*IS!$B$2)</f>
        <v>341075.49796138029</v>
      </c>
      <c r="O159" s="180">
        <f>IF($A$1="Peak","-",'Base Hours'!O159*BaseLoad!U158*IS!$B$2)</f>
        <v>327157.8467949733</v>
      </c>
      <c r="P159" s="180">
        <f>IF($A$1="Peak","-",'Base Hours'!P159*BaseLoad!V158*IS!$B$2)</f>
        <v>312440.45541644923</v>
      </c>
      <c r="Q159" s="180">
        <f>IF($A$1="Peak","-",'Base Hours'!Q159*BaseLoad!W158*IS!$B$2)</f>
        <v>304771.01508649706</v>
      </c>
      <c r="R159" s="180">
        <f>IF($A$1="Peak","-",'Base Hours'!R159*BaseLoad!X158*IS!$B$2)</f>
        <v>298243.74753962999</v>
      </c>
      <c r="S159" s="180">
        <f>IF($A$1="Peak","-",'Base Hours'!S159*BaseLoad!Y158*IS!$B$2)</f>
        <v>290122.20364357327</v>
      </c>
      <c r="T159" s="180">
        <f>IF($A$1="Peak","-",'Base Hours'!T159*BaseLoad!Z158*IS!$B$2)</f>
        <v>276408.89745827415</v>
      </c>
      <c r="U159" s="180">
        <f>IF($A$1="Peak","-",'Base Hours'!U159*BaseLoad!AA158*IS!$B$2)</f>
        <v>684386.64066166966</v>
      </c>
      <c r="V159" s="180">
        <f t="shared" si="6"/>
        <v>7025372.2182590058</v>
      </c>
      <c r="W159" s="180"/>
      <c r="X159" s="180"/>
      <c r="Y159" s="212"/>
      <c r="Z159" s="212">
        <f>(BaseLoad!C158*'Base Hours'!V159*IS!$B$2)*-1</f>
        <v>-1940482.1486058803</v>
      </c>
      <c r="AA159" s="212"/>
      <c r="AB159" s="212">
        <f>(BaseLoad!D158*'Base Hours'!V159*IS!$B$2)*-1</f>
        <v>-185222.74770430385</v>
      </c>
      <c r="AC159" s="212"/>
      <c r="AD159" s="212">
        <f>(BaseLoad!E158*'Base Hours'!V159*IS!$B$2)*-1</f>
        <v>-1183635.1509850933</v>
      </c>
      <c r="AE159" s="212"/>
      <c r="AF159" s="212">
        <f>(BaseLoad!F158*'Base Hours'!V159*IS!$B$2)*-1</f>
        <v>-119373.37192508664</v>
      </c>
      <c r="AG159" s="212"/>
    </row>
    <row r="160" spans="1:33" x14ac:dyDescent="0.2">
      <c r="A160" s="1">
        <f t="shared" si="5"/>
        <v>41102.550000000192</v>
      </c>
      <c r="B160" s="180">
        <f>IF($A$1="Peak","-",'Base Hours'!B160*BaseLoad!H159*IS!$B$2)</f>
        <v>258353.06712966281</v>
      </c>
      <c r="C160" s="180">
        <f>IF($A$1="Peak","-",'Base Hours'!C160*BaseLoad!I159*IS!$B$2)</f>
        <v>227090.02916436319</v>
      </c>
      <c r="D160" s="180">
        <f>IF($A$1="Peak","-",'Base Hours'!D160*BaseLoad!J159*IS!$B$2)</f>
        <v>411185.85729472619</v>
      </c>
      <c r="E160" s="180">
        <f>IF($A$1="Peak","-",'Base Hours'!E160*BaseLoad!K159*IS!$B$2)</f>
        <v>726696.60728877352</v>
      </c>
      <c r="F160" s="180">
        <f>IF($A$1="Peak","-",'Base Hours'!F160*BaseLoad!L159*IS!$B$2)</f>
        <v>662677.74236988707</v>
      </c>
      <c r="G160" s="180">
        <f>IF($A$1="Peak","-",'Base Hours'!G160*BaseLoad!M159*IS!$B$2)</f>
        <v>905112.27979467926</v>
      </c>
      <c r="H160" s="180">
        <f>IF($A$1="Peak","-",'Base Hours'!H160*BaseLoad!N159*IS!$B$2)</f>
        <v>768570.485435343</v>
      </c>
      <c r="I160" s="180">
        <f>IF($A$1="Peak","-",'Base Hours'!I160*BaseLoad!O159*IS!$B$2)</f>
        <v>731873.35952945508</v>
      </c>
      <c r="J160" s="180">
        <f>IF($A$1="Peak","-",'Base Hours'!J160*BaseLoad!P159*IS!$B$2)</f>
        <v>633818.39612586272</v>
      </c>
      <c r="K160" s="180">
        <f>IF($A$1="Peak","-",'Base Hours'!K160*BaseLoad!Q159*IS!$B$2)</f>
        <v>487405.50898076087</v>
      </c>
      <c r="L160" s="180">
        <f>IF($A$1="Peak","-",'Base Hours'!L160*BaseLoad!R159*IS!$B$2)</f>
        <v>413739.14763595024</v>
      </c>
      <c r="M160" s="180">
        <f>IF($A$1="Peak","-",'Base Hours'!M160*BaseLoad!S159*IS!$B$2)</f>
        <v>397133.22866167995</v>
      </c>
      <c r="N160" s="180">
        <f>IF($A$1="Peak","-",'Base Hours'!N160*BaseLoad!T159*IS!$B$2)</f>
        <v>367881.68795914407</v>
      </c>
      <c r="O160" s="180">
        <f>IF($A$1="Peak","-",'Base Hours'!O160*BaseLoad!U159*IS!$B$2)</f>
        <v>358320.01012313715</v>
      </c>
      <c r="P160" s="180">
        <f>IF($A$1="Peak","-",'Base Hours'!P160*BaseLoad!V159*IS!$B$2)</f>
        <v>356284.56540821854</v>
      </c>
      <c r="Q160" s="180">
        <f>IF($A$1="Peak","-",'Base Hours'!Q160*BaseLoad!W159*IS!$B$2)</f>
        <v>356157.27075241075</v>
      </c>
      <c r="R160" s="180">
        <f>IF($A$1="Peak","-",'Base Hours'!R160*BaseLoad!X159*IS!$B$2)</f>
        <v>353392.7397620207</v>
      </c>
      <c r="S160" s="180">
        <f>IF($A$1="Peak","-",'Base Hours'!S160*BaseLoad!Y159*IS!$B$2)</f>
        <v>352984.16286743782</v>
      </c>
      <c r="T160" s="180">
        <f>IF($A$1="Peak","-",'Base Hours'!T160*BaseLoad!Z159*IS!$B$2)</f>
        <v>350456.07337767334</v>
      </c>
      <c r="U160" s="180">
        <f>IF($A$1="Peak","-",'Base Hours'!U160*BaseLoad!AA159*IS!$B$2)</f>
        <v>869943.29108773731</v>
      </c>
      <c r="V160" s="180">
        <f t="shared" si="6"/>
        <v>9083963.2309542429</v>
      </c>
      <c r="W160" s="180"/>
      <c r="X160" s="180"/>
      <c r="Y160" s="212"/>
      <c r="Z160" s="212">
        <f>(BaseLoad!C159*'Base Hours'!V160*IS!$B$2)*-1</f>
        <v>-1940482.1486058803</v>
      </c>
      <c r="AA160" s="212"/>
      <c r="AB160" s="212">
        <f>(BaseLoad!D159*'Base Hours'!V160*IS!$B$2)*-1</f>
        <v>-185531.452283811</v>
      </c>
      <c r="AC160" s="212"/>
      <c r="AD160" s="212">
        <f>(BaseLoad!E159*'Base Hours'!V160*IS!$B$2)*-1</f>
        <v>-1183635.1509850933</v>
      </c>
      <c r="AE160" s="212"/>
      <c r="AF160" s="212">
        <f>(BaseLoad!F159*'Base Hours'!V160*IS!$B$2)*-1</f>
        <v>-119373.37192508664</v>
      </c>
      <c r="AG160" s="212"/>
    </row>
    <row r="161" spans="1:33" x14ac:dyDescent="0.2">
      <c r="A161" s="1">
        <f t="shared" si="5"/>
        <v>41132.967000000193</v>
      </c>
      <c r="B161" s="180">
        <f>IF($A$1="Peak","-",'Base Hours'!B161*BaseLoad!H160*IS!$B$2)</f>
        <v>514951.0341205966</v>
      </c>
      <c r="C161" s="180">
        <f>IF($A$1="Peak","-",'Base Hours'!C161*BaseLoad!I160*IS!$B$2)</f>
        <v>328866.18300094537</v>
      </c>
      <c r="D161" s="180">
        <f>IF($A$1="Peak","-",'Base Hours'!D161*BaseLoad!J160*IS!$B$2)</f>
        <v>549396.09690117405</v>
      </c>
      <c r="E161" s="180">
        <f>IF($A$1="Peak","-",'Base Hours'!E161*BaseLoad!K160*IS!$B$2)</f>
        <v>942724.44376925752</v>
      </c>
      <c r="F161" s="180">
        <f>IF($A$1="Peak","-",'Base Hours'!F161*BaseLoad!L160*IS!$B$2)</f>
        <v>819047.743686856</v>
      </c>
      <c r="G161" s="180">
        <f>IF($A$1="Peak","-",'Base Hours'!G161*BaseLoad!M160*IS!$B$2)</f>
        <v>1422101.948290997</v>
      </c>
      <c r="H161" s="180">
        <f>IF($A$1="Peak","-",'Base Hours'!H161*BaseLoad!N160*IS!$B$2)</f>
        <v>947890.93880397233</v>
      </c>
      <c r="I161" s="180">
        <f>IF($A$1="Peak","-",'Base Hours'!I161*BaseLoad!O160*IS!$B$2)</f>
        <v>521400.25267720828</v>
      </c>
      <c r="J161" s="180">
        <f>IF($A$1="Peak","-",'Base Hours'!J161*BaseLoad!P160*IS!$B$2)</f>
        <v>445617.04974380485</v>
      </c>
      <c r="K161" s="180">
        <f>IF($A$1="Peak","-",'Base Hours'!K161*BaseLoad!Q160*IS!$B$2)</f>
        <v>408899.25817534688</v>
      </c>
      <c r="L161" s="180">
        <f>IF($A$1="Peak","-",'Base Hours'!L161*BaseLoad!R160*IS!$B$2)</f>
        <v>384383.26493056823</v>
      </c>
      <c r="M161" s="180">
        <f>IF($A$1="Peak","-",'Base Hours'!M161*BaseLoad!S160*IS!$B$2)</f>
        <v>352903.4753597388</v>
      </c>
      <c r="N161" s="180">
        <f>IF($A$1="Peak","-",'Base Hours'!N161*BaseLoad!T160*IS!$B$2)</f>
        <v>328755.46719031915</v>
      </c>
      <c r="O161" s="180">
        <f>IF($A$1="Peak","-",'Base Hours'!O161*BaseLoad!U160*IS!$B$2)</f>
        <v>313917.87436027307</v>
      </c>
      <c r="P161" s="180">
        <f>IF($A$1="Peak","-",'Base Hours'!P161*BaseLoad!V160*IS!$B$2)</f>
        <v>302484.19264566398</v>
      </c>
      <c r="Q161" s="180">
        <f>IF($A$1="Peak","-",'Base Hours'!Q161*BaseLoad!W160*IS!$B$2)</f>
        <v>294652.12991272239</v>
      </c>
      <c r="R161" s="180">
        <f>IF($A$1="Peak","-",'Base Hours'!R161*BaseLoad!X160*IS!$B$2)</f>
        <v>276034.67925859825</v>
      </c>
      <c r="S161" s="180">
        <f>IF($A$1="Peak","-",'Base Hours'!S161*BaseLoad!Y160*IS!$B$2)</f>
        <v>263414.01056256355</v>
      </c>
      <c r="T161" s="180">
        <f>IF($A$1="Peak","-",'Base Hours'!T161*BaseLoad!Z160*IS!$B$2)</f>
        <v>254876.90818282799</v>
      </c>
      <c r="U161" s="180">
        <f>IF($A$1="Peak","-",'Base Hours'!U161*BaseLoad!AA160*IS!$B$2)</f>
        <v>665008.11583851581</v>
      </c>
      <c r="V161" s="180">
        <f t="shared" si="6"/>
        <v>8915223.1191209536</v>
      </c>
      <c r="W161" s="180"/>
      <c r="X161" s="180"/>
      <c r="Y161" s="212"/>
      <c r="Z161" s="212">
        <f>(BaseLoad!C160*'Base Hours'!V161*IS!$B$2)*-1</f>
        <v>-1940482.1486058803</v>
      </c>
      <c r="AA161" s="212"/>
      <c r="AB161" s="212">
        <f>(BaseLoad!D160*'Base Hours'!V161*IS!$B$2)*-1</f>
        <v>-185840.6713709507</v>
      </c>
      <c r="AC161" s="212"/>
      <c r="AD161" s="212">
        <f>(BaseLoad!E160*'Base Hours'!V161*IS!$B$2)*-1</f>
        <v>-1183635.1509850933</v>
      </c>
      <c r="AE161" s="212"/>
      <c r="AF161" s="212">
        <f>(BaseLoad!F160*'Base Hours'!V161*IS!$B$2)*-1</f>
        <v>-119373.37192508664</v>
      </c>
      <c r="AG161" s="212"/>
    </row>
    <row r="162" spans="1:33" x14ac:dyDescent="0.2">
      <c r="A162" s="1">
        <f t="shared" si="5"/>
        <v>41163.384000000195</v>
      </c>
      <c r="B162" s="180">
        <f>IF($A$1="Peak","-",'Base Hours'!B162*BaseLoad!H161*IS!$B$2)</f>
        <v>200472.25405953836</v>
      </c>
      <c r="C162" s="180">
        <f>IF($A$1="Peak","-",'Base Hours'!C162*BaseLoad!I161*IS!$B$2)</f>
        <v>181081.97918205772</v>
      </c>
      <c r="D162" s="180">
        <f>IF($A$1="Peak","-",'Base Hours'!D162*BaseLoad!J161*IS!$B$2)</f>
        <v>341326.51757943956</v>
      </c>
      <c r="E162" s="180">
        <f>IF($A$1="Peak","-",'Base Hours'!E162*BaseLoad!K161*IS!$B$2)</f>
        <v>412493.00493405567</v>
      </c>
      <c r="F162" s="180">
        <f>IF($A$1="Peak","-",'Base Hours'!F162*BaseLoad!L161*IS!$B$2)</f>
        <v>347646.41490585264</v>
      </c>
      <c r="G162" s="180">
        <f>IF($A$1="Peak","-",'Base Hours'!G162*BaseLoad!M161*IS!$B$2)</f>
        <v>667175.17662463838</v>
      </c>
      <c r="H162" s="180">
        <f>IF($A$1="Peak","-",'Base Hours'!H162*BaseLoad!N161*IS!$B$2)</f>
        <v>491707.85005227011</v>
      </c>
      <c r="I162" s="180">
        <f>IF($A$1="Peak","-",'Base Hours'!I162*BaseLoad!O161*IS!$B$2)</f>
        <v>433103.3959491743</v>
      </c>
      <c r="J162" s="180">
        <f>IF($A$1="Peak","-",'Base Hours'!J162*BaseLoad!P161*IS!$B$2)</f>
        <v>384142.48160373897</v>
      </c>
      <c r="K162" s="180">
        <f>IF($A$1="Peak","-",'Base Hours'!K162*BaseLoad!Q161*IS!$B$2)</f>
        <v>379595.40050270077</v>
      </c>
      <c r="L162" s="180">
        <f>IF($A$1="Peak","-",'Base Hours'!L162*BaseLoad!R161*IS!$B$2)</f>
        <v>365968.85032766679</v>
      </c>
      <c r="M162" s="180">
        <f>IF($A$1="Peak","-",'Base Hours'!M162*BaseLoad!S161*IS!$B$2)</f>
        <v>357422.5630890638</v>
      </c>
      <c r="N162" s="180">
        <f>IF($A$1="Peak","-",'Base Hours'!N162*BaseLoad!T161*IS!$B$2)</f>
        <v>341824.39062743291</v>
      </c>
      <c r="O162" s="180">
        <f>IF($A$1="Peak","-",'Base Hours'!O162*BaseLoad!U161*IS!$B$2)</f>
        <v>331826.50791862945</v>
      </c>
      <c r="P162" s="180">
        <f>IF($A$1="Peak","-",'Base Hours'!P162*BaseLoad!V161*IS!$B$2)</f>
        <v>330380.23821092985</v>
      </c>
      <c r="Q162" s="180">
        <f>IF($A$1="Peak","-",'Base Hours'!Q162*BaseLoad!W161*IS!$B$2)</f>
        <v>328983.41561796173</v>
      </c>
      <c r="R162" s="180">
        <f>IF($A$1="Peak","-",'Base Hours'!R162*BaseLoad!X161*IS!$B$2)</f>
        <v>327693.99183250219</v>
      </c>
      <c r="S162" s="180">
        <f>IF($A$1="Peak","-",'Base Hours'!S162*BaseLoad!Y161*IS!$B$2)</f>
        <v>327693.99183250219</v>
      </c>
      <c r="T162" s="180">
        <f>IF($A$1="Peak","-",'Base Hours'!T162*BaseLoad!Z161*IS!$B$2)</f>
        <v>327693.88590177172</v>
      </c>
      <c r="U162" s="180">
        <f>IF($A$1="Peak","-",'Base Hours'!U162*BaseLoad!AA161*IS!$B$2)</f>
        <v>861982.19120580261</v>
      </c>
      <c r="V162" s="180">
        <f t="shared" si="6"/>
        <v>6878232.3107519252</v>
      </c>
      <c r="W162" s="180"/>
      <c r="X162" s="180"/>
      <c r="Y162" s="212"/>
      <c r="Z162" s="212">
        <f>(BaseLoad!C161*'Base Hours'!V162*IS!$B$2)*-1</f>
        <v>-1940482.1486058803</v>
      </c>
      <c r="AA162" s="212"/>
      <c r="AB162" s="212">
        <f>(BaseLoad!D161*'Base Hours'!V162*IS!$B$2)*-1</f>
        <v>-186150.40582323563</v>
      </c>
      <c r="AC162" s="212"/>
      <c r="AD162" s="212">
        <f>(BaseLoad!E161*'Base Hours'!V162*IS!$B$2)*-1</f>
        <v>-1183635.1509850933</v>
      </c>
      <c r="AE162" s="212"/>
      <c r="AF162" s="212">
        <f>(BaseLoad!F161*'Base Hours'!V162*IS!$B$2)*-1</f>
        <v>-119373.37192508664</v>
      </c>
      <c r="AG162" s="212"/>
    </row>
    <row r="163" spans="1:33" x14ac:dyDescent="0.2">
      <c r="A163" s="1">
        <f t="shared" si="5"/>
        <v>41193.801000000196</v>
      </c>
      <c r="B163" s="180">
        <f>IF($A$1="Peak","-",'Base Hours'!B163*BaseLoad!H162*IS!$B$2)</f>
        <v>129235.64036166634</v>
      </c>
      <c r="C163" s="180">
        <f>IF($A$1="Peak","-",'Base Hours'!C163*BaseLoad!I162*IS!$B$2)</f>
        <v>108542.21850220324</v>
      </c>
      <c r="D163" s="180">
        <f>IF($A$1="Peak","-",'Base Hours'!D163*BaseLoad!J162*IS!$B$2)</f>
        <v>204171.79351995303</v>
      </c>
      <c r="E163" s="180">
        <f>IF($A$1="Peak","-",'Base Hours'!E163*BaseLoad!K162*IS!$B$2)</f>
        <v>358236.05303478334</v>
      </c>
      <c r="F163" s="180">
        <f>IF($A$1="Peak","-",'Base Hours'!F163*BaseLoad!L162*IS!$B$2)</f>
        <v>314707.31123799371</v>
      </c>
      <c r="G163" s="180">
        <f>IF($A$1="Peak","-",'Base Hours'!G163*BaseLoad!M162*IS!$B$2)</f>
        <v>590379.07002064132</v>
      </c>
      <c r="H163" s="180">
        <f>IF($A$1="Peak","-",'Base Hours'!H163*BaseLoad!N162*IS!$B$2)</f>
        <v>547029.18539774069</v>
      </c>
      <c r="I163" s="180">
        <f>IF($A$1="Peak","-",'Base Hours'!I163*BaseLoad!O162*IS!$B$2)</f>
        <v>541725.03182848939</v>
      </c>
      <c r="J163" s="180">
        <f>IF($A$1="Peak","-",'Base Hours'!J163*BaseLoad!P162*IS!$B$2)</f>
        <v>449899.38428258884</v>
      </c>
      <c r="K163" s="180">
        <f>IF($A$1="Peak","-",'Base Hours'!K163*BaseLoad!Q162*IS!$B$2)</f>
        <v>411804.57497421786</v>
      </c>
      <c r="L163" s="180">
        <f>IF($A$1="Peak","-",'Base Hours'!L163*BaseLoad!R162*IS!$B$2)</f>
        <v>384727.81322129862</v>
      </c>
      <c r="M163" s="180">
        <f>IF($A$1="Peak","-",'Base Hours'!M163*BaseLoad!S162*IS!$B$2)</f>
        <v>343785.44411650533</v>
      </c>
      <c r="N163" s="180">
        <f>IF($A$1="Peak","-",'Base Hours'!N163*BaseLoad!T162*IS!$B$2)</f>
        <v>298000.90018941113</v>
      </c>
      <c r="O163" s="180">
        <f>IF($A$1="Peak","-",'Base Hours'!O163*BaseLoad!U162*IS!$B$2)</f>
        <v>285612.56170055846</v>
      </c>
      <c r="P163" s="180">
        <f>IF($A$1="Peak","-",'Base Hours'!P163*BaseLoad!V162*IS!$B$2)</f>
        <v>276797.73140004359</v>
      </c>
      <c r="Q163" s="180">
        <f>IF($A$1="Peak","-",'Base Hours'!Q163*BaseLoad!W162*IS!$B$2)</f>
        <v>276414.71019610553</v>
      </c>
      <c r="R163" s="180">
        <f>IF($A$1="Peak","-",'Base Hours'!R163*BaseLoad!X162*IS!$B$2)</f>
        <v>273697.7045194892</v>
      </c>
      <c r="S163" s="180">
        <f>IF($A$1="Peak","-",'Base Hours'!S163*BaseLoad!Y162*IS!$B$2)</f>
        <v>270091.62576418521</v>
      </c>
      <c r="T163" s="180">
        <f>IF($A$1="Peak","-",'Base Hours'!T163*BaseLoad!Z162*IS!$B$2)</f>
        <v>270091.62576418521</v>
      </c>
      <c r="U163" s="180">
        <f>IF($A$1="Peak","-",'Base Hours'!U163*BaseLoad!AA162*IS!$B$2)</f>
        <v>742552.55585529294</v>
      </c>
      <c r="V163" s="180">
        <f t="shared" si="6"/>
        <v>6334950.3800320607</v>
      </c>
      <c r="W163" s="180"/>
      <c r="X163" s="180"/>
      <c r="Y163" s="212"/>
      <c r="Z163" s="212">
        <f>(BaseLoad!C162*'Base Hours'!V163*IS!$B$2)*-1</f>
        <v>-1940482.1486058803</v>
      </c>
      <c r="AA163" s="212"/>
      <c r="AB163" s="212">
        <f>(BaseLoad!D162*'Base Hours'!V163*IS!$B$2)*-1</f>
        <v>-186460.65649960766</v>
      </c>
      <c r="AC163" s="212"/>
      <c r="AD163" s="212">
        <f>(BaseLoad!E162*'Base Hours'!V163*IS!$B$2)*-1</f>
        <v>-1183635.1509850933</v>
      </c>
      <c r="AE163" s="212"/>
      <c r="AF163" s="212">
        <f>(BaseLoad!F162*'Base Hours'!V163*IS!$B$2)*-1</f>
        <v>-119373.37192508664</v>
      </c>
      <c r="AG163" s="212"/>
    </row>
    <row r="164" spans="1:33" x14ac:dyDescent="0.2">
      <c r="A164" s="1">
        <f t="shared" si="5"/>
        <v>41224.218000000197</v>
      </c>
      <c r="B164" s="180">
        <f>IF($A$1="Peak","-",'Base Hours'!B164*BaseLoad!H163*IS!$B$2)</f>
        <v>171151.42780496084</v>
      </c>
      <c r="C164" s="180">
        <f>IF($A$1="Peak","-",'Base Hours'!C164*BaseLoad!I163*IS!$B$2)</f>
        <v>160867.72250943311</v>
      </c>
      <c r="D164" s="180">
        <f>IF($A$1="Peak","-",'Base Hours'!D164*BaseLoad!J163*IS!$B$2)</f>
        <v>267219.44024206151</v>
      </c>
      <c r="E164" s="180">
        <f>IF($A$1="Peak","-",'Base Hours'!E164*BaseLoad!K163*IS!$B$2)</f>
        <v>390077.15996151813</v>
      </c>
      <c r="F164" s="180">
        <f>IF($A$1="Peak","-",'Base Hours'!F164*BaseLoad!L163*IS!$B$2)</f>
        <v>347621.97912876541</v>
      </c>
      <c r="G164" s="180">
        <f>IF($A$1="Peak","-",'Base Hours'!G164*BaseLoad!M163*IS!$B$2)</f>
        <v>662638.56151197676</v>
      </c>
      <c r="H164" s="180">
        <f>IF($A$1="Peak","-",'Base Hours'!H164*BaseLoad!N163*IS!$B$2)</f>
        <v>598959.4628194914</v>
      </c>
      <c r="I164" s="180">
        <f>IF($A$1="Peak","-",'Base Hours'!I164*BaseLoad!O163*IS!$B$2)</f>
        <v>469662.61166526214</v>
      </c>
      <c r="J164" s="180">
        <f>IF($A$1="Peak","-",'Base Hours'!J164*BaseLoad!P163*IS!$B$2)</f>
        <v>466158.14240943774</v>
      </c>
      <c r="K164" s="180">
        <f>IF($A$1="Peak","-",'Base Hours'!K164*BaseLoad!Q163*IS!$B$2)</f>
        <v>455578.27050483844</v>
      </c>
      <c r="L164" s="180">
        <f>IF($A$1="Peak","-",'Base Hours'!L164*BaseLoad!R163*IS!$B$2)</f>
        <v>377129.86451569467</v>
      </c>
      <c r="M164" s="180">
        <f>IF($A$1="Peak","-",'Base Hours'!M164*BaseLoad!S163*IS!$B$2)</f>
        <v>369248.72871128545</v>
      </c>
      <c r="N164" s="180">
        <f>IF($A$1="Peak","-",'Base Hours'!N164*BaseLoad!T163*IS!$B$2)</f>
        <v>336443.99192907568</v>
      </c>
      <c r="O164" s="180">
        <f>IF($A$1="Peak","-",'Base Hours'!O164*BaseLoad!U163*IS!$B$2)</f>
        <v>327468.64454427309</v>
      </c>
      <c r="P164" s="180">
        <f>IF($A$1="Peak","-",'Base Hours'!P164*BaseLoad!V163*IS!$B$2)</f>
        <v>325156.97136544529</v>
      </c>
      <c r="Q164" s="180">
        <f>IF($A$1="Peak","-",'Base Hours'!Q164*BaseLoad!W163*IS!$B$2)</f>
        <v>324708.47164601658</v>
      </c>
      <c r="R164" s="180">
        <f>IF($A$1="Peak","-",'Base Hours'!R164*BaseLoad!X163*IS!$B$2)</f>
        <v>324708.47164601658</v>
      </c>
      <c r="S164" s="180">
        <f>IF($A$1="Peak","-",'Base Hours'!S164*BaseLoad!Y163*IS!$B$2)</f>
        <v>324236.60046958225</v>
      </c>
      <c r="T164" s="180">
        <f>IF($A$1="Peak","-",'Base Hours'!T164*BaseLoad!Z163*IS!$B$2)</f>
        <v>319505.22353674081</v>
      </c>
      <c r="U164" s="180">
        <f>IF($A$1="Peak","-",'Base Hours'!U164*BaseLoad!AA163*IS!$B$2)</f>
        <v>862957.49191289337</v>
      </c>
      <c r="V164" s="180">
        <f t="shared" si="6"/>
        <v>7018541.7469218764</v>
      </c>
      <c r="W164" s="180"/>
      <c r="X164" s="180"/>
      <c r="Y164" s="212"/>
      <c r="Z164" s="212">
        <f>(BaseLoad!C163*'Base Hours'!V164*IS!$B$2)*-1</f>
        <v>-1940482.1486058803</v>
      </c>
      <c r="AA164" s="212"/>
      <c r="AB164" s="212">
        <f>(BaseLoad!D163*'Base Hours'!V164*IS!$B$2)*-1</f>
        <v>-186771.42426044034</v>
      </c>
      <c r="AC164" s="212"/>
      <c r="AD164" s="212">
        <f>(BaseLoad!E163*'Base Hours'!V164*IS!$B$2)*-1</f>
        <v>-1183635.1509850933</v>
      </c>
      <c r="AE164" s="212"/>
      <c r="AF164" s="212">
        <f>(BaseLoad!F163*'Base Hours'!V164*IS!$B$2)*-1</f>
        <v>-119373.37192508664</v>
      </c>
      <c r="AG164" s="212"/>
    </row>
    <row r="165" spans="1:33" x14ac:dyDescent="0.2">
      <c r="A165" s="1">
        <f t="shared" si="5"/>
        <v>41254.635000000198</v>
      </c>
      <c r="B165" s="180">
        <f>IF($A$1="Peak","-",'Base Hours'!B165*BaseLoad!H164*IS!$B$2)</f>
        <v>171846.67450499278</v>
      </c>
      <c r="C165" s="180">
        <f>IF($A$1="Peak","-",'Base Hours'!C165*BaseLoad!I164*IS!$B$2)</f>
        <v>167901.4848894889</v>
      </c>
      <c r="D165" s="180">
        <f>IF($A$1="Peak","-",'Base Hours'!D165*BaseLoad!J164*IS!$B$2)</f>
        <v>232429.30498845663</v>
      </c>
      <c r="E165" s="180">
        <f>IF($A$1="Peak","-",'Base Hours'!E165*BaseLoad!K164*IS!$B$2)</f>
        <v>421853.93617730035</v>
      </c>
      <c r="F165" s="180">
        <f>IF($A$1="Peak","-",'Base Hours'!F165*BaseLoad!L164*IS!$B$2)</f>
        <v>394896.90238840081</v>
      </c>
      <c r="G165" s="180">
        <f>IF($A$1="Peak","-",'Base Hours'!G165*BaseLoad!M164*IS!$B$2)</f>
        <v>762235.35677530838</v>
      </c>
      <c r="H165" s="180">
        <f>IF($A$1="Peak","-",'Base Hours'!H165*BaseLoad!N164*IS!$B$2)</f>
        <v>748029.85209489288</v>
      </c>
      <c r="I165" s="180">
        <f>IF($A$1="Peak","-",'Base Hours'!I165*BaseLoad!O164*IS!$B$2)</f>
        <v>619384.25864502578</v>
      </c>
      <c r="J165" s="180">
        <f>IF($A$1="Peak","-",'Base Hours'!J165*BaseLoad!P164*IS!$B$2)</f>
        <v>518361.45755485387</v>
      </c>
      <c r="K165" s="180">
        <f>IF($A$1="Peak","-",'Base Hours'!K165*BaseLoad!Q164*IS!$B$2)</f>
        <v>432565.03315198276</v>
      </c>
      <c r="L165" s="180">
        <f>IF($A$1="Peak","-",'Base Hours'!L165*BaseLoad!R164*IS!$B$2)</f>
        <v>424526.8199032371</v>
      </c>
      <c r="M165" s="180">
        <f>IF($A$1="Peak","-",'Base Hours'!M165*BaseLoad!S164*IS!$B$2)</f>
        <v>377770.45367202937</v>
      </c>
      <c r="N165" s="180">
        <f>IF($A$1="Peak","-",'Base Hours'!N165*BaseLoad!T164*IS!$B$2)</f>
        <v>372246.02553847397</v>
      </c>
      <c r="O165" s="180">
        <f>IF($A$1="Peak","-",'Base Hours'!O165*BaseLoad!U164*IS!$B$2)</f>
        <v>372246.02553847397</v>
      </c>
      <c r="P165" s="180">
        <f>IF($A$1="Peak","-",'Base Hours'!P165*BaseLoad!V164*IS!$B$2)</f>
        <v>372246.02553847397</v>
      </c>
      <c r="Q165" s="180">
        <f>IF($A$1="Peak","-",'Base Hours'!Q165*BaseLoad!W164*IS!$B$2)</f>
        <v>372246.02553847397</v>
      </c>
      <c r="R165" s="180">
        <f>IF($A$1="Peak","-",'Base Hours'!R165*BaseLoad!X164*IS!$B$2)</f>
        <v>369240.31543572224</v>
      </c>
      <c r="S165" s="180">
        <f>IF($A$1="Peak","-",'Base Hours'!S165*BaseLoad!Y164*IS!$B$2)</f>
        <v>369179.94004618027</v>
      </c>
      <c r="T165" s="180">
        <f>IF($A$1="Peak","-",'Base Hours'!T165*BaseLoad!Z164*IS!$B$2)</f>
        <v>369179.94004618027</v>
      </c>
      <c r="U165" s="180">
        <f>IF($A$1="Peak","-",'Base Hours'!U165*BaseLoad!AA164*IS!$B$2)</f>
        <v>932441.82450562669</v>
      </c>
      <c r="V165" s="180">
        <f t="shared" si="6"/>
        <v>7868385.8324279487</v>
      </c>
      <c r="W165" s="180"/>
      <c r="X165" s="180"/>
      <c r="Y165" s="212">
        <f>SUM(B154:U165)</f>
        <v>97187649.637464851</v>
      </c>
      <c r="Z165" s="212">
        <f>(BaseLoad!C164*'Base Hours'!V165*IS!$B$2)*-1</f>
        <v>-1940482.1486058803</v>
      </c>
      <c r="AA165" s="212">
        <f>SUM(Z154:Z165)</f>
        <v>-23285785.783270556</v>
      </c>
      <c r="AB165" s="212">
        <f>(BaseLoad!D164*'Base Hours'!V165*IS!$B$2)*-1</f>
        <v>-187082.7099675411</v>
      </c>
      <c r="AC165" s="212">
        <f>SUM(AB154:AB165)</f>
        <v>-2224561.1856596284</v>
      </c>
      <c r="AD165" s="212">
        <f>(BaseLoad!E164*'Base Hours'!V165*IS!$B$2)*-1</f>
        <v>-1183635.1509850933</v>
      </c>
      <c r="AE165" s="212">
        <f>SUM(AD154:AD165)</f>
        <v>-14203621.811821124</v>
      </c>
      <c r="AF165" s="212">
        <f>(BaseLoad!F164*'Base Hours'!V165*IS!$B$2)*-1</f>
        <v>-119373.37192508664</v>
      </c>
      <c r="AG165" s="212">
        <f>SUM(AF154:AF165)</f>
        <v>-1432480.4631010399</v>
      </c>
    </row>
    <row r="166" spans="1:33" x14ac:dyDescent="0.2">
      <c r="A166" s="1">
        <f t="shared" si="5"/>
        <v>41285.0520000002</v>
      </c>
      <c r="B166" s="180">
        <f>IF($A$1="Peak","-",'Base Hours'!B166*BaseLoad!H165*IS!$B$2)</f>
        <v>120334.39422333812</v>
      </c>
      <c r="C166" s="180">
        <f>IF($A$1="Peak","-",'Base Hours'!C166*BaseLoad!I165*IS!$B$2)</f>
        <v>116234.86093590969</v>
      </c>
      <c r="D166" s="180">
        <f>IF($A$1="Peak","-",'Base Hours'!D166*BaseLoad!J165*IS!$B$2)</f>
        <v>222518.94041933145</v>
      </c>
      <c r="E166" s="180">
        <f>IF($A$1="Peak","-",'Base Hours'!E166*BaseLoad!K165*IS!$B$2)</f>
        <v>425513.28099961457</v>
      </c>
      <c r="F166" s="180">
        <f>IF($A$1="Peak","-",'Base Hours'!F166*BaseLoad!L165*IS!$B$2)</f>
        <v>424526.36869990843</v>
      </c>
      <c r="G166" s="180">
        <f>IF($A$1="Peak","-",'Base Hours'!G166*BaseLoad!M165*IS!$B$2)</f>
        <v>791357.75882314425</v>
      </c>
      <c r="H166" s="180">
        <f>IF($A$1="Peak","-",'Base Hours'!H166*BaseLoad!N165*IS!$B$2)</f>
        <v>577140.07939422352</v>
      </c>
      <c r="I166" s="180">
        <f>IF($A$1="Peak","-",'Base Hours'!I166*BaseLoad!O165*IS!$B$2)</f>
        <v>517393.35602327954</v>
      </c>
      <c r="J166" s="180">
        <f>IF($A$1="Peak","-",'Base Hours'!J166*BaseLoad!P165*IS!$B$2)</f>
        <v>474365.31402364728</v>
      </c>
      <c r="K166" s="180">
        <f>IF($A$1="Peak","-",'Base Hours'!K166*BaseLoad!Q165*IS!$B$2)</f>
        <v>407145.63329582399</v>
      </c>
      <c r="L166" s="180">
        <f>IF($A$1="Peak","-",'Base Hours'!L166*BaseLoad!R165*IS!$B$2)</f>
        <v>407145.63329582399</v>
      </c>
      <c r="M166" s="180">
        <f>IF($A$1="Peak","-",'Base Hours'!M166*BaseLoad!S165*IS!$B$2)</f>
        <v>407145.63329582399</v>
      </c>
      <c r="N166" s="180">
        <f>IF($A$1="Peak","-",'Base Hours'!N166*BaseLoad!T165*IS!$B$2)</f>
        <v>407144.44162917737</v>
      </c>
      <c r="O166" s="180">
        <f>IF($A$1="Peak","-",'Base Hours'!O166*BaseLoad!U165*IS!$B$2)</f>
        <v>403716.10303602065</v>
      </c>
      <c r="P166" s="180">
        <f>IF($A$1="Peak","-",'Base Hours'!P166*BaseLoad!V165*IS!$B$2)</f>
        <v>403704.1064245759</v>
      </c>
      <c r="Q166" s="180">
        <f>IF($A$1="Peak","-",'Base Hours'!Q166*BaseLoad!W165*IS!$B$2)</f>
        <v>403704.1064245759</v>
      </c>
      <c r="R166" s="180">
        <f>IF($A$1="Peak","-",'Base Hours'!R166*BaseLoad!X165*IS!$B$2)</f>
        <v>403704.1064245759</v>
      </c>
      <c r="S166" s="180">
        <f>IF($A$1="Peak","-",'Base Hours'!S166*BaseLoad!Y165*IS!$B$2)</f>
        <v>403703.905683277</v>
      </c>
      <c r="T166" s="180">
        <f>IF($A$1="Peak","-",'Base Hours'!T166*BaseLoad!Z165*IS!$B$2)</f>
        <v>403702.65711921005</v>
      </c>
      <c r="U166" s="180">
        <f>IF($A$1="Peak","-",'Base Hours'!U166*BaseLoad!AA165*IS!$B$2)</f>
        <v>937292.5444553186</v>
      </c>
      <c r="V166" s="180">
        <f t="shared" si="6"/>
        <v>7720200.6801712802</v>
      </c>
      <c r="W166" s="180"/>
      <c r="X166" s="180"/>
      <c r="Y166" s="212"/>
      <c r="Z166" s="212">
        <f>(BaseLoad!C165*'Base Hours'!V166*IS!$B$2)*-1</f>
        <v>-1939983.224501851</v>
      </c>
      <c r="AA166" s="212"/>
      <c r="AB166" s="212">
        <f>(BaseLoad!D165*'Base Hours'!V166*IS!$B$2)*-1</f>
        <v>-187394.51448415362</v>
      </c>
      <c r="AC166" s="212"/>
      <c r="AD166" s="212">
        <f>(BaseLoad!E165*'Base Hours'!V166*IS!$B$2)*-1</f>
        <v>-1327166.370995135</v>
      </c>
      <c r="AE166" s="212"/>
      <c r="AF166" s="212">
        <f>(BaseLoad!F165*'Base Hours'!V166*IS!$B$2)*-1</f>
        <v>-106625.46649724468</v>
      </c>
      <c r="AG166" s="212"/>
    </row>
    <row r="167" spans="1:33" x14ac:dyDescent="0.2">
      <c r="A167" s="1">
        <f t="shared" si="5"/>
        <v>41315.469000000201</v>
      </c>
      <c r="B167" s="180">
        <f>IF($A$1="Peak","-",'Base Hours'!B167*BaseLoad!H166*IS!$B$2)</f>
        <v>172116.36167003572</v>
      </c>
      <c r="C167" s="180">
        <f>IF($A$1="Peak","-",'Base Hours'!C167*BaseLoad!I166*IS!$B$2)</f>
        <v>151031.4981376807</v>
      </c>
      <c r="D167" s="180">
        <f>IF($A$1="Peak","-",'Base Hours'!D167*BaseLoad!J166*IS!$B$2)</f>
        <v>217880.99734739994</v>
      </c>
      <c r="E167" s="180">
        <f>IF($A$1="Peak","-",'Base Hours'!E167*BaseLoad!K166*IS!$B$2)</f>
        <v>365856.66635243077</v>
      </c>
      <c r="F167" s="180">
        <f>IF($A$1="Peak","-",'Base Hours'!F167*BaseLoad!L166*IS!$B$2)</f>
        <v>343598.20508453506</v>
      </c>
      <c r="G167" s="180">
        <f>IF($A$1="Peak","-",'Base Hours'!G167*BaseLoad!M166*IS!$B$2)</f>
        <v>639921.78416059725</v>
      </c>
      <c r="H167" s="180">
        <f>IF($A$1="Peak","-",'Base Hours'!H167*BaseLoad!N166*IS!$B$2)</f>
        <v>599185.27436484536</v>
      </c>
      <c r="I167" s="180">
        <f>IF($A$1="Peak","-",'Base Hours'!I167*BaseLoad!O166*IS!$B$2)</f>
        <v>596178.81614668574</v>
      </c>
      <c r="J167" s="180">
        <f>IF($A$1="Peak","-",'Base Hours'!J167*BaseLoad!P166*IS!$B$2)</f>
        <v>546275.90173089807</v>
      </c>
      <c r="K167" s="180">
        <f>IF($A$1="Peak","-",'Base Hours'!K167*BaseLoad!Q166*IS!$B$2)</f>
        <v>424895.50932678126</v>
      </c>
      <c r="L167" s="180">
        <f>IF($A$1="Peak","-",'Base Hours'!L167*BaseLoad!R166*IS!$B$2)</f>
        <v>409613.04488296417</v>
      </c>
      <c r="M167" s="180">
        <f>IF($A$1="Peak","-",'Base Hours'!M167*BaseLoad!S166*IS!$B$2)</f>
        <v>370675.31414391706</v>
      </c>
      <c r="N167" s="180">
        <f>IF($A$1="Peak","-",'Base Hours'!N167*BaseLoad!T166*IS!$B$2)</f>
        <v>351279.19461659022</v>
      </c>
      <c r="O167" s="180">
        <f>IF($A$1="Peak","-",'Base Hours'!O167*BaseLoad!U166*IS!$B$2)</f>
        <v>342164.75071566616</v>
      </c>
      <c r="P167" s="180">
        <f>IF($A$1="Peak","-",'Base Hours'!P167*BaseLoad!V166*IS!$B$2)</f>
        <v>339780.10964778339</v>
      </c>
      <c r="Q167" s="180">
        <f>IF($A$1="Peak","-",'Base Hours'!Q167*BaseLoad!W166*IS!$B$2)</f>
        <v>335877.33255922201</v>
      </c>
      <c r="R167" s="180">
        <f>IF($A$1="Peak","-",'Base Hours'!R167*BaseLoad!X166*IS!$B$2)</f>
        <v>327063.77544169931</v>
      </c>
      <c r="S167" s="180">
        <f>IF($A$1="Peak","-",'Base Hours'!S167*BaseLoad!Y166*IS!$B$2)</f>
        <v>319474.37047039921</v>
      </c>
      <c r="T167" s="180">
        <f>IF($A$1="Peak","-",'Base Hours'!T167*BaseLoad!Z166*IS!$B$2)</f>
        <v>305705.92579176661</v>
      </c>
      <c r="U167" s="180">
        <f>IF($A$1="Peak","-",'Base Hours'!U167*BaseLoad!AA166*IS!$B$2)</f>
        <v>815031.76767719991</v>
      </c>
      <c r="V167" s="180">
        <f t="shared" si="6"/>
        <v>7158574.8325918987</v>
      </c>
      <c r="W167" s="180"/>
      <c r="X167" s="180"/>
      <c r="Y167" s="212"/>
      <c r="Z167" s="212">
        <f>(BaseLoad!C166*'Base Hours'!V167*IS!$B$2)*-1</f>
        <v>-1939983.224501851</v>
      </c>
      <c r="AA167" s="212"/>
      <c r="AB167" s="212">
        <f>(BaseLoad!D166*'Base Hours'!V167*IS!$B$2)*-1</f>
        <v>-187706.83867496057</v>
      </c>
      <c r="AC167" s="212"/>
      <c r="AD167" s="212">
        <f>(BaseLoad!E166*'Base Hours'!V167*IS!$B$2)*-1</f>
        <v>-1327166.370995135</v>
      </c>
      <c r="AE167" s="212"/>
      <c r="AF167" s="212">
        <f>(BaseLoad!F166*'Base Hours'!V167*IS!$B$2)*-1</f>
        <v>-106625.46649724468</v>
      </c>
      <c r="AG167" s="212"/>
    </row>
    <row r="168" spans="1:33" x14ac:dyDescent="0.2">
      <c r="A168" s="1">
        <f t="shared" si="5"/>
        <v>41345.886000000202</v>
      </c>
      <c r="B168" s="180">
        <f>IF($A$1="Peak","-",'Base Hours'!B168*BaseLoad!H167*IS!$B$2)</f>
        <v>148453.16453446427</v>
      </c>
      <c r="C168" s="180">
        <f>IF($A$1="Peak","-",'Base Hours'!C168*BaseLoad!I167*IS!$B$2)</f>
        <v>98648.74076627061</v>
      </c>
      <c r="D168" s="180">
        <f>IF($A$1="Peak","-",'Base Hours'!D168*BaseLoad!J167*IS!$B$2)</f>
        <v>180112.29800528742</v>
      </c>
      <c r="E168" s="180">
        <f>IF($A$1="Peak","-",'Base Hours'!E168*BaseLoad!K167*IS!$B$2)</f>
        <v>336371.91470683704</v>
      </c>
      <c r="F168" s="180">
        <f>IF($A$1="Peak","-",'Base Hours'!F168*BaseLoad!L167*IS!$B$2)</f>
        <v>312502.80586667539</v>
      </c>
      <c r="G168" s="180">
        <f>IF($A$1="Peak","-",'Base Hours'!G168*BaseLoad!M167*IS!$B$2)</f>
        <v>620526.56519213819</v>
      </c>
      <c r="H168" s="180">
        <f>IF($A$1="Peak","-",'Base Hours'!H168*BaseLoad!N167*IS!$B$2)</f>
        <v>589940.69711686275</v>
      </c>
      <c r="I168" s="180">
        <f>IF($A$1="Peak","-",'Base Hours'!I168*BaseLoad!O167*IS!$B$2)</f>
        <v>477754.38761246903</v>
      </c>
      <c r="J168" s="180">
        <f>IF($A$1="Peak","-",'Base Hours'!J168*BaseLoad!P167*IS!$B$2)</f>
        <v>434178.16750232287</v>
      </c>
      <c r="K168" s="180">
        <f>IF($A$1="Peak","-",'Base Hours'!K168*BaseLoad!Q167*IS!$B$2)</f>
        <v>422041.72843692888</v>
      </c>
      <c r="L168" s="180">
        <f>IF($A$1="Peak","-",'Base Hours'!L168*BaseLoad!R167*IS!$B$2)</f>
        <v>394287.27613679995</v>
      </c>
      <c r="M168" s="180">
        <f>IF($A$1="Peak","-",'Base Hours'!M168*BaseLoad!S167*IS!$B$2)</f>
        <v>378699.08890821593</v>
      </c>
      <c r="N168" s="180">
        <f>IF($A$1="Peak","-",'Base Hours'!N168*BaseLoad!T167*IS!$B$2)</f>
        <v>365024.34599338</v>
      </c>
      <c r="O168" s="180">
        <f>IF($A$1="Peak","-",'Base Hours'!O168*BaseLoad!U167*IS!$B$2)</f>
        <v>359214.99826762872</v>
      </c>
      <c r="P168" s="180">
        <f>IF($A$1="Peak","-",'Base Hours'!P168*BaseLoad!V167*IS!$B$2)</f>
        <v>353615.76889435243</v>
      </c>
      <c r="Q168" s="180">
        <f>IF($A$1="Peak","-",'Base Hours'!Q168*BaseLoad!W167*IS!$B$2)</f>
        <v>352209.16399072547</v>
      </c>
      <c r="R168" s="180">
        <f>IF($A$1="Peak","-",'Base Hours'!R168*BaseLoad!X167*IS!$B$2)</f>
        <v>345662.9828565928</v>
      </c>
      <c r="S168" s="180">
        <f>IF($A$1="Peak","-",'Base Hours'!S168*BaseLoad!Y167*IS!$B$2)</f>
        <v>336134.97492983483</v>
      </c>
      <c r="T168" s="180">
        <f>IF($A$1="Peak","-",'Base Hours'!T168*BaseLoad!Z167*IS!$B$2)</f>
        <v>328234.23356980336</v>
      </c>
      <c r="U168" s="180">
        <f>IF($A$1="Peak","-",'Base Hours'!U168*BaseLoad!AA167*IS!$B$2)</f>
        <v>843758.08544308192</v>
      </c>
      <c r="V168" s="180">
        <f t="shared" si="6"/>
        <v>6833613.3032875899</v>
      </c>
      <c r="W168" s="180"/>
      <c r="X168" s="180"/>
      <c r="Y168" s="212"/>
      <c r="Z168" s="212">
        <f>(BaseLoad!C167*'Base Hours'!V168*IS!$B$2)*-1</f>
        <v>-1939983.224501851</v>
      </c>
      <c r="AA168" s="212"/>
      <c r="AB168" s="212">
        <f>(BaseLoad!D167*'Base Hours'!V168*IS!$B$2)*-1</f>
        <v>-188019.68340608553</v>
      </c>
      <c r="AC168" s="212"/>
      <c r="AD168" s="212">
        <f>(BaseLoad!E167*'Base Hours'!V168*IS!$B$2)*-1</f>
        <v>-1327166.370995135</v>
      </c>
      <c r="AE168" s="212"/>
      <c r="AF168" s="212">
        <f>(BaseLoad!F167*'Base Hours'!V168*IS!$B$2)*-1</f>
        <v>-106625.46649724468</v>
      </c>
      <c r="AG168" s="212"/>
    </row>
    <row r="169" spans="1:33" x14ac:dyDescent="0.2">
      <c r="A169" s="1">
        <f t="shared" si="5"/>
        <v>41376.303000000204</v>
      </c>
      <c r="B169" s="180">
        <f>IF($A$1="Peak","-",'Base Hours'!B169*BaseLoad!H168*IS!$B$2)</f>
        <v>85371.991525563979</v>
      </c>
      <c r="C169" s="180">
        <f>IF($A$1="Peak","-",'Base Hours'!C169*BaseLoad!I168*IS!$B$2)</f>
        <v>80030.68757746651</v>
      </c>
      <c r="D169" s="180">
        <f>IF($A$1="Peak","-",'Base Hours'!D169*BaseLoad!J168*IS!$B$2)</f>
        <v>154913.58271751364</v>
      </c>
      <c r="E169" s="180">
        <f>IF($A$1="Peak","-",'Base Hours'!E169*BaseLoad!K168*IS!$B$2)</f>
        <v>295832.71087996179</v>
      </c>
      <c r="F169" s="180">
        <f>IF($A$1="Peak","-",'Base Hours'!F169*BaseLoad!L168*IS!$B$2)</f>
        <v>278503.27869972872</v>
      </c>
      <c r="G169" s="180">
        <f>IF($A$1="Peak","-",'Base Hours'!G169*BaseLoad!M168*IS!$B$2)</f>
        <v>531747.74262500193</v>
      </c>
      <c r="H169" s="180">
        <f>IF($A$1="Peak","-",'Base Hours'!H169*BaseLoad!N168*IS!$B$2)</f>
        <v>529399.73221634177</v>
      </c>
      <c r="I169" s="180">
        <f>IF($A$1="Peak","-",'Base Hours'!I169*BaseLoad!O168*IS!$B$2)</f>
        <v>486864.70580464549</v>
      </c>
      <c r="J169" s="180">
        <f>IF($A$1="Peak","-",'Base Hours'!J169*BaseLoad!P168*IS!$B$2)</f>
        <v>413713.43546896306</v>
      </c>
      <c r="K169" s="180">
        <f>IF($A$1="Peak","-",'Base Hours'!K169*BaseLoad!Q168*IS!$B$2)</f>
        <v>378890.33616488328</v>
      </c>
      <c r="L169" s="180">
        <f>IF($A$1="Peak","-",'Base Hours'!L169*BaseLoad!R168*IS!$B$2)</f>
        <v>372959.23949213536</v>
      </c>
      <c r="M169" s="180">
        <f>IF($A$1="Peak","-",'Base Hours'!M169*BaseLoad!S168*IS!$B$2)</f>
        <v>357382.59615148406</v>
      </c>
      <c r="N169" s="180">
        <f>IF($A$1="Peak","-",'Base Hours'!N169*BaseLoad!T168*IS!$B$2)</f>
        <v>347774.20390986878</v>
      </c>
      <c r="O169" s="180">
        <f>IF($A$1="Peak","-",'Base Hours'!O169*BaseLoad!U168*IS!$B$2)</f>
        <v>339074.33486469224</v>
      </c>
      <c r="P169" s="180">
        <f>IF($A$1="Peak","-",'Base Hours'!P169*BaseLoad!V168*IS!$B$2)</f>
        <v>329931.94352329936</v>
      </c>
      <c r="Q169" s="180">
        <f>IF($A$1="Peak","-",'Base Hours'!Q169*BaseLoad!W168*IS!$B$2)</f>
        <v>321628.00129195862</v>
      </c>
      <c r="R169" s="180">
        <f>IF($A$1="Peak","-",'Base Hours'!R169*BaseLoad!X168*IS!$B$2)</f>
        <v>309431.9743197331</v>
      </c>
      <c r="S169" s="180">
        <f>IF($A$1="Peak","-",'Base Hours'!S169*BaseLoad!Y168*IS!$B$2)</f>
        <v>303932.33195007849</v>
      </c>
      <c r="T169" s="180">
        <f>IF($A$1="Peak","-",'Base Hours'!T169*BaseLoad!Z168*IS!$B$2)</f>
        <v>297555.43793989811</v>
      </c>
      <c r="U169" s="180">
        <f>IF($A$1="Peak","-",'Base Hours'!U169*BaseLoad!AA168*IS!$B$2)</f>
        <v>766310.51721454901</v>
      </c>
      <c r="V169" s="180">
        <f t="shared" si="6"/>
        <v>6214938.2671232168</v>
      </c>
      <c r="W169" s="180"/>
      <c r="X169" s="180"/>
      <c r="Y169" s="212"/>
      <c r="Z169" s="212">
        <f>(BaseLoad!C168*'Base Hours'!V169*IS!$B$2)*-1</f>
        <v>-1939983.224501851</v>
      </c>
      <c r="AA169" s="212"/>
      <c r="AB169" s="212">
        <f>(BaseLoad!D168*'Base Hours'!V169*IS!$B$2)*-1</f>
        <v>-188333.04954509565</v>
      </c>
      <c r="AC169" s="212"/>
      <c r="AD169" s="212">
        <f>(BaseLoad!E168*'Base Hours'!V169*IS!$B$2)*-1</f>
        <v>-1327166.370995135</v>
      </c>
      <c r="AE169" s="212"/>
      <c r="AF169" s="212">
        <f>(BaseLoad!F168*'Base Hours'!V169*IS!$B$2)*-1</f>
        <v>-106625.46649724468</v>
      </c>
      <c r="AG169" s="212"/>
    </row>
    <row r="170" spans="1:33" x14ac:dyDescent="0.2">
      <c r="A170" s="1">
        <f t="shared" si="5"/>
        <v>41406.720000000205</v>
      </c>
      <c r="B170" s="180">
        <f>IF($A$1="Peak","-",'Base Hours'!B170*BaseLoad!H169*IS!$B$2)</f>
        <v>149992.26931075478</v>
      </c>
      <c r="C170" s="180">
        <f>IF($A$1="Peak","-",'Base Hours'!C170*BaseLoad!I169*IS!$B$2)</f>
        <v>90925.010888155404</v>
      </c>
      <c r="D170" s="180">
        <f>IF($A$1="Peak","-",'Base Hours'!D170*BaseLoad!J169*IS!$B$2)</f>
        <v>151119.02827997244</v>
      </c>
      <c r="E170" s="180">
        <f>IF($A$1="Peak","-",'Base Hours'!E170*BaseLoad!K169*IS!$B$2)</f>
        <v>287006.02604017261</v>
      </c>
      <c r="F170" s="180">
        <f>IF($A$1="Peak","-",'Base Hours'!F170*BaseLoad!L169*IS!$B$2)</f>
        <v>252774.16649214376</v>
      </c>
      <c r="G170" s="180">
        <f>IF($A$1="Peak","-",'Base Hours'!G170*BaseLoad!M169*IS!$B$2)</f>
        <v>471780.15193553123</v>
      </c>
      <c r="H170" s="180">
        <f>IF($A$1="Peak","-",'Base Hours'!H170*BaseLoad!N169*IS!$B$2)</f>
        <v>446917.32888869708</v>
      </c>
      <c r="I170" s="180">
        <f>IF($A$1="Peak","-",'Base Hours'!I170*BaseLoad!O169*IS!$B$2)</f>
        <v>439804.81274011871</v>
      </c>
      <c r="J170" s="180">
        <f>IF($A$1="Peak","-",'Base Hours'!J170*BaseLoad!P169*IS!$B$2)</f>
        <v>413384.57746072311</v>
      </c>
      <c r="K170" s="180">
        <f>IF($A$1="Peak","-",'Base Hours'!K170*BaseLoad!Q169*IS!$B$2)</f>
        <v>399081.34331732336</v>
      </c>
      <c r="L170" s="180">
        <f>IF($A$1="Peak","-",'Base Hours'!L170*BaseLoad!R169*IS!$B$2)</f>
        <v>381453.53231332154</v>
      </c>
      <c r="M170" s="180">
        <f>IF($A$1="Peak","-",'Base Hours'!M170*BaseLoad!S169*IS!$B$2)</f>
        <v>370562.9937406262</v>
      </c>
      <c r="N170" s="180">
        <f>IF($A$1="Peak","-",'Base Hours'!N170*BaseLoad!T169*IS!$B$2)</f>
        <v>352315.74609969667</v>
      </c>
      <c r="O170" s="180">
        <f>IF($A$1="Peak","-",'Base Hours'!O170*BaseLoad!U169*IS!$B$2)</f>
        <v>327581.18828253279</v>
      </c>
      <c r="P170" s="180">
        <f>IF($A$1="Peak","-",'Base Hours'!P170*BaseLoad!V169*IS!$B$2)</f>
        <v>316382.00335597282</v>
      </c>
      <c r="Q170" s="180">
        <f>IF($A$1="Peak","-",'Base Hours'!Q170*BaseLoad!W169*IS!$B$2)</f>
        <v>302859.85607389541</v>
      </c>
      <c r="R170" s="180">
        <f>IF($A$1="Peak","-",'Base Hours'!R170*BaseLoad!X169*IS!$B$2)</f>
        <v>298370.32344023889</v>
      </c>
      <c r="S170" s="180">
        <f>IF($A$1="Peak","-",'Base Hours'!S170*BaseLoad!Y169*IS!$B$2)</f>
        <v>293246.84710086789</v>
      </c>
      <c r="T170" s="180">
        <f>IF($A$1="Peak","-",'Base Hours'!T170*BaseLoad!Z169*IS!$B$2)</f>
        <v>289071.08700132609</v>
      </c>
      <c r="U170" s="180">
        <f>IF($A$1="Peak","-",'Base Hours'!U170*BaseLoad!AA169*IS!$B$2)</f>
        <v>777615.47995886661</v>
      </c>
      <c r="V170" s="180">
        <f t="shared" si="6"/>
        <v>6034628.2927620709</v>
      </c>
      <c r="W170" s="180"/>
      <c r="X170" s="180"/>
      <c r="Y170" s="212"/>
      <c r="Z170" s="212">
        <f>(BaseLoad!C169*'Base Hours'!V170*IS!$B$2)*-1</f>
        <v>-1939983.224501851</v>
      </c>
      <c r="AA170" s="212"/>
      <c r="AB170" s="212">
        <f>(BaseLoad!D169*'Base Hours'!V170*IS!$B$2)*-1</f>
        <v>-188646.93796100415</v>
      </c>
      <c r="AC170" s="212"/>
      <c r="AD170" s="212">
        <f>(BaseLoad!E169*'Base Hours'!V170*IS!$B$2)*-1</f>
        <v>-1327166.370995135</v>
      </c>
      <c r="AE170" s="212"/>
      <c r="AF170" s="212">
        <f>(BaseLoad!F169*'Base Hours'!V170*IS!$B$2)*-1</f>
        <v>-106625.46649724468</v>
      </c>
      <c r="AG170" s="212"/>
    </row>
    <row r="171" spans="1:33" x14ac:dyDescent="0.2">
      <c r="A171" s="1">
        <f t="shared" si="5"/>
        <v>41437.137000000206</v>
      </c>
      <c r="B171" s="180">
        <f>IF($A$1="Peak","-",'Base Hours'!B171*BaseLoad!H170*IS!$B$2)</f>
        <v>190600.81158229668</v>
      </c>
      <c r="C171" s="180">
        <f>IF($A$1="Peak","-",'Base Hours'!C171*BaseLoad!I170*IS!$B$2)</f>
        <v>174904.74449203859</v>
      </c>
      <c r="D171" s="180">
        <f>IF($A$1="Peak","-",'Base Hours'!D171*BaseLoad!J170*IS!$B$2)</f>
        <v>314187.5130295885</v>
      </c>
      <c r="E171" s="180">
        <f>IF($A$1="Peak","-",'Base Hours'!E171*BaseLoad!K170*IS!$B$2)</f>
        <v>465178.83293777093</v>
      </c>
      <c r="F171" s="180">
        <f>IF($A$1="Peak","-",'Base Hours'!F171*BaseLoad!L170*IS!$B$2)</f>
        <v>380046.45048925118</v>
      </c>
      <c r="G171" s="180">
        <f>IF($A$1="Peak","-",'Base Hours'!G171*BaseLoad!M170*IS!$B$2)</f>
        <v>685672.19310608658</v>
      </c>
      <c r="H171" s="180">
        <f>IF($A$1="Peak","-",'Base Hours'!H171*BaseLoad!N170*IS!$B$2)</f>
        <v>626667.58886114217</v>
      </c>
      <c r="I171" s="180">
        <f>IF($A$1="Peak","-",'Base Hours'!I171*BaseLoad!O170*IS!$B$2)</f>
        <v>504900.68100182427</v>
      </c>
      <c r="J171" s="180">
        <f>IF($A$1="Peak","-",'Base Hours'!J171*BaseLoad!P170*IS!$B$2)</f>
        <v>443712.6923133065</v>
      </c>
      <c r="K171" s="180">
        <f>IF($A$1="Peak","-",'Base Hours'!K171*BaseLoad!Q170*IS!$B$2)</f>
        <v>348115.48350965808</v>
      </c>
      <c r="L171" s="180">
        <f>IF($A$1="Peak","-",'Base Hours'!L171*BaseLoad!R170*IS!$B$2)</f>
        <v>327738.53192286694</v>
      </c>
      <c r="M171" s="180">
        <f>IF($A$1="Peak","-",'Base Hours'!M171*BaseLoad!S170*IS!$B$2)</f>
        <v>324802.66988620331</v>
      </c>
      <c r="N171" s="180">
        <f>IF($A$1="Peak","-",'Base Hours'!N171*BaseLoad!T170*IS!$B$2)</f>
        <v>324802.57662375533</v>
      </c>
      <c r="O171" s="180">
        <f>IF($A$1="Peak","-",'Base Hours'!O171*BaseLoad!U170*IS!$B$2)</f>
        <v>324802.57662375533</v>
      </c>
      <c r="P171" s="180">
        <f>IF($A$1="Peak","-",'Base Hours'!P171*BaseLoad!V170*IS!$B$2)</f>
        <v>324801.80040771334</v>
      </c>
      <c r="Q171" s="180">
        <f>IF($A$1="Peak","-",'Base Hours'!Q171*BaseLoad!W170*IS!$B$2)</f>
        <v>324798.86315431556</v>
      </c>
      <c r="R171" s="180">
        <f>IF($A$1="Peak","-",'Base Hours'!R171*BaseLoad!X170*IS!$B$2)</f>
        <v>324798.86315431556</v>
      </c>
      <c r="S171" s="180">
        <f>IF($A$1="Peak","-",'Base Hours'!S171*BaseLoad!Y170*IS!$B$2)</f>
        <v>324742.67364043859</v>
      </c>
      <c r="T171" s="180">
        <f>IF($A$1="Peak","-",'Base Hours'!T171*BaseLoad!Z170*IS!$B$2)</f>
        <v>314414.75404301495</v>
      </c>
      <c r="U171" s="180">
        <f>IF($A$1="Peak","-",'Base Hours'!U171*BaseLoad!AA170*IS!$B$2)</f>
        <v>763734.33676807559</v>
      </c>
      <c r="V171" s="180">
        <f t="shared" si="6"/>
        <v>7049690.3007793417</v>
      </c>
      <c r="W171" s="180"/>
      <c r="X171" s="180"/>
      <c r="Y171" s="212"/>
      <c r="Z171" s="212">
        <f>(BaseLoad!C170*'Base Hours'!V171*IS!$B$2)*-1</f>
        <v>-1939983.224501851</v>
      </c>
      <c r="AA171" s="212"/>
      <c r="AB171" s="212">
        <f>(BaseLoad!D170*'Base Hours'!V171*IS!$B$2)*-1</f>
        <v>-188961.34952427252</v>
      </c>
      <c r="AC171" s="212"/>
      <c r="AD171" s="212">
        <f>(BaseLoad!E170*'Base Hours'!V171*IS!$B$2)*-1</f>
        <v>-1327166.370995135</v>
      </c>
      <c r="AE171" s="212"/>
      <c r="AF171" s="212">
        <f>(BaseLoad!F170*'Base Hours'!V171*IS!$B$2)*-1</f>
        <v>-106625.46649724468</v>
      </c>
      <c r="AG171" s="212"/>
    </row>
    <row r="172" spans="1:33" x14ac:dyDescent="0.2">
      <c r="A172" s="1">
        <f t="shared" si="5"/>
        <v>41467.554000000207</v>
      </c>
      <c r="B172" s="180">
        <f>IF($A$1="Peak","-",'Base Hours'!B172*BaseLoad!H171*IS!$B$2)</f>
        <v>338618.16802507831</v>
      </c>
      <c r="C172" s="180">
        <f>IF($A$1="Peak","-",'Base Hours'!C172*BaseLoad!I171*IS!$B$2)</f>
        <v>269143.1811349371</v>
      </c>
      <c r="D172" s="180">
        <f>IF($A$1="Peak","-",'Base Hours'!D172*BaseLoad!J171*IS!$B$2)</f>
        <v>490906.22510440118</v>
      </c>
      <c r="E172" s="180">
        <f>IF($A$1="Peak","-",'Base Hours'!E172*BaseLoad!K171*IS!$B$2)</f>
        <v>875163.52716705832</v>
      </c>
      <c r="F172" s="180">
        <f>IF($A$1="Peak","-",'Base Hours'!F172*BaseLoad!L171*IS!$B$2)</f>
        <v>786920.81908213219</v>
      </c>
      <c r="G172" s="180">
        <f>IF($A$1="Peak","-",'Base Hours'!G172*BaseLoad!M171*IS!$B$2)</f>
        <v>1414749.1722415672</v>
      </c>
      <c r="H172" s="180">
        <f>IF($A$1="Peak","-",'Base Hours'!H172*BaseLoad!N171*IS!$B$2)</f>
        <v>960812.54501791974</v>
      </c>
      <c r="I172" s="180">
        <f>IF($A$1="Peak","-",'Base Hours'!I172*BaseLoad!O171*IS!$B$2)</f>
        <v>541902.17295750347</v>
      </c>
      <c r="J172" s="180">
        <f>IF($A$1="Peak","-",'Base Hours'!J172*BaseLoad!P171*IS!$B$2)</f>
        <v>459007.08134498354</v>
      </c>
      <c r="K172" s="180">
        <f>IF($A$1="Peak","-",'Base Hours'!K172*BaseLoad!Q171*IS!$B$2)</f>
        <v>429582.37788339989</v>
      </c>
      <c r="L172" s="180">
        <f>IF($A$1="Peak","-",'Base Hours'!L172*BaseLoad!R171*IS!$B$2)</f>
        <v>398241.166050851</v>
      </c>
      <c r="M172" s="180">
        <f>IF($A$1="Peak","-",'Base Hours'!M172*BaseLoad!S171*IS!$B$2)</f>
        <v>369519.46516370203</v>
      </c>
      <c r="N172" s="180">
        <f>IF($A$1="Peak","-",'Base Hours'!N172*BaseLoad!T171*IS!$B$2)</f>
        <v>333685.86332725402</v>
      </c>
      <c r="O172" s="180">
        <f>IF($A$1="Peak","-",'Base Hours'!O172*BaseLoad!U171*IS!$B$2)</f>
        <v>315793.08930059266</v>
      </c>
      <c r="P172" s="180">
        <f>IF($A$1="Peak","-",'Base Hours'!P172*BaseLoad!V171*IS!$B$2)</f>
        <v>312482.93734964827</v>
      </c>
      <c r="Q172" s="180">
        <f>IF($A$1="Peak","-",'Base Hours'!Q172*BaseLoad!W171*IS!$B$2)</f>
        <v>303975.28915544797</v>
      </c>
      <c r="R172" s="180">
        <f>IF($A$1="Peak","-",'Base Hours'!R172*BaseLoad!X171*IS!$B$2)</f>
        <v>290899.88780787075</v>
      </c>
      <c r="S172" s="180">
        <f>IF($A$1="Peak","-",'Base Hours'!S172*BaseLoad!Y171*IS!$B$2)</f>
        <v>274611.75883348862</v>
      </c>
      <c r="T172" s="180">
        <f>IF($A$1="Peak","-",'Base Hours'!T172*BaseLoad!Z171*IS!$B$2)</f>
        <v>258861.15200809742</v>
      </c>
      <c r="U172" s="180">
        <f>IF($A$1="Peak","-",'Base Hours'!U172*BaseLoad!AA171*IS!$B$2)</f>
        <v>658850.58189316059</v>
      </c>
      <c r="V172" s="180">
        <f t="shared" si="6"/>
        <v>8668977.2886075266</v>
      </c>
      <c r="W172" s="180"/>
      <c r="X172" s="180"/>
      <c r="Y172" s="212"/>
      <c r="Z172" s="212">
        <f>(BaseLoad!C171*'Base Hours'!V172*IS!$B$2)*-1</f>
        <v>-1939983.224501851</v>
      </c>
      <c r="AA172" s="212"/>
      <c r="AB172" s="212">
        <f>(BaseLoad!D171*'Base Hours'!V172*IS!$B$2)*-1</f>
        <v>-189276.28510681295</v>
      </c>
      <c r="AC172" s="212"/>
      <c r="AD172" s="212">
        <f>(BaseLoad!E171*'Base Hours'!V172*IS!$B$2)*-1</f>
        <v>-1327166.370995135</v>
      </c>
      <c r="AE172" s="212"/>
      <c r="AF172" s="212">
        <f>(BaseLoad!F171*'Base Hours'!V172*IS!$B$2)*-1</f>
        <v>-106625.46649724468</v>
      </c>
      <c r="AG172" s="212"/>
    </row>
    <row r="173" spans="1:33" x14ac:dyDescent="0.2">
      <c r="A173" s="1">
        <f t="shared" si="5"/>
        <v>41497.971000000209</v>
      </c>
      <c r="B173" s="180">
        <f>IF($A$1="Peak","-",'Base Hours'!B173*BaseLoad!H172*IS!$B$2)</f>
        <v>386971.95302858215</v>
      </c>
      <c r="C173" s="180">
        <f>IF($A$1="Peak","-",'Base Hours'!C173*BaseLoad!I172*IS!$B$2)</f>
        <v>273616.10320987925</v>
      </c>
      <c r="D173" s="180">
        <f>IF($A$1="Peak","-",'Base Hours'!D173*BaseLoad!J172*IS!$B$2)</f>
        <v>489361.34315680264</v>
      </c>
      <c r="E173" s="180">
        <f>IF($A$1="Peak","-",'Base Hours'!E173*BaseLoad!K172*IS!$B$2)</f>
        <v>852213.49465159711</v>
      </c>
      <c r="F173" s="180">
        <f>IF($A$1="Peak","-",'Base Hours'!F173*BaseLoad!L172*IS!$B$2)</f>
        <v>750356.4704547124</v>
      </c>
      <c r="G173" s="180">
        <f>IF($A$1="Peak","-",'Base Hours'!G173*BaseLoad!M172*IS!$B$2)</f>
        <v>1275853.2669113749</v>
      </c>
      <c r="H173" s="180">
        <f>IF($A$1="Peak","-",'Base Hours'!H173*BaseLoad!N172*IS!$B$2)</f>
        <v>821357.96400861174</v>
      </c>
      <c r="I173" s="180">
        <f>IF($A$1="Peak","-",'Base Hours'!I173*BaseLoad!O172*IS!$B$2)</f>
        <v>674930.55768555251</v>
      </c>
      <c r="J173" s="180">
        <f>IF($A$1="Peak","-",'Base Hours'!J173*BaseLoad!P172*IS!$B$2)</f>
        <v>615836.55636128783</v>
      </c>
      <c r="K173" s="180">
        <f>IF($A$1="Peak","-",'Base Hours'!K173*BaseLoad!Q172*IS!$B$2)</f>
        <v>479615.96475184761</v>
      </c>
      <c r="L173" s="180">
        <f>IF($A$1="Peak","-",'Base Hours'!L173*BaseLoad!R172*IS!$B$2)</f>
        <v>410473.91660212982</v>
      </c>
      <c r="M173" s="180">
        <f>IF($A$1="Peak","-",'Base Hours'!M173*BaseLoad!S172*IS!$B$2)</f>
        <v>344108.14524276374</v>
      </c>
      <c r="N173" s="180">
        <f>IF($A$1="Peak","-",'Base Hours'!N173*BaseLoad!T172*IS!$B$2)</f>
        <v>324401.27024300006</v>
      </c>
      <c r="O173" s="180">
        <f>IF($A$1="Peak","-",'Base Hours'!O173*BaseLoad!U172*IS!$B$2)</f>
        <v>315689.84733837075</v>
      </c>
      <c r="P173" s="180">
        <f>IF($A$1="Peak","-",'Base Hours'!P173*BaseLoad!V172*IS!$B$2)</f>
        <v>313758.60618135496</v>
      </c>
      <c r="Q173" s="180">
        <f>IF($A$1="Peak","-",'Base Hours'!Q173*BaseLoad!W172*IS!$B$2)</f>
        <v>313758.60618135496</v>
      </c>
      <c r="R173" s="180">
        <f>IF($A$1="Peak","-",'Base Hours'!R173*BaseLoad!X172*IS!$B$2)</f>
        <v>313758.60618135496</v>
      </c>
      <c r="S173" s="180">
        <f>IF($A$1="Peak","-",'Base Hours'!S173*BaseLoad!Y172*IS!$B$2)</f>
        <v>313756.56979168393</v>
      </c>
      <c r="T173" s="180">
        <f>IF($A$1="Peak","-",'Base Hours'!T173*BaseLoad!Z172*IS!$B$2)</f>
        <v>313754.87709478964</v>
      </c>
      <c r="U173" s="180">
        <f>IF($A$1="Peak","-",'Base Hours'!U173*BaseLoad!AA172*IS!$B$2)</f>
        <v>795434.74687772116</v>
      </c>
      <c r="V173" s="180">
        <f t="shared" si="6"/>
        <v>9103155.5990433991</v>
      </c>
      <c r="W173" s="180"/>
      <c r="X173" s="180"/>
      <c r="Y173" s="212"/>
      <c r="Z173" s="212">
        <f>(BaseLoad!C172*'Base Hours'!V173*IS!$B$2)*-1</f>
        <v>-1939983.224501851</v>
      </c>
      <c r="AA173" s="212"/>
      <c r="AB173" s="212">
        <f>(BaseLoad!D172*'Base Hours'!V173*IS!$B$2)*-1</f>
        <v>-189591.74558199101</v>
      </c>
      <c r="AC173" s="212"/>
      <c r="AD173" s="212">
        <f>(BaseLoad!E172*'Base Hours'!V173*IS!$B$2)*-1</f>
        <v>-1327166.370995135</v>
      </c>
      <c r="AE173" s="212"/>
      <c r="AF173" s="212">
        <f>(BaseLoad!F172*'Base Hours'!V173*IS!$B$2)*-1</f>
        <v>-106625.46649724468</v>
      </c>
      <c r="AG173" s="212"/>
    </row>
    <row r="174" spans="1:33" x14ac:dyDescent="0.2">
      <c r="A174" s="1">
        <f t="shared" si="5"/>
        <v>41528.38800000021</v>
      </c>
      <c r="B174" s="180">
        <f>IF($A$1="Peak","-",'Base Hours'!B174*BaseLoad!H173*IS!$B$2)</f>
        <v>187421.25269615522</v>
      </c>
      <c r="C174" s="180">
        <f>IF($A$1="Peak","-",'Base Hours'!C174*BaseLoad!I173*IS!$B$2)</f>
        <v>173059.13806386583</v>
      </c>
      <c r="D174" s="180">
        <f>IF($A$1="Peak","-",'Base Hours'!D174*BaseLoad!J173*IS!$B$2)</f>
        <v>288622.61763049127</v>
      </c>
      <c r="E174" s="180">
        <f>IF($A$1="Peak","-",'Base Hours'!E174*BaseLoad!K173*IS!$B$2)</f>
        <v>418964.32177735091</v>
      </c>
      <c r="F174" s="180">
        <f>IF($A$1="Peak","-",'Base Hours'!F174*BaseLoad!L173*IS!$B$2)</f>
        <v>361657.69149685395</v>
      </c>
      <c r="G174" s="180">
        <f>IF($A$1="Peak","-",'Base Hours'!G174*BaseLoad!M173*IS!$B$2)</f>
        <v>670318.37395833165</v>
      </c>
      <c r="H174" s="180">
        <f>IF($A$1="Peak","-",'Base Hours'!H174*BaseLoad!N173*IS!$B$2)</f>
        <v>644523.58357204765</v>
      </c>
      <c r="I174" s="180">
        <f>IF($A$1="Peak","-",'Base Hours'!I174*BaseLoad!O173*IS!$B$2)</f>
        <v>463968.92633316288</v>
      </c>
      <c r="J174" s="180">
        <f>IF($A$1="Peak","-",'Base Hours'!J174*BaseLoad!P173*IS!$B$2)</f>
        <v>431302.51700646337</v>
      </c>
      <c r="K174" s="180">
        <f>IF($A$1="Peak","-",'Base Hours'!K174*BaseLoad!Q173*IS!$B$2)</f>
        <v>386816.33137639129</v>
      </c>
      <c r="L174" s="180">
        <f>IF($A$1="Peak","-",'Base Hours'!L174*BaseLoad!R173*IS!$B$2)</f>
        <v>336987.12216168392</v>
      </c>
      <c r="M174" s="180">
        <f>IF($A$1="Peak","-",'Base Hours'!M174*BaseLoad!S173*IS!$B$2)</f>
        <v>322179.01079699548</v>
      </c>
      <c r="N174" s="180">
        <f>IF($A$1="Peak","-",'Base Hours'!N174*BaseLoad!T173*IS!$B$2)</f>
        <v>321630.72300519492</v>
      </c>
      <c r="O174" s="180">
        <f>IF($A$1="Peak","-",'Base Hours'!O174*BaseLoad!U173*IS!$B$2)</f>
        <v>321630.58194908366</v>
      </c>
      <c r="P174" s="180">
        <f>IF($A$1="Peak","-",'Base Hours'!P174*BaseLoad!V173*IS!$B$2)</f>
        <v>321630.58194908366</v>
      </c>
      <c r="Q174" s="180">
        <f>IF($A$1="Peak","-",'Base Hours'!Q174*BaseLoad!W173*IS!$B$2)</f>
        <v>321630.58194908366</v>
      </c>
      <c r="R174" s="180">
        <f>IF($A$1="Peak","-",'Base Hours'!R174*BaseLoad!X173*IS!$B$2)</f>
        <v>321628.20630543376</v>
      </c>
      <c r="S174" s="180">
        <f>IF($A$1="Peak","-",'Base Hours'!S174*BaseLoad!Y173*IS!$B$2)</f>
        <v>321626.84502934339</v>
      </c>
      <c r="T174" s="180">
        <f>IF($A$1="Peak","-",'Base Hours'!T174*BaseLoad!Z173*IS!$B$2)</f>
        <v>321626.84502934339</v>
      </c>
      <c r="U174" s="180">
        <f>IF($A$1="Peak","-",'Base Hours'!U174*BaseLoad!AA173*IS!$B$2)</f>
        <v>835656.58222038753</v>
      </c>
      <c r="V174" s="180">
        <f t="shared" si="6"/>
        <v>6937225.2520863619</v>
      </c>
      <c r="W174" s="180"/>
      <c r="X174" s="180"/>
      <c r="Y174" s="212"/>
      <c r="Z174" s="212">
        <f>(BaseLoad!C173*'Base Hours'!V174*IS!$B$2)*-1</f>
        <v>-1939983.224501851</v>
      </c>
      <c r="AA174" s="212"/>
      <c r="AB174" s="212">
        <f>(BaseLoad!D173*'Base Hours'!V174*IS!$B$2)*-1</f>
        <v>-189907.73182462767</v>
      </c>
      <c r="AC174" s="212"/>
      <c r="AD174" s="212">
        <f>(BaseLoad!E173*'Base Hours'!V174*IS!$B$2)*-1</f>
        <v>-1327166.370995135</v>
      </c>
      <c r="AE174" s="212"/>
      <c r="AF174" s="212">
        <f>(BaseLoad!F173*'Base Hours'!V174*IS!$B$2)*-1</f>
        <v>-106625.46649724468</v>
      </c>
      <c r="AG174" s="212"/>
    </row>
    <row r="175" spans="1:33" x14ac:dyDescent="0.2">
      <c r="A175" s="1">
        <f t="shared" si="5"/>
        <v>41558.805000000211</v>
      </c>
      <c r="B175" s="180">
        <f>IF($A$1="Peak","-",'Base Hours'!B175*BaseLoad!H174*IS!$B$2)</f>
        <v>79040.249717786806</v>
      </c>
      <c r="C175" s="180">
        <f>IF($A$1="Peak","-",'Base Hours'!C175*BaseLoad!I174*IS!$B$2)</f>
        <v>76400.260944781461</v>
      </c>
      <c r="D175" s="180">
        <f>IF($A$1="Peak","-",'Base Hours'!D175*BaseLoad!J174*IS!$B$2)</f>
        <v>152397.14898269105</v>
      </c>
      <c r="E175" s="180">
        <f>IF($A$1="Peak","-",'Base Hours'!E175*BaseLoad!K174*IS!$B$2)</f>
        <v>303958.70039723453</v>
      </c>
      <c r="F175" s="180">
        <f>IF($A$1="Peak","-",'Base Hours'!F175*BaseLoad!L174*IS!$B$2)</f>
        <v>271227.18112408498</v>
      </c>
      <c r="G175" s="180">
        <f>IF($A$1="Peak","-",'Base Hours'!G175*BaseLoad!M174*IS!$B$2)</f>
        <v>464044.39891612047</v>
      </c>
      <c r="H175" s="180">
        <f>IF($A$1="Peak","-",'Base Hours'!H175*BaseLoad!N174*IS!$B$2)</f>
        <v>428773.55376690626</v>
      </c>
      <c r="I175" s="180">
        <f>IF($A$1="Peak","-",'Base Hours'!I175*BaseLoad!O174*IS!$B$2)</f>
        <v>423012.3789527539</v>
      </c>
      <c r="J175" s="180">
        <f>IF($A$1="Peak","-",'Base Hours'!J175*BaseLoad!P174*IS!$B$2)</f>
        <v>407215.86872545775</v>
      </c>
      <c r="K175" s="180">
        <f>IF($A$1="Peak","-",'Base Hours'!K175*BaseLoad!Q174*IS!$B$2)</f>
        <v>401348.10010949802</v>
      </c>
      <c r="L175" s="180">
        <f>IF($A$1="Peak","-",'Base Hours'!L175*BaseLoad!R174*IS!$B$2)</f>
        <v>396000.53903563292</v>
      </c>
      <c r="M175" s="180">
        <f>IF($A$1="Peak","-",'Base Hours'!M175*BaseLoad!S174*IS!$B$2)</f>
        <v>391329.40897729952</v>
      </c>
      <c r="N175" s="180">
        <f>IF($A$1="Peak","-",'Base Hours'!N175*BaseLoad!T174*IS!$B$2)</f>
        <v>384501.28814887459</v>
      </c>
      <c r="O175" s="180">
        <f>IF($A$1="Peak","-",'Base Hours'!O175*BaseLoad!U174*IS!$B$2)</f>
        <v>367886.20383954933</v>
      </c>
      <c r="P175" s="180">
        <f>IF($A$1="Peak","-",'Base Hours'!P175*BaseLoad!V174*IS!$B$2)</f>
        <v>348572.44100995705</v>
      </c>
      <c r="Q175" s="180">
        <f>IF($A$1="Peak","-",'Base Hours'!Q175*BaseLoad!W174*IS!$B$2)</f>
        <v>342601.47456111293</v>
      </c>
      <c r="R175" s="180">
        <f>IF($A$1="Peak","-",'Base Hours'!R175*BaseLoad!X174*IS!$B$2)</f>
        <v>321758.12244024838</v>
      </c>
      <c r="S175" s="180">
        <f>IF($A$1="Peak","-",'Base Hours'!S175*BaseLoad!Y174*IS!$B$2)</f>
        <v>317970.78792506602</v>
      </c>
      <c r="T175" s="180">
        <f>IF($A$1="Peak","-",'Base Hours'!T175*BaseLoad!Z174*IS!$B$2)</f>
        <v>311549.24274672457</v>
      </c>
      <c r="U175" s="180">
        <f>IF($A$1="Peak","-",'Base Hours'!U175*BaseLoad!AA174*IS!$B$2)</f>
        <v>833401.19110893225</v>
      </c>
      <c r="V175" s="180">
        <f t="shared" si="6"/>
        <v>6189587.3503217809</v>
      </c>
      <c r="W175" s="180"/>
      <c r="X175" s="180"/>
      <c r="Y175" s="212"/>
      <c r="Z175" s="212">
        <f>(BaseLoad!C174*'Base Hours'!V175*IS!$B$2)*-1</f>
        <v>-1939983.224501851</v>
      </c>
      <c r="AA175" s="212"/>
      <c r="AB175" s="212">
        <f>(BaseLoad!D174*'Base Hours'!V175*IS!$B$2)*-1</f>
        <v>-190224.24471100204</v>
      </c>
      <c r="AC175" s="212"/>
      <c r="AD175" s="212">
        <f>(BaseLoad!E174*'Base Hours'!V175*IS!$B$2)*-1</f>
        <v>-1327166.370995135</v>
      </c>
      <c r="AE175" s="212"/>
      <c r="AF175" s="212">
        <f>(BaseLoad!F174*'Base Hours'!V175*IS!$B$2)*-1</f>
        <v>-106625.46649724468</v>
      </c>
      <c r="AG175" s="212"/>
    </row>
    <row r="176" spans="1:33" x14ac:dyDescent="0.2">
      <c r="A176" s="1">
        <f t="shared" si="5"/>
        <v>41589.222000000213</v>
      </c>
      <c r="B176" s="180">
        <f>IF($A$1="Peak","-",'Base Hours'!B176*BaseLoad!H175*IS!$B$2)</f>
        <v>186437.38099026607</v>
      </c>
      <c r="C176" s="180">
        <f>IF($A$1="Peak","-",'Base Hours'!C176*BaseLoad!I175*IS!$B$2)</f>
        <v>177798.43981470907</v>
      </c>
      <c r="D176" s="180">
        <f>IF($A$1="Peak","-",'Base Hours'!D176*BaseLoad!J175*IS!$B$2)</f>
        <v>343817.13850483444</v>
      </c>
      <c r="E176" s="180">
        <f>IF($A$1="Peak","-",'Base Hours'!E176*BaseLoad!K175*IS!$B$2)</f>
        <v>540417.1166270352</v>
      </c>
      <c r="F176" s="180">
        <f>IF($A$1="Peak","-",'Base Hours'!F176*BaseLoad!L175*IS!$B$2)</f>
        <v>374763.84284386371</v>
      </c>
      <c r="G176" s="180">
        <f>IF($A$1="Peak","-",'Base Hours'!G176*BaseLoad!M175*IS!$B$2)</f>
        <v>649116.62142342713</v>
      </c>
      <c r="H176" s="180">
        <f>IF($A$1="Peak","-",'Base Hours'!H176*BaseLoad!N175*IS!$B$2)</f>
        <v>595783.68493883428</v>
      </c>
      <c r="I176" s="180">
        <f>IF($A$1="Peak","-",'Base Hours'!I176*BaseLoad!O175*IS!$B$2)</f>
        <v>551201.36643642222</v>
      </c>
      <c r="J176" s="180">
        <f>IF($A$1="Peak","-",'Base Hours'!J176*BaseLoad!P175*IS!$B$2)</f>
        <v>543524.71790425526</v>
      </c>
      <c r="K176" s="180">
        <f>IF($A$1="Peak","-",'Base Hours'!K176*BaseLoad!Q175*IS!$B$2)</f>
        <v>520241.14830176631</v>
      </c>
      <c r="L176" s="180">
        <f>IF($A$1="Peak","-",'Base Hours'!L176*BaseLoad!R175*IS!$B$2)</f>
        <v>412487.2907520755</v>
      </c>
      <c r="M176" s="180">
        <f>IF($A$1="Peak","-",'Base Hours'!M176*BaseLoad!S175*IS!$B$2)</f>
        <v>380624.39107359719</v>
      </c>
      <c r="N176" s="180">
        <f>IF($A$1="Peak","-",'Base Hours'!N176*BaseLoad!T175*IS!$B$2)</f>
        <v>339093.59235882934</v>
      </c>
      <c r="O176" s="180">
        <f>IF($A$1="Peak","-",'Base Hours'!O176*BaseLoad!U175*IS!$B$2)</f>
        <v>312801.87012554222</v>
      </c>
      <c r="P176" s="180">
        <f>IF($A$1="Peak","-",'Base Hours'!P176*BaseLoad!V175*IS!$B$2)</f>
        <v>310537.36915974721</v>
      </c>
      <c r="Q176" s="180">
        <f>IF($A$1="Peak","-",'Base Hours'!Q176*BaseLoad!W175*IS!$B$2)</f>
        <v>302568.58804089908</v>
      </c>
      <c r="R176" s="180">
        <f>IF($A$1="Peak","-",'Base Hours'!R176*BaseLoad!X175*IS!$B$2)</f>
        <v>293080.07711658889</v>
      </c>
      <c r="S176" s="180">
        <f>IF($A$1="Peak","-",'Base Hours'!S176*BaseLoad!Y175*IS!$B$2)</f>
        <v>285203.27169610537</v>
      </c>
      <c r="T176" s="180">
        <f>IF($A$1="Peak","-",'Base Hours'!T176*BaseLoad!Z175*IS!$B$2)</f>
        <v>279203.14817074634</v>
      </c>
      <c r="U176" s="180">
        <f>IF($A$1="Peak","-",'Base Hours'!U176*BaseLoad!AA175*IS!$B$2)</f>
        <v>757938.88035072817</v>
      </c>
      <c r="V176" s="180">
        <f t="shared" si="6"/>
        <v>7398701.0562795456</v>
      </c>
      <c r="W176" s="180"/>
      <c r="X176" s="180"/>
      <c r="Y176" s="212"/>
      <c r="Z176" s="212">
        <f>(BaseLoad!C175*'Base Hours'!V176*IS!$B$2)*-1</f>
        <v>-1939983.224501851</v>
      </c>
      <c r="AA176" s="212"/>
      <c r="AB176" s="212">
        <f>(BaseLoad!D175*'Base Hours'!V176*IS!$B$2)*-1</f>
        <v>-190541.28511885373</v>
      </c>
      <c r="AC176" s="212"/>
      <c r="AD176" s="212">
        <f>(BaseLoad!E175*'Base Hours'!V176*IS!$B$2)*-1</f>
        <v>-1327166.370995135</v>
      </c>
      <c r="AE176" s="212"/>
      <c r="AF176" s="212">
        <f>(BaseLoad!F175*'Base Hours'!V176*IS!$B$2)*-1</f>
        <v>-106625.46649724468</v>
      </c>
      <c r="AG176" s="212"/>
    </row>
    <row r="177" spans="1:33" x14ac:dyDescent="0.2">
      <c r="A177" s="1">
        <f t="shared" si="5"/>
        <v>41619.639000000214</v>
      </c>
      <c r="B177" s="180">
        <f>IF($A$1="Peak","-",'Base Hours'!B177*BaseLoad!H176*IS!$B$2)</f>
        <v>186633.19595246605</v>
      </c>
      <c r="C177" s="180">
        <f>IF($A$1="Peak","-",'Base Hours'!C177*BaseLoad!I176*IS!$B$2)</f>
        <v>178518.94179210844</v>
      </c>
      <c r="D177" s="180">
        <f>IF($A$1="Peak","-",'Base Hours'!D177*BaseLoad!J176*IS!$B$2)</f>
        <v>345602.3546016459</v>
      </c>
      <c r="E177" s="180">
        <f>IF($A$1="Peak","-",'Base Hours'!E177*BaseLoad!K176*IS!$B$2)</f>
        <v>600258.31711695949</v>
      </c>
      <c r="F177" s="180">
        <f>IF($A$1="Peak","-",'Base Hours'!F177*BaseLoad!L176*IS!$B$2)</f>
        <v>421674.62856642134</v>
      </c>
      <c r="G177" s="180">
        <f>IF($A$1="Peak","-",'Base Hours'!G177*BaseLoad!M176*IS!$B$2)</f>
        <v>726670.31491112325</v>
      </c>
      <c r="H177" s="180">
        <f>IF($A$1="Peak","-",'Base Hours'!H177*BaseLoad!N176*IS!$B$2)</f>
        <v>675598.45374033693</v>
      </c>
      <c r="I177" s="180">
        <f>IF($A$1="Peak","-",'Base Hours'!I177*BaseLoad!O176*IS!$B$2)</f>
        <v>626303.75239383359</v>
      </c>
      <c r="J177" s="180">
        <f>IF($A$1="Peak","-",'Base Hours'!J177*BaseLoad!P176*IS!$B$2)</f>
        <v>609759.28371943533</v>
      </c>
      <c r="K177" s="180">
        <f>IF($A$1="Peak","-",'Base Hours'!K177*BaseLoad!Q176*IS!$B$2)</f>
        <v>603599.31749358599</v>
      </c>
      <c r="L177" s="180">
        <f>IF($A$1="Peak","-",'Base Hours'!L177*BaseLoad!R176*IS!$B$2)</f>
        <v>517700.50971866713</v>
      </c>
      <c r="M177" s="180">
        <f>IF($A$1="Peak","-",'Base Hours'!M177*BaseLoad!S176*IS!$B$2)</f>
        <v>425727.06891946163</v>
      </c>
      <c r="N177" s="180">
        <f>IF($A$1="Peak","-",'Base Hours'!N177*BaseLoad!T176*IS!$B$2)</f>
        <v>371875.5915365683</v>
      </c>
      <c r="O177" s="180">
        <f>IF($A$1="Peak","-",'Base Hours'!O177*BaseLoad!U176*IS!$B$2)</f>
        <v>346370.71651830786</v>
      </c>
      <c r="P177" s="180">
        <f>IF($A$1="Peak","-",'Base Hours'!P177*BaseLoad!V176*IS!$B$2)</f>
        <v>331897.20581902587</v>
      </c>
      <c r="Q177" s="180">
        <f>IF($A$1="Peak","-",'Base Hours'!Q177*BaseLoad!W176*IS!$B$2)</f>
        <v>309798.59335067408</v>
      </c>
      <c r="R177" s="180">
        <f>IF($A$1="Peak","-",'Base Hours'!R177*BaseLoad!X176*IS!$B$2)</f>
        <v>308051.80169779441</v>
      </c>
      <c r="S177" s="180">
        <f>IF($A$1="Peak","-",'Base Hours'!S177*BaseLoad!Y176*IS!$B$2)</f>
        <v>305925.21986200404</v>
      </c>
      <c r="T177" s="180">
        <f>IF($A$1="Peak","-",'Base Hours'!T177*BaseLoad!Z176*IS!$B$2)</f>
        <v>304943.7366719601</v>
      </c>
      <c r="U177" s="180">
        <f>IF($A$1="Peak","-",'Base Hours'!U177*BaseLoad!AA176*IS!$B$2)</f>
        <v>829601.52528108482</v>
      </c>
      <c r="V177" s="180">
        <f t="shared" si="6"/>
        <v>8196909.0043823794</v>
      </c>
      <c r="W177" s="180"/>
      <c r="X177" s="180"/>
      <c r="Y177" s="212">
        <f>SUM(B166:U177)</f>
        <v>98357144.577067524</v>
      </c>
      <c r="Z177" s="212">
        <f>(BaseLoad!C176*'Base Hours'!V177*IS!$B$2)*-1</f>
        <v>-1939983.224501851</v>
      </c>
      <c r="AA177" s="212">
        <f>SUM(Z166:Z177)</f>
        <v>-23279798.69402222</v>
      </c>
      <c r="AB177" s="212">
        <f>(BaseLoad!D176*'Base Hours'!V177*IS!$B$2)*-1</f>
        <v>-190858.85392738521</v>
      </c>
      <c r="AC177" s="212">
        <f>SUM(AB166:AB177)</f>
        <v>-2269462.5198662449</v>
      </c>
      <c r="AD177" s="212">
        <f>(BaseLoad!E176*'Base Hours'!V177*IS!$B$2)*-1</f>
        <v>-1327166.370995135</v>
      </c>
      <c r="AE177" s="212">
        <f>SUM(AD166:AD177)</f>
        <v>-15925996.451941617</v>
      </c>
      <c r="AF177" s="212">
        <f>(BaseLoad!F176*'Base Hours'!V177*IS!$B$2)*-1</f>
        <v>-106625.46649724468</v>
      </c>
      <c r="AG177" s="212">
        <f>SUM(AF166:AF177)</f>
        <v>-1279505.5979669364</v>
      </c>
    </row>
    <row r="178" spans="1:33" x14ac:dyDescent="0.2">
      <c r="A178" s="1">
        <f t="shared" si="5"/>
        <v>41650.056000000215</v>
      </c>
      <c r="B178" s="180">
        <f>IF($A$1="Peak","-",'Base Hours'!B178*BaseLoad!H177*IS!$B$2)</f>
        <v>124529.57311589527</v>
      </c>
      <c r="C178" s="180">
        <f>IF($A$1="Peak","-",'Base Hours'!C178*BaseLoad!I177*IS!$B$2)</f>
        <v>118553.81708006958</v>
      </c>
      <c r="D178" s="180">
        <f>IF($A$1="Peak","-",'Base Hours'!D178*BaseLoad!J177*IS!$B$2)</f>
        <v>225630.49641654571</v>
      </c>
      <c r="E178" s="180">
        <f>IF($A$1="Peak","-",'Base Hours'!E178*BaseLoad!K177*IS!$B$2)</f>
        <v>422000.90143092937</v>
      </c>
      <c r="F178" s="180">
        <f>IF($A$1="Peak","-",'Base Hours'!F178*BaseLoad!L177*IS!$B$2)</f>
        <v>411072.8621575695</v>
      </c>
      <c r="G178" s="180">
        <f>IF($A$1="Peak","-",'Base Hours'!G178*BaseLoad!M177*IS!$B$2)</f>
        <v>805563.99151349557</v>
      </c>
      <c r="H178" s="180">
        <f>IF($A$1="Peak","-",'Base Hours'!H178*BaseLoad!N177*IS!$B$2)</f>
        <v>641982.11971235625</v>
      </c>
      <c r="I178" s="180">
        <f>IF($A$1="Peak","-",'Base Hours'!I178*BaseLoad!O177*IS!$B$2)</f>
        <v>545823.33835614054</v>
      </c>
      <c r="J178" s="180">
        <f>IF($A$1="Peak","-",'Base Hours'!J178*BaseLoad!P177*IS!$B$2)</f>
        <v>465910.9738928735</v>
      </c>
      <c r="K178" s="180">
        <f>IF($A$1="Peak","-",'Base Hours'!K178*BaseLoad!Q177*IS!$B$2)</f>
        <v>458731.01540299109</v>
      </c>
      <c r="L178" s="180">
        <f>IF($A$1="Peak","-",'Base Hours'!L178*BaseLoad!R177*IS!$B$2)</f>
        <v>418410.01171878289</v>
      </c>
      <c r="M178" s="180">
        <f>IF($A$1="Peak","-",'Base Hours'!M178*BaseLoad!S177*IS!$B$2)</f>
        <v>394036.3325983347</v>
      </c>
      <c r="N178" s="180">
        <f>IF($A$1="Peak","-",'Base Hours'!N178*BaseLoad!T177*IS!$B$2)</f>
        <v>392058.64276844275</v>
      </c>
      <c r="O178" s="180">
        <f>IF($A$1="Peak","-",'Base Hours'!O178*BaseLoad!U177*IS!$B$2)</f>
        <v>392058.61166722374</v>
      </c>
      <c r="P178" s="180">
        <f>IF($A$1="Peak","-",'Base Hours'!P178*BaseLoad!V177*IS!$B$2)</f>
        <v>392058.61166722374</v>
      </c>
      <c r="Q178" s="180">
        <f>IF($A$1="Peak","-",'Base Hours'!Q178*BaseLoad!W177*IS!$B$2)</f>
        <v>392057.83169441269</v>
      </c>
      <c r="R178" s="180">
        <f>IF($A$1="Peak","-",'Base Hours'!R178*BaseLoad!X177*IS!$B$2)</f>
        <v>392057.47192075255</v>
      </c>
      <c r="S178" s="180">
        <f>IF($A$1="Peak","-",'Base Hours'!S178*BaseLoad!Y177*IS!$B$2)</f>
        <v>392055.67633520847</v>
      </c>
      <c r="T178" s="180">
        <f>IF($A$1="Peak","-",'Base Hours'!T178*BaseLoad!Z177*IS!$B$2)</f>
        <v>390896.06856747047</v>
      </c>
      <c r="U178" s="180">
        <f>IF($A$1="Peak","-",'Base Hours'!U178*BaseLoad!AA177*IS!$B$2)</f>
        <v>994928.866674238</v>
      </c>
      <c r="V178" s="180">
        <f t="shared" si="6"/>
        <v>7775488.3480167193</v>
      </c>
      <c r="W178" s="180"/>
      <c r="X178" s="180"/>
      <c r="Y178" s="212"/>
      <c r="Z178" s="212">
        <f>(BaseLoad!C177*'Base Hours'!V178*IS!$B$2)*-1</f>
        <v>-1954119.4074493572</v>
      </c>
      <c r="AA178" s="212"/>
      <c r="AB178" s="212">
        <f>(BaseLoad!D177*'Base Hours'!V178*IS!$B$2)*-1</f>
        <v>-191176.95201726415</v>
      </c>
      <c r="AC178" s="212"/>
      <c r="AD178" s="212">
        <f>(BaseLoad!E177*'Base Hours'!V178*IS!$B$2)*-1</f>
        <v>-1477343.2712725135</v>
      </c>
      <c r="AE178" s="212"/>
      <c r="AF178" s="212">
        <f>(BaseLoad!F177*'Base Hours'!V178*IS!$B$2)*-1</f>
        <v>-110437.82577490856</v>
      </c>
      <c r="AG178" s="212"/>
    </row>
    <row r="179" spans="1:33" x14ac:dyDescent="0.2">
      <c r="A179" s="1">
        <f t="shared" si="5"/>
        <v>41680.473000000216</v>
      </c>
      <c r="B179" s="180">
        <f>IF($A$1="Peak","-",'Base Hours'!B179*BaseLoad!H178*IS!$B$2)</f>
        <v>176858.01155871898</v>
      </c>
      <c r="C179" s="180">
        <f>IF($A$1="Peak","-",'Base Hours'!C179*BaseLoad!I178*IS!$B$2)</f>
        <v>170797.06406257255</v>
      </c>
      <c r="D179" s="180">
        <f>IF($A$1="Peak","-",'Base Hours'!D179*BaseLoad!J178*IS!$B$2)</f>
        <v>332474.39445649984</v>
      </c>
      <c r="E179" s="180">
        <f>IF($A$1="Peak","-",'Base Hours'!E179*BaseLoad!K178*IS!$B$2)</f>
        <v>525163.97776032146</v>
      </c>
      <c r="F179" s="180">
        <f>IF($A$1="Peak","-",'Base Hours'!F179*BaseLoad!L178*IS!$B$2)</f>
        <v>414166.92958591896</v>
      </c>
      <c r="G179" s="180">
        <f>IF($A$1="Peak","-",'Base Hours'!G179*BaseLoad!M178*IS!$B$2)</f>
        <v>759642.01693004719</v>
      </c>
      <c r="H179" s="180">
        <f>IF($A$1="Peak","-",'Base Hours'!H179*BaseLoad!N178*IS!$B$2)</f>
        <v>718888.90851884091</v>
      </c>
      <c r="I179" s="180">
        <f>IF($A$1="Peak","-",'Base Hours'!I179*BaseLoad!O178*IS!$B$2)</f>
        <v>702913.89974835957</v>
      </c>
      <c r="J179" s="180">
        <f>IF($A$1="Peak","-",'Base Hours'!J179*BaseLoad!P178*IS!$B$2)</f>
        <v>564381.10178650112</v>
      </c>
      <c r="K179" s="180">
        <f>IF($A$1="Peak","-",'Base Hours'!K179*BaseLoad!Q178*IS!$B$2)</f>
        <v>487055.10170300788</v>
      </c>
      <c r="L179" s="180">
        <f>IF($A$1="Peak","-",'Base Hours'!L179*BaseLoad!R178*IS!$B$2)</f>
        <v>416060.99451433844</v>
      </c>
      <c r="M179" s="180">
        <f>IF($A$1="Peak","-",'Base Hours'!M179*BaseLoad!S178*IS!$B$2)</f>
        <v>404547.85598081199</v>
      </c>
      <c r="N179" s="180">
        <f>IF($A$1="Peak","-",'Base Hours'!N179*BaseLoad!T178*IS!$B$2)</f>
        <v>381144.32991324313</v>
      </c>
      <c r="O179" s="180">
        <f>IF($A$1="Peak","-",'Base Hours'!O179*BaseLoad!U178*IS!$B$2)</f>
        <v>359175.27568890905</v>
      </c>
      <c r="P179" s="180">
        <f>IF($A$1="Peak","-",'Base Hours'!P179*BaseLoad!V178*IS!$B$2)</f>
        <v>354000.54100428068</v>
      </c>
      <c r="Q179" s="180">
        <f>IF($A$1="Peak","-",'Base Hours'!Q179*BaseLoad!W178*IS!$B$2)</f>
        <v>350972.02608854539</v>
      </c>
      <c r="R179" s="180">
        <f>IF($A$1="Peak","-",'Base Hours'!R179*BaseLoad!X178*IS!$B$2)</f>
        <v>350179.48120398639</v>
      </c>
      <c r="S179" s="180">
        <f>IF($A$1="Peak","-",'Base Hours'!S179*BaseLoad!Y178*IS!$B$2)</f>
        <v>347578.39726960164</v>
      </c>
      <c r="T179" s="180">
        <f>IF($A$1="Peak","-",'Base Hours'!T179*BaseLoad!Z178*IS!$B$2)</f>
        <v>347330.12927447219</v>
      </c>
      <c r="U179" s="180">
        <f>IF($A$1="Peak","-",'Base Hours'!U179*BaseLoad!AA178*IS!$B$2)</f>
        <v>918474.03950392141</v>
      </c>
      <c r="V179" s="180">
        <f t="shared" si="6"/>
        <v>8163330.4370489763</v>
      </c>
      <c r="W179" s="180"/>
      <c r="X179" s="180"/>
      <c r="Y179" s="212"/>
      <c r="Z179" s="212">
        <f>(BaseLoad!C178*'Base Hours'!V179*IS!$B$2)*-1</f>
        <v>-1954119.4074493572</v>
      </c>
      <c r="AA179" s="212"/>
      <c r="AB179" s="212">
        <f>(BaseLoad!D178*'Base Hours'!V179*IS!$B$2)*-1</f>
        <v>-191495.58027062626</v>
      </c>
      <c r="AC179" s="212"/>
      <c r="AD179" s="212">
        <f>(BaseLoad!E178*'Base Hours'!V179*IS!$B$2)*-1</f>
        <v>-1477343.2712725135</v>
      </c>
      <c r="AE179" s="212"/>
      <c r="AF179" s="212">
        <f>(BaseLoad!F178*'Base Hours'!V179*IS!$B$2)*-1</f>
        <v>-110437.82577490856</v>
      </c>
      <c r="AG179" s="212"/>
    </row>
    <row r="180" spans="1:33" x14ac:dyDescent="0.2">
      <c r="A180" s="1">
        <f t="shared" si="5"/>
        <v>41710.890000000218</v>
      </c>
      <c r="B180" s="180">
        <f>IF($A$1="Peak","-",'Base Hours'!B180*BaseLoad!H179*IS!$B$2)</f>
        <v>114276.50436540751</v>
      </c>
      <c r="C180" s="180">
        <f>IF($A$1="Peak","-",'Base Hours'!C180*BaseLoad!I179*IS!$B$2)</f>
        <v>110093.51377869339</v>
      </c>
      <c r="D180" s="180">
        <f>IF($A$1="Peak","-",'Base Hours'!D180*BaseLoad!J179*IS!$B$2)</f>
        <v>203717.81330058436</v>
      </c>
      <c r="E180" s="180">
        <f>IF($A$1="Peak","-",'Base Hours'!E180*BaseLoad!K179*IS!$B$2)</f>
        <v>364391.57856842584</v>
      </c>
      <c r="F180" s="180">
        <f>IF($A$1="Peak","-",'Base Hours'!F180*BaseLoad!L179*IS!$B$2)</f>
        <v>348718.04143228236</v>
      </c>
      <c r="G180" s="180">
        <f>IF($A$1="Peak","-",'Base Hours'!G180*BaseLoad!M179*IS!$B$2)</f>
        <v>656562.57502357406</v>
      </c>
      <c r="H180" s="180">
        <f>IF($A$1="Peak","-",'Base Hours'!H180*BaseLoad!N179*IS!$B$2)</f>
        <v>641022.30578386318</v>
      </c>
      <c r="I180" s="180">
        <f>IF($A$1="Peak","-",'Base Hours'!I180*BaseLoad!O179*IS!$B$2)</f>
        <v>631543.44779815827</v>
      </c>
      <c r="J180" s="180">
        <f>IF($A$1="Peak","-",'Base Hours'!J180*BaseLoad!P179*IS!$B$2)</f>
        <v>482300.478572127</v>
      </c>
      <c r="K180" s="180">
        <f>IF($A$1="Peak","-",'Base Hours'!K180*BaseLoad!Q179*IS!$B$2)</f>
        <v>440510.49702138663</v>
      </c>
      <c r="L180" s="180">
        <f>IF($A$1="Peak","-",'Base Hours'!L180*BaseLoad!R179*IS!$B$2)</f>
        <v>425742.95975838241</v>
      </c>
      <c r="M180" s="180">
        <f>IF($A$1="Peak","-",'Base Hours'!M180*BaseLoad!S179*IS!$B$2)</f>
        <v>401486.94804247736</v>
      </c>
      <c r="N180" s="180">
        <f>IF($A$1="Peak","-",'Base Hours'!N180*BaseLoad!T179*IS!$B$2)</f>
        <v>332598.02357835375</v>
      </c>
      <c r="O180" s="180">
        <f>IF($A$1="Peak","-",'Base Hours'!O180*BaseLoad!U179*IS!$B$2)</f>
        <v>314601.09927758836</v>
      </c>
      <c r="P180" s="180">
        <f>IF($A$1="Peak","-",'Base Hours'!P180*BaseLoad!V179*IS!$B$2)</f>
        <v>313926.63036274101</v>
      </c>
      <c r="Q180" s="180">
        <f>IF($A$1="Peak","-",'Base Hours'!Q180*BaseLoad!W179*IS!$B$2)</f>
        <v>313926.63036274101</v>
      </c>
      <c r="R180" s="180">
        <f>IF($A$1="Peak","-",'Base Hours'!R180*BaseLoad!X179*IS!$B$2)</f>
        <v>313924.83699343447</v>
      </c>
      <c r="S180" s="180">
        <f>IF($A$1="Peak","-",'Base Hours'!S180*BaseLoad!Y179*IS!$B$2)</f>
        <v>313924.22593816585</v>
      </c>
      <c r="T180" s="180">
        <f>IF($A$1="Peak","-",'Base Hours'!T180*BaseLoad!Z179*IS!$B$2)</f>
        <v>313923.14462721639</v>
      </c>
      <c r="U180" s="180">
        <f>IF($A$1="Peak","-",'Base Hours'!U180*BaseLoad!AA179*IS!$B$2)</f>
        <v>807982.87399517791</v>
      </c>
      <c r="V180" s="180">
        <f t="shared" si="6"/>
        <v>7037191.2545856033</v>
      </c>
      <c r="W180" s="180"/>
      <c r="X180" s="180"/>
      <c r="Y180" s="212"/>
      <c r="Z180" s="212">
        <f>(BaseLoad!C179*'Base Hours'!V180*IS!$B$2)*-1</f>
        <v>-1954119.4074493572</v>
      </c>
      <c r="AA180" s="212"/>
      <c r="AB180" s="212">
        <f>(BaseLoad!D179*'Base Hours'!V180*IS!$B$2)*-1</f>
        <v>-191814.73957107734</v>
      </c>
      <c r="AC180" s="212"/>
      <c r="AD180" s="212">
        <f>(BaseLoad!E179*'Base Hours'!V180*IS!$B$2)*-1</f>
        <v>-1477343.2712725135</v>
      </c>
      <c r="AE180" s="212"/>
      <c r="AF180" s="212">
        <f>(BaseLoad!F179*'Base Hours'!V180*IS!$B$2)*-1</f>
        <v>-110437.82577490856</v>
      </c>
      <c r="AG180" s="212"/>
    </row>
    <row r="181" spans="1:33" x14ac:dyDescent="0.2">
      <c r="A181" s="1">
        <f t="shared" si="5"/>
        <v>41741.307000000219</v>
      </c>
      <c r="B181" s="180">
        <f>IF($A$1="Peak","-",'Base Hours'!B181*BaseLoad!H180*IS!$B$2)</f>
        <v>161094.48350564754</v>
      </c>
      <c r="C181" s="180">
        <f>IF($A$1="Peak","-",'Base Hours'!C181*BaseLoad!I180*IS!$B$2)</f>
        <v>111529.5705472616</v>
      </c>
      <c r="D181" s="180">
        <f>IF($A$1="Peak","-",'Base Hours'!D181*BaseLoad!J180*IS!$B$2)</f>
        <v>159468.41720481263</v>
      </c>
      <c r="E181" s="180">
        <f>IF($A$1="Peak","-",'Base Hours'!E181*BaseLoad!K180*IS!$B$2)</f>
        <v>295354.24143396708</v>
      </c>
      <c r="F181" s="180">
        <f>IF($A$1="Peak","-",'Base Hours'!F181*BaseLoad!L180*IS!$B$2)</f>
        <v>276373.9422566974</v>
      </c>
      <c r="G181" s="180">
        <f>IF($A$1="Peak","-",'Base Hours'!G181*BaseLoad!M180*IS!$B$2)</f>
        <v>529422.33634369646</v>
      </c>
      <c r="H181" s="180">
        <f>IF($A$1="Peak","-",'Base Hours'!H181*BaseLoad!N180*IS!$B$2)</f>
        <v>524366.56982291525</v>
      </c>
      <c r="I181" s="180">
        <f>IF($A$1="Peak","-",'Base Hours'!I181*BaseLoad!O180*IS!$B$2)</f>
        <v>472617.17766859283</v>
      </c>
      <c r="J181" s="180">
        <f>IF($A$1="Peak","-",'Base Hours'!J181*BaseLoad!P180*IS!$B$2)</f>
        <v>420048.26679592312</v>
      </c>
      <c r="K181" s="180">
        <f>IF($A$1="Peak","-",'Base Hours'!K181*BaseLoad!Q180*IS!$B$2)</f>
        <v>384877.7739126042</v>
      </c>
      <c r="L181" s="180">
        <f>IF($A$1="Peak","-",'Base Hours'!L181*BaseLoad!R180*IS!$B$2)</f>
        <v>376373.53355286765</v>
      </c>
      <c r="M181" s="180">
        <f>IF($A$1="Peak","-",'Base Hours'!M181*BaseLoad!S180*IS!$B$2)</f>
        <v>368889.78124119324</v>
      </c>
      <c r="N181" s="180">
        <f>IF($A$1="Peak","-",'Base Hours'!N181*BaseLoad!T180*IS!$B$2)</f>
        <v>353823.49015952944</v>
      </c>
      <c r="O181" s="180">
        <f>IF($A$1="Peak","-",'Base Hours'!O181*BaseLoad!U180*IS!$B$2)</f>
        <v>336647.85870095692</v>
      </c>
      <c r="P181" s="180">
        <f>IF($A$1="Peak","-",'Base Hours'!P181*BaseLoad!V180*IS!$B$2)</f>
        <v>322042.59127802536</v>
      </c>
      <c r="Q181" s="180">
        <f>IF($A$1="Peak","-",'Base Hours'!Q181*BaseLoad!W180*IS!$B$2)</f>
        <v>309365.35947045445</v>
      </c>
      <c r="R181" s="180">
        <f>IF($A$1="Peak","-",'Base Hours'!R181*BaseLoad!X180*IS!$B$2)</f>
        <v>303041.30613703089</v>
      </c>
      <c r="S181" s="180">
        <f>IF($A$1="Peak","-",'Base Hours'!S181*BaseLoad!Y180*IS!$B$2)</f>
        <v>295789.00608900015</v>
      </c>
      <c r="T181" s="180">
        <f>IF($A$1="Peak","-",'Base Hours'!T181*BaseLoad!Z180*IS!$B$2)</f>
        <v>284866.3378975658</v>
      </c>
      <c r="U181" s="180">
        <f>IF($A$1="Peak","-",'Base Hours'!U181*BaseLoad!AA180*IS!$B$2)</f>
        <v>758418.5347244041</v>
      </c>
      <c r="V181" s="180">
        <f t="shared" si="6"/>
        <v>6285992.0440187426</v>
      </c>
      <c r="W181" s="180"/>
      <c r="X181" s="180"/>
      <c r="Y181" s="212"/>
      <c r="Z181" s="212">
        <f>(BaseLoad!C180*'Base Hours'!V181*IS!$B$2)*-1</f>
        <v>-1954119.4074493572</v>
      </c>
      <c r="AA181" s="212"/>
      <c r="AB181" s="212">
        <f>(BaseLoad!D180*'Base Hours'!V181*IS!$B$2)*-1</f>
        <v>-192134.43080369578</v>
      </c>
      <c r="AC181" s="212"/>
      <c r="AD181" s="212">
        <f>(BaseLoad!E180*'Base Hours'!V181*IS!$B$2)*-1</f>
        <v>-1477343.2712725135</v>
      </c>
      <c r="AE181" s="212"/>
      <c r="AF181" s="212">
        <f>(BaseLoad!F180*'Base Hours'!V181*IS!$B$2)*-1</f>
        <v>-110437.82577490856</v>
      </c>
      <c r="AG181" s="212"/>
    </row>
    <row r="182" spans="1:33" x14ac:dyDescent="0.2">
      <c r="A182" s="1">
        <f t="shared" si="5"/>
        <v>41771.72400000022</v>
      </c>
      <c r="B182" s="180">
        <f>IF($A$1="Peak","-",'Base Hours'!B182*BaseLoad!H181*IS!$B$2)</f>
        <v>131974.07845918264</v>
      </c>
      <c r="C182" s="180">
        <f>IF($A$1="Peak","-",'Base Hours'!C182*BaseLoad!I181*IS!$B$2)</f>
        <v>100446.81478535268</v>
      </c>
      <c r="D182" s="180">
        <f>IF($A$1="Peak","-",'Base Hours'!D182*BaseLoad!J181*IS!$B$2)</f>
        <v>163698.5011569554</v>
      </c>
      <c r="E182" s="180">
        <f>IF($A$1="Peak","-",'Base Hours'!E182*BaseLoad!K181*IS!$B$2)</f>
        <v>298943.78623350692</v>
      </c>
      <c r="F182" s="180">
        <f>IF($A$1="Peak","-",'Base Hours'!F182*BaseLoad!L181*IS!$B$2)</f>
        <v>274524.60520398355</v>
      </c>
      <c r="G182" s="180">
        <f>IF($A$1="Peak","-",'Base Hours'!G182*BaseLoad!M181*IS!$B$2)</f>
        <v>540325.98205253191</v>
      </c>
      <c r="H182" s="180">
        <f>IF($A$1="Peak","-",'Base Hours'!H182*BaseLoad!N181*IS!$B$2)</f>
        <v>476690.69427314098</v>
      </c>
      <c r="I182" s="180">
        <f>IF($A$1="Peak","-",'Base Hours'!I182*BaseLoad!O181*IS!$B$2)</f>
        <v>421972.44716122083</v>
      </c>
      <c r="J182" s="180">
        <f>IF($A$1="Peak","-",'Base Hours'!J182*BaseLoad!P181*IS!$B$2)</f>
        <v>396208.40159794514</v>
      </c>
      <c r="K182" s="180">
        <f>IF($A$1="Peak","-",'Base Hours'!K182*BaseLoad!Q181*IS!$B$2)</f>
        <v>386166.99941480556</v>
      </c>
      <c r="L182" s="180">
        <f>IF($A$1="Peak","-",'Base Hours'!L182*BaseLoad!R181*IS!$B$2)</f>
        <v>380679.26679459796</v>
      </c>
      <c r="M182" s="180">
        <f>IF($A$1="Peak","-",'Base Hours'!M182*BaseLoad!S181*IS!$B$2)</f>
        <v>368549.1867814904</v>
      </c>
      <c r="N182" s="180">
        <f>IF($A$1="Peak","-",'Base Hours'!N182*BaseLoad!T181*IS!$B$2)</f>
        <v>348983.69512851391</v>
      </c>
      <c r="O182" s="180">
        <f>IF($A$1="Peak","-",'Base Hours'!O182*BaseLoad!U181*IS!$B$2)</f>
        <v>327324.89180606883</v>
      </c>
      <c r="P182" s="180">
        <f>IF($A$1="Peak","-",'Base Hours'!P182*BaseLoad!V181*IS!$B$2)</f>
        <v>314564.7016680509</v>
      </c>
      <c r="Q182" s="180">
        <f>IF($A$1="Peak","-",'Base Hours'!Q182*BaseLoad!W181*IS!$B$2)</f>
        <v>311190.65064673184</v>
      </c>
      <c r="R182" s="180">
        <f>IF($A$1="Peak","-",'Base Hours'!R182*BaseLoad!X181*IS!$B$2)</f>
        <v>309281.72401256795</v>
      </c>
      <c r="S182" s="180">
        <f>IF($A$1="Peak","-",'Base Hours'!S182*BaseLoad!Y181*IS!$B$2)</f>
        <v>304621.79491338192</v>
      </c>
      <c r="T182" s="180">
        <f>IF($A$1="Peak","-",'Base Hours'!T182*BaseLoad!Z181*IS!$B$2)</f>
        <v>300789.41450228263</v>
      </c>
      <c r="U182" s="180">
        <f>IF($A$1="Peak","-",'Base Hours'!U182*BaseLoad!AA181*IS!$B$2)</f>
        <v>806708.62999305828</v>
      </c>
      <c r="V182" s="180">
        <f t="shared" si="6"/>
        <v>6156937.6365923118</v>
      </c>
      <c r="W182" s="180"/>
      <c r="X182" s="180"/>
      <c r="Y182" s="212"/>
      <c r="Z182" s="212">
        <f>(BaseLoad!C181*'Base Hours'!V182*IS!$B$2)*-1</f>
        <v>-1954119.4074493572</v>
      </c>
      <c r="AA182" s="212"/>
      <c r="AB182" s="212">
        <f>(BaseLoad!D181*'Base Hours'!V182*IS!$B$2)*-1</f>
        <v>-192454.6548550353</v>
      </c>
      <c r="AC182" s="212"/>
      <c r="AD182" s="212">
        <f>(BaseLoad!E181*'Base Hours'!V182*IS!$B$2)*-1</f>
        <v>-1477343.2712725135</v>
      </c>
      <c r="AE182" s="212"/>
      <c r="AF182" s="212">
        <f>(BaseLoad!F181*'Base Hours'!V182*IS!$B$2)*-1</f>
        <v>-110437.82577490856</v>
      </c>
      <c r="AG182" s="212"/>
    </row>
    <row r="183" spans="1:33" x14ac:dyDescent="0.2">
      <c r="A183" s="1">
        <f t="shared" si="5"/>
        <v>41802.141000000222</v>
      </c>
      <c r="B183" s="180">
        <f>IF($A$1="Peak","-",'Base Hours'!B183*BaseLoad!H182*IS!$B$2)</f>
        <v>233848.15376584095</v>
      </c>
      <c r="C183" s="180">
        <f>IF($A$1="Peak","-",'Base Hours'!C183*BaseLoad!I182*IS!$B$2)</f>
        <v>214143.14855841515</v>
      </c>
      <c r="D183" s="180">
        <f>IF($A$1="Peak","-",'Base Hours'!D183*BaseLoad!J182*IS!$B$2)</f>
        <v>396496.79546041042</v>
      </c>
      <c r="E183" s="180">
        <f>IF($A$1="Peak","-",'Base Hours'!E183*BaseLoad!K182*IS!$B$2)</f>
        <v>718036.12793282757</v>
      </c>
      <c r="F183" s="180">
        <f>IF($A$1="Peak","-",'Base Hours'!F183*BaseLoad!L182*IS!$B$2)</f>
        <v>653955.8912292528</v>
      </c>
      <c r="G183" s="180">
        <f>IF($A$1="Peak","-",'Base Hours'!G183*BaseLoad!M182*IS!$B$2)</f>
        <v>698500.86720857769</v>
      </c>
      <c r="H183" s="180">
        <f>IF($A$1="Peak","-",'Base Hours'!H183*BaseLoad!N182*IS!$B$2)</f>
        <v>570370.74225886632</v>
      </c>
      <c r="I183" s="180">
        <f>IF($A$1="Peak","-",'Base Hours'!I183*BaseLoad!O182*IS!$B$2)</f>
        <v>536377.33243483223</v>
      </c>
      <c r="J183" s="180">
        <f>IF($A$1="Peak","-",'Base Hours'!J183*BaseLoad!P182*IS!$B$2)</f>
        <v>406139.10091294942</v>
      </c>
      <c r="K183" s="180">
        <f>IF($A$1="Peak","-",'Base Hours'!K183*BaseLoad!Q182*IS!$B$2)</f>
        <v>352298.82720561186</v>
      </c>
      <c r="L183" s="180">
        <f>IF($A$1="Peak","-",'Base Hours'!L183*BaseLoad!R182*IS!$B$2)</f>
        <v>320540.68806813634</v>
      </c>
      <c r="M183" s="180">
        <f>IF($A$1="Peak","-",'Base Hours'!M183*BaseLoad!S182*IS!$B$2)</f>
        <v>316168.40667029435</v>
      </c>
      <c r="N183" s="180">
        <f>IF($A$1="Peak","-",'Base Hours'!N183*BaseLoad!T182*IS!$B$2)</f>
        <v>306279.21495422482</v>
      </c>
      <c r="O183" s="180">
        <f>IF($A$1="Peak","-",'Base Hours'!O183*BaseLoad!U182*IS!$B$2)</f>
        <v>292367.88744755904</v>
      </c>
      <c r="P183" s="180">
        <f>IF($A$1="Peak","-",'Base Hours'!P183*BaseLoad!V182*IS!$B$2)</f>
        <v>280085.35786669631</v>
      </c>
      <c r="Q183" s="180">
        <f>IF($A$1="Peak","-",'Base Hours'!Q183*BaseLoad!W182*IS!$B$2)</f>
        <v>277971.61177721049</v>
      </c>
      <c r="R183" s="180">
        <f>IF($A$1="Peak","-",'Base Hours'!R183*BaseLoad!X182*IS!$B$2)</f>
        <v>277971.45743422577</v>
      </c>
      <c r="S183" s="180">
        <f>IF($A$1="Peak","-",'Base Hours'!S183*BaseLoad!Y182*IS!$B$2)</f>
        <v>277969.92005178094</v>
      </c>
      <c r="T183" s="180">
        <f>IF($A$1="Peak","-",'Base Hours'!T183*BaseLoad!Z182*IS!$B$2)</f>
        <v>277966.60113368789</v>
      </c>
      <c r="U183" s="180">
        <f>IF($A$1="Peak","-",'Base Hours'!U183*BaseLoad!AA182*IS!$B$2)</f>
        <v>746726.49024203524</v>
      </c>
      <c r="V183" s="180">
        <f t="shared" si="6"/>
        <v>7407488.1323713996</v>
      </c>
      <c r="W183" s="180"/>
      <c r="X183" s="180"/>
      <c r="Y183" s="212"/>
      <c r="Z183" s="212">
        <f>(BaseLoad!C182*'Base Hours'!V183*IS!$B$2)*-1</f>
        <v>-1954119.4074493572</v>
      </c>
      <c r="AA183" s="212"/>
      <c r="AB183" s="212">
        <f>(BaseLoad!D182*'Base Hours'!V183*IS!$B$2)*-1</f>
        <v>-192775.41261312703</v>
      </c>
      <c r="AC183" s="212"/>
      <c r="AD183" s="212">
        <f>(BaseLoad!E182*'Base Hours'!V183*IS!$B$2)*-1</f>
        <v>-1477343.2712725135</v>
      </c>
      <c r="AE183" s="212"/>
      <c r="AF183" s="212">
        <f>(BaseLoad!F182*'Base Hours'!V183*IS!$B$2)*-1</f>
        <v>-110437.82577490856</v>
      </c>
      <c r="AG183" s="212"/>
    </row>
    <row r="184" spans="1:33" x14ac:dyDescent="0.2">
      <c r="A184" s="1">
        <f t="shared" si="5"/>
        <v>41832.558000000223</v>
      </c>
      <c r="B184" s="180">
        <f>IF($A$1="Peak","-",'Base Hours'!B184*BaseLoad!H183*IS!$B$2)</f>
        <v>357753.31820593146</v>
      </c>
      <c r="C184" s="180">
        <f>IF($A$1="Peak","-",'Base Hours'!C184*BaseLoad!I183*IS!$B$2)</f>
        <v>267232.30172023631</v>
      </c>
      <c r="D184" s="180">
        <f>IF($A$1="Peak","-",'Base Hours'!D184*BaseLoad!J183*IS!$B$2)</f>
        <v>490866.72219040012</v>
      </c>
      <c r="E184" s="180">
        <f>IF($A$1="Peak","-",'Base Hours'!E184*BaseLoad!K183*IS!$B$2)</f>
        <v>884608.19127436588</v>
      </c>
      <c r="F184" s="180">
        <f>IF($A$1="Peak","-",'Base Hours'!F184*BaseLoad!L183*IS!$B$2)</f>
        <v>808892.29985378752</v>
      </c>
      <c r="G184" s="180">
        <f>IF($A$1="Peak","-",'Base Hours'!G184*BaseLoad!M183*IS!$B$2)</f>
        <v>1464022.3818545842</v>
      </c>
      <c r="H184" s="180">
        <f>IF($A$1="Peak","-",'Base Hours'!H184*BaseLoad!N183*IS!$B$2)</f>
        <v>1267056.0517087313</v>
      </c>
      <c r="I184" s="180">
        <f>IF($A$1="Peak","-",'Base Hours'!I184*BaseLoad!O183*IS!$B$2)</f>
        <v>477573.61653997935</v>
      </c>
      <c r="J184" s="180">
        <f>IF($A$1="Peak","-",'Base Hours'!J184*BaseLoad!P183*IS!$B$2)</f>
        <v>428862.66417637042</v>
      </c>
      <c r="K184" s="180">
        <f>IF($A$1="Peak","-",'Base Hours'!K184*BaseLoad!Q183*IS!$B$2)</f>
        <v>410487.21701406816</v>
      </c>
      <c r="L184" s="180">
        <f>IF($A$1="Peak","-",'Base Hours'!L184*BaseLoad!R183*IS!$B$2)</f>
        <v>385920.25504094345</v>
      </c>
      <c r="M184" s="180">
        <f>IF($A$1="Peak","-",'Base Hours'!M184*BaseLoad!S183*IS!$B$2)</f>
        <v>349837.26078757504</v>
      </c>
      <c r="N184" s="180">
        <f>IF($A$1="Peak","-",'Base Hours'!N184*BaseLoad!T183*IS!$B$2)</f>
        <v>324498.49187794881</v>
      </c>
      <c r="O184" s="180">
        <f>IF($A$1="Peak","-",'Base Hours'!O184*BaseLoad!U183*IS!$B$2)</f>
        <v>314420.82230108837</v>
      </c>
      <c r="P184" s="180">
        <f>IF($A$1="Peak","-",'Base Hours'!P184*BaseLoad!V183*IS!$B$2)</f>
        <v>304442.91128014756</v>
      </c>
      <c r="Q184" s="180">
        <f>IF($A$1="Peak","-",'Base Hours'!Q184*BaseLoad!W183*IS!$B$2)</f>
        <v>300068.60849648417</v>
      </c>
      <c r="R184" s="180">
        <f>IF($A$1="Peak","-",'Base Hours'!R184*BaseLoad!X183*IS!$B$2)</f>
        <v>293555.28652166034</v>
      </c>
      <c r="S184" s="180">
        <f>IF($A$1="Peak","-",'Base Hours'!S184*BaseLoad!Y183*IS!$B$2)</f>
        <v>288765.5119380902</v>
      </c>
      <c r="T184" s="180">
        <f>IF($A$1="Peak","-",'Base Hours'!T184*BaseLoad!Z183*IS!$B$2)</f>
        <v>276647.25490744261</v>
      </c>
      <c r="U184" s="180">
        <f>IF($A$1="Peak","-",'Base Hours'!U184*BaseLoad!AA183*IS!$B$2)</f>
        <v>694022.8447342267</v>
      </c>
      <c r="V184" s="180">
        <f t="shared" si="6"/>
        <v>8925511.6305694748</v>
      </c>
      <c r="W184" s="180"/>
      <c r="X184" s="180"/>
      <c r="Y184" s="212"/>
      <c r="Z184" s="212">
        <f>(BaseLoad!C183*'Base Hours'!V184*IS!$B$2)*-1</f>
        <v>-1954119.4074493572</v>
      </c>
      <c r="AA184" s="212"/>
      <c r="AB184" s="212">
        <f>(BaseLoad!D183*'Base Hours'!V184*IS!$B$2)*-1</f>
        <v>-193096.70496748225</v>
      </c>
      <c r="AC184" s="212"/>
      <c r="AD184" s="212">
        <f>(BaseLoad!E183*'Base Hours'!V184*IS!$B$2)*-1</f>
        <v>-1477343.2712725135</v>
      </c>
      <c r="AE184" s="212"/>
      <c r="AF184" s="212">
        <f>(BaseLoad!F183*'Base Hours'!V184*IS!$B$2)*-1</f>
        <v>-110437.82577490856</v>
      </c>
      <c r="AG184" s="212"/>
    </row>
    <row r="185" spans="1:33" x14ac:dyDescent="0.2">
      <c r="A185" s="1">
        <f t="shared" si="5"/>
        <v>41862.975000000224</v>
      </c>
      <c r="B185" s="180">
        <f>IF($A$1="Peak","-",'Base Hours'!B185*BaseLoad!H184*IS!$B$2)</f>
        <v>367106.45515965461</v>
      </c>
      <c r="C185" s="180">
        <f>IF($A$1="Peak","-",'Base Hours'!C185*BaseLoad!I184*IS!$B$2)</f>
        <v>261918.611984282</v>
      </c>
      <c r="D185" s="180">
        <f>IF($A$1="Peak","-",'Base Hours'!D185*BaseLoad!J184*IS!$B$2)</f>
        <v>472625.9184001768</v>
      </c>
      <c r="E185" s="180">
        <f>IF($A$1="Peak","-",'Base Hours'!E185*BaseLoad!K184*IS!$B$2)</f>
        <v>832222.90171452169</v>
      </c>
      <c r="F185" s="180">
        <f>IF($A$1="Peak","-",'Base Hours'!F185*BaseLoad!L184*IS!$B$2)</f>
        <v>740183.76662191632</v>
      </c>
      <c r="G185" s="180">
        <f>IF($A$1="Peak","-",'Base Hours'!G185*BaseLoad!M184*IS!$B$2)</f>
        <v>1308692.0530093419</v>
      </c>
      <c r="H185" s="180">
        <f>IF($A$1="Peak","-",'Base Hours'!H185*BaseLoad!N184*IS!$B$2)</f>
        <v>935646.93294011976</v>
      </c>
      <c r="I185" s="180">
        <f>IF($A$1="Peak","-",'Base Hours'!I185*BaseLoad!O184*IS!$B$2)</f>
        <v>838158.46738033462</v>
      </c>
      <c r="J185" s="180">
        <f>IF($A$1="Peak","-",'Base Hours'!J185*BaseLoad!P184*IS!$B$2)</f>
        <v>696311.25383212999</v>
      </c>
      <c r="K185" s="180">
        <f>IF($A$1="Peak","-",'Base Hours'!K185*BaseLoad!Q184*IS!$B$2)</f>
        <v>551926.10241961898</v>
      </c>
      <c r="L185" s="180">
        <f>IF($A$1="Peak","-",'Base Hours'!L185*BaseLoad!R184*IS!$B$2)</f>
        <v>478007.89584977058</v>
      </c>
      <c r="M185" s="180">
        <f>IF($A$1="Peak","-",'Base Hours'!M185*BaseLoad!S184*IS!$B$2)</f>
        <v>412367.01138441794</v>
      </c>
      <c r="N185" s="180">
        <f>IF($A$1="Peak","-",'Base Hours'!N185*BaseLoad!T184*IS!$B$2)</f>
        <v>400635.40409657749</v>
      </c>
      <c r="O185" s="180">
        <f>IF($A$1="Peak","-",'Base Hours'!O185*BaseLoad!U184*IS!$B$2)</f>
        <v>373454.0088143918</v>
      </c>
      <c r="P185" s="180">
        <f>IF($A$1="Peak","-",'Base Hours'!P185*BaseLoad!V184*IS!$B$2)</f>
        <v>356709.90308808687</v>
      </c>
      <c r="Q185" s="180">
        <f>IF($A$1="Peak","-",'Base Hours'!Q185*BaseLoad!W184*IS!$B$2)</f>
        <v>334647.64484927559</v>
      </c>
      <c r="R185" s="180">
        <f>IF($A$1="Peak","-",'Base Hours'!R185*BaseLoad!X184*IS!$B$2)</f>
        <v>315746.97901967057</v>
      </c>
      <c r="S185" s="180">
        <f>IF($A$1="Peak","-",'Base Hours'!S185*BaseLoad!Y184*IS!$B$2)</f>
        <v>304697.72190531698</v>
      </c>
      <c r="T185" s="180">
        <f>IF($A$1="Peak","-",'Base Hours'!T185*BaseLoad!Z184*IS!$B$2)</f>
        <v>278593.67004371097</v>
      </c>
      <c r="U185" s="180">
        <f>IF($A$1="Peak","-",'Base Hours'!U185*BaseLoad!AA184*IS!$B$2)</f>
        <v>718407.36834419682</v>
      </c>
      <c r="V185" s="180">
        <f t="shared" si="6"/>
        <v>9669368.0178481694</v>
      </c>
      <c r="W185" s="180"/>
      <c r="X185" s="180"/>
      <c r="Y185" s="212"/>
      <c r="Z185" s="212">
        <f>(BaseLoad!C184*'Base Hours'!V185*IS!$B$2)*-1</f>
        <v>-1954119.4074493572</v>
      </c>
      <c r="AA185" s="212"/>
      <c r="AB185" s="212">
        <f>(BaseLoad!D184*'Base Hours'!V185*IS!$B$2)*-1</f>
        <v>-193418.5328090947</v>
      </c>
      <c r="AC185" s="212"/>
      <c r="AD185" s="212">
        <f>(BaseLoad!E184*'Base Hours'!V185*IS!$B$2)*-1</f>
        <v>-1477343.2712725135</v>
      </c>
      <c r="AE185" s="212"/>
      <c r="AF185" s="212">
        <f>(BaseLoad!F184*'Base Hours'!V185*IS!$B$2)*-1</f>
        <v>-110437.82577490856</v>
      </c>
      <c r="AG185" s="212"/>
    </row>
    <row r="186" spans="1:33" x14ac:dyDescent="0.2">
      <c r="A186" s="1">
        <f t="shared" si="5"/>
        <v>41893.392000000225</v>
      </c>
      <c r="B186" s="180">
        <f>IF($A$1="Peak","-",'Base Hours'!B186*BaseLoad!H185*IS!$B$2)</f>
        <v>226314.36661153083</v>
      </c>
      <c r="C186" s="180">
        <f>IF($A$1="Peak","-",'Base Hours'!C186*BaseLoad!I185*IS!$B$2)</f>
        <v>207850.15789411226</v>
      </c>
      <c r="D186" s="180">
        <f>IF($A$1="Peak","-",'Base Hours'!D186*BaseLoad!J185*IS!$B$2)</f>
        <v>386187.33662856196</v>
      </c>
      <c r="E186" s="180">
        <f>IF($A$1="Peak","-",'Base Hours'!E186*BaseLoad!K185*IS!$B$2)</f>
        <v>705714.66885594581</v>
      </c>
      <c r="F186" s="180">
        <f>IF($A$1="Peak","-",'Base Hours'!F186*BaseLoad!L185*IS!$B$2)</f>
        <v>558423.44188466843</v>
      </c>
      <c r="G186" s="180">
        <f>IF($A$1="Peak","-",'Base Hours'!G186*BaseLoad!M185*IS!$B$2)</f>
        <v>528733.13430076814</v>
      </c>
      <c r="H186" s="180">
        <f>IF($A$1="Peak","-",'Base Hours'!H186*BaseLoad!N185*IS!$B$2)</f>
        <v>463521.30759143451</v>
      </c>
      <c r="I186" s="180">
        <f>IF($A$1="Peak","-",'Base Hours'!I186*BaseLoad!O185*IS!$B$2)</f>
        <v>429755.61884303682</v>
      </c>
      <c r="J186" s="180">
        <f>IF($A$1="Peak","-",'Base Hours'!J186*BaseLoad!P185*IS!$B$2)</f>
        <v>420261.35486794077</v>
      </c>
      <c r="K186" s="180">
        <f>IF($A$1="Peak","-",'Base Hours'!K186*BaseLoad!Q185*IS!$B$2)</f>
        <v>381896.75263353949</v>
      </c>
      <c r="L186" s="180">
        <f>IF($A$1="Peak","-",'Base Hours'!L186*BaseLoad!R185*IS!$B$2)</f>
        <v>349481.27738916693</v>
      </c>
      <c r="M186" s="180">
        <f>IF($A$1="Peak","-",'Base Hours'!M186*BaseLoad!S185*IS!$B$2)</f>
        <v>329281.54698469979</v>
      </c>
      <c r="N186" s="180">
        <f>IF($A$1="Peak","-",'Base Hours'!N186*BaseLoad!T185*IS!$B$2)</f>
        <v>318698.61367136944</v>
      </c>
      <c r="O186" s="180">
        <f>IF($A$1="Peak","-",'Base Hours'!O186*BaseLoad!U185*IS!$B$2)</f>
        <v>312412.12214816682</v>
      </c>
      <c r="P186" s="180">
        <f>IF($A$1="Peak","-",'Base Hours'!P186*BaseLoad!V185*IS!$B$2)</f>
        <v>307958.83437140321</v>
      </c>
      <c r="Q186" s="180">
        <f>IF($A$1="Peak","-",'Base Hours'!Q186*BaseLoad!W185*IS!$B$2)</f>
        <v>304266.09911807132</v>
      </c>
      <c r="R186" s="180">
        <f>IF($A$1="Peak","-",'Base Hours'!R186*BaseLoad!X185*IS!$B$2)</f>
        <v>292303.54073019273</v>
      </c>
      <c r="S186" s="180">
        <f>IF($A$1="Peak","-",'Base Hours'!S186*BaseLoad!Y185*IS!$B$2)</f>
        <v>276704.65381066233</v>
      </c>
      <c r="T186" s="180">
        <f>IF($A$1="Peak","-",'Base Hours'!T186*BaseLoad!Z185*IS!$B$2)</f>
        <v>270515.4884597442</v>
      </c>
      <c r="U186" s="180">
        <f>IF($A$1="Peak","-",'Base Hours'!U186*BaseLoad!AA185*IS!$B$2)</f>
        <v>707996.9125540501</v>
      </c>
      <c r="V186" s="180">
        <f t="shared" si="6"/>
        <v>7070280.3167950157</v>
      </c>
      <c r="W186" s="180"/>
      <c r="X186" s="180"/>
      <c r="Y186" s="212"/>
      <c r="Z186" s="212">
        <f>(BaseLoad!C185*'Base Hours'!V186*IS!$B$2)*-1</f>
        <v>-1954119.4074493572</v>
      </c>
      <c r="AA186" s="212"/>
      <c r="AB186" s="212">
        <f>(BaseLoad!D185*'Base Hours'!V186*IS!$B$2)*-1</f>
        <v>-193740.89703044319</v>
      </c>
      <c r="AC186" s="212"/>
      <c r="AD186" s="212">
        <f>(BaseLoad!E185*'Base Hours'!V186*IS!$B$2)*-1</f>
        <v>-1477343.2712725135</v>
      </c>
      <c r="AE186" s="212"/>
      <c r="AF186" s="212">
        <f>(BaseLoad!F185*'Base Hours'!V186*IS!$B$2)*-1</f>
        <v>-110437.82577490856</v>
      </c>
      <c r="AG186" s="212"/>
    </row>
    <row r="187" spans="1:33" x14ac:dyDescent="0.2">
      <c r="A187" s="1">
        <f t="shared" si="5"/>
        <v>41923.809000000227</v>
      </c>
      <c r="B187" s="180">
        <f>IF($A$1="Peak","-",'Base Hours'!B187*BaseLoad!H186*IS!$B$2)</f>
        <v>74947.172781753063</v>
      </c>
      <c r="C187" s="180">
        <f>IF($A$1="Peak","-",'Base Hours'!C187*BaseLoad!I186*IS!$B$2)</f>
        <v>73137.00629343222</v>
      </c>
      <c r="D187" s="180">
        <f>IF($A$1="Peak","-",'Base Hours'!D187*BaseLoad!J186*IS!$B$2)</f>
        <v>132040.20172916006</v>
      </c>
      <c r="E187" s="180">
        <f>IF($A$1="Peak","-",'Base Hours'!E187*BaseLoad!K186*IS!$B$2)</f>
        <v>236304.58117529898</v>
      </c>
      <c r="F187" s="180">
        <f>IF($A$1="Peak","-",'Base Hours'!F187*BaseLoad!L186*IS!$B$2)</f>
        <v>230829.42260295877</v>
      </c>
      <c r="G187" s="180">
        <f>IF($A$1="Peak","-",'Base Hours'!G187*BaseLoad!M186*IS!$B$2)</f>
        <v>456253.3752245091</v>
      </c>
      <c r="H187" s="180">
        <f>IF($A$1="Peak","-",'Base Hours'!H187*BaseLoad!N186*IS!$B$2)</f>
        <v>449364.77750852489</v>
      </c>
      <c r="I187" s="180">
        <f>IF($A$1="Peak","-",'Base Hours'!I187*BaseLoad!O186*IS!$B$2)</f>
        <v>444746.66015326994</v>
      </c>
      <c r="J187" s="180">
        <f>IF($A$1="Peak","-",'Base Hours'!J187*BaseLoad!P186*IS!$B$2)</f>
        <v>442102.91092745546</v>
      </c>
      <c r="K187" s="180">
        <f>IF($A$1="Peak","-",'Base Hours'!K187*BaseLoad!Q186*IS!$B$2)</f>
        <v>438469.08602070197</v>
      </c>
      <c r="L187" s="180">
        <f>IF($A$1="Peak","-",'Base Hours'!L187*BaseLoad!R186*IS!$B$2)</f>
        <v>433886.22565878171</v>
      </c>
      <c r="M187" s="180">
        <f>IF($A$1="Peak","-",'Base Hours'!M187*BaseLoad!S186*IS!$B$2)</f>
        <v>427176.01696035231</v>
      </c>
      <c r="N187" s="180">
        <f>IF($A$1="Peak","-",'Base Hours'!N187*BaseLoad!T186*IS!$B$2)</f>
        <v>420723.49110575404</v>
      </c>
      <c r="O187" s="180">
        <f>IF($A$1="Peak","-",'Base Hours'!O187*BaseLoad!U186*IS!$B$2)</f>
        <v>419005.78922148136</v>
      </c>
      <c r="P187" s="180">
        <f>IF($A$1="Peak","-",'Base Hours'!P187*BaseLoad!V186*IS!$B$2)</f>
        <v>412101.30074495781</v>
      </c>
      <c r="Q187" s="180">
        <f>IF($A$1="Peak","-",'Base Hours'!Q187*BaseLoad!W186*IS!$B$2)</f>
        <v>378993.9984624561</v>
      </c>
      <c r="R187" s="180">
        <f>IF($A$1="Peak","-",'Base Hours'!R187*BaseLoad!X186*IS!$B$2)</f>
        <v>363658.3997619134</v>
      </c>
      <c r="S187" s="180">
        <f>IF($A$1="Peak","-",'Base Hours'!S187*BaseLoad!Y186*IS!$B$2)</f>
        <v>347617.48748040828</v>
      </c>
      <c r="T187" s="180">
        <f>IF($A$1="Peak","-",'Base Hours'!T187*BaseLoad!Z186*IS!$B$2)</f>
        <v>341071.00542540912</v>
      </c>
      <c r="U187" s="180">
        <f>IF($A$1="Peak","-",'Base Hours'!U187*BaseLoad!AA186*IS!$B$2)</f>
        <v>897988.42580046295</v>
      </c>
      <c r="V187" s="180">
        <f t="shared" si="6"/>
        <v>6522428.9092385797</v>
      </c>
      <c r="W187" s="180"/>
      <c r="X187" s="180"/>
      <c r="Y187" s="212"/>
      <c r="Z187" s="212">
        <f>(BaseLoad!C186*'Base Hours'!V187*IS!$B$2)*-1</f>
        <v>-1954119.4074493572</v>
      </c>
      <c r="AA187" s="212"/>
      <c r="AB187" s="212">
        <f>(BaseLoad!D186*'Base Hours'!V187*IS!$B$2)*-1</f>
        <v>-194063.79852549394</v>
      </c>
      <c r="AC187" s="212"/>
      <c r="AD187" s="212">
        <f>(BaseLoad!E186*'Base Hours'!V187*IS!$B$2)*-1</f>
        <v>-1477343.2712725135</v>
      </c>
      <c r="AE187" s="212"/>
      <c r="AF187" s="212">
        <f>(BaseLoad!F186*'Base Hours'!V187*IS!$B$2)*-1</f>
        <v>-110437.82577490856</v>
      </c>
      <c r="AG187" s="212"/>
    </row>
    <row r="188" spans="1:33" x14ac:dyDescent="0.2">
      <c r="A188" s="1">
        <f t="shared" si="5"/>
        <v>41954.226000000228</v>
      </c>
      <c r="B188" s="180">
        <f>IF($A$1="Peak","-",'Base Hours'!B188*BaseLoad!H187*IS!$B$2)</f>
        <v>168794.8905974745</v>
      </c>
      <c r="C188" s="180">
        <f>IF($A$1="Peak","-",'Base Hours'!C188*BaseLoad!I187*IS!$B$2)</f>
        <v>121790.43942765004</v>
      </c>
      <c r="D188" s="180">
        <f>IF($A$1="Peak","-",'Base Hours'!D188*BaseLoad!J187*IS!$B$2)</f>
        <v>201916.40770115334</v>
      </c>
      <c r="E188" s="180">
        <f>IF($A$1="Peak","-",'Base Hours'!E188*BaseLoad!K187*IS!$B$2)</f>
        <v>378817.2516711916</v>
      </c>
      <c r="F188" s="180">
        <f>IF($A$1="Peak","-",'Base Hours'!F188*BaseLoad!L187*IS!$B$2)</f>
        <v>352332.30514934199</v>
      </c>
      <c r="G188" s="180">
        <f>IF($A$1="Peak","-",'Base Hours'!G188*BaseLoad!M187*IS!$B$2)</f>
        <v>698235.53363393492</v>
      </c>
      <c r="H188" s="180">
        <f>IF($A$1="Peak","-",'Base Hours'!H188*BaseLoad!N187*IS!$B$2)</f>
        <v>669468.86655838205</v>
      </c>
      <c r="I188" s="180">
        <f>IF($A$1="Peak","-",'Base Hours'!I188*BaseLoad!O187*IS!$B$2)</f>
        <v>517680.00898467854</v>
      </c>
      <c r="J188" s="180">
        <f>IF($A$1="Peak","-",'Base Hours'!J188*BaseLoad!P187*IS!$B$2)</f>
        <v>468199.71423711837</v>
      </c>
      <c r="K188" s="180">
        <f>IF($A$1="Peak","-",'Base Hours'!K188*BaseLoad!Q187*IS!$B$2)</f>
        <v>403175.35394900833</v>
      </c>
      <c r="L188" s="180">
        <f>IF($A$1="Peak","-",'Base Hours'!L188*BaseLoad!R187*IS!$B$2)</f>
        <v>393668.05866368453</v>
      </c>
      <c r="M188" s="180">
        <f>IF($A$1="Peak","-",'Base Hours'!M188*BaseLoad!S187*IS!$B$2)</f>
        <v>383173.42098510562</v>
      </c>
      <c r="N188" s="180">
        <f>IF($A$1="Peak","-",'Base Hours'!N188*BaseLoad!T187*IS!$B$2)</f>
        <v>362904.10032554518</v>
      </c>
      <c r="O188" s="180">
        <f>IF($A$1="Peak","-",'Base Hours'!O188*BaseLoad!U187*IS!$B$2)</f>
        <v>348627.8894367239</v>
      </c>
      <c r="P188" s="180">
        <f>IF($A$1="Peak","-",'Base Hours'!P188*BaseLoad!V187*IS!$B$2)</f>
        <v>344328.1836990657</v>
      </c>
      <c r="Q188" s="180">
        <f>IF($A$1="Peak","-",'Base Hours'!Q188*BaseLoad!W187*IS!$B$2)</f>
        <v>344220.72914860537</v>
      </c>
      <c r="R188" s="180">
        <f>IF($A$1="Peak","-",'Base Hours'!R188*BaseLoad!X187*IS!$B$2)</f>
        <v>341778.15566695912</v>
      </c>
      <c r="S188" s="180">
        <f>IF($A$1="Peak","-",'Base Hours'!S188*BaseLoad!Y187*IS!$B$2)</f>
        <v>338646.1105727274</v>
      </c>
      <c r="T188" s="180">
        <f>IF($A$1="Peak","-",'Base Hours'!T188*BaseLoad!Z187*IS!$B$2)</f>
        <v>338646.1105727274</v>
      </c>
      <c r="U188" s="180">
        <f>IF($A$1="Peak","-",'Base Hours'!U188*BaseLoad!AA187*IS!$B$2)</f>
        <v>855422.42513430596</v>
      </c>
      <c r="V188" s="180">
        <f t="shared" si="6"/>
        <v>7176403.5309810778</v>
      </c>
      <c r="W188" s="180"/>
      <c r="X188" s="180"/>
      <c r="Y188" s="212"/>
      <c r="Z188" s="212">
        <f>(BaseLoad!C187*'Base Hours'!V188*IS!$B$2)*-1</f>
        <v>-1954119.4074493572</v>
      </c>
      <c r="AA188" s="212"/>
      <c r="AB188" s="212">
        <f>(BaseLoad!D187*'Base Hours'!V188*IS!$B$2)*-1</f>
        <v>-194387.23818970312</v>
      </c>
      <c r="AC188" s="212"/>
      <c r="AD188" s="212">
        <f>(BaseLoad!E187*'Base Hours'!V188*IS!$B$2)*-1</f>
        <v>-1477343.2712725135</v>
      </c>
      <c r="AE188" s="212"/>
      <c r="AF188" s="212">
        <f>(BaseLoad!F187*'Base Hours'!V188*IS!$B$2)*-1</f>
        <v>-110437.82577490856</v>
      </c>
      <c r="AG188" s="212"/>
    </row>
    <row r="189" spans="1:33" x14ac:dyDescent="0.2">
      <c r="A189" s="1">
        <f t="shared" si="5"/>
        <v>41984.643000000229</v>
      </c>
      <c r="B189" s="180">
        <f>IF($A$1="Peak","-",'Base Hours'!B189*BaseLoad!H188*IS!$B$2)</f>
        <v>173056.1059935526</v>
      </c>
      <c r="C189" s="180">
        <f>IF($A$1="Peak","-",'Base Hours'!C189*BaseLoad!I188*IS!$B$2)</f>
        <v>169195.796400033</v>
      </c>
      <c r="D189" s="180">
        <f>IF($A$1="Peak","-",'Base Hours'!D189*BaseLoad!J188*IS!$B$2)</f>
        <v>304839.30986267858</v>
      </c>
      <c r="E189" s="180">
        <f>IF($A$1="Peak","-",'Base Hours'!E189*BaseLoad!K188*IS!$B$2)</f>
        <v>461572.57758935139</v>
      </c>
      <c r="F189" s="180">
        <f>IF($A$1="Peak","-",'Base Hours'!F189*BaseLoad!L188*IS!$B$2)</f>
        <v>431968.75268254633</v>
      </c>
      <c r="G189" s="180">
        <f>IF($A$1="Peak","-",'Base Hours'!G189*BaseLoad!M188*IS!$B$2)</f>
        <v>800629.82262729609</v>
      </c>
      <c r="H189" s="180">
        <f>IF($A$1="Peak","-",'Base Hours'!H189*BaseLoad!N188*IS!$B$2)</f>
        <v>783482.31037675869</v>
      </c>
      <c r="I189" s="180">
        <f>IF($A$1="Peak","-",'Base Hours'!I189*BaseLoad!O188*IS!$B$2)</f>
        <v>724623.52839553449</v>
      </c>
      <c r="J189" s="180">
        <f>IF($A$1="Peak","-",'Base Hours'!J189*BaseLoad!P188*IS!$B$2)</f>
        <v>548584.57430289709</v>
      </c>
      <c r="K189" s="180">
        <f>IF($A$1="Peak","-",'Base Hours'!K189*BaseLoad!Q188*IS!$B$2)</f>
        <v>461952.87201253668</v>
      </c>
      <c r="L189" s="180">
        <f>IF($A$1="Peak","-",'Base Hours'!L189*BaseLoad!R188*IS!$B$2)</f>
        <v>429229.80653383618</v>
      </c>
      <c r="M189" s="180">
        <f>IF($A$1="Peak","-",'Base Hours'!M189*BaseLoad!S188*IS!$B$2)</f>
        <v>389733.07209692622</v>
      </c>
      <c r="N189" s="180">
        <f>IF($A$1="Peak","-",'Base Hours'!N189*BaseLoad!T188*IS!$B$2)</f>
        <v>389733.07209692622</v>
      </c>
      <c r="O189" s="180">
        <f>IF($A$1="Peak","-",'Base Hours'!O189*BaseLoad!U188*IS!$B$2)</f>
        <v>388656.4422739736</v>
      </c>
      <c r="P189" s="180">
        <f>IF($A$1="Peak","-",'Base Hours'!P189*BaseLoad!V188*IS!$B$2)</f>
        <v>386566.24279426562</v>
      </c>
      <c r="Q189" s="180">
        <f>IF($A$1="Peak","-",'Base Hours'!Q189*BaseLoad!W188*IS!$B$2)</f>
        <v>386566.24279426562</v>
      </c>
      <c r="R189" s="180">
        <f>IF($A$1="Peak","-",'Base Hours'!R189*BaseLoad!X188*IS!$B$2)</f>
        <v>386566.24279426562</v>
      </c>
      <c r="S189" s="180">
        <f>IF($A$1="Peak","-",'Base Hours'!S189*BaseLoad!Y188*IS!$B$2)</f>
        <v>384743.66569320514</v>
      </c>
      <c r="T189" s="180">
        <f>IF($A$1="Peak","-",'Base Hours'!T189*BaseLoad!Z188*IS!$B$2)</f>
        <v>379146.4514405019</v>
      </c>
      <c r="U189" s="180">
        <f>IF($A$1="Peak","-",'Base Hours'!U189*BaseLoad!AA188*IS!$B$2)</f>
        <v>1033625.8971630854</v>
      </c>
      <c r="V189" s="180">
        <f t="shared" si="6"/>
        <v>8380846.8887613509</v>
      </c>
      <c r="W189" s="180"/>
      <c r="X189" s="180"/>
      <c r="Y189" s="212">
        <f>SUM(B178:U189)</f>
        <v>101872254.67747612</v>
      </c>
      <c r="Z189" s="212">
        <f>(BaseLoad!C188*'Base Hours'!V189*IS!$B$2)*-1</f>
        <v>-1954119.4074493572</v>
      </c>
      <c r="AA189" s="212">
        <f>SUM(Z178:Z189)</f>
        <v>-23449432.889392287</v>
      </c>
      <c r="AB189" s="212">
        <f>(BaseLoad!D188*'Base Hours'!V189*IS!$B$2)*-1</f>
        <v>-194711.21692001927</v>
      </c>
      <c r="AC189" s="212">
        <f>SUM(AB178:AB189)</f>
        <v>-2315270.1585730626</v>
      </c>
      <c r="AD189" s="212">
        <f>(BaseLoad!E188*'Base Hours'!V189*IS!$B$2)*-1</f>
        <v>-1477343.2712725135</v>
      </c>
      <c r="AE189" s="212">
        <f>SUM(AD178:AD189)</f>
        <v>-17728119.255270164</v>
      </c>
      <c r="AF189" s="212">
        <f>(BaseLoad!F188*'Base Hours'!V189*IS!$B$2)*-1</f>
        <v>-110437.82577490856</v>
      </c>
      <c r="AG189" s="212">
        <f>SUM(AF178:AF189)</f>
        <v>-1325253.9092989026</v>
      </c>
    </row>
    <row r="190" spans="1:33" x14ac:dyDescent="0.2">
      <c r="A190" s="1">
        <f t="shared" si="5"/>
        <v>42015.060000000231</v>
      </c>
      <c r="B190" s="180">
        <f>IF($A$1="Peak","-",'Base Hours'!B190*BaseLoad!H189*IS!$B$2)</f>
        <v>126917.78423601403</v>
      </c>
      <c r="C190" s="180">
        <f>IF($A$1="Peak","-",'Base Hours'!C190*BaseLoad!I189*IS!$B$2)</f>
        <v>117037.19175783393</v>
      </c>
      <c r="D190" s="180">
        <f>IF($A$1="Peak","-",'Base Hours'!D190*BaseLoad!J189*IS!$B$2)</f>
        <v>223745.42360809969</v>
      </c>
      <c r="E190" s="180">
        <f>IF($A$1="Peak","-",'Base Hours'!E190*BaseLoad!K189*IS!$B$2)</f>
        <v>414651.50896703178</v>
      </c>
      <c r="F190" s="180">
        <f>IF($A$1="Peak","-",'Base Hours'!F190*BaseLoad!L189*IS!$B$2)</f>
        <v>412333.66700862185</v>
      </c>
      <c r="G190" s="180">
        <f>IF($A$1="Peak","-",'Base Hours'!G190*BaseLoad!M189*IS!$B$2)</f>
        <v>753759.5965640638</v>
      </c>
      <c r="H190" s="180">
        <f>IF($A$1="Peak","-",'Base Hours'!H190*BaseLoad!N189*IS!$B$2)</f>
        <v>603300.10453517514</v>
      </c>
      <c r="I190" s="180">
        <f>IF($A$1="Peak","-",'Base Hours'!I190*BaseLoad!O189*IS!$B$2)</f>
        <v>597241.44898776279</v>
      </c>
      <c r="J190" s="180">
        <f>IF($A$1="Peak","-",'Base Hours'!J190*BaseLoad!P189*IS!$B$2)</f>
        <v>590371.27415143815</v>
      </c>
      <c r="K190" s="180">
        <f>IF($A$1="Peak","-",'Base Hours'!K190*BaseLoad!Q189*IS!$B$2)</f>
        <v>585172.68243700615</v>
      </c>
      <c r="L190" s="180">
        <f>IF($A$1="Peak","-",'Base Hours'!L190*BaseLoad!R189*IS!$B$2)</f>
        <v>567811.38254625152</v>
      </c>
      <c r="M190" s="180">
        <f>IF($A$1="Peak","-",'Base Hours'!M190*BaseLoad!S189*IS!$B$2)</f>
        <v>505237.06206889317</v>
      </c>
      <c r="N190" s="180">
        <f>IF($A$1="Peak","-",'Base Hours'!N190*BaseLoad!T189*IS!$B$2)</f>
        <v>446070.54515863577</v>
      </c>
      <c r="O190" s="180">
        <f>IF($A$1="Peak","-",'Base Hours'!O190*BaseLoad!U189*IS!$B$2)</f>
        <v>405166.84183090006</v>
      </c>
      <c r="P190" s="180">
        <f>IF($A$1="Peak","-",'Base Hours'!P190*BaseLoad!V189*IS!$B$2)</f>
        <v>402279.71095961827</v>
      </c>
      <c r="Q190" s="180">
        <f>IF($A$1="Peak","-",'Base Hours'!Q190*BaseLoad!W189*IS!$B$2)</f>
        <v>399601.70070152503</v>
      </c>
      <c r="R190" s="180">
        <f>IF($A$1="Peak","-",'Base Hours'!R190*BaseLoad!X189*IS!$B$2)</f>
        <v>395574.44313212275</v>
      </c>
      <c r="S190" s="180">
        <f>IF($A$1="Peak","-",'Base Hours'!S190*BaseLoad!Y189*IS!$B$2)</f>
        <v>395574.26427056175</v>
      </c>
      <c r="T190" s="180">
        <f>IF($A$1="Peak","-",'Base Hours'!T190*BaseLoad!Z189*IS!$B$2)</f>
        <v>395574.18390389025</v>
      </c>
      <c r="U190" s="180">
        <f>IF($A$1="Peak","-",'Base Hours'!U190*BaseLoad!AA189*IS!$B$2)</f>
        <v>1087152.370425446</v>
      </c>
      <c r="V190" s="180">
        <f t="shared" si="6"/>
        <v>8337420.8168254476</v>
      </c>
      <c r="W190" s="180"/>
      <c r="X190" s="180"/>
      <c r="Y190" s="212"/>
      <c r="Z190" s="212">
        <f>(BaseLoad!C189*'Base Hours'!V190*IS!$B$2)*-1</f>
        <v>-1962601.1172178602</v>
      </c>
      <c r="AA190" s="212"/>
      <c r="AB190" s="212">
        <f>(BaseLoad!D189*'Base Hours'!V190*IS!$B$2)*-1</f>
        <v>-195035.73561488598</v>
      </c>
      <c r="AC190" s="212"/>
      <c r="AD190" s="212">
        <f>(BaseLoad!E189*'Base Hours'!V190*IS!$B$2)*-1</f>
        <v>-1636445.0423070304</v>
      </c>
      <c r="AE190" s="212"/>
      <c r="AF190" s="212">
        <f>(BaseLoad!F189*'Base Hours'!V190*IS!$B$2)*-1</f>
        <v>-112720.06554362661</v>
      </c>
      <c r="AG190" s="212"/>
    </row>
    <row r="191" spans="1:33" x14ac:dyDescent="0.2">
      <c r="A191" s="1">
        <f t="shared" si="5"/>
        <v>42045.477000000232</v>
      </c>
      <c r="B191" s="180">
        <f>IF($A$1="Peak","-",'Base Hours'!B191*BaseLoad!H190*IS!$B$2)</f>
        <v>170506.52496266508</v>
      </c>
      <c r="C191" s="180">
        <f>IF($A$1="Peak","-",'Base Hours'!C191*BaseLoad!I190*IS!$B$2)</f>
        <v>165021.44470889802</v>
      </c>
      <c r="D191" s="180">
        <f>IF($A$1="Peak","-",'Base Hours'!D191*BaseLoad!J190*IS!$B$2)</f>
        <v>290218.02447937016</v>
      </c>
      <c r="E191" s="180">
        <f>IF($A$1="Peak","-",'Base Hours'!E191*BaseLoad!K190*IS!$B$2)</f>
        <v>470941.73875994323</v>
      </c>
      <c r="F191" s="180">
        <f>IF($A$1="Peak","-",'Base Hours'!F191*BaseLoad!L190*IS!$B$2)</f>
        <v>434673.32089628995</v>
      </c>
      <c r="G191" s="180">
        <f>IF($A$1="Peak","-",'Base Hours'!G191*BaseLoad!M190*IS!$B$2)</f>
        <v>812995.46091224218</v>
      </c>
      <c r="H191" s="180">
        <f>IF($A$1="Peak","-",'Base Hours'!H191*BaseLoad!N190*IS!$B$2)</f>
        <v>766464.91309023811</v>
      </c>
      <c r="I191" s="180">
        <f>IF($A$1="Peak","-",'Base Hours'!I191*BaseLoad!O190*IS!$B$2)</f>
        <v>571033.97584618989</v>
      </c>
      <c r="J191" s="180">
        <f>IF($A$1="Peak","-",'Base Hours'!J191*BaseLoad!P190*IS!$B$2)</f>
        <v>474128.25023135694</v>
      </c>
      <c r="K191" s="180">
        <f>IF($A$1="Peak","-",'Base Hours'!K191*BaseLoad!Q190*IS!$B$2)</f>
        <v>450123.38417912601</v>
      </c>
      <c r="L191" s="180">
        <f>IF($A$1="Peak","-",'Base Hours'!L191*BaseLoad!R190*IS!$B$2)</f>
        <v>408724.94490139035</v>
      </c>
      <c r="M191" s="180">
        <f>IF($A$1="Peak","-",'Base Hours'!M191*BaseLoad!S190*IS!$B$2)</f>
        <v>395536.18310787843</v>
      </c>
      <c r="N191" s="180">
        <f>IF($A$1="Peak","-",'Base Hours'!N191*BaseLoad!T190*IS!$B$2)</f>
        <v>395536.18310787843</v>
      </c>
      <c r="O191" s="180">
        <f>IF($A$1="Peak","-",'Base Hours'!O191*BaseLoad!U190*IS!$B$2)</f>
        <v>392335.39670031326</v>
      </c>
      <c r="P191" s="180">
        <f>IF($A$1="Peak","-",'Base Hours'!P191*BaseLoad!V190*IS!$B$2)</f>
        <v>391081.67365985643</v>
      </c>
      <c r="Q191" s="180">
        <f>IF($A$1="Peak","-",'Base Hours'!Q191*BaseLoad!W190*IS!$B$2)</f>
        <v>388964.25664688012</v>
      </c>
      <c r="R191" s="180">
        <f>IF($A$1="Peak","-",'Base Hours'!R191*BaseLoad!X190*IS!$B$2)</f>
        <v>388963.92163368</v>
      </c>
      <c r="S191" s="180">
        <f>IF($A$1="Peak","-",'Base Hours'!S191*BaseLoad!Y190*IS!$B$2)</f>
        <v>388963.63110523496</v>
      </c>
      <c r="T191" s="180">
        <f>IF($A$1="Peak","-",'Base Hours'!T191*BaseLoad!Z190*IS!$B$2)</f>
        <v>388961.91202884424</v>
      </c>
      <c r="U191" s="180">
        <f>IF($A$1="Peak","-",'Base Hours'!U191*BaseLoad!AA190*IS!$B$2)</f>
        <v>1069107.1663689429</v>
      </c>
      <c r="V191" s="180">
        <f t="shared" si="6"/>
        <v>8145175.1409582756</v>
      </c>
      <c r="W191" s="180"/>
      <c r="X191" s="180"/>
      <c r="Y191" s="212"/>
      <c r="Z191" s="212">
        <f>(BaseLoad!C190*'Base Hours'!V191*IS!$B$2)*-1</f>
        <v>-1962601.1172178602</v>
      </c>
      <c r="AA191" s="212"/>
      <c r="AB191" s="212">
        <f>(BaseLoad!D190*'Base Hours'!V191*IS!$B$2)*-1</f>
        <v>-195360.79517424409</v>
      </c>
      <c r="AC191" s="212"/>
      <c r="AD191" s="212">
        <f>(BaseLoad!E190*'Base Hours'!V191*IS!$B$2)*-1</f>
        <v>-1636445.0423070304</v>
      </c>
      <c r="AE191" s="212"/>
      <c r="AF191" s="212">
        <f>(BaseLoad!F190*'Base Hours'!V191*IS!$B$2)*-1</f>
        <v>-112720.06554362661</v>
      </c>
      <c r="AG191" s="212"/>
    </row>
    <row r="192" spans="1:33" x14ac:dyDescent="0.2">
      <c r="A192" s="1">
        <f t="shared" si="5"/>
        <v>42075.894000000233</v>
      </c>
      <c r="B192" s="180">
        <f>IF($A$1="Peak","-",'Base Hours'!B192*BaseLoad!H191*IS!$B$2)</f>
        <v>113538.97484314254</v>
      </c>
      <c r="C192" s="180">
        <f>IF($A$1="Peak","-",'Base Hours'!C192*BaseLoad!I191*IS!$B$2)</f>
        <v>109302.06163574068</v>
      </c>
      <c r="D192" s="180">
        <f>IF($A$1="Peak","-",'Base Hours'!D192*BaseLoad!J191*IS!$B$2)</f>
        <v>218228.9976921379</v>
      </c>
      <c r="E192" s="180">
        <f>IF($A$1="Peak","-",'Base Hours'!E192*BaseLoad!K191*IS!$B$2)</f>
        <v>429157.17479735793</v>
      </c>
      <c r="F192" s="180">
        <f>IF($A$1="Peak","-",'Base Hours'!F192*BaseLoad!L191*IS!$B$2)</f>
        <v>375627.14903938113</v>
      </c>
      <c r="G192" s="180">
        <f>IF($A$1="Peak","-",'Base Hours'!G192*BaseLoad!M191*IS!$B$2)</f>
        <v>596249.38020708051</v>
      </c>
      <c r="H192" s="180">
        <f>IF($A$1="Peak","-",'Base Hours'!H192*BaseLoad!N191*IS!$B$2)</f>
        <v>518401.38261076022</v>
      </c>
      <c r="I192" s="180">
        <f>IF($A$1="Peak","-",'Base Hours'!I192*BaseLoad!O191*IS!$B$2)</f>
        <v>486720.9602778366</v>
      </c>
      <c r="J192" s="180">
        <f>IF($A$1="Peak","-",'Base Hours'!J192*BaseLoad!P191*IS!$B$2)</f>
        <v>480845.19725372869</v>
      </c>
      <c r="K192" s="180">
        <f>IF($A$1="Peak","-",'Base Hours'!K192*BaseLoad!Q191*IS!$B$2)</f>
        <v>446450.30481480266</v>
      </c>
      <c r="L192" s="180">
        <f>IF($A$1="Peak","-",'Base Hours'!L192*BaseLoad!R191*IS!$B$2)</f>
        <v>425943.93946177542</v>
      </c>
      <c r="M192" s="180">
        <f>IF($A$1="Peak","-",'Base Hours'!M192*BaseLoad!S191*IS!$B$2)</f>
        <v>422864.05358323263</v>
      </c>
      <c r="N192" s="180">
        <f>IF($A$1="Peak","-",'Base Hours'!N192*BaseLoad!T191*IS!$B$2)</f>
        <v>421335.68601030705</v>
      </c>
      <c r="O192" s="180">
        <f>IF($A$1="Peak","-",'Base Hours'!O192*BaseLoad!U191*IS!$B$2)</f>
        <v>421335.68601030705</v>
      </c>
      <c r="P192" s="180">
        <f>IF($A$1="Peak","-",'Base Hours'!P192*BaseLoad!V191*IS!$B$2)</f>
        <v>421080.18126537453</v>
      </c>
      <c r="Q192" s="180">
        <f>IF($A$1="Peak","-",'Base Hours'!Q192*BaseLoad!W191*IS!$B$2)</f>
        <v>414876.35499659681</v>
      </c>
      <c r="R192" s="180">
        <f>IF($A$1="Peak","-",'Base Hours'!R192*BaseLoad!X191*IS!$B$2)</f>
        <v>414250.98943542427</v>
      </c>
      <c r="S192" s="180">
        <f>IF($A$1="Peak","-",'Base Hours'!S192*BaseLoad!Y191*IS!$B$2)</f>
        <v>414250.98943542427</v>
      </c>
      <c r="T192" s="180">
        <f>IF($A$1="Peak","-",'Base Hours'!T192*BaseLoad!Z191*IS!$B$2)</f>
        <v>414250.98943542427</v>
      </c>
      <c r="U192" s="180">
        <f>IF($A$1="Peak","-",'Base Hours'!U192*BaseLoad!AA191*IS!$B$2)</f>
        <v>1124543.168379955</v>
      </c>
      <c r="V192" s="180">
        <f t="shared" si="6"/>
        <v>7544710.4528058339</v>
      </c>
      <c r="W192" s="180"/>
      <c r="X192" s="180"/>
      <c r="Y192" s="212"/>
      <c r="Z192" s="212">
        <f>(BaseLoad!C191*'Base Hours'!V192*IS!$B$2)*-1</f>
        <v>-1962601.1172178602</v>
      </c>
      <c r="AA192" s="212"/>
      <c r="AB192" s="212">
        <f>(BaseLoad!D191*'Base Hours'!V192*IS!$B$2)*-1</f>
        <v>-195686.39649953452</v>
      </c>
      <c r="AC192" s="212"/>
      <c r="AD192" s="212">
        <f>(BaseLoad!E191*'Base Hours'!V192*IS!$B$2)*-1</f>
        <v>-1636445.0423070304</v>
      </c>
      <c r="AE192" s="212"/>
      <c r="AF192" s="212">
        <f>(BaseLoad!F191*'Base Hours'!V192*IS!$B$2)*-1</f>
        <v>-112720.06554362661</v>
      </c>
      <c r="AG192" s="212"/>
    </row>
    <row r="193" spans="1:33" x14ac:dyDescent="0.2">
      <c r="A193" s="1">
        <f t="shared" si="5"/>
        <v>42106.311000000234</v>
      </c>
      <c r="B193" s="180">
        <f>IF($A$1="Peak","-",'Base Hours'!B193*BaseLoad!H192*IS!$B$2)</f>
        <v>87628.92179274121</v>
      </c>
      <c r="C193" s="180">
        <f>IF($A$1="Peak","-",'Base Hours'!C193*BaseLoad!I192*IS!$B$2)</f>
        <v>84422.755626795552</v>
      </c>
      <c r="D193" s="180">
        <f>IF($A$1="Peak","-",'Base Hours'!D193*BaseLoad!J192*IS!$B$2)</f>
        <v>162532.21937774436</v>
      </c>
      <c r="E193" s="180">
        <f>IF($A$1="Peak","-",'Base Hours'!E193*BaseLoad!K192*IS!$B$2)</f>
        <v>309925.29724506539</v>
      </c>
      <c r="F193" s="180">
        <f>IF($A$1="Peak","-",'Base Hours'!F193*BaseLoad!L192*IS!$B$2)</f>
        <v>289370.46640084882</v>
      </c>
      <c r="G193" s="180">
        <f>IF($A$1="Peak","-",'Base Hours'!G193*BaseLoad!M192*IS!$B$2)</f>
        <v>573803.04300390917</v>
      </c>
      <c r="H193" s="180">
        <f>IF($A$1="Peak","-",'Base Hours'!H193*BaseLoad!N192*IS!$B$2)</f>
        <v>538554.34838693391</v>
      </c>
      <c r="I193" s="180">
        <f>IF($A$1="Peak","-",'Base Hours'!I193*BaseLoad!O192*IS!$B$2)</f>
        <v>487796.47973622358</v>
      </c>
      <c r="J193" s="180">
        <f>IF($A$1="Peak","-",'Base Hours'!J193*BaseLoad!P192*IS!$B$2)</f>
        <v>462446.47931862896</v>
      </c>
      <c r="K193" s="180">
        <f>IF($A$1="Peak","-",'Base Hours'!K193*BaseLoad!Q192*IS!$B$2)</f>
        <v>448532.55632421601</v>
      </c>
      <c r="L193" s="180">
        <f>IF($A$1="Peak","-",'Base Hours'!L193*BaseLoad!R192*IS!$B$2)</f>
        <v>436415.43106399104</v>
      </c>
      <c r="M193" s="180">
        <f>IF($A$1="Peak","-",'Base Hours'!M193*BaseLoad!S192*IS!$B$2)</f>
        <v>420218.83156051475</v>
      </c>
      <c r="N193" s="180">
        <f>IF($A$1="Peak","-",'Base Hours'!N193*BaseLoad!T192*IS!$B$2)</f>
        <v>406102.59492283245</v>
      </c>
      <c r="O193" s="180">
        <f>IF($A$1="Peak","-",'Base Hours'!O193*BaseLoad!U192*IS!$B$2)</f>
        <v>385365.64105922292</v>
      </c>
      <c r="P193" s="180">
        <f>IF($A$1="Peak","-",'Base Hours'!P193*BaseLoad!V192*IS!$B$2)</f>
        <v>349640.68993439031</v>
      </c>
      <c r="Q193" s="180">
        <f>IF($A$1="Peak","-",'Base Hours'!Q193*BaseLoad!W192*IS!$B$2)</f>
        <v>337986.9952772304</v>
      </c>
      <c r="R193" s="180">
        <f>IF($A$1="Peak","-",'Base Hours'!R193*BaseLoad!X192*IS!$B$2)</f>
        <v>329560.67088084016</v>
      </c>
      <c r="S193" s="180">
        <f>IF($A$1="Peak","-",'Base Hours'!S193*BaseLoad!Y192*IS!$B$2)</f>
        <v>327399.87593728182</v>
      </c>
      <c r="T193" s="180">
        <f>IF($A$1="Peak","-",'Base Hours'!T193*BaseLoad!Z192*IS!$B$2)</f>
        <v>324795.24256134173</v>
      </c>
      <c r="U193" s="180">
        <f>IF($A$1="Peak","-",'Base Hours'!U193*BaseLoad!AA192*IS!$B$2)</f>
        <v>863271.33812546043</v>
      </c>
      <c r="V193" s="180">
        <f t="shared" si="6"/>
        <v>6762498.5404107533</v>
      </c>
      <c r="W193" s="180"/>
      <c r="X193" s="180"/>
      <c r="Y193" s="212"/>
      <c r="Z193" s="212">
        <f>(BaseLoad!C192*'Base Hours'!V193*IS!$B$2)*-1</f>
        <v>-1962601.1172178602</v>
      </c>
      <c r="AA193" s="212"/>
      <c r="AB193" s="212">
        <f>(BaseLoad!D192*'Base Hours'!V193*IS!$B$2)*-1</f>
        <v>-196012.54049370045</v>
      </c>
      <c r="AC193" s="212"/>
      <c r="AD193" s="212">
        <f>(BaseLoad!E192*'Base Hours'!V193*IS!$B$2)*-1</f>
        <v>-1636445.0423070304</v>
      </c>
      <c r="AE193" s="212"/>
      <c r="AF193" s="212">
        <f>(BaseLoad!F192*'Base Hours'!V193*IS!$B$2)*-1</f>
        <v>-112720.06554362661</v>
      </c>
      <c r="AG193" s="212"/>
    </row>
    <row r="194" spans="1:33" x14ac:dyDescent="0.2">
      <c r="A194" s="1">
        <f t="shared" si="5"/>
        <v>42136.728000000236</v>
      </c>
      <c r="B194" s="180">
        <f>IF($A$1="Peak","-",'Base Hours'!B194*BaseLoad!H193*IS!$B$2)</f>
        <v>188411.90625582522</v>
      </c>
      <c r="C194" s="180">
        <f>IF($A$1="Peak","-",'Base Hours'!C194*BaseLoad!I193*IS!$B$2)</f>
        <v>176538.08563159904</v>
      </c>
      <c r="D194" s="180">
        <f>IF($A$1="Peak","-",'Base Hours'!D194*BaseLoad!J193*IS!$B$2)</f>
        <v>339150.00088817591</v>
      </c>
      <c r="E194" s="180">
        <f>IF($A$1="Peak","-",'Base Hours'!E194*BaseLoad!K193*IS!$B$2)</f>
        <v>378444.86993707216</v>
      </c>
      <c r="F194" s="180">
        <f>IF($A$1="Peak","-",'Base Hours'!F194*BaseLoad!L193*IS!$B$2)</f>
        <v>311423.07015885809</v>
      </c>
      <c r="G194" s="180">
        <f>IF($A$1="Peak","-",'Base Hours'!G194*BaseLoad!M193*IS!$B$2)</f>
        <v>572611.94522542122</v>
      </c>
      <c r="H194" s="180">
        <f>IF($A$1="Peak","-",'Base Hours'!H194*BaseLoad!N193*IS!$B$2)</f>
        <v>563728.54779908666</v>
      </c>
      <c r="I194" s="180">
        <f>IF($A$1="Peak","-",'Base Hours'!I194*BaseLoad!O193*IS!$B$2)</f>
        <v>486984.99816007901</v>
      </c>
      <c r="J194" s="180">
        <f>IF($A$1="Peak","-",'Base Hours'!J194*BaseLoad!P193*IS!$B$2)</f>
        <v>408067.06170246261</v>
      </c>
      <c r="K194" s="180">
        <f>IF($A$1="Peak","-",'Base Hours'!K194*BaseLoad!Q193*IS!$B$2)</f>
        <v>399409.69168234</v>
      </c>
      <c r="L194" s="180">
        <f>IF($A$1="Peak","-",'Base Hours'!L194*BaseLoad!R193*IS!$B$2)</f>
        <v>387509.3367113308</v>
      </c>
      <c r="M194" s="180">
        <f>IF($A$1="Peak","-",'Base Hours'!M194*BaseLoad!S193*IS!$B$2)</f>
        <v>376791.13483599824</v>
      </c>
      <c r="N194" s="180">
        <f>IF($A$1="Peak","-",'Base Hours'!N194*BaseLoad!T193*IS!$B$2)</f>
        <v>361575.50054012722</v>
      </c>
      <c r="O194" s="180">
        <f>IF($A$1="Peak","-",'Base Hours'!O194*BaseLoad!U193*IS!$B$2)</f>
        <v>341700.62941426114</v>
      </c>
      <c r="P194" s="180">
        <f>IF($A$1="Peak","-",'Base Hours'!P194*BaseLoad!V193*IS!$B$2)</f>
        <v>328533.67899741273</v>
      </c>
      <c r="Q194" s="180">
        <f>IF($A$1="Peak","-",'Base Hours'!Q194*BaseLoad!W193*IS!$B$2)</f>
        <v>323106.85957058909</v>
      </c>
      <c r="R194" s="180">
        <f>IF($A$1="Peak","-",'Base Hours'!R194*BaseLoad!X193*IS!$B$2)</f>
        <v>315401.91617375304</v>
      </c>
      <c r="S194" s="180">
        <f>IF($A$1="Peak","-",'Base Hours'!S194*BaseLoad!Y193*IS!$B$2)</f>
        <v>293353.15682956687</v>
      </c>
      <c r="T194" s="180">
        <f>IF($A$1="Peak","-",'Base Hours'!T194*BaseLoad!Z193*IS!$B$2)</f>
        <v>286624.21431460197</v>
      </c>
      <c r="U194" s="180">
        <f>IF($A$1="Peak","-",'Base Hours'!U194*BaseLoad!AA193*IS!$B$2)</f>
        <v>779072.26145043573</v>
      </c>
      <c r="V194" s="180">
        <f t="shared" si="6"/>
        <v>6839366.6048285617</v>
      </c>
      <c r="W194" s="180"/>
      <c r="X194" s="180"/>
      <c r="Y194" s="212"/>
      <c r="Z194" s="212">
        <f>(BaseLoad!C193*'Base Hours'!V194*IS!$B$2)*-1</f>
        <v>-1962601.1172178602</v>
      </c>
      <c r="AA194" s="212"/>
      <c r="AB194" s="212">
        <f>(BaseLoad!D193*'Base Hours'!V194*IS!$B$2)*-1</f>
        <v>-196339.22806118993</v>
      </c>
      <c r="AC194" s="212"/>
      <c r="AD194" s="212">
        <f>(BaseLoad!E193*'Base Hours'!V194*IS!$B$2)*-1</f>
        <v>-1636445.0423070304</v>
      </c>
      <c r="AE194" s="212"/>
      <c r="AF194" s="212">
        <f>(BaseLoad!F193*'Base Hours'!V194*IS!$B$2)*-1</f>
        <v>-112720.06554362661</v>
      </c>
      <c r="AG194" s="212"/>
    </row>
    <row r="195" spans="1:33" x14ac:dyDescent="0.2">
      <c r="A195" s="1">
        <f t="shared" si="5"/>
        <v>42167.145000000237</v>
      </c>
      <c r="B195" s="180">
        <f>IF($A$1="Peak","-",'Base Hours'!B195*BaseLoad!H194*IS!$B$2)</f>
        <v>218873.02787201173</v>
      </c>
      <c r="C195" s="180">
        <f>IF($A$1="Peak","-",'Base Hours'!C195*BaseLoad!I194*IS!$B$2)</f>
        <v>201912.6374405206</v>
      </c>
      <c r="D195" s="180">
        <f>IF($A$1="Peak","-",'Base Hours'!D195*BaseLoad!J194*IS!$B$2)</f>
        <v>375167.52589722502</v>
      </c>
      <c r="E195" s="180">
        <f>IF($A$1="Peak","-",'Base Hours'!E195*BaseLoad!K194*IS!$B$2)</f>
        <v>690638.59347195958</v>
      </c>
      <c r="F195" s="180">
        <f>IF($A$1="Peak","-",'Base Hours'!F195*BaseLoad!L194*IS!$B$2)</f>
        <v>554806.20863849157</v>
      </c>
      <c r="G195" s="180">
        <f>IF($A$1="Peak","-",'Base Hours'!G195*BaseLoad!M194*IS!$B$2)</f>
        <v>808047.70611098816</v>
      </c>
      <c r="H195" s="180">
        <f>IF($A$1="Peak","-",'Base Hours'!H195*BaseLoad!N194*IS!$B$2)</f>
        <v>620923.1359986359</v>
      </c>
      <c r="I195" s="180">
        <f>IF($A$1="Peak","-",'Base Hours'!I195*BaseLoad!O194*IS!$B$2)</f>
        <v>560164.11344592075</v>
      </c>
      <c r="J195" s="180">
        <f>IF($A$1="Peak","-",'Base Hours'!J195*BaseLoad!P194*IS!$B$2)</f>
        <v>543303.69016687793</v>
      </c>
      <c r="K195" s="180">
        <f>IF($A$1="Peak","-",'Base Hours'!K195*BaseLoad!Q194*IS!$B$2)</f>
        <v>470080.57905432238</v>
      </c>
      <c r="L195" s="180">
        <f>IF($A$1="Peak","-",'Base Hours'!L195*BaseLoad!R194*IS!$B$2)</f>
        <v>428019.34855204046</v>
      </c>
      <c r="M195" s="180">
        <f>IF($A$1="Peak","-",'Base Hours'!M195*BaseLoad!S194*IS!$B$2)</f>
        <v>380794.17385095241</v>
      </c>
      <c r="N195" s="180">
        <f>IF($A$1="Peak","-",'Base Hours'!N195*BaseLoad!T194*IS!$B$2)</f>
        <v>347063.15961038141</v>
      </c>
      <c r="O195" s="180">
        <f>IF($A$1="Peak","-",'Base Hours'!O195*BaseLoad!U194*IS!$B$2)</f>
        <v>331438.69553615135</v>
      </c>
      <c r="P195" s="180">
        <f>IF($A$1="Peak","-",'Base Hours'!P195*BaseLoad!V194*IS!$B$2)</f>
        <v>319606.74637547508</v>
      </c>
      <c r="Q195" s="180">
        <f>IF($A$1="Peak","-",'Base Hours'!Q195*BaseLoad!W194*IS!$B$2)</f>
        <v>307931.8637995242</v>
      </c>
      <c r="R195" s="180">
        <f>IF($A$1="Peak","-",'Base Hours'!R195*BaseLoad!X194*IS!$B$2)</f>
        <v>291841.54506288137</v>
      </c>
      <c r="S195" s="180">
        <f>IF($A$1="Peak","-",'Base Hours'!S195*BaseLoad!Y194*IS!$B$2)</f>
        <v>278292.7965889317</v>
      </c>
      <c r="T195" s="180">
        <f>IF($A$1="Peak","-",'Base Hours'!T195*BaseLoad!Z194*IS!$B$2)</f>
        <v>276984.80092281778</v>
      </c>
      <c r="U195" s="180">
        <f>IF($A$1="Peak","-",'Base Hours'!U195*BaseLoad!AA194*IS!$B$2)</f>
        <v>700945.41181086865</v>
      </c>
      <c r="V195" s="180">
        <f t="shared" si="6"/>
        <v>7898788.054095991</v>
      </c>
      <c r="W195" s="180"/>
      <c r="X195" s="180"/>
      <c r="Y195" s="212"/>
      <c r="Z195" s="212">
        <f>(BaseLoad!C194*'Base Hours'!V195*IS!$B$2)*-1</f>
        <v>-1962601.1172178602</v>
      </c>
      <c r="AA195" s="212"/>
      <c r="AB195" s="212">
        <f>(BaseLoad!D194*'Base Hours'!V195*IS!$B$2)*-1</f>
        <v>-196666.46010795858</v>
      </c>
      <c r="AC195" s="212"/>
      <c r="AD195" s="212">
        <f>(BaseLoad!E194*'Base Hours'!V195*IS!$B$2)*-1</f>
        <v>-1636445.0423070304</v>
      </c>
      <c r="AE195" s="212"/>
      <c r="AF195" s="212">
        <f>(BaseLoad!F194*'Base Hours'!V195*IS!$B$2)*-1</f>
        <v>-112720.06554362661</v>
      </c>
      <c r="AG195" s="212"/>
    </row>
    <row r="196" spans="1:33" x14ac:dyDescent="0.2">
      <c r="A196" s="1">
        <f t="shared" si="5"/>
        <v>42197.562000000238</v>
      </c>
      <c r="B196" s="180">
        <f>IF($A$1="Peak","-",'Base Hours'!B196*BaseLoad!H195*IS!$B$2)</f>
        <v>367034.43648625806</v>
      </c>
      <c r="C196" s="180">
        <f>IF($A$1="Peak","-",'Base Hours'!C196*BaseLoad!I195*IS!$B$2)</f>
        <v>269145.09079439053</v>
      </c>
      <c r="D196" s="180">
        <f>IF($A$1="Peak","-",'Base Hours'!D196*BaseLoad!J195*IS!$B$2)</f>
        <v>486923.04772936163</v>
      </c>
      <c r="E196" s="180">
        <f>IF($A$1="Peak","-",'Base Hours'!E196*BaseLoad!K195*IS!$B$2)</f>
        <v>884504.46602830035</v>
      </c>
      <c r="F196" s="180">
        <f>IF($A$1="Peak","-",'Base Hours'!F196*BaseLoad!L195*IS!$B$2)</f>
        <v>809319.9332191681</v>
      </c>
      <c r="G196" s="180">
        <f>IF($A$1="Peak","-",'Base Hours'!G196*BaseLoad!M195*IS!$B$2)</f>
        <v>1468719.874226484</v>
      </c>
      <c r="H196" s="180">
        <f>IF($A$1="Peak","-",'Base Hours'!H196*BaseLoad!N195*IS!$B$2)</f>
        <v>1345346.7436265757</v>
      </c>
      <c r="I196" s="180">
        <f>IF($A$1="Peak","-",'Base Hours'!I196*BaseLoad!O195*IS!$B$2)</f>
        <v>691081.26014267688</v>
      </c>
      <c r="J196" s="180">
        <f>IF($A$1="Peak","-",'Base Hours'!J196*BaseLoad!P195*IS!$B$2)</f>
        <v>538636.42965413048</v>
      </c>
      <c r="K196" s="180">
        <f>IF($A$1="Peak","-",'Base Hours'!K196*BaseLoad!Q195*IS!$B$2)</f>
        <v>485603.31638716545</v>
      </c>
      <c r="L196" s="180">
        <f>IF($A$1="Peak","-",'Base Hours'!L196*BaseLoad!R195*IS!$B$2)</f>
        <v>446727.55621006695</v>
      </c>
      <c r="M196" s="180">
        <f>IF($A$1="Peak","-",'Base Hours'!M196*BaseLoad!S195*IS!$B$2)</f>
        <v>357823.08388814679</v>
      </c>
      <c r="N196" s="180">
        <f>IF($A$1="Peak","-",'Base Hours'!N196*BaseLoad!T195*IS!$B$2)</f>
        <v>348310.78508458356</v>
      </c>
      <c r="O196" s="180">
        <f>IF($A$1="Peak","-",'Base Hours'!O196*BaseLoad!U195*IS!$B$2)</f>
        <v>336886.47633999382</v>
      </c>
      <c r="P196" s="180">
        <f>IF($A$1="Peak","-",'Base Hours'!P196*BaseLoad!V195*IS!$B$2)</f>
        <v>325076.35812480986</v>
      </c>
      <c r="Q196" s="180">
        <f>IF($A$1="Peak","-",'Base Hours'!Q196*BaseLoad!W195*IS!$B$2)</f>
        <v>310512.47805159452</v>
      </c>
      <c r="R196" s="180">
        <f>IF($A$1="Peak","-",'Base Hours'!R196*BaseLoad!X195*IS!$B$2)</f>
        <v>292640.59960201528</v>
      </c>
      <c r="S196" s="180">
        <f>IF($A$1="Peak","-",'Base Hours'!S196*BaseLoad!Y195*IS!$B$2)</f>
        <v>280805.79721365095</v>
      </c>
      <c r="T196" s="180">
        <f>IF($A$1="Peak","-",'Base Hours'!T196*BaseLoad!Z195*IS!$B$2)</f>
        <v>259615.86026558309</v>
      </c>
      <c r="U196" s="180">
        <f>IF($A$1="Peak","-",'Base Hours'!U196*BaseLoad!AA195*IS!$B$2)</f>
        <v>676458.53317958442</v>
      </c>
      <c r="V196" s="180">
        <f t="shared" si="6"/>
        <v>9512452.2520280574</v>
      </c>
      <c r="W196" s="180"/>
      <c r="X196" s="180"/>
      <c r="Y196" s="212"/>
      <c r="Z196" s="212">
        <f>(BaseLoad!C195*'Base Hours'!V196*IS!$B$2)*-1</f>
        <v>-1962601.1172178602</v>
      </c>
      <c r="AA196" s="212"/>
      <c r="AB196" s="212">
        <f>(BaseLoad!D195*'Base Hours'!V196*IS!$B$2)*-1</f>
        <v>-196994.23754147187</v>
      </c>
      <c r="AC196" s="212"/>
      <c r="AD196" s="212">
        <f>(BaseLoad!E195*'Base Hours'!V196*IS!$B$2)*-1</f>
        <v>-1636445.0423070304</v>
      </c>
      <c r="AE196" s="212"/>
      <c r="AF196" s="212">
        <f>(BaseLoad!F195*'Base Hours'!V196*IS!$B$2)*-1</f>
        <v>-112720.06554362661</v>
      </c>
      <c r="AG196" s="212"/>
    </row>
    <row r="197" spans="1:33" x14ac:dyDescent="0.2">
      <c r="A197" s="1">
        <f t="shared" si="5"/>
        <v>42227.979000000239</v>
      </c>
      <c r="B197" s="180">
        <f>IF($A$1="Peak","-",'Base Hours'!B197*BaseLoad!H196*IS!$B$2)</f>
        <v>373530.3368763359</v>
      </c>
      <c r="C197" s="180">
        <f>IF($A$1="Peak","-",'Base Hours'!C197*BaseLoad!I196*IS!$B$2)</f>
        <v>263930.30134004098</v>
      </c>
      <c r="D197" s="180">
        <f>IF($A$1="Peak","-",'Base Hours'!D197*BaseLoad!J196*IS!$B$2)</f>
        <v>476352.60702164966</v>
      </c>
      <c r="E197" s="180">
        <f>IF($A$1="Peak","-",'Base Hours'!E197*BaseLoad!K196*IS!$B$2)</f>
        <v>850600.840845917</v>
      </c>
      <c r="F197" s="180">
        <f>IF($A$1="Peak","-",'Base Hours'!F197*BaseLoad!L196*IS!$B$2)</f>
        <v>767585.45254835649</v>
      </c>
      <c r="G197" s="180">
        <f>IF($A$1="Peak","-",'Base Hours'!G197*BaseLoad!M196*IS!$B$2)</f>
        <v>1385535.1381248902</v>
      </c>
      <c r="H197" s="180">
        <f>IF($A$1="Peak","-",'Base Hours'!H197*BaseLoad!N196*IS!$B$2)</f>
        <v>909738.25516778149</v>
      </c>
      <c r="I197" s="180">
        <f>IF($A$1="Peak","-",'Base Hours'!I197*BaseLoad!O196*IS!$B$2)</f>
        <v>765737.8748079678</v>
      </c>
      <c r="J197" s="180">
        <f>IF($A$1="Peak","-",'Base Hours'!J197*BaseLoad!P196*IS!$B$2)</f>
        <v>524070.05174197076</v>
      </c>
      <c r="K197" s="180">
        <f>IF($A$1="Peak","-",'Base Hours'!K197*BaseLoad!Q196*IS!$B$2)</f>
        <v>447360.19014584692</v>
      </c>
      <c r="L197" s="180">
        <f>IF($A$1="Peak","-",'Base Hours'!L197*BaseLoad!R196*IS!$B$2)</f>
        <v>422351.1720300719</v>
      </c>
      <c r="M197" s="180">
        <f>IF($A$1="Peak","-",'Base Hours'!M197*BaseLoad!S196*IS!$B$2)</f>
        <v>396524.73810104228</v>
      </c>
      <c r="N197" s="180">
        <f>IF($A$1="Peak","-",'Base Hours'!N197*BaseLoad!T196*IS!$B$2)</f>
        <v>391114.83312094631</v>
      </c>
      <c r="O197" s="180">
        <f>IF($A$1="Peak","-",'Base Hours'!O197*BaseLoad!U196*IS!$B$2)</f>
        <v>388647.01977638103</v>
      </c>
      <c r="P197" s="180">
        <f>IF($A$1="Peak","-",'Base Hours'!P197*BaseLoad!V196*IS!$B$2)</f>
        <v>388647.01977638103</v>
      </c>
      <c r="Q197" s="180">
        <f>IF($A$1="Peak","-",'Base Hours'!Q197*BaseLoad!W196*IS!$B$2)</f>
        <v>388647.01977638103</v>
      </c>
      <c r="R197" s="180">
        <f>IF($A$1="Peak","-",'Base Hours'!R197*BaseLoad!X196*IS!$B$2)</f>
        <v>384520.12920762942</v>
      </c>
      <c r="S197" s="180">
        <f>IF($A$1="Peak","-",'Base Hours'!S197*BaseLoad!Y196*IS!$B$2)</f>
        <v>382207.83116852696</v>
      </c>
      <c r="T197" s="180">
        <f>IF($A$1="Peak","-",'Base Hours'!T197*BaseLoad!Z196*IS!$B$2)</f>
        <v>382207.2945739663</v>
      </c>
      <c r="U197" s="180">
        <f>IF($A$1="Peak","-",'Base Hours'!U197*BaseLoad!AA196*IS!$B$2)</f>
        <v>1018676.9646420398</v>
      </c>
      <c r="V197" s="180">
        <f t="shared" si="6"/>
        <v>9922449.9326692317</v>
      </c>
      <c r="W197" s="180"/>
      <c r="X197" s="180"/>
      <c r="Y197" s="212"/>
      <c r="Z197" s="212">
        <f>(BaseLoad!C196*'Base Hours'!V197*IS!$B$2)*-1</f>
        <v>-1962601.1172178602</v>
      </c>
      <c r="AA197" s="212"/>
      <c r="AB197" s="212">
        <f>(BaseLoad!D196*'Base Hours'!V197*IS!$B$2)*-1</f>
        <v>-197322.56127070764</v>
      </c>
      <c r="AC197" s="212"/>
      <c r="AD197" s="212">
        <f>(BaseLoad!E196*'Base Hours'!V197*IS!$B$2)*-1</f>
        <v>-1636445.0423070304</v>
      </c>
      <c r="AE197" s="212"/>
      <c r="AF197" s="212">
        <f>(BaseLoad!F196*'Base Hours'!V197*IS!$B$2)*-1</f>
        <v>-112720.06554362661</v>
      </c>
      <c r="AG197" s="212"/>
    </row>
    <row r="198" spans="1:33" x14ac:dyDescent="0.2">
      <c r="A198" s="1">
        <f t="shared" si="5"/>
        <v>42258.396000000241</v>
      </c>
      <c r="B198" s="180">
        <f>IF($A$1="Peak","-",'Base Hours'!B198*BaseLoad!H197*IS!$B$2)</f>
        <v>173340.4686847764</v>
      </c>
      <c r="C198" s="180">
        <f>IF($A$1="Peak","-",'Base Hours'!C198*BaseLoad!I197*IS!$B$2)</f>
        <v>152406.34322686208</v>
      </c>
      <c r="D198" s="180">
        <f>IF($A$1="Peak","-",'Base Hours'!D198*BaseLoad!J197*IS!$B$2)</f>
        <v>234748.06475588618</v>
      </c>
      <c r="E198" s="180">
        <f>IF($A$1="Peak","-",'Base Hours'!E198*BaseLoad!K197*IS!$B$2)</f>
        <v>427549.93651930359</v>
      </c>
      <c r="F198" s="180">
        <f>IF($A$1="Peak","-",'Base Hours'!F198*BaseLoad!L197*IS!$B$2)</f>
        <v>376350.10814068269</v>
      </c>
      <c r="G198" s="180">
        <f>IF($A$1="Peak","-",'Base Hours'!G198*BaseLoad!M197*IS!$B$2)</f>
        <v>537608.25898255548</v>
      </c>
      <c r="H198" s="180">
        <f>IF($A$1="Peak","-",'Base Hours'!H198*BaseLoad!N197*IS!$B$2)</f>
        <v>472637.75408484053</v>
      </c>
      <c r="I198" s="180">
        <f>IF($A$1="Peak","-",'Base Hours'!I198*BaseLoad!O197*IS!$B$2)</f>
        <v>438580.24709754006</v>
      </c>
      <c r="J198" s="180">
        <f>IF($A$1="Peak","-",'Base Hours'!J198*BaseLoad!P197*IS!$B$2)</f>
        <v>418607.39770872012</v>
      </c>
      <c r="K198" s="180">
        <f>IF($A$1="Peak","-",'Base Hours'!K198*BaseLoad!Q197*IS!$B$2)</f>
        <v>415425.62740481901</v>
      </c>
      <c r="L198" s="180">
        <f>IF($A$1="Peak","-",'Base Hours'!L198*BaseLoad!R197*IS!$B$2)</f>
        <v>412168.74484041921</v>
      </c>
      <c r="M198" s="180">
        <f>IF($A$1="Peak","-",'Base Hours'!M198*BaseLoad!S197*IS!$B$2)</f>
        <v>412168.74484041921</v>
      </c>
      <c r="N198" s="180">
        <f>IF($A$1="Peak","-",'Base Hours'!N198*BaseLoad!T197*IS!$B$2)</f>
        <v>412168.74484041921</v>
      </c>
      <c r="O198" s="180">
        <f>IF($A$1="Peak","-",'Base Hours'!O198*BaseLoad!U197*IS!$B$2)</f>
        <v>411822.86836120888</v>
      </c>
      <c r="P198" s="180">
        <f>IF($A$1="Peak","-",'Base Hours'!P198*BaseLoad!V197*IS!$B$2)</f>
        <v>406762.04771706916</v>
      </c>
      <c r="Q198" s="180">
        <f>IF($A$1="Peak","-",'Base Hours'!Q198*BaseLoad!W197*IS!$B$2)</f>
        <v>405268.91920328914</v>
      </c>
      <c r="R198" s="180">
        <f>IF($A$1="Peak","-",'Base Hours'!R198*BaseLoad!X197*IS!$B$2)</f>
        <v>405268.86978352215</v>
      </c>
      <c r="S198" s="180">
        <f>IF($A$1="Peak","-",'Base Hours'!S198*BaseLoad!Y197*IS!$B$2)</f>
        <v>405267.61418501596</v>
      </c>
      <c r="T198" s="180">
        <f>IF($A$1="Peak","-",'Base Hours'!T198*BaseLoad!Z197*IS!$B$2)</f>
        <v>405267.54990054743</v>
      </c>
      <c r="U198" s="180">
        <f>IF($A$1="Peak","-",'Base Hours'!U198*BaseLoad!AA197*IS!$B$2)</f>
        <v>1089515.0148506546</v>
      </c>
      <c r="V198" s="180">
        <f t="shared" si="6"/>
        <v>7323418.3102778969</v>
      </c>
      <c r="W198" s="180"/>
      <c r="X198" s="180"/>
      <c r="Y198" s="212"/>
      <c r="Z198" s="212">
        <f>(BaseLoad!C197*'Base Hours'!V198*IS!$B$2)*-1</f>
        <v>-1962601.1172178602</v>
      </c>
      <c r="AA198" s="212"/>
      <c r="AB198" s="212">
        <f>(BaseLoad!D197*'Base Hours'!V198*IS!$B$2)*-1</f>
        <v>-197651.43220615882</v>
      </c>
      <c r="AC198" s="212"/>
      <c r="AD198" s="212">
        <f>(BaseLoad!E197*'Base Hours'!V198*IS!$B$2)*-1</f>
        <v>-1636445.0423070304</v>
      </c>
      <c r="AE198" s="212"/>
      <c r="AF198" s="212">
        <f>(BaseLoad!F197*'Base Hours'!V198*IS!$B$2)*-1</f>
        <v>-112720.06554362661</v>
      </c>
      <c r="AG198" s="212"/>
    </row>
    <row r="199" spans="1:33" x14ac:dyDescent="0.2">
      <c r="A199" s="1">
        <f t="shared" si="5"/>
        <v>42288.813000000242</v>
      </c>
      <c r="B199" s="180">
        <f>IF($A$1="Peak","-",'Base Hours'!B199*BaseLoad!H198*IS!$B$2)</f>
        <v>169265.11451647646</v>
      </c>
      <c r="C199" s="180">
        <f>IF($A$1="Peak","-",'Base Hours'!C199*BaseLoad!I198*IS!$B$2)</f>
        <v>162477.95435658429</v>
      </c>
      <c r="D199" s="180">
        <f>IF($A$1="Peak","-",'Base Hours'!D199*BaseLoad!J198*IS!$B$2)</f>
        <v>240289.15032593493</v>
      </c>
      <c r="E199" s="180">
        <f>IF($A$1="Peak","-",'Base Hours'!E199*BaseLoad!K198*IS!$B$2)</f>
        <v>406561.1586467512</v>
      </c>
      <c r="F199" s="180">
        <f>IF($A$1="Peak","-",'Base Hours'!F199*BaseLoad!L198*IS!$B$2)</f>
        <v>374457.87946332671</v>
      </c>
      <c r="G199" s="180">
        <f>IF($A$1="Peak","-",'Base Hours'!G199*BaseLoad!M198*IS!$B$2)</f>
        <v>743546.28085137368</v>
      </c>
      <c r="H199" s="180">
        <f>IF($A$1="Peak","-",'Base Hours'!H199*BaseLoad!N198*IS!$B$2)</f>
        <v>634190.31709509809</v>
      </c>
      <c r="I199" s="180">
        <f>IF($A$1="Peak","-",'Base Hours'!I199*BaseLoad!O198*IS!$B$2)</f>
        <v>508557.96092376066</v>
      </c>
      <c r="J199" s="180">
        <f>IF($A$1="Peak","-",'Base Hours'!J199*BaseLoad!P198*IS!$B$2)</f>
        <v>422511.99068860727</v>
      </c>
      <c r="K199" s="180">
        <f>IF($A$1="Peak","-",'Base Hours'!K199*BaseLoad!Q198*IS!$B$2)</f>
        <v>417561.17219856451</v>
      </c>
      <c r="L199" s="180">
        <f>IF($A$1="Peak","-",'Base Hours'!L199*BaseLoad!R198*IS!$B$2)</f>
        <v>373825.94716060569</v>
      </c>
      <c r="M199" s="180">
        <f>IF($A$1="Peak","-",'Base Hours'!M199*BaseLoad!S198*IS!$B$2)</f>
        <v>359574.59012232127</v>
      </c>
      <c r="N199" s="180">
        <f>IF($A$1="Peak","-",'Base Hours'!N199*BaseLoad!T198*IS!$B$2)</f>
        <v>359574.59012232127</v>
      </c>
      <c r="O199" s="180">
        <f>IF($A$1="Peak","-",'Base Hours'!O199*BaseLoad!U198*IS!$B$2)</f>
        <v>359573.01485579938</v>
      </c>
      <c r="P199" s="180">
        <f>IF($A$1="Peak","-",'Base Hours'!P199*BaseLoad!V198*IS!$B$2)</f>
        <v>359567.91915785137</v>
      </c>
      <c r="Q199" s="180">
        <f>IF($A$1="Peak","-",'Base Hours'!Q199*BaseLoad!W198*IS!$B$2)</f>
        <v>359567.91915785137</v>
      </c>
      <c r="R199" s="180">
        <f>IF($A$1="Peak","-",'Base Hours'!R199*BaseLoad!X198*IS!$B$2)</f>
        <v>359567.91915785137</v>
      </c>
      <c r="S199" s="180">
        <f>IF($A$1="Peak","-",'Base Hours'!S199*BaseLoad!Y198*IS!$B$2)</f>
        <v>359567.91915785137</v>
      </c>
      <c r="T199" s="180">
        <f>IF($A$1="Peak","-",'Base Hours'!T199*BaseLoad!Z198*IS!$B$2)</f>
        <v>346816.10180719255</v>
      </c>
      <c r="U199" s="180">
        <f>IF($A$1="Peak","-",'Base Hours'!U199*BaseLoad!AA198*IS!$B$2)</f>
        <v>843357.55208543246</v>
      </c>
      <c r="V199" s="180">
        <f t="shared" si="6"/>
        <v>7317054.8997661239</v>
      </c>
      <c r="W199" s="180"/>
      <c r="X199" s="180"/>
      <c r="Y199" s="212"/>
      <c r="Z199" s="212">
        <f>(BaseLoad!C198*'Base Hours'!V199*IS!$B$2)*-1</f>
        <v>-1962601.1172178602</v>
      </c>
      <c r="AA199" s="212"/>
      <c r="AB199" s="212">
        <f>(BaseLoad!D198*'Base Hours'!V199*IS!$B$2)*-1</f>
        <v>-197980.85125983576</v>
      </c>
      <c r="AC199" s="212"/>
      <c r="AD199" s="212">
        <f>(BaseLoad!E198*'Base Hours'!V199*IS!$B$2)*-1</f>
        <v>-1636445.0423070304</v>
      </c>
      <c r="AE199" s="212"/>
      <c r="AF199" s="212">
        <f>(BaseLoad!F198*'Base Hours'!V199*IS!$B$2)*-1</f>
        <v>-112720.06554362661</v>
      </c>
      <c r="AG199" s="212"/>
    </row>
    <row r="200" spans="1:33" x14ac:dyDescent="0.2">
      <c r="A200" s="1">
        <f t="shared" si="5"/>
        <v>42319.230000000243</v>
      </c>
      <c r="B200" s="180">
        <f>IF($A$1="Peak","-",'Base Hours'!B200*BaseLoad!H199*IS!$B$2)</f>
        <v>120160.01590660393</v>
      </c>
      <c r="C200" s="180">
        <f>IF($A$1="Peak","-",'Base Hours'!C200*BaseLoad!I199*IS!$B$2)</f>
        <v>114939.64760860775</v>
      </c>
      <c r="D200" s="180">
        <f>IF($A$1="Peak","-",'Base Hours'!D200*BaseLoad!J199*IS!$B$2)</f>
        <v>222142.01379715864</v>
      </c>
      <c r="E200" s="180">
        <f>IF($A$1="Peak","-",'Base Hours'!E200*BaseLoad!K199*IS!$B$2)</f>
        <v>420339.64752566424</v>
      </c>
      <c r="F200" s="180">
        <f>IF($A$1="Peak","-",'Base Hours'!F200*BaseLoad!L199*IS!$B$2)</f>
        <v>416271.45958702546</v>
      </c>
      <c r="G200" s="180">
        <f>IF($A$1="Peak","-",'Base Hours'!G200*BaseLoad!M199*IS!$B$2)</f>
        <v>811087.1200114243</v>
      </c>
      <c r="H200" s="180">
        <f>IF($A$1="Peak","-",'Base Hours'!H200*BaseLoad!N199*IS!$B$2)</f>
        <v>622276.56739128078</v>
      </c>
      <c r="I200" s="180">
        <f>IF($A$1="Peak","-",'Base Hours'!I200*BaseLoad!O199*IS!$B$2)</f>
        <v>560057.23001850909</v>
      </c>
      <c r="J200" s="180">
        <f>IF($A$1="Peak","-",'Base Hours'!J200*BaseLoad!P199*IS!$B$2)</f>
        <v>515188.66124929464</v>
      </c>
      <c r="K200" s="180">
        <f>IF($A$1="Peak","-",'Base Hours'!K200*BaseLoad!Q199*IS!$B$2)</f>
        <v>510459.40100024152</v>
      </c>
      <c r="L200" s="180">
        <f>IF($A$1="Peak","-",'Base Hours'!L200*BaseLoad!R199*IS!$B$2)</f>
        <v>467894.16442643176</v>
      </c>
      <c r="M200" s="180">
        <f>IF($A$1="Peak","-",'Base Hours'!M200*BaseLoad!S199*IS!$B$2)</f>
        <v>442979.46209336846</v>
      </c>
      <c r="N200" s="180">
        <f>IF($A$1="Peak","-",'Base Hours'!N200*BaseLoad!T199*IS!$B$2)</f>
        <v>429047.82072194264</v>
      </c>
      <c r="O200" s="180">
        <f>IF($A$1="Peak","-",'Base Hours'!O200*BaseLoad!U199*IS!$B$2)</f>
        <v>410768.43517341063</v>
      </c>
      <c r="P200" s="180">
        <f>IF($A$1="Peak","-",'Base Hours'!P200*BaseLoad!V199*IS!$B$2)</f>
        <v>404728.98039926798</v>
      </c>
      <c r="Q200" s="180">
        <f>IF($A$1="Peak","-",'Base Hours'!Q200*BaseLoad!W199*IS!$B$2)</f>
        <v>404728.98039926798</v>
      </c>
      <c r="R200" s="180">
        <f>IF($A$1="Peak","-",'Base Hours'!R200*BaseLoad!X199*IS!$B$2)</f>
        <v>404728.98039926798</v>
      </c>
      <c r="S200" s="180">
        <f>IF($A$1="Peak","-",'Base Hours'!S200*BaseLoad!Y199*IS!$B$2)</f>
        <v>404728.98039926798</v>
      </c>
      <c r="T200" s="180">
        <f>IF($A$1="Peak","-",'Base Hours'!T200*BaseLoad!Z199*IS!$B$2)</f>
        <v>404728.98039926798</v>
      </c>
      <c r="U200" s="180">
        <f>IF($A$1="Peak","-",'Base Hours'!U200*BaseLoad!AA199*IS!$B$2)</f>
        <v>1101890.1274189143</v>
      </c>
      <c r="V200" s="180">
        <f t="shared" si="6"/>
        <v>8087256.548507303</v>
      </c>
      <c r="W200" s="180"/>
      <c r="X200" s="180"/>
      <c r="Y200" s="212"/>
      <c r="Z200" s="212">
        <f>(BaseLoad!C199*'Base Hours'!V200*IS!$B$2)*-1</f>
        <v>-1962601.1172178602</v>
      </c>
      <c r="AA200" s="212"/>
      <c r="AB200" s="212">
        <f>(BaseLoad!D199*'Base Hours'!V200*IS!$B$2)*-1</f>
        <v>-198310.81934526883</v>
      </c>
      <c r="AC200" s="212"/>
      <c r="AD200" s="212">
        <f>(BaseLoad!E199*'Base Hours'!V200*IS!$B$2)*-1</f>
        <v>-1636445.0423070304</v>
      </c>
      <c r="AE200" s="212"/>
      <c r="AF200" s="212">
        <f>(BaseLoad!F199*'Base Hours'!V200*IS!$B$2)*-1</f>
        <v>-112720.06554362661</v>
      </c>
      <c r="AG200" s="212"/>
    </row>
    <row r="201" spans="1:33" x14ac:dyDescent="0.2">
      <c r="A201" s="1">
        <f t="shared" si="5"/>
        <v>42349.647000000245</v>
      </c>
      <c r="B201" s="180">
        <f>IF($A$1="Peak","-",'Base Hours'!B201*BaseLoad!H200*IS!$B$2)</f>
        <v>127586.98362963082</v>
      </c>
      <c r="C201" s="180">
        <f>IF($A$1="Peak","-",'Base Hours'!C201*BaseLoad!I200*IS!$B$2)</f>
        <v>120011.88570548595</v>
      </c>
      <c r="D201" s="180">
        <f>IF($A$1="Peak","-",'Base Hours'!D201*BaseLoad!J200*IS!$B$2)</f>
        <v>235266.21577957206</v>
      </c>
      <c r="E201" s="180">
        <f>IF($A$1="Peak","-",'Base Hours'!E201*BaseLoad!K200*IS!$B$2)</f>
        <v>442998.30089946679</v>
      </c>
      <c r="F201" s="180">
        <f>IF($A$1="Peak","-",'Base Hours'!F201*BaseLoad!L200*IS!$B$2)</f>
        <v>433997.93763775995</v>
      </c>
      <c r="G201" s="180">
        <f>IF($A$1="Peak","-",'Base Hours'!G201*BaseLoad!M200*IS!$B$2)</f>
        <v>862307.62936829659</v>
      </c>
      <c r="H201" s="180">
        <f>IF($A$1="Peak","-",'Base Hours'!H201*BaseLoad!N200*IS!$B$2)</f>
        <v>716055.72487478459</v>
      </c>
      <c r="I201" s="180">
        <f>IF($A$1="Peak","-",'Base Hours'!I201*BaseLoad!O200*IS!$B$2)</f>
        <v>592262.49027330335</v>
      </c>
      <c r="J201" s="180">
        <f>IF($A$1="Peak","-",'Base Hours'!J201*BaseLoad!P200*IS!$B$2)</f>
        <v>556928.55587354279</v>
      </c>
      <c r="K201" s="180">
        <f>IF($A$1="Peak","-",'Base Hours'!K201*BaseLoad!Q200*IS!$B$2)</f>
        <v>548743.45754333737</v>
      </c>
      <c r="L201" s="180">
        <f>IF($A$1="Peak","-",'Base Hours'!L201*BaseLoad!R200*IS!$B$2)</f>
        <v>510934.24041454488</v>
      </c>
      <c r="M201" s="180">
        <f>IF($A$1="Peak","-",'Base Hours'!M201*BaseLoad!S200*IS!$B$2)</f>
        <v>467314.44452906598</v>
      </c>
      <c r="N201" s="180">
        <f>IF($A$1="Peak","-",'Base Hours'!N201*BaseLoad!T200*IS!$B$2)</f>
        <v>450377.6063313554</v>
      </c>
      <c r="O201" s="180">
        <f>IF($A$1="Peak","-",'Base Hours'!O201*BaseLoad!U200*IS!$B$2)</f>
        <v>432794.46185984038</v>
      </c>
      <c r="P201" s="180">
        <f>IF($A$1="Peak","-",'Base Hours'!P201*BaseLoad!V200*IS!$B$2)</f>
        <v>420365.8282350814</v>
      </c>
      <c r="Q201" s="180">
        <f>IF($A$1="Peak","-",'Base Hours'!Q201*BaseLoad!W200*IS!$B$2)</f>
        <v>420346.57975305669</v>
      </c>
      <c r="R201" s="180">
        <f>IF($A$1="Peak","-",'Base Hours'!R201*BaseLoad!X200*IS!$B$2)</f>
        <v>420346.57975305669</v>
      </c>
      <c r="S201" s="180">
        <f>IF($A$1="Peak","-",'Base Hours'!S201*BaseLoad!Y200*IS!$B$2)</f>
        <v>420346.57975305669</v>
      </c>
      <c r="T201" s="180">
        <f>IF($A$1="Peak","-",'Base Hours'!T201*BaseLoad!Z200*IS!$B$2)</f>
        <v>420346.57975305669</v>
      </c>
      <c r="U201" s="180">
        <f>IF($A$1="Peak","-",'Base Hours'!U201*BaseLoad!AA200*IS!$B$2)</f>
        <v>1148340.4011829961</v>
      </c>
      <c r="V201" s="180">
        <f t="shared" si="6"/>
        <v>8599332.0819672961</v>
      </c>
      <c r="W201" s="180"/>
      <c r="X201" s="180"/>
      <c r="Y201" s="212">
        <f>SUM(B190:U201)</f>
        <v>109058475.75389129</v>
      </c>
      <c r="Z201" s="212">
        <f>(BaseLoad!C200*'Base Hours'!V201*IS!$B$2)*-1</f>
        <v>-1962601.1172178602</v>
      </c>
      <c r="AA201" s="212">
        <f>SUM(Z190:Z201)</f>
        <v>-23551213.40661433</v>
      </c>
      <c r="AB201" s="212">
        <f>(BaseLoad!D200*'Base Hours'!V201*IS!$B$2)*-1</f>
        <v>-198641.33737751094</v>
      </c>
      <c r="AC201" s="212">
        <f>SUM(AB190:AB201)</f>
        <v>-2362002.3949524676</v>
      </c>
      <c r="AD201" s="212">
        <f>(BaseLoad!E200*'Base Hours'!V201*IS!$B$2)*-1</f>
        <v>-1636445.0423070304</v>
      </c>
      <c r="AE201" s="212">
        <f>SUM(AD190:AD201)</f>
        <v>-19637340.507684365</v>
      </c>
      <c r="AF201" s="212">
        <f>(BaseLoad!F200*'Base Hours'!V201*IS!$B$2)*-1</f>
        <v>-112720.06554362661</v>
      </c>
      <c r="AG201" s="212">
        <f>SUM(AF190:AF201)</f>
        <v>-1352640.7865235198</v>
      </c>
    </row>
    <row r="202" spans="1:33" x14ac:dyDescent="0.2">
      <c r="A202" s="1">
        <f t="shared" si="5"/>
        <v>42380.064000000246</v>
      </c>
      <c r="B202" s="180">
        <f>IF($A$1="Peak","-",'Base Hours'!B202*BaseLoad!H201*IS!$B$2)</f>
        <v>128922.72117747046</v>
      </c>
      <c r="C202" s="180">
        <f>IF($A$1="Peak","-",'Base Hours'!C202*BaseLoad!I201*IS!$B$2)</f>
        <v>119508.73934937331</v>
      </c>
      <c r="D202" s="180">
        <f>IF($A$1="Peak","-",'Base Hours'!D202*BaseLoad!J201*IS!$B$2)</f>
        <v>223851.90411794596</v>
      </c>
      <c r="E202" s="180">
        <f>IF($A$1="Peak","-",'Base Hours'!E202*BaseLoad!K201*IS!$B$2)</f>
        <v>423431.28995547403</v>
      </c>
      <c r="F202" s="180">
        <f>IF($A$1="Peak","-",'Base Hours'!F202*BaseLoad!L201*IS!$B$2)</f>
        <v>403767.69926792808</v>
      </c>
      <c r="G202" s="180">
        <f>IF($A$1="Peak","-",'Base Hours'!G202*BaseLoad!M201*IS!$B$2)</f>
        <v>796366.91843892273</v>
      </c>
      <c r="H202" s="180">
        <f>IF($A$1="Peak","-",'Base Hours'!H202*BaseLoad!N201*IS!$B$2)</f>
        <v>660081.36500236462</v>
      </c>
      <c r="I202" s="180">
        <f>IF($A$1="Peak","-",'Base Hours'!I202*BaseLoad!O201*IS!$B$2)</f>
        <v>553070.22974745929</v>
      </c>
      <c r="J202" s="180">
        <f>IF($A$1="Peak","-",'Base Hours'!J202*BaseLoad!P201*IS!$B$2)</f>
        <v>523971.3291133407</v>
      </c>
      <c r="K202" s="180">
        <f>IF($A$1="Peak","-",'Base Hours'!K202*BaseLoad!Q201*IS!$B$2)</f>
        <v>495132.69524799706</v>
      </c>
      <c r="L202" s="180">
        <f>IF($A$1="Peak","-",'Base Hours'!L202*BaseLoad!R201*IS!$B$2)</f>
        <v>491844.49771453632</v>
      </c>
      <c r="M202" s="180">
        <f>IF($A$1="Peak","-",'Base Hours'!M202*BaseLoad!S201*IS!$B$2)</f>
        <v>481003.93275059375</v>
      </c>
      <c r="N202" s="180">
        <f>IF($A$1="Peak","-",'Base Hours'!N202*BaseLoad!T201*IS!$B$2)</f>
        <v>463173.97093095747</v>
      </c>
      <c r="O202" s="180">
        <f>IF($A$1="Peak","-",'Base Hours'!O202*BaseLoad!U201*IS!$B$2)</f>
        <v>441637.27370639943</v>
      </c>
      <c r="P202" s="180">
        <f>IF($A$1="Peak","-",'Base Hours'!P202*BaseLoad!V201*IS!$B$2)</f>
        <v>409036.12677892018</v>
      </c>
      <c r="Q202" s="180">
        <f>IF($A$1="Peak","-",'Base Hours'!Q202*BaseLoad!W201*IS!$B$2)</f>
        <v>393208.35101818439</v>
      </c>
      <c r="R202" s="180">
        <f>IF($A$1="Peak","-",'Base Hours'!R202*BaseLoad!X201*IS!$B$2)</f>
        <v>393208.35101818439</v>
      </c>
      <c r="S202" s="180">
        <f>IF($A$1="Peak","-",'Base Hours'!S202*BaseLoad!Y201*IS!$B$2)</f>
        <v>393208.35101818439</v>
      </c>
      <c r="T202" s="180">
        <f>IF($A$1="Peak","-",'Base Hours'!T202*BaseLoad!Z201*IS!$B$2)</f>
        <v>393208.35101818439</v>
      </c>
      <c r="U202" s="180">
        <f>IF($A$1="Peak","-",'Base Hours'!U202*BaseLoad!AA201*IS!$B$2)</f>
        <v>1054668.489902593</v>
      </c>
      <c r="V202" s="180">
        <f t="shared" si="6"/>
        <v>8187634.097372422</v>
      </c>
      <c r="W202" s="180"/>
      <c r="X202" s="180"/>
      <c r="Y202" s="212"/>
      <c r="Z202" s="212">
        <f>(BaseLoad!C201*'Base Hours'!V202*IS!$B$2)*-1</f>
        <v>-1978067.7644427784</v>
      </c>
      <c r="AA202" s="212"/>
      <c r="AB202" s="212">
        <f>(BaseLoad!D201*'Base Hours'!V202*IS!$B$2)*-1</f>
        <v>-198972.40627314014</v>
      </c>
      <c r="AC202" s="212"/>
      <c r="AD202" s="212">
        <f>(BaseLoad!E201*'Base Hours'!V202*IS!$B$2)*-1</f>
        <v>-1796814.6440175227</v>
      </c>
      <c r="AE202" s="212"/>
      <c r="AF202" s="212">
        <f>(BaseLoad!F201*'Base Hours'!V202*IS!$B$2)*-1</f>
        <v>-119700.79009298494</v>
      </c>
      <c r="AG202" s="212"/>
    </row>
    <row r="203" spans="1:33" x14ac:dyDescent="0.2">
      <c r="A203" s="1">
        <f t="shared" si="5"/>
        <v>42410.481000000247</v>
      </c>
      <c r="B203" s="180">
        <f>IF($A$1="Peak","-",'Base Hours'!B203*BaseLoad!H202*IS!$B$2)</f>
        <v>172672.44360384764</v>
      </c>
      <c r="C203" s="180">
        <f>IF($A$1="Peak","-",'Base Hours'!C203*BaseLoad!I202*IS!$B$2)</f>
        <v>167813.18761566986</v>
      </c>
      <c r="D203" s="180">
        <f>IF($A$1="Peak","-",'Base Hours'!D203*BaseLoad!J202*IS!$B$2)</f>
        <v>301331.70927742572</v>
      </c>
      <c r="E203" s="180">
        <f>IF($A$1="Peak","-",'Base Hours'!E203*BaseLoad!K202*IS!$B$2)</f>
        <v>477175.2053373442</v>
      </c>
      <c r="F203" s="180">
        <f>IF($A$1="Peak","-",'Base Hours'!F203*BaseLoad!L202*IS!$B$2)</f>
        <v>438767.11588599469</v>
      </c>
      <c r="G203" s="180">
        <f>IF($A$1="Peak","-",'Base Hours'!G203*BaseLoad!M202*IS!$B$2)</f>
        <v>811858.43776872684</v>
      </c>
      <c r="H203" s="180">
        <f>IF($A$1="Peak","-",'Base Hours'!H203*BaseLoad!N202*IS!$B$2)</f>
        <v>783665.08629039943</v>
      </c>
      <c r="I203" s="180">
        <f>IF($A$1="Peak","-",'Base Hours'!I203*BaseLoad!O202*IS!$B$2)</f>
        <v>752643.73663018807</v>
      </c>
      <c r="J203" s="180">
        <f>IF($A$1="Peak","-",'Base Hours'!J203*BaseLoad!P202*IS!$B$2)</f>
        <v>586741.42824179609</v>
      </c>
      <c r="K203" s="180">
        <f>IF($A$1="Peak","-",'Base Hours'!K203*BaseLoad!Q202*IS!$B$2)</f>
        <v>506656.12648872705</v>
      </c>
      <c r="L203" s="180">
        <f>IF($A$1="Peak","-",'Base Hours'!L203*BaseLoad!R202*IS!$B$2)</f>
        <v>439120.47788948868</v>
      </c>
      <c r="M203" s="180">
        <f>IF($A$1="Peak","-",'Base Hours'!M203*BaseLoad!S202*IS!$B$2)</f>
        <v>428484.88718110853</v>
      </c>
      <c r="N203" s="180">
        <f>IF($A$1="Peak","-",'Base Hours'!N203*BaseLoad!T202*IS!$B$2)</f>
        <v>390788.89018951304</v>
      </c>
      <c r="O203" s="180">
        <f>IF($A$1="Peak","-",'Base Hours'!O203*BaseLoad!U202*IS!$B$2)</f>
        <v>378539.97359572683</v>
      </c>
      <c r="P203" s="180">
        <f>IF($A$1="Peak","-",'Base Hours'!P203*BaseLoad!V202*IS!$B$2)</f>
        <v>376744.76385435933</v>
      </c>
      <c r="Q203" s="180">
        <f>IF($A$1="Peak","-",'Base Hours'!Q203*BaseLoad!W202*IS!$B$2)</f>
        <v>376744.73680335906</v>
      </c>
      <c r="R203" s="180">
        <f>IF($A$1="Peak","-",'Base Hours'!R203*BaseLoad!X202*IS!$B$2)</f>
        <v>376743.63996745844</v>
      </c>
      <c r="S203" s="180">
        <f>IF($A$1="Peak","-",'Base Hours'!S203*BaseLoad!Y202*IS!$B$2)</f>
        <v>376742.9676898981</v>
      </c>
      <c r="T203" s="180">
        <f>IF($A$1="Peak","-",'Base Hours'!T203*BaseLoad!Z202*IS!$B$2)</f>
        <v>375847.41658973013</v>
      </c>
      <c r="U203" s="180">
        <f>IF($A$1="Peak","-",'Base Hours'!U203*BaseLoad!AA202*IS!$B$2)</f>
        <v>966447.10884220037</v>
      </c>
      <c r="V203" s="180">
        <f t="shared" si="6"/>
        <v>8519082.2309007607</v>
      </c>
      <c r="W203" s="180"/>
      <c r="X203" s="180"/>
      <c r="Y203" s="212"/>
      <c r="Z203" s="212">
        <f>(BaseLoad!C202*'Base Hours'!V203*IS!$B$2)*-1</f>
        <v>-1978067.7644427784</v>
      </c>
      <c r="AA203" s="212"/>
      <c r="AB203" s="212">
        <f>(BaseLoad!D202*'Base Hours'!V203*IS!$B$2)*-1</f>
        <v>-199304.02695026205</v>
      </c>
      <c r="AC203" s="212"/>
      <c r="AD203" s="212">
        <f>(BaseLoad!E202*'Base Hours'!V203*IS!$B$2)*-1</f>
        <v>-1796814.6440175227</v>
      </c>
      <c r="AE203" s="212"/>
      <c r="AF203" s="212">
        <f>(BaseLoad!F202*'Base Hours'!V203*IS!$B$2)*-1</f>
        <v>-119700.79009298494</v>
      </c>
      <c r="AG203" s="212"/>
    </row>
    <row r="204" spans="1:33" x14ac:dyDescent="0.2">
      <c r="A204" s="1">
        <f t="shared" ref="A204:A249" si="7">A203+30.417</f>
        <v>42440.898000000248</v>
      </c>
      <c r="B204" s="180">
        <f>IF($A$1="Peak","-",'Base Hours'!B204*BaseLoad!H203*IS!$B$2)</f>
        <v>107092.74864891924</v>
      </c>
      <c r="C204" s="180">
        <f>IF($A$1="Peak","-",'Base Hours'!C204*BaseLoad!I203*IS!$B$2)</f>
        <v>104718.20289140966</v>
      </c>
      <c r="D204" s="180">
        <f>IF($A$1="Peak","-",'Base Hours'!D204*BaseLoad!J203*IS!$B$2)</f>
        <v>199674.91693365129</v>
      </c>
      <c r="E204" s="180">
        <f>IF($A$1="Peak","-",'Base Hours'!E204*BaseLoad!K203*IS!$B$2)</f>
        <v>380731.28774255962</v>
      </c>
      <c r="F204" s="180">
        <f>IF($A$1="Peak","-",'Base Hours'!F204*BaseLoad!L203*IS!$B$2)</f>
        <v>378464.75764885719</v>
      </c>
      <c r="G204" s="180">
        <f>IF($A$1="Peak","-",'Base Hours'!G204*BaseLoad!M203*IS!$B$2)</f>
        <v>731462.90922508202</v>
      </c>
      <c r="H204" s="180">
        <f>IF($A$1="Peak","-",'Base Hours'!H204*BaseLoad!N203*IS!$B$2)</f>
        <v>612061.79991590686</v>
      </c>
      <c r="I204" s="180">
        <f>IF($A$1="Peak","-",'Base Hours'!I204*BaseLoad!O203*IS!$B$2)</f>
        <v>523046.76076866937</v>
      </c>
      <c r="J204" s="180">
        <f>IF($A$1="Peak","-",'Base Hours'!J204*BaseLoad!P203*IS!$B$2)</f>
        <v>507989.12503410736</v>
      </c>
      <c r="K204" s="180">
        <f>IF($A$1="Peak","-",'Base Hours'!K204*BaseLoad!Q203*IS!$B$2)</f>
        <v>478705.74992664921</v>
      </c>
      <c r="L204" s="180">
        <f>IF($A$1="Peak","-",'Base Hours'!L204*BaseLoad!R203*IS!$B$2)</f>
        <v>457479.51153442706</v>
      </c>
      <c r="M204" s="180">
        <f>IF($A$1="Peak","-",'Base Hours'!M204*BaseLoad!S203*IS!$B$2)</f>
        <v>440919.89361862256</v>
      </c>
      <c r="N204" s="180">
        <f>IF($A$1="Peak","-",'Base Hours'!N204*BaseLoad!T203*IS!$B$2)</f>
        <v>432115.23653784214</v>
      </c>
      <c r="O204" s="180">
        <f>IF($A$1="Peak","-",'Base Hours'!O204*BaseLoad!U203*IS!$B$2)</f>
        <v>430383.9712528293</v>
      </c>
      <c r="P204" s="180">
        <f>IF($A$1="Peak","-",'Base Hours'!P204*BaseLoad!V203*IS!$B$2)</f>
        <v>427723.69375064614</v>
      </c>
      <c r="Q204" s="180">
        <f>IF($A$1="Peak","-",'Base Hours'!Q204*BaseLoad!W203*IS!$B$2)</f>
        <v>414257.77207003476</v>
      </c>
      <c r="R204" s="180">
        <f>IF($A$1="Peak","-",'Base Hours'!R204*BaseLoad!X203*IS!$B$2)</f>
        <v>399368.24343352765</v>
      </c>
      <c r="S204" s="180">
        <f>IF($A$1="Peak","-",'Base Hours'!S204*BaseLoad!Y203*IS!$B$2)</f>
        <v>388213.43313474872</v>
      </c>
      <c r="T204" s="180">
        <f>IF($A$1="Peak","-",'Base Hours'!T204*BaseLoad!Z203*IS!$B$2)</f>
        <v>371900.29108832666</v>
      </c>
      <c r="U204" s="180">
        <f>IF($A$1="Peak","-",'Base Hours'!U204*BaseLoad!AA203*IS!$B$2)</f>
        <v>1019825.5193249136</v>
      </c>
      <c r="V204" s="180">
        <f t="shared" ref="V204:V249" si="8">SUM(B204:U204)-(MAX(B204:U204))</f>
        <v>7786310.3051568158</v>
      </c>
      <c r="W204" s="180"/>
      <c r="X204" s="180"/>
      <c r="Y204" s="212"/>
      <c r="Z204" s="212">
        <f>(BaseLoad!C203*'Base Hours'!V204*IS!$B$2)*-1</f>
        <v>-1978067.7644427784</v>
      </c>
      <c r="AA204" s="212"/>
      <c r="AB204" s="212">
        <f>(BaseLoad!D203*'Base Hours'!V204*IS!$B$2)*-1</f>
        <v>-199636.20032851244</v>
      </c>
      <c r="AC204" s="212"/>
      <c r="AD204" s="212">
        <f>(BaseLoad!E203*'Base Hours'!V204*IS!$B$2)*-1</f>
        <v>-1796814.6440175227</v>
      </c>
      <c r="AE204" s="212"/>
      <c r="AF204" s="212">
        <f>(BaseLoad!F203*'Base Hours'!V204*IS!$B$2)*-1</f>
        <v>-119700.79009298494</v>
      </c>
      <c r="AG204" s="212"/>
    </row>
    <row r="205" spans="1:33" x14ac:dyDescent="0.2">
      <c r="A205" s="1">
        <f t="shared" si="7"/>
        <v>42471.31500000025</v>
      </c>
      <c r="B205" s="180">
        <f>IF($A$1="Peak","-",'Base Hours'!B205*BaseLoad!H204*IS!$B$2)</f>
        <v>139969.28199710883</v>
      </c>
      <c r="C205" s="180">
        <f>IF($A$1="Peak","-",'Base Hours'!C205*BaseLoad!I204*IS!$B$2)</f>
        <v>108891.28631511606</v>
      </c>
      <c r="D205" s="180">
        <f>IF($A$1="Peak","-",'Base Hours'!D205*BaseLoad!J204*IS!$B$2)</f>
        <v>202718.57914629192</v>
      </c>
      <c r="E205" s="180">
        <f>IF($A$1="Peak","-",'Base Hours'!E205*BaseLoad!K204*IS!$B$2)</f>
        <v>384209.14436475921</v>
      </c>
      <c r="F205" s="180">
        <f>IF($A$1="Peak","-",'Base Hours'!F205*BaseLoad!L204*IS!$B$2)</f>
        <v>382861.09256337205</v>
      </c>
      <c r="G205" s="180">
        <f>IF($A$1="Peak","-",'Base Hours'!G205*BaseLoad!M204*IS!$B$2)</f>
        <v>606762.24087349186</v>
      </c>
      <c r="H205" s="180">
        <f>IF($A$1="Peak","-",'Base Hours'!H205*BaseLoad!N204*IS!$B$2)</f>
        <v>486055.59110155149</v>
      </c>
      <c r="I205" s="180">
        <f>IF($A$1="Peak","-",'Base Hours'!I205*BaseLoad!O204*IS!$B$2)</f>
        <v>430267.10434600926</v>
      </c>
      <c r="J205" s="180">
        <f>IF($A$1="Peak","-",'Base Hours'!J205*BaseLoad!P204*IS!$B$2)</f>
        <v>414917.38992527075</v>
      </c>
      <c r="K205" s="180">
        <f>IF($A$1="Peak","-",'Base Hours'!K205*BaseLoad!Q204*IS!$B$2)</f>
        <v>371314.59794583841</v>
      </c>
      <c r="L205" s="180">
        <f>IF($A$1="Peak","-",'Base Hours'!L205*BaseLoad!R204*IS!$B$2)</f>
        <v>369611.52510802791</v>
      </c>
      <c r="M205" s="180">
        <f>IF($A$1="Peak","-",'Base Hours'!M205*BaseLoad!S204*IS!$B$2)</f>
        <v>369611.52510802791</v>
      </c>
      <c r="N205" s="180">
        <f>IF($A$1="Peak","-",'Base Hours'!N205*BaseLoad!T204*IS!$B$2)</f>
        <v>369611.35517414339</v>
      </c>
      <c r="O205" s="180">
        <f>IF($A$1="Peak","-",'Base Hours'!O205*BaseLoad!U204*IS!$B$2)</f>
        <v>369605.35488682252</v>
      </c>
      <c r="P205" s="180">
        <f>IF($A$1="Peak","-",'Base Hours'!P205*BaseLoad!V204*IS!$B$2)</f>
        <v>369604.77028297866</v>
      </c>
      <c r="Q205" s="180">
        <f>IF($A$1="Peak","-",'Base Hours'!Q205*BaseLoad!W204*IS!$B$2)</f>
        <v>369604.77028297866</v>
      </c>
      <c r="R205" s="180">
        <f>IF($A$1="Peak","-",'Base Hours'!R205*BaseLoad!X204*IS!$B$2)</f>
        <v>369604.77028297866</v>
      </c>
      <c r="S205" s="180">
        <f>IF($A$1="Peak","-",'Base Hours'!S205*BaseLoad!Y204*IS!$B$2)</f>
        <v>365370.0941053381</v>
      </c>
      <c r="T205" s="180">
        <f>IF($A$1="Peak","-",'Base Hours'!T205*BaseLoad!Z204*IS!$B$2)</f>
        <v>348140.99882547243</v>
      </c>
      <c r="U205" s="180">
        <f>IF($A$1="Peak","-",'Base Hours'!U205*BaseLoad!AA204*IS!$B$2)</f>
        <v>900636.04634139314</v>
      </c>
      <c r="V205" s="180">
        <f t="shared" si="8"/>
        <v>6828731.4726355765</v>
      </c>
      <c r="W205" s="180"/>
      <c r="X205" s="180"/>
      <c r="Y205" s="212"/>
      <c r="Z205" s="212">
        <f>(BaseLoad!C204*'Base Hours'!V205*IS!$B$2)*-1</f>
        <v>-1978067.7644427784</v>
      </c>
      <c r="AA205" s="212"/>
      <c r="AB205" s="212">
        <f>(BaseLoad!D204*'Base Hours'!V205*IS!$B$2)*-1</f>
        <v>-199968.92732906001</v>
      </c>
      <c r="AC205" s="212"/>
      <c r="AD205" s="212">
        <f>(BaseLoad!E204*'Base Hours'!V205*IS!$B$2)*-1</f>
        <v>-1796814.6440175227</v>
      </c>
      <c r="AE205" s="212"/>
      <c r="AF205" s="212">
        <f>(BaseLoad!F204*'Base Hours'!V205*IS!$B$2)*-1</f>
        <v>-119700.79009298494</v>
      </c>
      <c r="AG205" s="212"/>
    </row>
    <row r="206" spans="1:33" x14ac:dyDescent="0.2">
      <c r="A206" s="1">
        <f t="shared" si="7"/>
        <v>42501.732000000251</v>
      </c>
      <c r="B206" s="180">
        <f>IF($A$1="Peak","-",'Base Hours'!B206*BaseLoad!H205*IS!$B$2)</f>
        <v>95775.573144195354</v>
      </c>
      <c r="C206" s="180">
        <f>IF($A$1="Peak","-",'Base Hours'!C206*BaseLoad!I205*IS!$B$2)</f>
        <v>76700.620634437742</v>
      </c>
      <c r="D206" s="180">
        <f>IF($A$1="Peak","-",'Base Hours'!D206*BaseLoad!J205*IS!$B$2)</f>
        <v>139488.76704260419</v>
      </c>
      <c r="E206" s="180">
        <f>IF($A$1="Peak","-",'Base Hours'!E206*BaseLoad!K205*IS!$B$2)</f>
        <v>267911.39770859684</v>
      </c>
      <c r="F206" s="180">
        <f>IF($A$1="Peak","-",'Base Hours'!F206*BaseLoad!L205*IS!$B$2)</f>
        <v>260197.45918462527</v>
      </c>
      <c r="G206" s="180">
        <f>IF($A$1="Peak","-",'Base Hours'!G206*BaseLoad!M205*IS!$B$2)</f>
        <v>517601.76126217243</v>
      </c>
      <c r="H206" s="180">
        <f>IF($A$1="Peak","-",'Base Hours'!H206*BaseLoad!N205*IS!$B$2)</f>
        <v>504072.63522402977</v>
      </c>
      <c r="I206" s="180">
        <f>IF($A$1="Peak","-",'Base Hours'!I206*BaseLoad!O205*IS!$B$2)</f>
        <v>486494.2045572456</v>
      </c>
      <c r="J206" s="180">
        <f>IF($A$1="Peak","-",'Base Hours'!J206*BaseLoad!P205*IS!$B$2)</f>
        <v>474604.74208445533</v>
      </c>
      <c r="K206" s="180">
        <f>IF($A$1="Peak","-",'Base Hours'!K206*BaseLoad!Q205*IS!$B$2)</f>
        <v>471041.26617704984</v>
      </c>
      <c r="L206" s="180">
        <f>IF($A$1="Peak","-",'Base Hours'!L206*BaseLoad!R205*IS!$B$2)</f>
        <v>458914.70802300965</v>
      </c>
      <c r="M206" s="180">
        <f>IF($A$1="Peak","-",'Base Hours'!M206*BaseLoad!S205*IS!$B$2)</f>
        <v>440585.90920766891</v>
      </c>
      <c r="N206" s="180">
        <f>IF($A$1="Peak","-",'Base Hours'!N206*BaseLoad!T205*IS!$B$2)</f>
        <v>405769.46167611761</v>
      </c>
      <c r="O206" s="180">
        <f>IF($A$1="Peak","-",'Base Hours'!O206*BaseLoad!U205*IS!$B$2)</f>
        <v>380556.88597570971</v>
      </c>
      <c r="P206" s="180">
        <f>IF($A$1="Peak","-",'Base Hours'!P206*BaseLoad!V205*IS!$B$2)</f>
        <v>372967.6054910855</v>
      </c>
      <c r="Q206" s="180">
        <f>IF($A$1="Peak","-",'Base Hours'!Q206*BaseLoad!W205*IS!$B$2)</f>
        <v>348311.55478647974</v>
      </c>
      <c r="R206" s="180">
        <f>IF($A$1="Peak","-",'Base Hours'!R206*BaseLoad!X205*IS!$B$2)</f>
        <v>338903.37846655445</v>
      </c>
      <c r="S206" s="180">
        <f>IF($A$1="Peak","-",'Base Hours'!S206*BaseLoad!Y205*IS!$B$2)</f>
        <v>334253.17581111542</v>
      </c>
      <c r="T206" s="180">
        <f>IF($A$1="Peak","-",'Base Hours'!T206*BaseLoad!Z205*IS!$B$2)</f>
        <v>327385.32929081214</v>
      </c>
      <c r="U206" s="180">
        <f>IF($A$1="Peak","-",'Base Hours'!U206*BaseLoad!AA205*IS!$B$2)</f>
        <v>875458.32106452133</v>
      </c>
      <c r="V206" s="180">
        <f t="shared" si="8"/>
        <v>6701536.4357479671</v>
      </c>
      <c r="W206" s="180"/>
      <c r="X206" s="180"/>
      <c r="Y206" s="212"/>
      <c r="Z206" s="212">
        <f>(BaseLoad!C205*'Base Hours'!V206*IS!$B$2)*-1</f>
        <v>-1978067.7644427784</v>
      </c>
      <c r="AA206" s="212"/>
      <c r="AB206" s="212">
        <f>(BaseLoad!D205*'Base Hours'!V206*IS!$B$2)*-1</f>
        <v>-200302.20887460845</v>
      </c>
      <c r="AC206" s="212"/>
      <c r="AD206" s="212">
        <f>(BaseLoad!E205*'Base Hours'!V206*IS!$B$2)*-1</f>
        <v>-1796814.6440175227</v>
      </c>
      <c r="AE206" s="212"/>
      <c r="AF206" s="212">
        <f>(BaseLoad!F205*'Base Hours'!V206*IS!$B$2)*-1</f>
        <v>-119700.79009298494</v>
      </c>
      <c r="AG206" s="212"/>
    </row>
    <row r="207" spans="1:33" x14ac:dyDescent="0.2">
      <c r="A207" s="1">
        <f t="shared" si="7"/>
        <v>42532.149000000252</v>
      </c>
      <c r="B207" s="180">
        <f>IF($A$1="Peak","-",'Base Hours'!B207*BaseLoad!H206*IS!$B$2)</f>
        <v>219278.20115896536</v>
      </c>
      <c r="C207" s="180">
        <f>IF($A$1="Peak","-",'Base Hours'!C207*BaseLoad!I206*IS!$B$2)</f>
        <v>204077.35362272279</v>
      </c>
      <c r="D207" s="180">
        <f>IF($A$1="Peak","-",'Base Hours'!D207*BaseLoad!J206*IS!$B$2)</f>
        <v>382019.07461172034</v>
      </c>
      <c r="E207" s="180">
        <f>IF($A$1="Peak","-",'Base Hours'!E207*BaseLoad!K206*IS!$B$2)</f>
        <v>704280.83875257766</v>
      </c>
      <c r="F207" s="180">
        <f>IF($A$1="Peak","-",'Base Hours'!F207*BaseLoad!L206*IS!$B$2)</f>
        <v>665736.60091136768</v>
      </c>
      <c r="G207" s="180">
        <f>IF($A$1="Peak","-",'Base Hours'!G207*BaseLoad!M206*IS!$B$2)</f>
        <v>768900.9028892644</v>
      </c>
      <c r="H207" s="180">
        <f>IF($A$1="Peak","-",'Base Hours'!H207*BaseLoad!N206*IS!$B$2)</f>
        <v>686484.20166300971</v>
      </c>
      <c r="I207" s="180">
        <f>IF($A$1="Peak","-",'Base Hours'!I207*BaseLoad!O206*IS!$B$2)</f>
        <v>504206.92490583495</v>
      </c>
      <c r="J207" s="180">
        <f>IF($A$1="Peak","-",'Base Hours'!J207*BaseLoad!P206*IS!$B$2)</f>
        <v>410164.15430578432</v>
      </c>
      <c r="K207" s="180">
        <f>IF($A$1="Peak","-",'Base Hours'!K207*BaseLoad!Q206*IS!$B$2)</f>
        <v>383694.43266292615</v>
      </c>
      <c r="L207" s="180">
        <f>IF($A$1="Peak","-",'Base Hours'!L207*BaseLoad!R206*IS!$B$2)</f>
        <v>350715.06101526238</v>
      </c>
      <c r="M207" s="180">
        <f>IF($A$1="Peak","-",'Base Hours'!M207*BaseLoad!S206*IS!$B$2)</f>
        <v>336872.72980811016</v>
      </c>
      <c r="N207" s="180">
        <f>IF($A$1="Peak","-",'Base Hours'!N207*BaseLoad!T206*IS!$B$2)</f>
        <v>335715.59310798283</v>
      </c>
      <c r="O207" s="180">
        <f>IF($A$1="Peak","-",'Base Hours'!O207*BaseLoad!U206*IS!$B$2)</f>
        <v>335715.42362671456</v>
      </c>
      <c r="P207" s="180">
        <f>IF($A$1="Peak","-",'Base Hours'!P207*BaseLoad!V206*IS!$B$2)</f>
        <v>335708.97184083809</v>
      </c>
      <c r="Q207" s="180">
        <f>IF($A$1="Peak","-",'Base Hours'!Q207*BaseLoad!W206*IS!$B$2)</f>
        <v>335708.80998552789</v>
      </c>
      <c r="R207" s="180">
        <f>IF($A$1="Peak","-",'Base Hours'!R207*BaseLoad!X206*IS!$B$2)</f>
        <v>335708.80998552789</v>
      </c>
      <c r="S207" s="180">
        <f>IF($A$1="Peak","-",'Base Hours'!S207*BaseLoad!Y206*IS!$B$2)</f>
        <v>335324.09542513895</v>
      </c>
      <c r="T207" s="180">
        <f>IF($A$1="Peak","-",'Base Hours'!T207*BaseLoad!Z206*IS!$B$2)</f>
        <v>331290.60826039</v>
      </c>
      <c r="U207" s="180">
        <f>IF($A$1="Peak","-",'Base Hours'!U207*BaseLoad!AA206*IS!$B$2)</f>
        <v>823220.06703516189</v>
      </c>
      <c r="V207" s="180">
        <f t="shared" si="8"/>
        <v>7961602.7885396658</v>
      </c>
      <c r="W207" s="180"/>
      <c r="X207" s="180"/>
      <c r="Y207" s="212"/>
      <c r="Z207" s="212">
        <f>(BaseLoad!C206*'Base Hours'!V207*IS!$B$2)*-1</f>
        <v>-1978067.7644427784</v>
      </c>
      <c r="AA207" s="212"/>
      <c r="AB207" s="212">
        <f>(BaseLoad!D206*'Base Hours'!V207*IS!$B$2)*-1</f>
        <v>-200636.04588939948</v>
      </c>
      <c r="AC207" s="212"/>
      <c r="AD207" s="212">
        <f>(BaseLoad!E206*'Base Hours'!V207*IS!$B$2)*-1</f>
        <v>-1796814.6440175227</v>
      </c>
      <c r="AE207" s="212"/>
      <c r="AF207" s="212">
        <f>(BaseLoad!F206*'Base Hours'!V207*IS!$B$2)*-1</f>
        <v>-119700.79009298494</v>
      </c>
      <c r="AG207" s="212"/>
    </row>
    <row r="208" spans="1:33" x14ac:dyDescent="0.2">
      <c r="A208" s="1">
        <f t="shared" si="7"/>
        <v>42562.566000000254</v>
      </c>
      <c r="B208" s="180">
        <f>IF($A$1="Peak","-",'Base Hours'!B208*BaseLoad!H207*IS!$B$2)</f>
        <v>230068.70699847399</v>
      </c>
      <c r="C208" s="180">
        <f>IF($A$1="Peak","-",'Base Hours'!C208*BaseLoad!I207*IS!$B$2)</f>
        <v>210791.32625522889</v>
      </c>
      <c r="D208" s="180">
        <f>IF($A$1="Peak","-",'Base Hours'!D208*BaseLoad!J207*IS!$B$2)</f>
        <v>393395.56102912227</v>
      </c>
      <c r="E208" s="180">
        <f>IF($A$1="Peak","-",'Base Hours'!E208*BaseLoad!K207*IS!$B$2)</f>
        <v>720185.43933034933</v>
      </c>
      <c r="F208" s="180">
        <f>IF($A$1="Peak","-",'Base Hours'!F208*BaseLoad!L207*IS!$B$2)</f>
        <v>677026.39874613332</v>
      </c>
      <c r="G208" s="180">
        <f>IF($A$1="Peak","-",'Base Hours'!G208*BaseLoad!M207*IS!$B$2)</f>
        <v>972195.08307781327</v>
      </c>
      <c r="H208" s="180">
        <f>IF($A$1="Peak","-",'Base Hours'!H208*BaseLoad!N207*IS!$B$2)</f>
        <v>726274.82413009601</v>
      </c>
      <c r="I208" s="180">
        <f>IF($A$1="Peak","-",'Base Hours'!I208*BaseLoad!O207*IS!$B$2)</f>
        <v>692923.4808331501</v>
      </c>
      <c r="J208" s="180">
        <f>IF($A$1="Peak","-",'Base Hours'!J208*BaseLoad!P207*IS!$B$2)</f>
        <v>556724.2880915947</v>
      </c>
      <c r="K208" s="180">
        <f>IF($A$1="Peak","-",'Base Hours'!K208*BaseLoad!Q207*IS!$B$2)</f>
        <v>523062.3987923619</v>
      </c>
      <c r="L208" s="180">
        <f>IF($A$1="Peak","-",'Base Hours'!L208*BaseLoad!R207*IS!$B$2)</f>
        <v>509216.58867679187</v>
      </c>
      <c r="M208" s="180">
        <f>IF($A$1="Peak","-",'Base Hours'!M208*BaseLoad!S207*IS!$B$2)</f>
        <v>504916.52554381808</v>
      </c>
      <c r="N208" s="180">
        <f>IF($A$1="Peak","-",'Base Hours'!N208*BaseLoad!T207*IS!$B$2)</f>
        <v>497897.73612146627</v>
      </c>
      <c r="O208" s="180">
        <f>IF($A$1="Peak","-",'Base Hours'!O208*BaseLoad!U207*IS!$B$2)</f>
        <v>492543.63018804864</v>
      </c>
      <c r="P208" s="180">
        <f>IF($A$1="Peak","-",'Base Hours'!P208*BaseLoad!V207*IS!$B$2)</f>
        <v>487895.29678555718</v>
      </c>
      <c r="Q208" s="180">
        <f>IF($A$1="Peak","-",'Base Hours'!Q208*BaseLoad!W207*IS!$B$2)</f>
        <v>466702.57570248947</v>
      </c>
      <c r="R208" s="180">
        <f>IF($A$1="Peak","-",'Base Hours'!R208*BaseLoad!X207*IS!$B$2)</f>
        <v>425333.80990512972</v>
      </c>
      <c r="S208" s="180">
        <f>IF($A$1="Peak","-",'Base Hours'!S208*BaseLoad!Y207*IS!$B$2)</f>
        <v>398045.77112426527</v>
      </c>
      <c r="T208" s="180">
        <f>IF($A$1="Peak","-",'Base Hours'!T208*BaseLoad!Z207*IS!$B$2)</f>
        <v>378570.65527534008</v>
      </c>
      <c r="U208" s="180">
        <f>IF($A$1="Peak","-",'Base Hours'!U208*BaseLoad!AA207*IS!$B$2)</f>
        <v>953836.57912458084</v>
      </c>
      <c r="V208" s="180">
        <f t="shared" si="8"/>
        <v>9845411.592654001</v>
      </c>
      <c r="W208" s="180"/>
      <c r="X208" s="180"/>
      <c r="Y208" s="212"/>
      <c r="Z208" s="212">
        <f>(BaseLoad!C207*'Base Hours'!V208*IS!$B$2)*-1</f>
        <v>-1978067.7644427784</v>
      </c>
      <c r="AA208" s="212"/>
      <c r="AB208" s="212">
        <f>(BaseLoad!D207*'Base Hours'!V208*IS!$B$2)*-1</f>
        <v>-200970.43929921516</v>
      </c>
      <c r="AC208" s="212"/>
      <c r="AD208" s="212">
        <f>(BaseLoad!E207*'Base Hours'!V208*IS!$B$2)*-1</f>
        <v>-1796814.6440175227</v>
      </c>
      <c r="AE208" s="212"/>
      <c r="AF208" s="212">
        <f>(BaseLoad!F207*'Base Hours'!V208*IS!$B$2)*-1</f>
        <v>-119700.79009298494</v>
      </c>
      <c r="AG208" s="212"/>
    </row>
    <row r="209" spans="1:33" x14ac:dyDescent="0.2">
      <c r="A209" s="1">
        <f t="shared" si="7"/>
        <v>42592.983000000255</v>
      </c>
      <c r="B209" s="180">
        <f>IF($A$1="Peak","-",'Base Hours'!B209*BaseLoad!H208*IS!$B$2)</f>
        <v>322767.41978240834</v>
      </c>
      <c r="C209" s="180">
        <f>IF($A$1="Peak","-",'Base Hours'!C209*BaseLoad!I208*IS!$B$2)</f>
        <v>242727.20969882788</v>
      </c>
      <c r="D209" s="180">
        <f>IF($A$1="Peak","-",'Base Hours'!D209*BaseLoad!J208*IS!$B$2)</f>
        <v>445732.16635095578</v>
      </c>
      <c r="E209" s="180">
        <f>IF($A$1="Peak","-",'Base Hours'!E209*BaseLoad!K208*IS!$B$2)</f>
        <v>803807.8785864024</v>
      </c>
      <c r="F209" s="180">
        <f>IF($A$1="Peak","-",'Base Hours'!F209*BaseLoad!L208*IS!$B$2)</f>
        <v>733763.08935995295</v>
      </c>
      <c r="G209" s="180">
        <f>IF($A$1="Peak","-",'Base Hours'!G209*BaseLoad!M208*IS!$B$2)</f>
        <v>1340544.458782705</v>
      </c>
      <c r="H209" s="180">
        <f>IF($A$1="Peak","-",'Base Hours'!H209*BaseLoad!N208*IS!$B$2)</f>
        <v>961888.02026265603</v>
      </c>
      <c r="I209" s="180">
        <f>IF($A$1="Peak","-",'Base Hours'!I209*BaseLoad!O208*IS!$B$2)</f>
        <v>812963.36754511704</v>
      </c>
      <c r="J209" s="180">
        <f>IF($A$1="Peak","-",'Base Hours'!J209*BaseLoad!P208*IS!$B$2)</f>
        <v>678271.97197235539</v>
      </c>
      <c r="K209" s="180">
        <f>IF($A$1="Peak","-",'Base Hours'!K209*BaseLoad!Q208*IS!$B$2)</f>
        <v>479480.76629960793</v>
      </c>
      <c r="L209" s="180">
        <f>IF($A$1="Peak","-",'Base Hours'!L209*BaseLoad!R208*IS!$B$2)</f>
        <v>400013.79220246262</v>
      </c>
      <c r="M209" s="180">
        <f>IF($A$1="Peak","-",'Base Hours'!M209*BaseLoad!S208*IS!$B$2)</f>
        <v>387887.73400571838</v>
      </c>
      <c r="N209" s="180">
        <f>IF($A$1="Peak","-",'Base Hours'!N209*BaseLoad!T208*IS!$B$2)</f>
        <v>387887.3010112301</v>
      </c>
      <c r="O209" s="180">
        <f>IF($A$1="Peak","-",'Base Hours'!O209*BaseLoad!U208*IS!$B$2)</f>
        <v>387887.12689521722</v>
      </c>
      <c r="P209" s="180">
        <f>IF($A$1="Peak","-",'Base Hours'!P209*BaseLoad!V208*IS!$B$2)</f>
        <v>387885.38395872433</v>
      </c>
      <c r="Q209" s="180">
        <f>IF($A$1="Peak","-",'Base Hours'!Q209*BaseLoad!W208*IS!$B$2)</f>
        <v>387884.50110611925</v>
      </c>
      <c r="R209" s="180">
        <f>IF($A$1="Peak","-",'Base Hours'!R209*BaseLoad!X208*IS!$B$2)</f>
        <v>385575.8915021728</v>
      </c>
      <c r="S209" s="180">
        <f>IF($A$1="Peak","-",'Base Hours'!S209*BaseLoad!Y208*IS!$B$2)</f>
        <v>352766.92090613011</v>
      </c>
      <c r="T209" s="180">
        <f>IF($A$1="Peak","-",'Base Hours'!T209*BaseLoad!Z208*IS!$B$2)</f>
        <v>334327.34020257811</v>
      </c>
      <c r="U209" s="180">
        <f>IF($A$1="Peak","-",'Base Hours'!U209*BaseLoad!AA208*IS!$B$2)</f>
        <v>772076.72135166882</v>
      </c>
      <c r="V209" s="180">
        <f t="shared" si="8"/>
        <v>9665594.6030003037</v>
      </c>
      <c r="W209" s="180"/>
      <c r="X209" s="180"/>
      <c r="Y209" s="212"/>
      <c r="Z209" s="212">
        <f>(BaseLoad!C208*'Base Hours'!V209*IS!$B$2)*-1</f>
        <v>-1978067.7644427784</v>
      </c>
      <c r="AA209" s="212"/>
      <c r="AB209" s="212">
        <f>(BaseLoad!D208*'Base Hours'!V209*IS!$B$2)*-1</f>
        <v>-201305.39003138052</v>
      </c>
      <c r="AC209" s="212"/>
      <c r="AD209" s="212">
        <f>(BaseLoad!E208*'Base Hours'!V209*IS!$B$2)*-1</f>
        <v>-1796814.6440175227</v>
      </c>
      <c r="AE209" s="212"/>
      <c r="AF209" s="212">
        <f>(BaseLoad!F208*'Base Hours'!V209*IS!$B$2)*-1</f>
        <v>-119700.79009298494</v>
      </c>
      <c r="AG209" s="212"/>
    </row>
    <row r="210" spans="1:33" x14ac:dyDescent="0.2">
      <c r="A210" s="1">
        <f t="shared" si="7"/>
        <v>42623.400000000256</v>
      </c>
      <c r="B210" s="180">
        <f>IF($A$1="Peak","-",'Base Hours'!B210*BaseLoad!H209*IS!$B$2)</f>
        <v>200860.3082869286</v>
      </c>
      <c r="C210" s="180">
        <f>IF($A$1="Peak","-",'Base Hours'!C210*BaseLoad!I209*IS!$B$2)</f>
        <v>187123.9755259112</v>
      </c>
      <c r="D210" s="180">
        <f>IF($A$1="Peak","-",'Base Hours'!D210*BaseLoad!J209*IS!$B$2)</f>
        <v>352813.36627086194</v>
      </c>
      <c r="E210" s="180">
        <f>IF($A$1="Peak","-",'Base Hours'!E210*BaseLoad!K209*IS!$B$2)</f>
        <v>668304.04212217045</v>
      </c>
      <c r="F210" s="180">
        <f>IF($A$1="Peak","-",'Base Hours'!F210*BaseLoad!L209*IS!$B$2)</f>
        <v>480996.52379820781</v>
      </c>
      <c r="G210" s="180">
        <f>IF($A$1="Peak","-",'Base Hours'!G210*BaseLoad!M209*IS!$B$2)</f>
        <v>637986.99508396455</v>
      </c>
      <c r="H210" s="180">
        <f>IF($A$1="Peak","-",'Base Hours'!H210*BaseLoad!N209*IS!$B$2)</f>
        <v>562939.62043652101</v>
      </c>
      <c r="I210" s="180">
        <f>IF($A$1="Peak","-",'Base Hours'!I210*BaseLoad!O209*IS!$B$2)</f>
        <v>548099.5394641154</v>
      </c>
      <c r="J210" s="180">
        <f>IF($A$1="Peak","-",'Base Hours'!J210*BaseLoad!P209*IS!$B$2)</f>
        <v>467345.33256311773</v>
      </c>
      <c r="K210" s="180">
        <f>IF($A$1="Peak","-",'Base Hours'!K210*BaseLoad!Q209*IS!$B$2)</f>
        <v>410766.13602495624</v>
      </c>
      <c r="L210" s="180">
        <f>IF($A$1="Peak","-",'Base Hours'!L210*BaseLoad!R209*IS!$B$2)</f>
        <v>394080.94178622286</v>
      </c>
      <c r="M210" s="180">
        <f>IF($A$1="Peak","-",'Base Hours'!M210*BaseLoad!S209*IS!$B$2)</f>
        <v>383324.40768813353</v>
      </c>
      <c r="N210" s="180">
        <f>IF($A$1="Peak","-",'Base Hours'!N210*BaseLoad!T209*IS!$B$2)</f>
        <v>362475.93755093106</v>
      </c>
      <c r="O210" s="180">
        <f>IF($A$1="Peak","-",'Base Hours'!O210*BaseLoad!U209*IS!$B$2)</f>
        <v>343601.00575564028</v>
      </c>
      <c r="P210" s="180">
        <f>IF($A$1="Peak","-",'Base Hours'!P210*BaseLoad!V209*IS!$B$2)</f>
        <v>319050.88250873837</v>
      </c>
      <c r="Q210" s="180">
        <f>IF($A$1="Peak","-",'Base Hours'!Q210*BaseLoad!W209*IS!$B$2)</f>
        <v>304374.13467719732</v>
      </c>
      <c r="R210" s="180">
        <f>IF($A$1="Peak","-",'Base Hours'!R210*BaseLoad!X209*IS!$B$2)</f>
        <v>289213.2987037907</v>
      </c>
      <c r="S210" s="180">
        <f>IF($A$1="Peak","-",'Base Hours'!S210*BaseLoad!Y209*IS!$B$2)</f>
        <v>283988.71530084277</v>
      </c>
      <c r="T210" s="180">
        <f>IF($A$1="Peak","-",'Base Hours'!T210*BaseLoad!Z209*IS!$B$2)</f>
        <v>278160.71113553579</v>
      </c>
      <c r="U210" s="180">
        <f>IF($A$1="Peak","-",'Base Hours'!U210*BaseLoad!AA209*IS!$B$2)</f>
        <v>760058.44611032866</v>
      </c>
      <c r="V210" s="180">
        <f t="shared" si="8"/>
        <v>7475505.874683788</v>
      </c>
      <c r="W210" s="180"/>
      <c r="X210" s="180"/>
      <c r="Y210" s="212"/>
      <c r="Z210" s="212">
        <f>(BaseLoad!C209*'Base Hours'!V210*IS!$B$2)*-1</f>
        <v>-1978067.7644427784</v>
      </c>
      <c r="AA210" s="212"/>
      <c r="AB210" s="212">
        <f>(BaseLoad!D209*'Base Hours'!V210*IS!$B$2)*-1</f>
        <v>-201640.89901476618</v>
      </c>
      <c r="AC210" s="212"/>
      <c r="AD210" s="212">
        <f>(BaseLoad!E209*'Base Hours'!V210*IS!$B$2)*-1</f>
        <v>-1796814.6440175227</v>
      </c>
      <c r="AE210" s="212"/>
      <c r="AF210" s="212">
        <f>(BaseLoad!F209*'Base Hours'!V210*IS!$B$2)*-1</f>
        <v>-119700.79009298494</v>
      </c>
      <c r="AG210" s="212"/>
    </row>
    <row r="211" spans="1:33" x14ac:dyDescent="0.2">
      <c r="A211" s="1">
        <f t="shared" si="7"/>
        <v>42653.817000000257</v>
      </c>
      <c r="B211" s="180">
        <f>IF($A$1="Peak","-",'Base Hours'!B211*BaseLoad!H210*IS!$B$2)</f>
        <v>102154.44039851231</v>
      </c>
      <c r="C211" s="180">
        <f>IF($A$1="Peak","-",'Base Hours'!C211*BaseLoad!I210*IS!$B$2)</f>
        <v>96101.403584208121</v>
      </c>
      <c r="D211" s="180">
        <f>IF($A$1="Peak","-",'Base Hours'!D211*BaseLoad!J210*IS!$B$2)</f>
        <v>186008.20838160263</v>
      </c>
      <c r="E211" s="180">
        <f>IF($A$1="Peak","-",'Base Hours'!E211*BaseLoad!K210*IS!$B$2)</f>
        <v>348572.55420290655</v>
      </c>
      <c r="F211" s="180">
        <f>IF($A$1="Peak","-",'Base Hours'!F211*BaseLoad!L210*IS!$B$2)</f>
        <v>337848.50689821137</v>
      </c>
      <c r="G211" s="180">
        <f>IF($A$1="Peak","-",'Base Hours'!G211*BaseLoad!M210*IS!$B$2)</f>
        <v>671863.9691715081</v>
      </c>
      <c r="H211" s="180">
        <f>IF($A$1="Peak","-",'Base Hours'!H211*BaseLoad!N210*IS!$B$2)</f>
        <v>588817.03098767227</v>
      </c>
      <c r="I211" s="180">
        <f>IF($A$1="Peak","-",'Base Hours'!I211*BaseLoad!O210*IS!$B$2)</f>
        <v>477009.848335927</v>
      </c>
      <c r="J211" s="180">
        <f>IF($A$1="Peak","-",'Base Hours'!J211*BaseLoad!P210*IS!$B$2)</f>
        <v>462512.31497320422</v>
      </c>
      <c r="K211" s="180">
        <f>IF($A$1="Peak","-",'Base Hours'!K211*BaseLoad!Q210*IS!$B$2)</f>
        <v>420924.25753036852</v>
      </c>
      <c r="L211" s="180">
        <f>IF($A$1="Peak","-",'Base Hours'!L211*BaseLoad!R210*IS!$B$2)</f>
        <v>409769.12179157877</v>
      </c>
      <c r="M211" s="180">
        <f>IF($A$1="Peak","-",'Base Hours'!M211*BaseLoad!S210*IS!$B$2)</f>
        <v>399560.52577288868</v>
      </c>
      <c r="N211" s="180">
        <f>IF($A$1="Peak","-",'Base Hours'!N211*BaseLoad!T210*IS!$B$2)</f>
        <v>388494.31064944773</v>
      </c>
      <c r="O211" s="180">
        <f>IF($A$1="Peak","-",'Base Hours'!O211*BaseLoad!U210*IS!$B$2)</f>
        <v>381537.50589270116</v>
      </c>
      <c r="P211" s="180">
        <f>IF($A$1="Peak","-",'Base Hours'!P211*BaseLoad!V210*IS!$B$2)</f>
        <v>376873.51245633076</v>
      </c>
      <c r="Q211" s="180">
        <f>IF($A$1="Peak","-",'Base Hours'!Q211*BaseLoad!W210*IS!$B$2)</f>
        <v>358803.48742863187</v>
      </c>
      <c r="R211" s="180">
        <f>IF($A$1="Peak","-",'Base Hours'!R211*BaseLoad!X210*IS!$B$2)</f>
        <v>339614.86772997968</v>
      </c>
      <c r="S211" s="180">
        <f>IF($A$1="Peak","-",'Base Hours'!S211*BaseLoad!Y210*IS!$B$2)</f>
        <v>334801.6544435891</v>
      </c>
      <c r="T211" s="180">
        <f>IF($A$1="Peak","-",'Base Hours'!T211*BaseLoad!Z210*IS!$B$2)</f>
        <v>334350.99595583847</v>
      </c>
      <c r="U211" s="180">
        <f>IF($A$1="Peak","-",'Base Hours'!U211*BaseLoad!AA210*IS!$B$2)</f>
        <v>900768.24566152552</v>
      </c>
      <c r="V211" s="180">
        <f t="shared" si="8"/>
        <v>7015618.5165851079</v>
      </c>
      <c r="W211" s="180"/>
      <c r="X211" s="180"/>
      <c r="Y211" s="212"/>
      <c r="Z211" s="212">
        <f>(BaseLoad!C210*'Base Hours'!V211*IS!$B$2)*-1</f>
        <v>-1978067.7644427784</v>
      </c>
      <c r="AA211" s="212"/>
      <c r="AB211" s="212">
        <f>(BaseLoad!D210*'Base Hours'!V211*IS!$B$2)*-1</f>
        <v>-201976.96717979081</v>
      </c>
      <c r="AC211" s="212"/>
      <c r="AD211" s="212">
        <f>(BaseLoad!E210*'Base Hours'!V211*IS!$B$2)*-1</f>
        <v>-1796814.6440175227</v>
      </c>
      <c r="AE211" s="212"/>
      <c r="AF211" s="212">
        <f>(BaseLoad!F210*'Base Hours'!V211*IS!$B$2)*-1</f>
        <v>-119700.79009298494</v>
      </c>
      <c r="AG211" s="212"/>
    </row>
    <row r="212" spans="1:33" x14ac:dyDescent="0.2">
      <c r="A212" s="1">
        <f t="shared" si="7"/>
        <v>42684.234000000259</v>
      </c>
      <c r="B212" s="180">
        <f>IF($A$1="Peak","-",'Base Hours'!B212*BaseLoad!H211*IS!$B$2)</f>
        <v>174712.76041345196</v>
      </c>
      <c r="C212" s="180">
        <f>IF($A$1="Peak","-",'Base Hours'!C212*BaseLoad!I211*IS!$B$2)</f>
        <v>170410.36526539762</v>
      </c>
      <c r="D212" s="180">
        <f>IF($A$1="Peak","-",'Base Hours'!D212*BaseLoad!J211*IS!$B$2)</f>
        <v>329095.77092702611</v>
      </c>
      <c r="E212" s="180">
        <f>IF($A$1="Peak","-",'Base Hours'!E212*BaseLoad!K211*IS!$B$2)</f>
        <v>455581.08178469213</v>
      </c>
      <c r="F212" s="180">
        <f>IF($A$1="Peak","-",'Base Hours'!F212*BaseLoad!L211*IS!$B$2)</f>
        <v>411443.76648154517</v>
      </c>
      <c r="G212" s="180">
        <f>IF($A$1="Peak","-",'Base Hours'!G212*BaseLoad!M211*IS!$B$2)</f>
        <v>805761.84713121457</v>
      </c>
      <c r="H212" s="180">
        <f>IF($A$1="Peak","-",'Base Hours'!H212*BaseLoad!N211*IS!$B$2)</f>
        <v>697171.20091505058</v>
      </c>
      <c r="I212" s="180">
        <f>IF($A$1="Peak","-",'Base Hours'!I212*BaseLoad!O211*IS!$B$2)</f>
        <v>543699.646265883</v>
      </c>
      <c r="J212" s="180">
        <f>IF($A$1="Peak","-",'Base Hours'!J212*BaseLoad!P211*IS!$B$2)</f>
        <v>451393.84193437384</v>
      </c>
      <c r="K212" s="180">
        <f>IF($A$1="Peak","-",'Base Hours'!K212*BaseLoad!Q211*IS!$B$2)</f>
        <v>443290.20660227828</v>
      </c>
      <c r="L212" s="180">
        <f>IF($A$1="Peak","-",'Base Hours'!L212*BaseLoad!R211*IS!$B$2)</f>
        <v>389467.48909531056</v>
      </c>
      <c r="M212" s="180">
        <f>IF($A$1="Peak","-",'Base Hours'!M212*BaseLoad!S211*IS!$B$2)</f>
        <v>386842.99020672619</v>
      </c>
      <c r="N212" s="180">
        <f>IF($A$1="Peak","-",'Base Hours'!N212*BaseLoad!T211*IS!$B$2)</f>
        <v>386842.99020672619</v>
      </c>
      <c r="O212" s="180">
        <f>IF($A$1="Peak","-",'Base Hours'!O212*BaseLoad!U211*IS!$B$2)</f>
        <v>386842.56307643995</v>
      </c>
      <c r="P212" s="180">
        <f>IF($A$1="Peak","-",'Base Hours'!P212*BaseLoad!V211*IS!$B$2)</f>
        <v>386836.13582104031</v>
      </c>
      <c r="Q212" s="180">
        <f>IF($A$1="Peak","-",'Base Hours'!Q212*BaseLoad!W211*IS!$B$2)</f>
        <v>386836.13582104031</v>
      </c>
      <c r="R212" s="180">
        <f>IF($A$1="Peak","-",'Base Hours'!R212*BaseLoad!X211*IS!$B$2)</f>
        <v>386836.13582104031</v>
      </c>
      <c r="S212" s="180">
        <f>IF($A$1="Peak","-",'Base Hours'!S212*BaseLoad!Y211*IS!$B$2)</f>
        <v>386836.13582104031</v>
      </c>
      <c r="T212" s="180">
        <f>IF($A$1="Peak","-",'Base Hours'!T212*BaseLoad!Z211*IS!$B$2)</f>
        <v>359585.76690048695</v>
      </c>
      <c r="U212" s="180">
        <f>IF($A$1="Peak","-",'Base Hours'!U212*BaseLoad!AA211*IS!$B$2)</f>
        <v>888308.52033427847</v>
      </c>
      <c r="V212" s="180">
        <f t="shared" si="8"/>
        <v>7939486.830490767</v>
      </c>
      <c r="W212" s="180"/>
      <c r="X212" s="180"/>
      <c r="Y212" s="212"/>
      <c r="Z212" s="212">
        <f>(BaseLoad!C211*'Base Hours'!V212*IS!$B$2)*-1</f>
        <v>-1978067.7644427784</v>
      </c>
      <c r="AA212" s="212"/>
      <c r="AB212" s="212">
        <f>(BaseLoad!D211*'Base Hours'!V212*IS!$B$2)*-1</f>
        <v>-202313.59545842384</v>
      </c>
      <c r="AC212" s="212"/>
      <c r="AD212" s="212">
        <f>(BaseLoad!E211*'Base Hours'!V212*IS!$B$2)*-1</f>
        <v>-1796814.6440175227</v>
      </c>
      <c r="AE212" s="212"/>
      <c r="AF212" s="212">
        <f>(BaseLoad!F211*'Base Hours'!V212*IS!$B$2)*-1</f>
        <v>-119700.79009298494</v>
      </c>
      <c r="AG212" s="212"/>
    </row>
    <row r="213" spans="1:33" x14ac:dyDescent="0.2">
      <c r="A213" s="1">
        <f t="shared" si="7"/>
        <v>42714.65100000026</v>
      </c>
      <c r="B213" s="180">
        <f>IF($A$1="Peak","-",'Base Hours'!B213*BaseLoad!H212*IS!$B$2)</f>
        <v>140508.0814441132</v>
      </c>
      <c r="C213" s="180">
        <f>IF($A$1="Peak","-",'Base Hours'!C213*BaseLoad!I212*IS!$B$2)</f>
        <v>135485.20126664473</v>
      </c>
      <c r="D213" s="180">
        <f>IF($A$1="Peak","-",'Base Hours'!D213*BaseLoad!J212*IS!$B$2)</f>
        <v>254716.88785137318</v>
      </c>
      <c r="E213" s="180">
        <f>IF($A$1="Peak","-",'Base Hours'!E213*BaseLoad!K212*IS!$B$2)</f>
        <v>502560.01199896721</v>
      </c>
      <c r="F213" s="180">
        <f>IF($A$1="Peak","-",'Base Hours'!F213*BaseLoad!L212*IS!$B$2)</f>
        <v>495915.62805443152</v>
      </c>
      <c r="G213" s="180">
        <f>IF($A$1="Peak","-",'Base Hours'!G213*BaseLoad!M212*IS!$B$2)</f>
        <v>845340.17141997791</v>
      </c>
      <c r="H213" s="180">
        <f>IF($A$1="Peak","-",'Base Hours'!H213*BaseLoad!N212*IS!$B$2)</f>
        <v>666663.46213241864</v>
      </c>
      <c r="I213" s="180">
        <f>IF($A$1="Peak","-",'Base Hours'!I213*BaseLoad!O212*IS!$B$2)</f>
        <v>557665.73387025832</v>
      </c>
      <c r="J213" s="180">
        <f>IF($A$1="Peak","-",'Base Hours'!J213*BaseLoad!P212*IS!$B$2)</f>
        <v>548735.3120963471</v>
      </c>
      <c r="K213" s="180">
        <f>IF($A$1="Peak","-",'Base Hours'!K213*BaseLoad!Q212*IS!$B$2)</f>
        <v>483588.99772861763</v>
      </c>
      <c r="L213" s="180">
        <f>IF($A$1="Peak","-",'Base Hours'!L213*BaseLoad!R212*IS!$B$2)</f>
        <v>473053.30022649921</v>
      </c>
      <c r="M213" s="180">
        <f>IF($A$1="Peak","-",'Base Hours'!M213*BaseLoad!S212*IS!$B$2)</f>
        <v>473053.30022649921</v>
      </c>
      <c r="N213" s="180">
        <f>IF($A$1="Peak","-",'Base Hours'!N213*BaseLoad!T212*IS!$B$2)</f>
        <v>473053.30022649921</v>
      </c>
      <c r="O213" s="180">
        <f>IF($A$1="Peak","-",'Base Hours'!O213*BaseLoad!U212*IS!$B$2)</f>
        <v>473053.30022649921</v>
      </c>
      <c r="P213" s="180">
        <f>IF($A$1="Peak","-",'Base Hours'!P213*BaseLoad!V212*IS!$B$2)</f>
        <v>473053.30022649921</v>
      </c>
      <c r="Q213" s="180">
        <f>IF($A$1="Peak","-",'Base Hours'!Q213*BaseLoad!W212*IS!$B$2)</f>
        <v>473052.86279364768</v>
      </c>
      <c r="R213" s="180">
        <f>IF($A$1="Peak","-",'Base Hours'!R213*BaseLoad!X212*IS!$B$2)</f>
        <v>473047.81006685668</v>
      </c>
      <c r="S213" s="180">
        <f>IF($A$1="Peak","-",'Base Hours'!S213*BaseLoad!Y212*IS!$B$2)</f>
        <v>473040.88018624112</v>
      </c>
      <c r="T213" s="180">
        <f>IF($A$1="Peak","-",'Base Hours'!T213*BaseLoad!Z212*IS!$B$2)</f>
        <v>473040.88018624112</v>
      </c>
      <c r="U213" s="180">
        <f>IF($A$1="Peak","-",'Base Hours'!U213*BaseLoad!AA212*IS!$B$2)</f>
        <v>1180040.1348400733</v>
      </c>
      <c r="V213" s="180">
        <f t="shared" si="8"/>
        <v>8888628.4222286325</v>
      </c>
      <c r="W213" s="180"/>
      <c r="X213" s="180"/>
      <c r="Y213" s="212">
        <f>SUM(B202:U213)</f>
        <v>108497313.61131331</v>
      </c>
      <c r="Z213" s="212">
        <f>(BaseLoad!C212*'Base Hours'!V213*IS!$B$2)*-1</f>
        <v>-1978067.7644427784</v>
      </c>
      <c r="AA213" s="212">
        <f>SUM(Z202:Z213)</f>
        <v>-23736813.173313346</v>
      </c>
      <c r="AB213" s="212">
        <f>(BaseLoad!D212*'Base Hours'!V213*IS!$B$2)*-1</f>
        <v>-202650.78478418788</v>
      </c>
      <c r="AC213" s="212">
        <f>SUM(AB202:AB213)</f>
        <v>-2409677.8914127471</v>
      </c>
      <c r="AD213" s="212">
        <f>(BaseLoad!E212*'Base Hours'!V213*IS!$B$2)*-1</f>
        <v>-1796814.6440175227</v>
      </c>
      <c r="AE213" s="212">
        <f>SUM(AD202:AD213)</f>
        <v>-21561775.72821027</v>
      </c>
      <c r="AF213" s="212">
        <f>(BaseLoad!F212*'Base Hours'!V213*IS!$B$2)*-1</f>
        <v>-119700.79009298494</v>
      </c>
      <c r="AG213" s="212">
        <f>SUM(AF202:AF213)</f>
        <v>-1436409.4811158192</v>
      </c>
    </row>
    <row r="214" spans="1:33" x14ac:dyDescent="0.2">
      <c r="A214" s="1">
        <f t="shared" si="7"/>
        <v>42745.068000000261</v>
      </c>
      <c r="B214" s="180">
        <f>IF($A$1="Peak","-",'Base Hours'!B214*BaseLoad!H213*IS!$B$2)</f>
        <v>138791.58550257853</v>
      </c>
      <c r="C214" s="180">
        <f>IF($A$1="Peak","-",'Base Hours'!C214*BaseLoad!I213*IS!$B$2)</f>
        <v>131447.1721252313</v>
      </c>
      <c r="D214" s="180">
        <f>IF($A$1="Peak","-",'Base Hours'!D214*BaseLoad!J213*IS!$B$2)</f>
        <v>253282.8657755584</v>
      </c>
      <c r="E214" s="180">
        <f>IF($A$1="Peak","-",'Base Hours'!E214*BaseLoad!K213*IS!$B$2)</f>
        <v>473545.66586696228</v>
      </c>
      <c r="F214" s="180">
        <f>IF($A$1="Peak","-",'Base Hours'!F214*BaseLoad!L213*IS!$B$2)</f>
        <v>471224.73292923952</v>
      </c>
      <c r="G214" s="180">
        <f>IF($A$1="Peak","-",'Base Hours'!G214*BaseLoad!M213*IS!$B$2)</f>
        <v>870770.05664044979</v>
      </c>
      <c r="H214" s="180">
        <f>IF($A$1="Peak","-",'Base Hours'!H214*BaseLoad!N213*IS!$B$2)</f>
        <v>644067.87677223491</v>
      </c>
      <c r="I214" s="180">
        <f>IF($A$1="Peak","-",'Base Hours'!I214*BaseLoad!O213*IS!$B$2)</f>
        <v>530372.62839208753</v>
      </c>
      <c r="J214" s="180">
        <f>IF($A$1="Peak","-",'Base Hours'!J214*BaseLoad!P213*IS!$B$2)</f>
        <v>506513.72115333745</v>
      </c>
      <c r="K214" s="180">
        <f>IF($A$1="Peak","-",'Base Hours'!K214*BaseLoad!Q213*IS!$B$2)</f>
        <v>452689.63424076355</v>
      </c>
      <c r="L214" s="180">
        <f>IF($A$1="Peak","-",'Base Hours'!L214*BaseLoad!R213*IS!$B$2)</f>
        <v>452689.63424076355</v>
      </c>
      <c r="M214" s="180">
        <f>IF($A$1="Peak","-",'Base Hours'!M214*BaseLoad!S213*IS!$B$2)</f>
        <v>452689.63424076355</v>
      </c>
      <c r="N214" s="180">
        <f>IF($A$1="Peak","-",'Base Hours'!N214*BaseLoad!T213*IS!$B$2)</f>
        <v>451484.42712092563</v>
      </c>
      <c r="O214" s="180">
        <f>IF($A$1="Peak","-",'Base Hours'!O214*BaseLoad!U213*IS!$B$2)</f>
        <v>445437.8884129845</v>
      </c>
      <c r="P214" s="180">
        <f>IF($A$1="Peak","-",'Base Hours'!P214*BaseLoad!V213*IS!$B$2)</f>
        <v>445004.24657878658</v>
      </c>
      <c r="Q214" s="180">
        <f>IF($A$1="Peak","-",'Base Hours'!Q214*BaseLoad!W213*IS!$B$2)</f>
        <v>445004.24657878658</v>
      </c>
      <c r="R214" s="180">
        <f>IF($A$1="Peak","-",'Base Hours'!R214*BaseLoad!X213*IS!$B$2)</f>
        <v>445001.81613866385</v>
      </c>
      <c r="S214" s="180">
        <f>IF($A$1="Peak","-",'Base Hours'!S214*BaseLoad!Y213*IS!$B$2)</f>
        <v>445000.60864596523</v>
      </c>
      <c r="T214" s="180">
        <f>IF($A$1="Peak","-",'Base Hours'!T214*BaseLoad!Z213*IS!$B$2)</f>
        <v>444165.91262259497</v>
      </c>
      <c r="U214" s="180">
        <f>IF($A$1="Peak","-",'Base Hours'!U214*BaseLoad!AA213*IS!$B$2)</f>
        <v>999278.84589747549</v>
      </c>
      <c r="V214" s="180">
        <f t="shared" si="8"/>
        <v>8499184.3539786767</v>
      </c>
      <c r="W214" s="180"/>
      <c r="X214" s="180"/>
      <c r="Y214" s="212"/>
      <c r="Z214" s="212">
        <f>(BaseLoad!C213*'Base Hours'!V214*IS!$B$2)*-1</f>
        <v>-1994532.2598757562</v>
      </c>
      <c r="AA214" s="212"/>
      <c r="AB214" s="212">
        <f>(BaseLoad!D213*'Base Hours'!V214*IS!$B$2)*-1</f>
        <v>-202988.53609216152</v>
      </c>
      <c r="AC214" s="212"/>
      <c r="AD214" s="212">
        <f>(BaseLoad!E213*'Base Hours'!V214*IS!$B$2)*-1</f>
        <v>-1765282.7888106396</v>
      </c>
      <c r="AE214" s="212"/>
      <c r="AF214" s="212">
        <f>(BaseLoad!F213*'Base Hours'!V214*IS!$B$2)*-1</f>
        <v>-112531.15764816073</v>
      </c>
      <c r="AG214" s="212"/>
    </row>
    <row r="215" spans="1:33" x14ac:dyDescent="0.2">
      <c r="A215" s="1">
        <f t="shared" si="7"/>
        <v>42775.485000000263</v>
      </c>
      <c r="B215" s="180">
        <f>IF($A$1="Peak","-",'Base Hours'!B215*BaseLoad!H214*IS!$B$2)</f>
        <v>166504.58170448948</v>
      </c>
      <c r="C215" s="180">
        <f>IF($A$1="Peak","-",'Base Hours'!C215*BaseLoad!I214*IS!$B$2)</f>
        <v>155472.67948133932</v>
      </c>
      <c r="D215" s="180">
        <f>IF($A$1="Peak","-",'Base Hours'!D215*BaseLoad!J214*IS!$B$2)</f>
        <v>271950.80580839107</v>
      </c>
      <c r="E215" s="180">
        <f>IF($A$1="Peak","-",'Base Hours'!E215*BaseLoad!K214*IS!$B$2)</f>
        <v>487963.64757890435</v>
      </c>
      <c r="F215" s="180">
        <f>IF($A$1="Peak","-",'Base Hours'!F215*BaseLoad!L214*IS!$B$2)</f>
        <v>455346.44090295822</v>
      </c>
      <c r="G215" s="180">
        <f>IF($A$1="Peak","-",'Base Hours'!G215*BaseLoad!M214*IS!$B$2)</f>
        <v>902044.9098435085</v>
      </c>
      <c r="H215" s="180">
        <f>IF($A$1="Peak","-",'Base Hours'!H215*BaseLoad!N214*IS!$B$2)</f>
        <v>775561.16832254664</v>
      </c>
      <c r="I215" s="180">
        <f>IF($A$1="Peak","-",'Base Hours'!I215*BaseLoad!O214*IS!$B$2)</f>
        <v>705569.05643651972</v>
      </c>
      <c r="J215" s="180">
        <f>IF($A$1="Peak","-",'Base Hours'!J215*BaseLoad!P214*IS!$B$2)</f>
        <v>605081.35012956627</v>
      </c>
      <c r="K215" s="180">
        <f>IF($A$1="Peak","-",'Base Hours'!K215*BaseLoad!Q214*IS!$B$2)</f>
        <v>461092.72547314985</v>
      </c>
      <c r="L215" s="180">
        <f>IF($A$1="Peak","-",'Base Hours'!L215*BaseLoad!R214*IS!$B$2)</f>
        <v>429059.7168813608</v>
      </c>
      <c r="M215" s="180">
        <f>IF($A$1="Peak","-",'Base Hours'!M215*BaseLoad!S214*IS!$B$2)</f>
        <v>428981.16023731616</v>
      </c>
      <c r="N215" s="180">
        <f>IF($A$1="Peak","-",'Base Hours'!N215*BaseLoad!T214*IS!$B$2)</f>
        <v>428981.1537212751</v>
      </c>
      <c r="O215" s="180">
        <f>IF($A$1="Peak","-",'Base Hours'!O215*BaseLoad!U214*IS!$B$2)</f>
        <v>428981.11053539347</v>
      </c>
      <c r="P215" s="180">
        <f>IF($A$1="Peak","-",'Base Hours'!P215*BaseLoad!V214*IS!$B$2)</f>
        <v>428981.03086971358</v>
      </c>
      <c r="Q215" s="180">
        <f>IF($A$1="Peak","-",'Base Hours'!Q215*BaseLoad!W214*IS!$B$2)</f>
        <v>428981.02361071378</v>
      </c>
      <c r="R215" s="180">
        <f>IF($A$1="Peak","-",'Base Hours'!R215*BaseLoad!X214*IS!$B$2)</f>
        <v>428980.90800716809</v>
      </c>
      <c r="S215" s="180">
        <f>IF($A$1="Peak","-",'Base Hours'!S215*BaseLoad!Y214*IS!$B$2)</f>
        <v>428980.90800716809</v>
      </c>
      <c r="T215" s="180">
        <f>IF($A$1="Peak","-",'Base Hours'!T215*BaseLoad!Z214*IS!$B$2)</f>
        <v>411939.2390685117</v>
      </c>
      <c r="U215" s="180">
        <f>IF($A$1="Peak","-",'Base Hours'!U215*BaseLoad!AA214*IS!$B$2)</f>
        <v>1038051.3090927947</v>
      </c>
      <c r="V215" s="180">
        <f t="shared" si="8"/>
        <v>8830453.6166199949</v>
      </c>
      <c r="W215" s="180"/>
      <c r="X215" s="180"/>
      <c r="Y215" s="212"/>
      <c r="Z215" s="212">
        <f>(BaseLoad!C214*'Base Hours'!V215*IS!$B$2)*-1</f>
        <v>-1994532.2598757562</v>
      </c>
      <c r="AA215" s="212"/>
      <c r="AB215" s="212">
        <f>(BaseLoad!D214*'Base Hours'!V215*IS!$B$2)*-1</f>
        <v>-203326.8503189818</v>
      </c>
      <c r="AC215" s="212"/>
      <c r="AD215" s="212">
        <f>(BaseLoad!E214*'Base Hours'!V215*IS!$B$2)*-1</f>
        <v>-1765282.7888106396</v>
      </c>
      <c r="AE215" s="212"/>
      <c r="AF215" s="212">
        <f>(BaseLoad!F214*'Base Hours'!V215*IS!$B$2)*-1</f>
        <v>-112531.15764816073</v>
      </c>
      <c r="AG215" s="212"/>
    </row>
    <row r="216" spans="1:33" x14ac:dyDescent="0.2">
      <c r="A216" s="1">
        <f t="shared" si="7"/>
        <v>42805.902000000264</v>
      </c>
      <c r="B216" s="180">
        <f>IF($A$1="Peak","-",'Base Hours'!B216*BaseLoad!H215*IS!$B$2)</f>
        <v>120812.28778259366</v>
      </c>
      <c r="C216" s="180">
        <f>IF($A$1="Peak","-",'Base Hours'!C216*BaseLoad!I215*IS!$B$2)</f>
        <v>112143.55470337774</v>
      </c>
      <c r="D216" s="180">
        <f>IF($A$1="Peak","-",'Base Hours'!D216*BaseLoad!J215*IS!$B$2)</f>
        <v>214318.40990726091</v>
      </c>
      <c r="E216" s="180">
        <f>IF($A$1="Peak","-",'Base Hours'!E216*BaseLoad!K215*IS!$B$2)</f>
        <v>402413.4749047386</v>
      </c>
      <c r="F216" s="180">
        <f>IF($A$1="Peak","-",'Base Hours'!F216*BaseLoad!L215*IS!$B$2)</f>
        <v>400759.19711600721</v>
      </c>
      <c r="G216" s="180">
        <f>IF($A$1="Peak","-",'Base Hours'!G216*BaseLoad!M215*IS!$B$2)</f>
        <v>738153.15351009159</v>
      </c>
      <c r="H216" s="180">
        <f>IF($A$1="Peak","-",'Base Hours'!H216*BaseLoad!N215*IS!$B$2)</f>
        <v>562285.47834409052</v>
      </c>
      <c r="I216" s="180">
        <f>IF($A$1="Peak","-",'Base Hours'!I216*BaseLoad!O215*IS!$B$2)</f>
        <v>520269.96297604521</v>
      </c>
      <c r="J216" s="180">
        <f>IF($A$1="Peak","-",'Base Hours'!J216*BaseLoad!P215*IS!$B$2)</f>
        <v>459249.37435851491</v>
      </c>
      <c r="K216" s="180">
        <f>IF($A$1="Peak","-",'Base Hours'!K216*BaseLoad!Q215*IS!$B$2)</f>
        <v>449228.88274643564</v>
      </c>
      <c r="L216" s="180">
        <f>IF($A$1="Peak","-",'Base Hours'!L216*BaseLoad!R215*IS!$B$2)</f>
        <v>441653.64120087214</v>
      </c>
      <c r="M216" s="180">
        <f>IF($A$1="Peak","-",'Base Hours'!M216*BaseLoad!S215*IS!$B$2)</f>
        <v>426813.2119389656</v>
      </c>
      <c r="N216" s="180">
        <f>IF($A$1="Peak","-",'Base Hours'!N216*BaseLoad!T215*IS!$B$2)</f>
        <v>411550.93156878685</v>
      </c>
      <c r="O216" s="180">
        <f>IF($A$1="Peak","-",'Base Hours'!O216*BaseLoad!U215*IS!$B$2)</f>
        <v>396657.43973615009</v>
      </c>
      <c r="P216" s="180">
        <f>IF($A$1="Peak","-",'Base Hours'!P216*BaseLoad!V215*IS!$B$2)</f>
        <v>387149.72010433971</v>
      </c>
      <c r="Q216" s="180">
        <f>IF($A$1="Peak","-",'Base Hours'!Q216*BaseLoad!W215*IS!$B$2)</f>
        <v>385013.81249820814</v>
      </c>
      <c r="R216" s="180">
        <f>IF($A$1="Peak","-",'Base Hours'!R216*BaseLoad!X215*IS!$B$2)</f>
        <v>385013.35148238897</v>
      </c>
      <c r="S216" s="180">
        <f>IF($A$1="Peak","-",'Base Hours'!S216*BaseLoad!Y215*IS!$B$2)</f>
        <v>385012.58477893792</v>
      </c>
      <c r="T216" s="180">
        <f>IF($A$1="Peak","-",'Base Hours'!T216*BaseLoad!Z215*IS!$B$2)</f>
        <v>385011.36182222469</v>
      </c>
      <c r="U216" s="180">
        <f>IF($A$1="Peak","-",'Base Hours'!U216*BaseLoad!AA215*IS!$B$2)</f>
        <v>1050614.3197687815</v>
      </c>
      <c r="V216" s="180">
        <f t="shared" si="8"/>
        <v>7583509.8314800272</v>
      </c>
      <c r="W216" s="180"/>
      <c r="X216" s="180"/>
      <c r="Y216" s="212"/>
      <c r="Z216" s="212">
        <f>(BaseLoad!C215*'Base Hours'!V216*IS!$B$2)*-1</f>
        <v>-1994532.2598757562</v>
      </c>
      <c r="AA216" s="212"/>
      <c r="AB216" s="212">
        <f>(BaseLoad!D215*'Base Hours'!V216*IS!$B$2)*-1</f>
        <v>-203665.72840284678</v>
      </c>
      <c r="AC216" s="212"/>
      <c r="AD216" s="212">
        <f>(BaseLoad!E215*'Base Hours'!V216*IS!$B$2)*-1</f>
        <v>-1765282.7888106396</v>
      </c>
      <c r="AE216" s="212"/>
      <c r="AF216" s="212">
        <f>(BaseLoad!F215*'Base Hours'!V216*IS!$B$2)*-1</f>
        <v>-112531.15764816073</v>
      </c>
      <c r="AG216" s="212"/>
    </row>
    <row r="217" spans="1:33" x14ac:dyDescent="0.2">
      <c r="A217" s="1">
        <f t="shared" si="7"/>
        <v>42836.319000000265</v>
      </c>
      <c r="B217" s="180">
        <f>IF($A$1="Peak","-",'Base Hours'!B217*BaseLoad!H216*IS!$B$2)</f>
        <v>121138.2416121831</v>
      </c>
      <c r="C217" s="180">
        <f>IF($A$1="Peak","-",'Base Hours'!C217*BaseLoad!I216*IS!$B$2)</f>
        <v>105525.36305220102</v>
      </c>
      <c r="D217" s="180">
        <f>IF($A$1="Peak","-",'Base Hours'!D217*BaseLoad!J216*IS!$B$2)</f>
        <v>197149.96982998549</v>
      </c>
      <c r="E217" s="180">
        <f>IF($A$1="Peak","-",'Base Hours'!E217*BaseLoad!K216*IS!$B$2)</f>
        <v>382494.09174143232</v>
      </c>
      <c r="F217" s="180">
        <f>IF($A$1="Peak","-",'Base Hours'!F217*BaseLoad!L216*IS!$B$2)</f>
        <v>379805.75272179756</v>
      </c>
      <c r="G217" s="180">
        <f>IF($A$1="Peak","-",'Base Hours'!G217*BaseLoad!M216*IS!$B$2)</f>
        <v>566257.33936571516</v>
      </c>
      <c r="H217" s="180">
        <f>IF($A$1="Peak","-",'Base Hours'!H217*BaseLoad!N216*IS!$B$2)</f>
        <v>458653.02097316907</v>
      </c>
      <c r="I217" s="180">
        <f>IF($A$1="Peak","-",'Base Hours'!I217*BaseLoad!O216*IS!$B$2)</f>
        <v>429159.46305880358</v>
      </c>
      <c r="J217" s="180">
        <f>IF($A$1="Peak","-",'Base Hours'!J217*BaseLoad!P216*IS!$B$2)</f>
        <v>392321.38604280603</v>
      </c>
      <c r="K217" s="180">
        <f>IF($A$1="Peak","-",'Base Hours'!K217*BaseLoad!Q216*IS!$B$2)</f>
        <v>369576.4490975099</v>
      </c>
      <c r="L217" s="180">
        <f>IF($A$1="Peak","-",'Base Hours'!L217*BaseLoad!R216*IS!$B$2)</f>
        <v>369576.4490975099</v>
      </c>
      <c r="M217" s="180">
        <f>IF($A$1="Peak","-",'Base Hours'!M217*BaseLoad!S216*IS!$B$2)</f>
        <v>369576.4490975099</v>
      </c>
      <c r="N217" s="180">
        <f>IF($A$1="Peak","-",'Base Hours'!N217*BaseLoad!T216*IS!$B$2)</f>
        <v>369574.76633695018</v>
      </c>
      <c r="O217" s="180">
        <f>IF($A$1="Peak","-",'Base Hours'!O217*BaseLoad!U216*IS!$B$2)</f>
        <v>369569.52337548573</v>
      </c>
      <c r="P217" s="180">
        <f>IF($A$1="Peak","-",'Base Hours'!P217*BaseLoad!V216*IS!$B$2)</f>
        <v>369569.52337548573</v>
      </c>
      <c r="Q217" s="180">
        <f>IF($A$1="Peak","-",'Base Hours'!Q217*BaseLoad!W216*IS!$B$2)</f>
        <v>369569.52337548573</v>
      </c>
      <c r="R217" s="180">
        <f>IF($A$1="Peak","-",'Base Hours'!R217*BaseLoad!X216*IS!$B$2)</f>
        <v>369569.52337548573</v>
      </c>
      <c r="S217" s="180">
        <f>IF($A$1="Peak","-",'Base Hours'!S217*BaseLoad!Y216*IS!$B$2)</f>
        <v>359843.1721568862</v>
      </c>
      <c r="T217" s="180">
        <f>IF($A$1="Peak","-",'Base Hours'!T217*BaseLoad!Z216*IS!$B$2)</f>
        <v>337641.01792050735</v>
      </c>
      <c r="U217" s="180">
        <f>IF($A$1="Peak","-",'Base Hours'!U217*BaseLoad!AA216*IS!$B$2)</f>
        <v>835389.32296922011</v>
      </c>
      <c r="V217" s="180">
        <f t="shared" si="8"/>
        <v>6686571.0256069098</v>
      </c>
      <c r="W217" s="180"/>
      <c r="X217" s="180"/>
      <c r="Y217" s="212"/>
      <c r="Z217" s="212">
        <f>(BaseLoad!C216*'Base Hours'!V217*IS!$B$2)*-1</f>
        <v>-1994532.2598757562</v>
      </c>
      <c r="AA217" s="212"/>
      <c r="AB217" s="212">
        <f>(BaseLoad!D216*'Base Hours'!V217*IS!$B$2)*-1</f>
        <v>-204005.17128351817</v>
      </c>
      <c r="AC217" s="212"/>
      <c r="AD217" s="212">
        <f>(BaseLoad!E216*'Base Hours'!V217*IS!$B$2)*-1</f>
        <v>-1765282.7888106396</v>
      </c>
      <c r="AE217" s="212"/>
      <c r="AF217" s="212">
        <f>(BaseLoad!F216*'Base Hours'!V217*IS!$B$2)*-1</f>
        <v>-112531.15764816073</v>
      </c>
      <c r="AG217" s="212"/>
    </row>
    <row r="218" spans="1:33" x14ac:dyDescent="0.2">
      <c r="A218" s="1">
        <f t="shared" si="7"/>
        <v>42866.736000000266</v>
      </c>
      <c r="B218" s="180">
        <f>IF($A$1="Peak","-",'Base Hours'!B218*BaseLoad!H217*IS!$B$2)</f>
        <v>162838.95620908536</v>
      </c>
      <c r="C218" s="180">
        <f>IF($A$1="Peak","-",'Base Hours'!C218*BaseLoad!I217*IS!$B$2)</f>
        <v>127125.15952917641</v>
      </c>
      <c r="D218" s="180">
        <f>IF($A$1="Peak","-",'Base Hours'!D218*BaseLoad!J217*IS!$B$2)</f>
        <v>213471.78332813494</v>
      </c>
      <c r="E218" s="180">
        <f>IF($A$1="Peak","-",'Base Hours'!E218*BaseLoad!K217*IS!$B$2)</f>
        <v>378625.84238949313</v>
      </c>
      <c r="F218" s="180">
        <f>IF($A$1="Peak","-",'Base Hours'!F218*BaseLoad!L217*IS!$B$2)</f>
        <v>344618.8308183648</v>
      </c>
      <c r="G218" s="180">
        <f>IF($A$1="Peak","-",'Base Hours'!G218*BaseLoad!M217*IS!$B$2)</f>
        <v>666487.00145263923</v>
      </c>
      <c r="H218" s="180">
        <f>IF($A$1="Peak","-",'Base Hours'!H218*BaseLoad!N217*IS!$B$2)</f>
        <v>513256.75655372202</v>
      </c>
      <c r="I218" s="180">
        <f>IF($A$1="Peak","-",'Base Hours'!I218*BaseLoad!O217*IS!$B$2)</f>
        <v>437714.86342034407</v>
      </c>
      <c r="J218" s="180">
        <f>IF($A$1="Peak","-",'Base Hours'!J218*BaseLoad!P217*IS!$B$2)</f>
        <v>385974.34307471529</v>
      </c>
      <c r="K218" s="180">
        <f>IF($A$1="Peak","-",'Base Hours'!K218*BaseLoad!Q217*IS!$B$2)</f>
        <v>377396.23951551109</v>
      </c>
      <c r="L218" s="180">
        <f>IF($A$1="Peak","-",'Base Hours'!L218*BaseLoad!R217*IS!$B$2)</f>
        <v>372557.36902034294</v>
      </c>
      <c r="M218" s="180">
        <f>IF($A$1="Peak","-",'Base Hours'!M218*BaseLoad!S217*IS!$B$2)</f>
        <v>358220.90099949221</v>
      </c>
      <c r="N218" s="180">
        <f>IF($A$1="Peak","-",'Base Hours'!N218*BaseLoad!T217*IS!$B$2)</f>
        <v>348979.86463229102</v>
      </c>
      <c r="O218" s="180">
        <f>IF($A$1="Peak","-",'Base Hours'!O218*BaseLoad!U217*IS!$B$2)</f>
        <v>332261.72347516444</v>
      </c>
      <c r="P218" s="180">
        <f>IF($A$1="Peak","-",'Base Hours'!P218*BaseLoad!V217*IS!$B$2)</f>
        <v>328844.75231497246</v>
      </c>
      <c r="Q218" s="180">
        <f>IF($A$1="Peak","-",'Base Hours'!Q218*BaseLoad!W217*IS!$B$2)</f>
        <v>326394.47681424161</v>
      </c>
      <c r="R218" s="180">
        <f>IF($A$1="Peak","-",'Base Hours'!R218*BaseLoad!X217*IS!$B$2)</f>
        <v>326391.63794566441</v>
      </c>
      <c r="S218" s="180">
        <f>IF($A$1="Peak","-",'Base Hours'!S218*BaseLoad!Y217*IS!$B$2)</f>
        <v>326391.40938696463</v>
      </c>
      <c r="T218" s="180">
        <f>IF($A$1="Peak","-",'Base Hours'!T218*BaseLoad!Z217*IS!$B$2)</f>
        <v>326391.40938696469</v>
      </c>
      <c r="U218" s="180">
        <f>IF($A$1="Peak","-",'Base Hours'!U218*BaseLoad!AA217*IS!$B$2)</f>
        <v>878136.3180508489</v>
      </c>
      <c r="V218" s="180">
        <f t="shared" si="8"/>
        <v>6653943.3202672834</v>
      </c>
      <c r="W218" s="180"/>
      <c r="X218" s="180"/>
      <c r="Y218" s="212"/>
      <c r="Z218" s="212">
        <f>(BaseLoad!C217*'Base Hours'!V218*IS!$B$2)*-1</f>
        <v>-1994532.2598757562</v>
      </c>
      <c r="AA218" s="212"/>
      <c r="AB218" s="212">
        <f>(BaseLoad!D217*'Base Hours'!V218*IS!$B$2)*-1</f>
        <v>-204345.17990232407</v>
      </c>
      <c r="AC218" s="212"/>
      <c r="AD218" s="212">
        <f>(BaseLoad!E217*'Base Hours'!V218*IS!$B$2)*-1</f>
        <v>-1765282.7888106396</v>
      </c>
      <c r="AE218" s="212"/>
      <c r="AF218" s="212">
        <f>(BaseLoad!F217*'Base Hours'!V218*IS!$B$2)*-1</f>
        <v>-112531.15764816073</v>
      </c>
      <c r="AG218" s="212"/>
    </row>
    <row r="219" spans="1:33" x14ac:dyDescent="0.2">
      <c r="A219" s="1">
        <f t="shared" si="7"/>
        <v>42897.153000000268</v>
      </c>
      <c r="B219" s="180">
        <f>IF($A$1="Peak","-",'Base Hours'!B219*BaseLoad!H218*IS!$B$2)</f>
        <v>174885.58212076614</v>
      </c>
      <c r="C219" s="180">
        <f>IF($A$1="Peak","-",'Base Hours'!C219*BaseLoad!I218*IS!$B$2)</f>
        <v>168395.98723287525</v>
      </c>
      <c r="D219" s="180">
        <f>IF($A$1="Peak","-",'Base Hours'!D219*BaseLoad!J218*IS!$B$2)</f>
        <v>230107.61841221407</v>
      </c>
      <c r="E219" s="180">
        <f>IF($A$1="Peak","-",'Base Hours'!E219*BaseLoad!K218*IS!$B$2)</f>
        <v>363181.90901403554</v>
      </c>
      <c r="F219" s="180">
        <f>IF($A$1="Peak","-",'Base Hours'!F219*BaseLoad!L218*IS!$B$2)</f>
        <v>351870.7111619864</v>
      </c>
      <c r="G219" s="180">
        <f>IF($A$1="Peak","-",'Base Hours'!G219*BaseLoad!M218*IS!$B$2)</f>
        <v>659454.23846744385</v>
      </c>
      <c r="H219" s="180">
        <f>IF($A$1="Peak","-",'Base Hours'!H219*BaseLoad!N218*IS!$B$2)</f>
        <v>636095.19183180435</v>
      </c>
      <c r="I219" s="180">
        <f>IF($A$1="Peak","-",'Base Hours'!I219*BaseLoad!O218*IS!$B$2)</f>
        <v>586094.5072056033</v>
      </c>
      <c r="J219" s="180">
        <f>IF($A$1="Peak","-",'Base Hours'!J219*BaseLoad!P218*IS!$B$2)</f>
        <v>535767.8298069383</v>
      </c>
      <c r="K219" s="180">
        <f>IF($A$1="Peak","-",'Base Hours'!K219*BaseLoad!Q218*IS!$B$2)</f>
        <v>501705.35842838848</v>
      </c>
      <c r="L219" s="180">
        <f>IF($A$1="Peak","-",'Base Hours'!L219*BaseLoad!R218*IS!$B$2)</f>
        <v>463452.27318125474</v>
      </c>
      <c r="M219" s="180">
        <f>IF($A$1="Peak","-",'Base Hours'!M219*BaseLoad!S218*IS!$B$2)</f>
        <v>419852.85690282425</v>
      </c>
      <c r="N219" s="180">
        <f>IF($A$1="Peak","-",'Base Hours'!N219*BaseLoad!T218*IS!$B$2)</f>
        <v>371852.96146083483</v>
      </c>
      <c r="O219" s="180">
        <f>IF($A$1="Peak","-",'Base Hours'!O219*BaseLoad!U218*IS!$B$2)</f>
        <v>362091.26689640578</v>
      </c>
      <c r="P219" s="180">
        <f>IF($A$1="Peak","-",'Base Hours'!P219*BaseLoad!V218*IS!$B$2)</f>
        <v>356783.88026474667</v>
      </c>
      <c r="Q219" s="180">
        <f>IF($A$1="Peak","-",'Base Hours'!Q219*BaseLoad!W218*IS!$B$2)</f>
        <v>353061.58753517026</v>
      </c>
      <c r="R219" s="180">
        <f>IF($A$1="Peak","-",'Base Hours'!R219*BaseLoad!X218*IS!$B$2)</f>
        <v>350547.68387498398</v>
      </c>
      <c r="S219" s="180">
        <f>IF($A$1="Peak","-",'Base Hours'!S219*BaseLoad!Y218*IS!$B$2)</f>
        <v>346035.89689251332</v>
      </c>
      <c r="T219" s="180">
        <f>IF($A$1="Peak","-",'Base Hours'!T219*BaseLoad!Z218*IS!$B$2)</f>
        <v>340081.53945786163</v>
      </c>
      <c r="U219" s="180">
        <f>IF($A$1="Peak","-",'Base Hours'!U219*BaseLoad!AA218*IS!$B$2)</f>
        <v>904417.24922850914</v>
      </c>
      <c r="V219" s="180">
        <f t="shared" si="8"/>
        <v>7571318.8801486511</v>
      </c>
      <c r="W219" s="180"/>
      <c r="X219" s="180"/>
      <c r="Y219" s="212"/>
      <c r="Z219" s="212">
        <f>(BaseLoad!C218*'Base Hours'!V219*IS!$B$2)*-1</f>
        <v>-1994532.2598757562</v>
      </c>
      <c r="AA219" s="212"/>
      <c r="AB219" s="212">
        <f>(BaseLoad!D218*'Base Hours'!V219*IS!$B$2)*-1</f>
        <v>-204685.75520216126</v>
      </c>
      <c r="AC219" s="212"/>
      <c r="AD219" s="212">
        <f>(BaseLoad!E218*'Base Hours'!V219*IS!$B$2)*-1</f>
        <v>-1765282.7888106396</v>
      </c>
      <c r="AE219" s="212"/>
      <c r="AF219" s="212">
        <f>(BaseLoad!F218*'Base Hours'!V219*IS!$B$2)*-1</f>
        <v>-112531.15764816073</v>
      </c>
      <c r="AG219" s="212"/>
    </row>
    <row r="220" spans="1:33" x14ac:dyDescent="0.2">
      <c r="A220" s="1">
        <f t="shared" si="7"/>
        <v>42927.570000000269</v>
      </c>
      <c r="B220" s="180">
        <f>IF($A$1="Peak","-",'Base Hours'!B220*BaseLoad!H219*IS!$B$2)</f>
        <v>343798.77929145395</v>
      </c>
      <c r="C220" s="180">
        <f>IF($A$1="Peak","-",'Base Hours'!C220*BaseLoad!I219*IS!$B$2)</f>
        <v>258695.76274784061</v>
      </c>
      <c r="D220" s="180">
        <f>IF($A$1="Peak","-",'Base Hours'!D220*BaseLoad!J219*IS!$B$2)</f>
        <v>465525.18948362948</v>
      </c>
      <c r="E220" s="180">
        <f>IF($A$1="Peak","-",'Base Hours'!E220*BaseLoad!K219*IS!$B$2)</f>
        <v>856633.80011533352</v>
      </c>
      <c r="F220" s="180">
        <f>IF($A$1="Peak","-",'Base Hours'!F220*BaseLoad!L219*IS!$B$2)</f>
        <v>793050.84151004138</v>
      </c>
      <c r="G220" s="180">
        <f>IF($A$1="Peak","-",'Base Hours'!G220*BaseLoad!M219*IS!$B$2)</f>
        <v>1460504.0745011808</v>
      </c>
      <c r="H220" s="180">
        <f>IF($A$1="Peak","-",'Base Hours'!H220*BaseLoad!N219*IS!$B$2)</f>
        <v>1356268.4377740815</v>
      </c>
      <c r="I220" s="180">
        <f>IF($A$1="Peak","-",'Base Hours'!I220*BaseLoad!O219*IS!$B$2)</f>
        <v>690475.4202840107</v>
      </c>
      <c r="J220" s="180">
        <f>IF($A$1="Peak","-",'Base Hours'!J220*BaseLoad!P219*IS!$B$2)</f>
        <v>447877.54786788346</v>
      </c>
      <c r="K220" s="180">
        <f>IF($A$1="Peak","-",'Base Hours'!K220*BaseLoad!Q219*IS!$B$2)</f>
        <v>417619.68869731942</v>
      </c>
      <c r="L220" s="180">
        <f>IF($A$1="Peak","-",'Base Hours'!L220*BaseLoad!R219*IS!$B$2)</f>
        <v>391451.63322322589</v>
      </c>
      <c r="M220" s="180">
        <f>IF($A$1="Peak","-",'Base Hours'!M220*BaseLoad!S219*IS!$B$2)</f>
        <v>379310.86442839605</v>
      </c>
      <c r="N220" s="180">
        <f>IF($A$1="Peak","-",'Base Hours'!N220*BaseLoad!T219*IS!$B$2)</f>
        <v>370646.04542327573</v>
      </c>
      <c r="O220" s="180">
        <f>IF($A$1="Peak","-",'Base Hours'!O220*BaseLoad!U219*IS!$B$2)</f>
        <v>366815.7655800411</v>
      </c>
      <c r="P220" s="180">
        <f>IF($A$1="Peak","-",'Base Hours'!P220*BaseLoad!V219*IS!$B$2)</f>
        <v>355831.62534056354</v>
      </c>
      <c r="Q220" s="180">
        <f>IF($A$1="Peak","-",'Base Hours'!Q220*BaseLoad!W219*IS!$B$2)</f>
        <v>340497.38249035418</v>
      </c>
      <c r="R220" s="180">
        <f>IF($A$1="Peak","-",'Base Hours'!R220*BaseLoad!X219*IS!$B$2)</f>
        <v>325626.84930350585</v>
      </c>
      <c r="S220" s="180">
        <f>IF($A$1="Peak","-",'Base Hours'!S220*BaseLoad!Y219*IS!$B$2)</f>
        <v>317163.34021691431</v>
      </c>
      <c r="T220" s="180">
        <f>IF($A$1="Peak","-",'Base Hours'!T220*BaseLoad!Z219*IS!$B$2)</f>
        <v>296791.2799893776</v>
      </c>
      <c r="U220" s="180">
        <f>IF($A$1="Peak","-",'Base Hours'!U220*BaseLoad!AA219*IS!$B$2)</f>
        <v>761092.62547651876</v>
      </c>
      <c r="V220" s="180">
        <f t="shared" si="8"/>
        <v>9535172.8792437688</v>
      </c>
      <c r="W220" s="180"/>
      <c r="X220" s="180"/>
      <c r="Y220" s="212"/>
      <c r="Z220" s="212">
        <f>(BaseLoad!C219*'Base Hours'!V220*IS!$B$2)*-1</f>
        <v>-1994532.2598757562</v>
      </c>
      <c r="AA220" s="212"/>
      <c r="AB220" s="212">
        <f>(BaseLoad!D219*'Base Hours'!V220*IS!$B$2)*-1</f>
        <v>-205026.89812749819</v>
      </c>
      <c r="AC220" s="212"/>
      <c r="AD220" s="212">
        <f>(BaseLoad!E219*'Base Hours'!V220*IS!$B$2)*-1</f>
        <v>-1765282.7888106396</v>
      </c>
      <c r="AE220" s="212"/>
      <c r="AF220" s="212">
        <f>(BaseLoad!F219*'Base Hours'!V220*IS!$B$2)*-1</f>
        <v>-112531.15764816073</v>
      </c>
      <c r="AG220" s="212"/>
    </row>
    <row r="221" spans="1:33" x14ac:dyDescent="0.2">
      <c r="A221" s="1">
        <f t="shared" si="7"/>
        <v>42957.98700000027</v>
      </c>
      <c r="B221" s="180">
        <f>IF($A$1="Peak","-",'Base Hours'!B221*BaseLoad!H220*IS!$B$2)</f>
        <v>425417.24729232676</v>
      </c>
      <c r="C221" s="180">
        <f>IF($A$1="Peak","-",'Base Hours'!C221*BaseLoad!I220*IS!$B$2)</f>
        <v>301917.16082397575</v>
      </c>
      <c r="D221" s="180">
        <f>IF($A$1="Peak","-",'Base Hours'!D221*BaseLoad!J220*IS!$B$2)</f>
        <v>482189.15007142565</v>
      </c>
      <c r="E221" s="180">
        <f>IF($A$1="Peak","-",'Base Hours'!E221*BaseLoad!K220*IS!$B$2)</f>
        <v>872115.87838195881</v>
      </c>
      <c r="F221" s="180">
        <f>IF($A$1="Peak","-",'Base Hours'!F221*BaseLoad!L220*IS!$B$2)</f>
        <v>795942.83419675194</v>
      </c>
      <c r="G221" s="180">
        <f>IF($A$1="Peak","-",'Base Hours'!G221*BaseLoad!M220*IS!$B$2)</f>
        <v>1439032.1456134487</v>
      </c>
      <c r="H221" s="180">
        <f>IF($A$1="Peak","-",'Base Hours'!H221*BaseLoad!N220*IS!$B$2)</f>
        <v>1165564.4882948478</v>
      </c>
      <c r="I221" s="180">
        <f>IF($A$1="Peak","-",'Base Hours'!I221*BaseLoad!O220*IS!$B$2)</f>
        <v>709931.08959898155</v>
      </c>
      <c r="J221" s="180">
        <f>IF($A$1="Peak","-",'Base Hours'!J221*BaseLoad!P220*IS!$B$2)</f>
        <v>658493.26435064967</v>
      </c>
      <c r="K221" s="180">
        <f>IF($A$1="Peak","-",'Base Hours'!K221*BaseLoad!Q220*IS!$B$2)</f>
        <v>494053.03391646541</v>
      </c>
      <c r="L221" s="180">
        <f>IF($A$1="Peak","-",'Base Hours'!L221*BaseLoad!R220*IS!$B$2)</f>
        <v>398925.35979823041</v>
      </c>
      <c r="M221" s="180">
        <f>IF($A$1="Peak","-",'Base Hours'!M221*BaseLoad!S220*IS!$B$2)</f>
        <v>378578.8603150142</v>
      </c>
      <c r="N221" s="180">
        <f>IF($A$1="Peak","-",'Base Hours'!N221*BaseLoad!T220*IS!$B$2)</f>
        <v>368687.49982050993</v>
      </c>
      <c r="O221" s="180">
        <f>IF($A$1="Peak","-",'Base Hours'!O221*BaseLoad!U220*IS!$B$2)</f>
        <v>344871.301074085</v>
      </c>
      <c r="P221" s="180">
        <f>IF($A$1="Peak","-",'Base Hours'!P221*BaseLoad!V220*IS!$B$2)</f>
        <v>332384.7166397142</v>
      </c>
      <c r="Q221" s="180">
        <f>IF($A$1="Peak","-",'Base Hours'!Q221*BaseLoad!W220*IS!$B$2)</f>
        <v>331784.0044300094</v>
      </c>
      <c r="R221" s="180">
        <f>IF($A$1="Peak","-",'Base Hours'!R221*BaseLoad!X220*IS!$B$2)</f>
        <v>330561.33639761456</v>
      </c>
      <c r="S221" s="180">
        <f>IF($A$1="Peak","-",'Base Hours'!S221*BaseLoad!Y220*IS!$B$2)</f>
        <v>326473.69052948157</v>
      </c>
      <c r="T221" s="180">
        <f>IF($A$1="Peak","-",'Base Hours'!T221*BaseLoad!Z220*IS!$B$2)</f>
        <v>326473.69052948157</v>
      </c>
      <c r="U221" s="180">
        <f>IF($A$1="Peak","-",'Base Hours'!U221*BaseLoad!AA220*IS!$B$2)</f>
        <v>810728.36600122997</v>
      </c>
      <c r="V221" s="180">
        <f t="shared" si="8"/>
        <v>9855092.9724627547</v>
      </c>
      <c r="W221" s="180"/>
      <c r="X221" s="180"/>
      <c r="Y221" s="212"/>
      <c r="Z221" s="212">
        <f>(BaseLoad!C220*'Base Hours'!V221*IS!$B$2)*-1</f>
        <v>-1994532.2598757562</v>
      </c>
      <c r="AA221" s="212"/>
      <c r="AB221" s="212">
        <f>(BaseLoad!D220*'Base Hours'!V221*IS!$B$2)*-1</f>
        <v>-205368.60962437739</v>
      </c>
      <c r="AC221" s="212"/>
      <c r="AD221" s="212">
        <f>(BaseLoad!E220*'Base Hours'!V221*IS!$B$2)*-1</f>
        <v>-1765282.7888106396</v>
      </c>
      <c r="AE221" s="212"/>
      <c r="AF221" s="212">
        <f>(BaseLoad!F220*'Base Hours'!V221*IS!$B$2)*-1</f>
        <v>-112531.15764816073</v>
      </c>
      <c r="AG221" s="212"/>
    </row>
    <row r="222" spans="1:33" x14ac:dyDescent="0.2">
      <c r="A222" s="1">
        <f t="shared" si="7"/>
        <v>42988.404000000271</v>
      </c>
      <c r="B222" s="180">
        <f>IF($A$1="Peak","-",'Base Hours'!B222*BaseLoad!H221*IS!$B$2)</f>
        <v>205710.61465903794</v>
      </c>
      <c r="C222" s="180">
        <f>IF($A$1="Peak","-",'Base Hours'!C222*BaseLoad!I221*IS!$B$2)</f>
        <v>193242.92874664432</v>
      </c>
      <c r="D222" s="180">
        <f>IF($A$1="Peak","-",'Base Hours'!D222*BaseLoad!J221*IS!$B$2)</f>
        <v>364418.52372196032</v>
      </c>
      <c r="E222" s="180">
        <f>IF($A$1="Peak","-",'Base Hours'!E222*BaseLoad!K221*IS!$B$2)</f>
        <v>683307.2663320268</v>
      </c>
      <c r="F222" s="180">
        <f>IF($A$1="Peak","-",'Base Hours'!F222*BaseLoad!L221*IS!$B$2)</f>
        <v>512185.66678800224</v>
      </c>
      <c r="G222" s="180">
        <f>IF($A$1="Peak","-",'Base Hours'!G222*BaseLoad!M221*IS!$B$2)</f>
        <v>737674.95079873828</v>
      </c>
      <c r="H222" s="180">
        <f>IF($A$1="Peak","-",'Base Hours'!H222*BaseLoad!N221*IS!$B$2)</f>
        <v>691989.43092510453</v>
      </c>
      <c r="I222" s="180">
        <f>IF($A$1="Peak","-",'Base Hours'!I222*BaseLoad!O221*IS!$B$2)</f>
        <v>495012.82537137956</v>
      </c>
      <c r="J222" s="180">
        <f>IF($A$1="Peak","-",'Base Hours'!J222*BaseLoad!P221*IS!$B$2)</f>
        <v>406132.01993158367</v>
      </c>
      <c r="K222" s="180">
        <f>IF($A$1="Peak","-",'Base Hours'!K222*BaseLoad!Q221*IS!$B$2)</f>
        <v>387558.00311864057</v>
      </c>
      <c r="L222" s="180">
        <f>IF($A$1="Peak","-",'Base Hours'!L222*BaseLoad!R221*IS!$B$2)</f>
        <v>349901.17499759607</v>
      </c>
      <c r="M222" s="180">
        <f>IF($A$1="Peak","-",'Base Hours'!M222*BaseLoad!S221*IS!$B$2)</f>
        <v>346113.43870184326</v>
      </c>
      <c r="N222" s="180">
        <f>IF($A$1="Peak","-",'Base Hours'!N222*BaseLoad!T221*IS!$B$2)</f>
        <v>346113.43870184326</v>
      </c>
      <c r="O222" s="180">
        <f>IF($A$1="Peak","-",'Base Hours'!O222*BaseLoad!U221*IS!$B$2)</f>
        <v>346111.21494736412</v>
      </c>
      <c r="P222" s="180">
        <f>IF($A$1="Peak","-",'Base Hours'!P222*BaseLoad!V221*IS!$B$2)</f>
        <v>346106.44135609292</v>
      </c>
      <c r="Q222" s="180">
        <f>IF($A$1="Peak","-",'Base Hours'!Q222*BaseLoad!W221*IS!$B$2)</f>
        <v>346106.44135609292</v>
      </c>
      <c r="R222" s="180">
        <f>IF($A$1="Peak","-",'Base Hours'!R222*BaseLoad!X221*IS!$B$2)</f>
        <v>346106.44135609292</v>
      </c>
      <c r="S222" s="180">
        <f>IF($A$1="Peak","-",'Base Hours'!S222*BaseLoad!Y221*IS!$B$2)</f>
        <v>344906.30655162857</v>
      </c>
      <c r="T222" s="180">
        <f>IF($A$1="Peak","-",'Base Hours'!T222*BaseLoad!Z221*IS!$B$2)</f>
        <v>323706.06104856561</v>
      </c>
      <c r="U222" s="180">
        <f>IF($A$1="Peak","-",'Base Hours'!U222*BaseLoad!AA221*IS!$B$2)</f>
        <v>792667.9928535982</v>
      </c>
      <c r="V222" s="180">
        <f t="shared" si="8"/>
        <v>7772403.1894102357</v>
      </c>
      <c r="W222" s="180"/>
      <c r="X222" s="180"/>
      <c r="Y222" s="212"/>
      <c r="Z222" s="212">
        <f>(BaseLoad!C221*'Base Hours'!V222*IS!$B$2)*-1</f>
        <v>-1994532.2598757562</v>
      </c>
      <c r="AA222" s="212"/>
      <c r="AB222" s="212">
        <f>(BaseLoad!D221*'Base Hours'!V222*IS!$B$2)*-1</f>
        <v>-205710.89064041799</v>
      </c>
      <c r="AC222" s="212"/>
      <c r="AD222" s="212">
        <f>(BaseLoad!E221*'Base Hours'!V222*IS!$B$2)*-1</f>
        <v>-1765282.7888106396</v>
      </c>
      <c r="AE222" s="212"/>
      <c r="AF222" s="212">
        <f>(BaseLoad!F221*'Base Hours'!V222*IS!$B$2)*-1</f>
        <v>-112531.15764816073</v>
      </c>
      <c r="AG222" s="212"/>
    </row>
    <row r="223" spans="1:33" x14ac:dyDescent="0.2">
      <c r="A223" s="1">
        <f t="shared" si="7"/>
        <v>43018.821000000273</v>
      </c>
      <c r="B223" s="180">
        <f>IF($A$1="Peak","-",'Base Hours'!B223*BaseLoad!H222*IS!$B$2)</f>
        <v>122969.46145893449</v>
      </c>
      <c r="C223" s="180">
        <f>IF($A$1="Peak","-",'Base Hours'!C223*BaseLoad!I222*IS!$B$2)</f>
        <v>98229.35562077447</v>
      </c>
      <c r="D223" s="180">
        <f>IF($A$1="Peak","-",'Base Hours'!D223*BaseLoad!J222*IS!$B$2)</f>
        <v>182921.59730015189</v>
      </c>
      <c r="E223" s="180">
        <f>IF($A$1="Peak","-",'Base Hours'!E223*BaseLoad!K222*IS!$B$2)</f>
        <v>342146.4346364832</v>
      </c>
      <c r="F223" s="180">
        <f>IF($A$1="Peak","-",'Base Hours'!F223*BaseLoad!L222*IS!$B$2)</f>
        <v>321755.66596360999</v>
      </c>
      <c r="G223" s="180">
        <f>IF($A$1="Peak","-",'Base Hours'!G223*BaseLoad!M222*IS!$B$2)</f>
        <v>611999.20041167445</v>
      </c>
      <c r="H223" s="180">
        <f>IF($A$1="Peak","-",'Base Hours'!H223*BaseLoad!N222*IS!$B$2)</f>
        <v>607727.65262926917</v>
      </c>
      <c r="I223" s="180">
        <f>IF($A$1="Peak","-",'Base Hours'!I223*BaseLoad!O222*IS!$B$2)</f>
        <v>556717.39903746743</v>
      </c>
      <c r="J223" s="180">
        <f>IF($A$1="Peak","-",'Base Hours'!J223*BaseLoad!P222*IS!$B$2)</f>
        <v>493605.9964943651</v>
      </c>
      <c r="K223" s="180">
        <f>IF($A$1="Peak","-",'Base Hours'!K223*BaseLoad!Q222*IS!$B$2)</f>
        <v>460570.72298949049</v>
      </c>
      <c r="L223" s="180">
        <f>IF($A$1="Peak","-",'Base Hours'!L223*BaseLoad!R222*IS!$B$2)</f>
        <v>444645.55087992415</v>
      </c>
      <c r="M223" s="180">
        <f>IF($A$1="Peak","-",'Base Hours'!M223*BaseLoad!S222*IS!$B$2)</f>
        <v>433441.31630526227</v>
      </c>
      <c r="N223" s="180">
        <f>IF($A$1="Peak","-",'Base Hours'!N223*BaseLoad!T222*IS!$B$2)</f>
        <v>429760.79230117635</v>
      </c>
      <c r="O223" s="180">
        <f>IF($A$1="Peak","-",'Base Hours'!O223*BaseLoad!U222*IS!$B$2)</f>
        <v>420436.36215556425</v>
      </c>
      <c r="P223" s="180">
        <f>IF($A$1="Peak","-",'Base Hours'!P223*BaseLoad!V222*IS!$B$2)</f>
        <v>394802.80567662255</v>
      </c>
      <c r="Q223" s="180">
        <f>IF($A$1="Peak","-",'Base Hours'!Q223*BaseLoad!W222*IS!$B$2)</f>
        <v>351005.92492603866</v>
      </c>
      <c r="R223" s="180">
        <f>IF($A$1="Peak","-",'Base Hours'!R223*BaseLoad!X222*IS!$B$2)</f>
        <v>337438.97313540458</v>
      </c>
      <c r="S223" s="180">
        <f>IF($A$1="Peak","-",'Base Hours'!S223*BaseLoad!Y222*IS!$B$2)</f>
        <v>312615.49496291525</v>
      </c>
      <c r="T223" s="180">
        <f>IF($A$1="Peak","-",'Base Hours'!T223*BaseLoad!Z222*IS!$B$2)</f>
        <v>301419.95960547676</v>
      </c>
      <c r="U223" s="180">
        <f>IF($A$1="Peak","-",'Base Hours'!U223*BaseLoad!AA222*IS!$B$2)</f>
        <v>826712.05564888997</v>
      </c>
      <c r="V223" s="180">
        <f t="shared" si="8"/>
        <v>7224210.6664906042</v>
      </c>
      <c r="W223" s="180"/>
      <c r="X223" s="180"/>
      <c r="Y223" s="212"/>
      <c r="Z223" s="212">
        <f>(BaseLoad!C222*'Base Hours'!V223*IS!$B$2)*-1</f>
        <v>-1994532.2598757562</v>
      </c>
      <c r="AA223" s="212"/>
      <c r="AB223" s="212">
        <f>(BaseLoad!D222*'Base Hours'!V223*IS!$B$2)*-1</f>
        <v>-206053.74212481876</v>
      </c>
      <c r="AC223" s="212"/>
      <c r="AD223" s="212">
        <f>(BaseLoad!E222*'Base Hours'!V223*IS!$B$2)*-1</f>
        <v>-1765282.7888106396</v>
      </c>
      <c r="AE223" s="212"/>
      <c r="AF223" s="212">
        <f>(BaseLoad!F222*'Base Hours'!V223*IS!$B$2)*-1</f>
        <v>-112531.15764816073</v>
      </c>
      <c r="AG223" s="212"/>
    </row>
    <row r="224" spans="1:33" x14ac:dyDescent="0.2">
      <c r="A224" s="1">
        <f t="shared" si="7"/>
        <v>43049.238000000274</v>
      </c>
      <c r="B224" s="180">
        <f>IF($A$1="Peak","-",'Base Hours'!B224*BaseLoad!H223*IS!$B$2)</f>
        <v>173579.07078155837</v>
      </c>
      <c r="C224" s="180">
        <f>IF($A$1="Peak","-",'Base Hours'!C224*BaseLoad!I223*IS!$B$2)</f>
        <v>169725.98271818302</v>
      </c>
      <c r="D224" s="180">
        <f>IF($A$1="Peak","-",'Base Hours'!D224*BaseLoad!J223*IS!$B$2)</f>
        <v>319987.84824337915</v>
      </c>
      <c r="E224" s="180">
        <f>IF($A$1="Peak","-",'Base Hours'!E224*BaseLoad!K223*IS!$B$2)</f>
        <v>432184.68344255077</v>
      </c>
      <c r="F224" s="180">
        <f>IF($A$1="Peak","-",'Base Hours'!F224*BaseLoad!L223*IS!$B$2)</f>
        <v>393131.19098928454</v>
      </c>
      <c r="G224" s="180">
        <f>IF($A$1="Peak","-",'Base Hours'!G224*BaseLoad!M223*IS!$B$2)</f>
        <v>751055.93665005558</v>
      </c>
      <c r="H224" s="180">
        <f>IF($A$1="Peak","-",'Base Hours'!H224*BaseLoad!N223*IS!$B$2)</f>
        <v>710596.52760610345</v>
      </c>
      <c r="I224" s="180">
        <f>IF($A$1="Peak","-",'Base Hours'!I224*BaseLoad!O223*IS!$B$2)</f>
        <v>545497.56426518259</v>
      </c>
      <c r="J224" s="180">
        <f>IF($A$1="Peak","-",'Base Hours'!J224*BaseLoad!P223*IS!$B$2)</f>
        <v>507098.02076581807</v>
      </c>
      <c r="K224" s="180">
        <f>IF($A$1="Peak","-",'Base Hours'!K224*BaseLoad!Q223*IS!$B$2)</f>
        <v>446635.39183422236</v>
      </c>
      <c r="L224" s="180">
        <f>IF($A$1="Peak","-",'Base Hours'!L224*BaseLoad!R223*IS!$B$2)</f>
        <v>422556.22368951503</v>
      </c>
      <c r="M224" s="180">
        <f>IF($A$1="Peak","-",'Base Hours'!M224*BaseLoad!S223*IS!$B$2)</f>
        <v>419106.38718791673</v>
      </c>
      <c r="N224" s="180">
        <f>IF($A$1="Peak","-",'Base Hours'!N224*BaseLoad!T223*IS!$B$2)</f>
        <v>405110.85361092072</v>
      </c>
      <c r="O224" s="180">
        <f>IF($A$1="Peak","-",'Base Hours'!O224*BaseLoad!U223*IS!$B$2)</f>
        <v>394253.53697579575</v>
      </c>
      <c r="P224" s="180">
        <f>IF($A$1="Peak","-",'Base Hours'!P224*BaseLoad!V223*IS!$B$2)</f>
        <v>383984.94790458737</v>
      </c>
      <c r="Q224" s="180">
        <f>IF($A$1="Peak","-",'Base Hours'!Q224*BaseLoad!W223*IS!$B$2)</f>
        <v>373867.14958872873</v>
      </c>
      <c r="R224" s="180">
        <f>IF($A$1="Peak","-",'Base Hours'!R224*BaseLoad!X223*IS!$B$2)</f>
        <v>364061.50656635314</v>
      </c>
      <c r="S224" s="180">
        <f>IF($A$1="Peak","-",'Base Hours'!S224*BaseLoad!Y223*IS!$B$2)</f>
        <v>362743.9801168007</v>
      </c>
      <c r="T224" s="180">
        <f>IF($A$1="Peak","-",'Base Hours'!T224*BaseLoad!Z223*IS!$B$2)</f>
        <v>362743.24841021572</v>
      </c>
      <c r="U224" s="180">
        <f>IF($A$1="Peak","-",'Base Hours'!U224*BaseLoad!AA223*IS!$B$2)</f>
        <v>997306.96578561666</v>
      </c>
      <c r="V224" s="180">
        <f t="shared" si="8"/>
        <v>7937920.0513471719</v>
      </c>
      <c r="W224" s="180"/>
      <c r="X224" s="180"/>
      <c r="Y224" s="212"/>
      <c r="Z224" s="212">
        <f>(BaseLoad!C223*'Base Hours'!V224*IS!$B$2)*-1</f>
        <v>-1994532.2598757562</v>
      </c>
      <c r="AA224" s="212"/>
      <c r="AB224" s="212">
        <f>(BaseLoad!D223*'Base Hours'!V224*IS!$B$2)*-1</f>
        <v>-206397.16502836012</v>
      </c>
      <c r="AC224" s="212"/>
      <c r="AD224" s="212">
        <f>(BaseLoad!E223*'Base Hours'!V224*IS!$B$2)*-1</f>
        <v>-1765282.7888106396</v>
      </c>
      <c r="AE224" s="212"/>
      <c r="AF224" s="212">
        <f>(BaseLoad!F223*'Base Hours'!V224*IS!$B$2)*-1</f>
        <v>-112531.15764816073</v>
      </c>
      <c r="AG224" s="212"/>
    </row>
    <row r="225" spans="1:33" x14ac:dyDescent="0.2">
      <c r="A225" s="1">
        <f t="shared" si="7"/>
        <v>43079.655000000275</v>
      </c>
      <c r="B225" s="180">
        <f>IF($A$1="Peak","-",'Base Hours'!B225*BaseLoad!H224*IS!$B$2)</f>
        <v>116800.32844260002</v>
      </c>
      <c r="C225" s="180">
        <f>IF($A$1="Peak","-",'Base Hours'!C225*BaseLoad!I224*IS!$B$2)</f>
        <v>116587.40732301568</v>
      </c>
      <c r="D225" s="180">
        <f>IF($A$1="Peak","-",'Base Hours'!D225*BaseLoad!J224*IS!$B$2)</f>
        <v>210422.62414425355</v>
      </c>
      <c r="E225" s="180">
        <f>IF($A$1="Peak","-",'Base Hours'!E225*BaseLoad!K224*IS!$B$2)</f>
        <v>362336.23708095145</v>
      </c>
      <c r="F225" s="180">
        <f>IF($A$1="Peak","-",'Base Hours'!F225*BaseLoad!L224*IS!$B$2)</f>
        <v>351813.25675633078</v>
      </c>
      <c r="G225" s="180">
        <f>IF($A$1="Peak","-",'Base Hours'!G225*BaseLoad!M224*IS!$B$2)</f>
        <v>685262.23763177323</v>
      </c>
      <c r="H225" s="180">
        <f>IF($A$1="Peak","-",'Base Hours'!H225*BaseLoad!N224*IS!$B$2)</f>
        <v>674616.6736570301</v>
      </c>
      <c r="I225" s="180">
        <f>IF($A$1="Peak","-",'Base Hours'!I225*BaseLoad!O224*IS!$B$2)</f>
        <v>667574.19077104144</v>
      </c>
      <c r="J225" s="180">
        <f>IF($A$1="Peak","-",'Base Hours'!J225*BaseLoad!P224*IS!$B$2)</f>
        <v>664134.45190666162</v>
      </c>
      <c r="K225" s="180">
        <f>IF($A$1="Peak","-",'Base Hours'!K225*BaseLoad!Q224*IS!$B$2)</f>
        <v>657378.00034897274</v>
      </c>
      <c r="L225" s="180">
        <f>IF($A$1="Peak","-",'Base Hours'!L225*BaseLoad!R224*IS!$B$2)</f>
        <v>642009.67878305214</v>
      </c>
      <c r="M225" s="180">
        <f>IF($A$1="Peak","-",'Base Hours'!M225*BaseLoad!S224*IS!$B$2)</f>
        <v>639706.84328426037</v>
      </c>
      <c r="N225" s="180">
        <f>IF($A$1="Peak","-",'Base Hours'!N225*BaseLoad!T224*IS!$B$2)</f>
        <v>635560.05185651756</v>
      </c>
      <c r="O225" s="180">
        <f>IF($A$1="Peak","-",'Base Hours'!O225*BaseLoad!U224*IS!$B$2)</f>
        <v>578396.35689492209</v>
      </c>
      <c r="P225" s="180">
        <f>IF($A$1="Peak","-",'Base Hours'!P225*BaseLoad!V224*IS!$B$2)</f>
        <v>527874.25041159987</v>
      </c>
      <c r="Q225" s="180">
        <f>IF($A$1="Peak","-",'Base Hours'!Q225*BaseLoad!W224*IS!$B$2)</f>
        <v>504306.25432498998</v>
      </c>
      <c r="R225" s="180">
        <f>IF($A$1="Peak","-",'Base Hours'!R225*BaseLoad!X224*IS!$B$2)</f>
        <v>467823.38403989724</v>
      </c>
      <c r="S225" s="180">
        <f>IF($A$1="Peak","-",'Base Hours'!S225*BaseLoad!Y224*IS!$B$2)</f>
        <v>441264.23280146183</v>
      </c>
      <c r="T225" s="180">
        <f>IF($A$1="Peak","-",'Base Hours'!T225*BaseLoad!Z224*IS!$B$2)</f>
        <v>441263.95778831805</v>
      </c>
      <c r="U225" s="180">
        <f>IF($A$1="Peak","-",'Base Hours'!U225*BaseLoad!AA224*IS!$B$2)</f>
        <v>1213441.3972768493</v>
      </c>
      <c r="V225" s="180">
        <f t="shared" si="8"/>
        <v>9385130.4182476513</v>
      </c>
      <c r="W225" s="180"/>
      <c r="X225" s="180"/>
      <c r="Y225" s="212">
        <f>SUM(B214:U225)</f>
        <v>109970463.20199102</v>
      </c>
      <c r="Z225" s="212">
        <f>(BaseLoad!C224*'Base Hours'!V225*IS!$B$2)*-1</f>
        <v>-1994532.2598757562</v>
      </c>
      <c r="AA225" s="212">
        <f>SUM(Z214:Z225)</f>
        <v>-23934387.118509073</v>
      </c>
      <c r="AB225" s="212">
        <f>(BaseLoad!D224*'Base Hours'!V225*IS!$B$2)*-1</f>
        <v>-206741.16030340741</v>
      </c>
      <c r="AC225" s="212">
        <f>SUM(AB214:AB225)</f>
        <v>-2458315.6870508734</v>
      </c>
      <c r="AD225" s="212">
        <f>(BaseLoad!E224*'Base Hours'!V225*IS!$B$2)*-1</f>
        <v>-1765282.7888106396</v>
      </c>
      <c r="AE225" s="212">
        <f>SUM(AD214:AD225)</f>
        <v>-21183393.465727683</v>
      </c>
      <c r="AF225" s="212">
        <f>(BaseLoad!F224*'Base Hours'!V225*IS!$B$2)*-1</f>
        <v>-112531.15764816073</v>
      </c>
      <c r="AG225" s="212">
        <f>SUM(AF214:AF225)</f>
        <v>-1350373.8917779289</v>
      </c>
    </row>
    <row r="226" spans="1:33" x14ac:dyDescent="0.2">
      <c r="A226" s="1">
        <f t="shared" si="7"/>
        <v>43110.072000000277</v>
      </c>
      <c r="B226" s="180">
        <f>IF($A$1="Peak","-",'Base Hours'!B226*BaseLoad!H225*IS!$B$2)</f>
        <v>147808.7338694419</v>
      </c>
      <c r="C226" s="180">
        <f>IF($A$1="Peak","-",'Base Hours'!C226*BaseLoad!I225*IS!$B$2)</f>
        <v>137826.58739195688</v>
      </c>
      <c r="D226" s="180">
        <f>IF($A$1="Peak","-",'Base Hours'!D226*BaseLoad!J225*IS!$B$2)</f>
        <v>264568.93318696821</v>
      </c>
      <c r="E226" s="180">
        <f>IF($A$1="Peak","-",'Base Hours'!E226*BaseLoad!K225*IS!$B$2)</f>
        <v>494519.25906668528</v>
      </c>
      <c r="F226" s="180">
        <f>IF($A$1="Peak","-",'Base Hours'!F226*BaseLoad!L225*IS!$B$2)</f>
        <v>490323.57303380506</v>
      </c>
      <c r="G226" s="180">
        <f>IF($A$1="Peak","-",'Base Hours'!G226*BaseLoad!M225*IS!$B$2)</f>
        <v>909021.62916489609</v>
      </c>
      <c r="H226" s="180">
        <f>IF($A$1="Peak","-",'Base Hours'!H226*BaseLoad!N225*IS!$B$2)</f>
        <v>671215.12035091093</v>
      </c>
      <c r="I226" s="180">
        <f>IF($A$1="Peak","-",'Base Hours'!I226*BaseLoad!O225*IS!$B$2)</f>
        <v>561497.97504500626</v>
      </c>
      <c r="J226" s="180">
        <f>IF($A$1="Peak","-",'Base Hours'!J226*BaseLoad!P225*IS!$B$2)</f>
        <v>542833.31081138877</v>
      </c>
      <c r="K226" s="180">
        <f>IF($A$1="Peak","-",'Base Hours'!K226*BaseLoad!Q225*IS!$B$2)</f>
        <v>487057.99381252646</v>
      </c>
      <c r="L226" s="180">
        <f>IF($A$1="Peak","-",'Base Hours'!L226*BaseLoad!R225*IS!$B$2)</f>
        <v>471553.35104955302</v>
      </c>
      <c r="M226" s="180">
        <f>IF($A$1="Peak","-",'Base Hours'!M226*BaseLoad!S225*IS!$B$2)</f>
        <v>467301.42465374648</v>
      </c>
      <c r="N226" s="180">
        <f>IF($A$1="Peak","-",'Base Hours'!N226*BaseLoad!T225*IS!$B$2)</f>
        <v>465972.79607314744</v>
      </c>
      <c r="O226" s="180">
        <f>IF($A$1="Peak","-",'Base Hours'!O226*BaseLoad!U225*IS!$B$2)</f>
        <v>462104.06709884829</v>
      </c>
      <c r="P226" s="180">
        <f>IF($A$1="Peak","-",'Base Hours'!P226*BaseLoad!V225*IS!$B$2)</f>
        <v>461977.29438822472</v>
      </c>
      <c r="Q226" s="180">
        <f>IF($A$1="Peak","-",'Base Hours'!Q226*BaseLoad!W225*IS!$B$2)</f>
        <v>461977.29438822472</v>
      </c>
      <c r="R226" s="180">
        <f>IF($A$1="Peak","-",'Base Hours'!R226*BaseLoad!X225*IS!$B$2)</f>
        <v>461977.29438822472</v>
      </c>
      <c r="S226" s="180">
        <f>IF($A$1="Peak","-",'Base Hours'!S226*BaseLoad!Y225*IS!$B$2)</f>
        <v>461977.29438822472</v>
      </c>
      <c r="T226" s="180">
        <f>IF($A$1="Peak","-",'Base Hours'!T226*BaseLoad!Z225*IS!$B$2)</f>
        <v>461974.96502335742</v>
      </c>
      <c r="U226" s="180">
        <f>IF($A$1="Peak","-",'Base Hours'!U226*BaseLoad!AA225*IS!$B$2)</f>
        <v>1228139.4045236451</v>
      </c>
      <c r="V226" s="180">
        <f t="shared" si="8"/>
        <v>8883488.8971851356</v>
      </c>
      <c r="W226" s="180"/>
      <c r="X226" s="180"/>
      <c r="Y226" s="212"/>
      <c r="Z226" s="212">
        <f>(BaseLoad!C225*'Base Hours'!V226*IS!$B$2)*-1</f>
        <v>-2007836.9026498792</v>
      </c>
      <c r="AA226" s="212"/>
      <c r="AB226" s="212">
        <f>(BaseLoad!D225*'Base Hours'!V226*IS!$B$2)*-1</f>
        <v>-207085.72890391308</v>
      </c>
      <c r="AC226" s="212"/>
      <c r="AD226" s="212">
        <f>(BaseLoad!E225*'Base Hours'!V226*IS!$B$2)*-1</f>
        <v>-1510294.9055891638</v>
      </c>
      <c r="AE226" s="212"/>
      <c r="AF226" s="212">
        <f>(BaseLoad!F225*'Base Hours'!V226*IS!$B$2)*-1</f>
        <v>-123939.23345715344</v>
      </c>
      <c r="AG226" s="212"/>
    </row>
    <row r="227" spans="1:33" x14ac:dyDescent="0.2">
      <c r="A227" s="1">
        <f t="shared" si="7"/>
        <v>43140.489000000278</v>
      </c>
      <c r="B227" s="180">
        <f>IF($A$1="Peak","-",'Base Hours'!B227*BaseLoad!H226*IS!$B$2)</f>
        <v>163850.60254110035</v>
      </c>
      <c r="C227" s="180">
        <f>IF($A$1="Peak","-",'Base Hours'!C227*BaseLoad!I226*IS!$B$2)</f>
        <v>142412.43462286348</v>
      </c>
      <c r="D227" s="180">
        <f>IF($A$1="Peak","-",'Base Hours'!D227*BaseLoad!J226*IS!$B$2)</f>
        <v>273814.73332886113</v>
      </c>
      <c r="E227" s="180">
        <f>IF($A$1="Peak","-",'Base Hours'!E227*BaseLoad!K226*IS!$B$2)</f>
        <v>512884.69711840374</v>
      </c>
      <c r="F227" s="180">
        <f>IF($A$1="Peak","-",'Base Hours'!F227*BaseLoad!L226*IS!$B$2)</f>
        <v>507650.20233688847</v>
      </c>
      <c r="G227" s="180">
        <f>IF($A$1="Peak","-",'Base Hours'!G227*BaseLoad!M226*IS!$B$2)</f>
        <v>818007.2362276481</v>
      </c>
      <c r="H227" s="180">
        <f>IF($A$1="Peak","-",'Base Hours'!H227*BaseLoad!N226*IS!$B$2)</f>
        <v>716977.43381279649</v>
      </c>
      <c r="I227" s="180">
        <f>IF($A$1="Peak","-",'Base Hours'!I227*BaseLoad!O226*IS!$B$2)</f>
        <v>658558.7211557444</v>
      </c>
      <c r="J227" s="180">
        <f>IF($A$1="Peak","-",'Base Hours'!J227*BaseLoad!P226*IS!$B$2)</f>
        <v>574239.13592685631</v>
      </c>
      <c r="K227" s="180">
        <f>IF($A$1="Peak","-",'Base Hours'!K227*BaseLoad!Q226*IS!$B$2)</f>
        <v>535784.2521877992</v>
      </c>
      <c r="L227" s="180">
        <f>IF($A$1="Peak","-",'Base Hours'!L227*BaseLoad!R226*IS!$B$2)</f>
        <v>513153.37544584455</v>
      </c>
      <c r="M227" s="180">
        <f>IF($A$1="Peak","-",'Base Hours'!M227*BaseLoad!S226*IS!$B$2)</f>
        <v>494856.04580175574</v>
      </c>
      <c r="N227" s="180">
        <f>IF($A$1="Peak","-",'Base Hours'!N227*BaseLoad!T226*IS!$B$2)</f>
        <v>486157.17853506707</v>
      </c>
      <c r="O227" s="180">
        <f>IF($A$1="Peak","-",'Base Hours'!O227*BaseLoad!U226*IS!$B$2)</f>
        <v>480639.65566187655</v>
      </c>
      <c r="P227" s="180">
        <f>IF($A$1="Peak","-",'Base Hours'!P227*BaseLoad!V226*IS!$B$2)</f>
        <v>480639.65566187655</v>
      </c>
      <c r="Q227" s="180">
        <f>IF($A$1="Peak","-",'Base Hours'!Q227*BaseLoad!W226*IS!$B$2)</f>
        <v>480639.65566187655</v>
      </c>
      <c r="R227" s="180">
        <f>IF($A$1="Peak","-",'Base Hours'!R227*BaseLoad!X226*IS!$B$2)</f>
        <v>480639.65566187655</v>
      </c>
      <c r="S227" s="180">
        <f>IF($A$1="Peak","-",'Base Hours'!S227*BaseLoad!Y226*IS!$B$2)</f>
        <v>480639.65566187655</v>
      </c>
      <c r="T227" s="180">
        <f>IF($A$1="Peak","-",'Base Hours'!T227*BaseLoad!Z226*IS!$B$2)</f>
        <v>479920.19947525585</v>
      </c>
      <c r="U227" s="180">
        <f>IF($A$1="Peak","-",'Base Hours'!U227*BaseLoad!AA226*IS!$B$2)</f>
        <v>1309666.5942797018</v>
      </c>
      <c r="V227" s="180">
        <f t="shared" si="8"/>
        <v>9281464.5268262699</v>
      </c>
      <c r="W227" s="180"/>
      <c r="X227" s="180"/>
      <c r="Y227" s="212"/>
      <c r="Z227" s="212">
        <f>(BaseLoad!C226*'Base Hours'!V227*IS!$B$2)*-1</f>
        <v>-2007836.9026498792</v>
      </c>
      <c r="AA227" s="212"/>
      <c r="AB227" s="212">
        <f>(BaseLoad!D226*'Base Hours'!V227*IS!$B$2)*-1</f>
        <v>-207430.87178541961</v>
      </c>
      <c r="AC227" s="212"/>
      <c r="AD227" s="212">
        <f>(BaseLoad!E226*'Base Hours'!V227*IS!$B$2)*-1</f>
        <v>-1510294.9055891638</v>
      </c>
      <c r="AE227" s="212"/>
      <c r="AF227" s="212">
        <f>(BaseLoad!F226*'Base Hours'!V227*IS!$B$2)*-1</f>
        <v>-123939.23345715344</v>
      </c>
      <c r="AG227" s="212"/>
    </row>
    <row r="228" spans="1:33" x14ac:dyDescent="0.2">
      <c r="A228" s="1">
        <f t="shared" si="7"/>
        <v>43170.906000000279</v>
      </c>
      <c r="B228" s="180">
        <f>IF($A$1="Peak","-",'Base Hours'!B228*BaseLoad!H227*IS!$B$2)</f>
        <v>145818.94384281716</v>
      </c>
      <c r="C228" s="180">
        <f>IF($A$1="Peak","-",'Base Hours'!C228*BaseLoad!I227*IS!$B$2)</f>
        <v>110698.7689352053</v>
      </c>
      <c r="D228" s="180">
        <f>IF($A$1="Peak","-",'Base Hours'!D228*BaseLoad!J227*IS!$B$2)</f>
        <v>210955.65390042966</v>
      </c>
      <c r="E228" s="180">
        <f>IF($A$1="Peak","-",'Base Hours'!E228*BaseLoad!K227*IS!$B$2)</f>
        <v>395840.41594927467</v>
      </c>
      <c r="F228" s="180">
        <f>IF($A$1="Peak","-",'Base Hours'!F228*BaseLoad!L227*IS!$B$2)</f>
        <v>370763.43172805308</v>
      </c>
      <c r="G228" s="180">
        <f>IF($A$1="Peak","-",'Base Hours'!G228*BaseLoad!M227*IS!$B$2)</f>
        <v>735925.36275167181</v>
      </c>
      <c r="H228" s="180">
        <f>IF($A$1="Peak","-",'Base Hours'!H228*BaseLoad!N227*IS!$B$2)</f>
        <v>669216.13801207836</v>
      </c>
      <c r="I228" s="180">
        <f>IF($A$1="Peak","-",'Base Hours'!I228*BaseLoad!O227*IS!$B$2)</f>
        <v>549292.12633949961</v>
      </c>
      <c r="J228" s="180">
        <f>IF($A$1="Peak","-",'Base Hours'!J228*BaseLoad!P227*IS!$B$2)</f>
        <v>512472.34778716776</v>
      </c>
      <c r="K228" s="180">
        <f>IF($A$1="Peak","-",'Base Hours'!K228*BaseLoad!Q227*IS!$B$2)</f>
        <v>499813.30857858731</v>
      </c>
      <c r="L228" s="180">
        <f>IF($A$1="Peak","-",'Base Hours'!L228*BaseLoad!R227*IS!$B$2)</f>
        <v>468631.85758043732</v>
      </c>
      <c r="M228" s="180">
        <f>IF($A$1="Peak","-",'Base Hours'!M228*BaseLoad!S227*IS!$B$2)</f>
        <v>452804.14239670499</v>
      </c>
      <c r="N228" s="180">
        <f>IF($A$1="Peak","-",'Base Hours'!N228*BaseLoad!T227*IS!$B$2)</f>
        <v>442402.18883862998</v>
      </c>
      <c r="O228" s="180">
        <f>IF($A$1="Peak","-",'Base Hours'!O228*BaseLoad!U227*IS!$B$2)</f>
        <v>432153.55880471237</v>
      </c>
      <c r="P228" s="180">
        <f>IF($A$1="Peak","-",'Base Hours'!P228*BaseLoad!V227*IS!$B$2)</f>
        <v>416386.94524326036</v>
      </c>
      <c r="Q228" s="180">
        <f>IF($A$1="Peak","-",'Base Hours'!Q228*BaseLoad!W227*IS!$B$2)</f>
        <v>412369.66463910468</v>
      </c>
      <c r="R228" s="180">
        <f>IF($A$1="Peak","-",'Base Hours'!R228*BaseLoad!X227*IS!$B$2)</f>
        <v>399371.78981374652</v>
      </c>
      <c r="S228" s="180">
        <f>IF($A$1="Peak","-",'Base Hours'!S228*BaseLoad!Y227*IS!$B$2)</f>
        <v>387122.32380948419</v>
      </c>
      <c r="T228" s="180">
        <f>IF($A$1="Peak","-",'Base Hours'!T228*BaseLoad!Z227*IS!$B$2)</f>
        <v>365175.52294360445</v>
      </c>
      <c r="U228" s="180">
        <f>IF($A$1="Peak","-",'Base Hours'!U228*BaseLoad!AA227*IS!$B$2)</f>
        <v>983520.82712014928</v>
      </c>
      <c r="V228" s="180">
        <f t="shared" si="8"/>
        <v>7977214.4918944705</v>
      </c>
      <c r="W228" s="180"/>
      <c r="X228" s="180"/>
      <c r="Y228" s="212"/>
      <c r="Z228" s="212">
        <f>(BaseLoad!C227*'Base Hours'!V228*IS!$B$2)*-1</f>
        <v>-2007836.9026498792</v>
      </c>
      <c r="AA228" s="212"/>
      <c r="AB228" s="212">
        <f>(BaseLoad!D227*'Base Hours'!V228*IS!$B$2)*-1</f>
        <v>-207776.58990506196</v>
      </c>
      <c r="AC228" s="212"/>
      <c r="AD228" s="212">
        <f>(BaseLoad!E227*'Base Hours'!V228*IS!$B$2)*-1</f>
        <v>-1510294.9055891638</v>
      </c>
      <c r="AE228" s="212"/>
      <c r="AF228" s="212">
        <f>(BaseLoad!F227*'Base Hours'!V228*IS!$B$2)*-1</f>
        <v>-123939.23345715344</v>
      </c>
      <c r="AG228" s="212"/>
    </row>
    <row r="229" spans="1:33" x14ac:dyDescent="0.2">
      <c r="A229" s="1">
        <f t="shared" si="7"/>
        <v>43201.32300000028</v>
      </c>
      <c r="B229" s="180">
        <f>IF($A$1="Peak","-",'Base Hours'!B229*BaseLoad!H228*IS!$B$2)</f>
        <v>111075.17713584361</v>
      </c>
      <c r="C229" s="180">
        <f>IF($A$1="Peak","-",'Base Hours'!C229*BaseLoad!I228*IS!$B$2)</f>
        <v>102669.56104311174</v>
      </c>
      <c r="D229" s="180">
        <f>IF($A$1="Peak","-",'Base Hours'!D229*BaseLoad!J228*IS!$B$2)</f>
        <v>194155.6724377705</v>
      </c>
      <c r="E229" s="180">
        <f>IF($A$1="Peak","-",'Base Hours'!E229*BaseLoad!K228*IS!$B$2)</f>
        <v>365561.73780467757</v>
      </c>
      <c r="F229" s="180">
        <f>IF($A$1="Peak","-",'Base Hours'!F229*BaseLoad!L228*IS!$B$2)</f>
        <v>341644.16615549114</v>
      </c>
      <c r="G229" s="180">
        <f>IF($A$1="Peak","-",'Base Hours'!G229*BaseLoad!M228*IS!$B$2)</f>
        <v>678844.4990437685</v>
      </c>
      <c r="H229" s="180">
        <f>IF($A$1="Peak","-",'Base Hours'!H229*BaseLoad!N228*IS!$B$2)</f>
        <v>607191.03393051319</v>
      </c>
      <c r="I229" s="180">
        <f>IF($A$1="Peak","-",'Base Hours'!I229*BaseLoad!O228*IS!$B$2)</f>
        <v>475203.52296230476</v>
      </c>
      <c r="J229" s="180">
        <f>IF($A$1="Peak","-",'Base Hours'!J229*BaseLoad!P228*IS!$B$2)</f>
        <v>436157.01427125197</v>
      </c>
      <c r="K229" s="180">
        <f>IF($A$1="Peak","-",'Base Hours'!K229*BaseLoad!Q228*IS!$B$2)</f>
        <v>388841.8504007291</v>
      </c>
      <c r="L229" s="180">
        <f>IF($A$1="Peak","-",'Base Hours'!L229*BaseLoad!R228*IS!$B$2)</f>
        <v>383938.75499900774</v>
      </c>
      <c r="M229" s="180">
        <f>IF($A$1="Peak","-",'Base Hours'!M229*BaseLoad!S228*IS!$B$2)</f>
        <v>374528.87826789811</v>
      </c>
      <c r="N229" s="180">
        <f>IF($A$1="Peak","-",'Base Hours'!N229*BaseLoad!T228*IS!$B$2)</f>
        <v>360964.92117348651</v>
      </c>
      <c r="O229" s="180">
        <f>IF($A$1="Peak","-",'Base Hours'!O229*BaseLoad!U228*IS!$B$2)</f>
        <v>348309.01678384969</v>
      </c>
      <c r="P229" s="180">
        <f>IF($A$1="Peak","-",'Base Hours'!P229*BaseLoad!V228*IS!$B$2)</f>
        <v>337073.92948921112</v>
      </c>
      <c r="Q229" s="180">
        <f>IF($A$1="Peak","-",'Base Hours'!Q229*BaseLoad!W228*IS!$B$2)</f>
        <v>332593.47890927963</v>
      </c>
      <c r="R229" s="180">
        <f>IF($A$1="Peak","-",'Base Hours'!R229*BaseLoad!X228*IS!$B$2)</f>
        <v>332593.33888464334</v>
      </c>
      <c r="S229" s="180">
        <f>IF($A$1="Peak","-",'Base Hours'!S229*BaseLoad!Y228*IS!$B$2)</f>
        <v>332593.33888464334</v>
      </c>
      <c r="T229" s="180">
        <f>IF($A$1="Peak","-",'Base Hours'!T229*BaseLoad!Z228*IS!$B$2)</f>
        <v>332593.33888464334</v>
      </c>
      <c r="U229" s="180">
        <f>IF($A$1="Peak","-",'Base Hours'!U229*BaseLoad!AA228*IS!$B$2)</f>
        <v>907067.13951221947</v>
      </c>
      <c r="V229" s="180">
        <f t="shared" si="8"/>
        <v>6836533.2314621238</v>
      </c>
      <c r="W229" s="180"/>
      <c r="X229" s="180"/>
      <c r="Y229" s="212"/>
      <c r="Z229" s="212">
        <f>(BaseLoad!C228*'Base Hours'!V229*IS!$B$2)*-1</f>
        <v>-2007836.9026498792</v>
      </c>
      <c r="AA229" s="212"/>
      <c r="AB229" s="212">
        <f>(BaseLoad!D228*'Base Hours'!V229*IS!$B$2)*-1</f>
        <v>-208122.88422157042</v>
      </c>
      <c r="AC229" s="212"/>
      <c r="AD229" s="212">
        <f>(BaseLoad!E228*'Base Hours'!V229*IS!$B$2)*-1</f>
        <v>-1510294.9055891638</v>
      </c>
      <c r="AE229" s="212"/>
      <c r="AF229" s="212">
        <f>(BaseLoad!F228*'Base Hours'!V229*IS!$B$2)*-1</f>
        <v>-123939.23345715344</v>
      </c>
      <c r="AG229" s="212"/>
    </row>
    <row r="230" spans="1:33" x14ac:dyDescent="0.2">
      <c r="A230" s="1">
        <f t="shared" si="7"/>
        <v>43231.740000000282</v>
      </c>
      <c r="B230" s="180">
        <f>IF($A$1="Peak","-",'Base Hours'!B230*BaseLoad!H229*IS!$B$2)</f>
        <v>175253.59529156337</v>
      </c>
      <c r="C230" s="180">
        <f>IF($A$1="Peak","-",'Base Hours'!C230*BaseLoad!I229*IS!$B$2)</f>
        <v>169160.86675478623</v>
      </c>
      <c r="D230" s="180">
        <f>IF($A$1="Peak","-",'Base Hours'!D230*BaseLoad!J229*IS!$B$2)</f>
        <v>240463.86292067397</v>
      </c>
      <c r="E230" s="180">
        <f>IF($A$1="Peak","-",'Base Hours'!E230*BaseLoad!K229*IS!$B$2)</f>
        <v>338784.84786955192</v>
      </c>
      <c r="F230" s="180">
        <f>IF($A$1="Peak","-",'Base Hours'!F230*BaseLoad!L229*IS!$B$2)</f>
        <v>313783.86087918794</v>
      </c>
      <c r="G230" s="180">
        <f>IF($A$1="Peak","-",'Base Hours'!G230*BaseLoad!M229*IS!$B$2)</f>
        <v>600980.48436118406</v>
      </c>
      <c r="H230" s="180">
        <f>IF($A$1="Peak","-",'Base Hours'!H230*BaseLoad!N229*IS!$B$2)</f>
        <v>478361.87243920029</v>
      </c>
      <c r="I230" s="180">
        <f>IF($A$1="Peak","-",'Base Hours'!I230*BaseLoad!O229*IS!$B$2)</f>
        <v>441185.3700185768</v>
      </c>
      <c r="J230" s="180">
        <f>IF($A$1="Peak","-",'Base Hours'!J230*BaseLoad!P229*IS!$B$2)</f>
        <v>423330.70438020787</v>
      </c>
      <c r="K230" s="180">
        <f>IF($A$1="Peak","-",'Base Hours'!K230*BaseLoad!Q229*IS!$B$2)</f>
        <v>409135.91334738524</v>
      </c>
      <c r="L230" s="180">
        <f>IF($A$1="Peak","-",'Base Hours'!L230*BaseLoad!R229*IS!$B$2)</f>
        <v>395362.2575061656</v>
      </c>
      <c r="M230" s="180">
        <f>IF($A$1="Peak","-",'Base Hours'!M230*BaseLoad!S229*IS!$B$2)</f>
        <v>385006.91462478886</v>
      </c>
      <c r="N230" s="180">
        <f>IF($A$1="Peak","-",'Base Hours'!N230*BaseLoad!T229*IS!$B$2)</f>
        <v>368603.37201487448</v>
      </c>
      <c r="O230" s="180">
        <f>IF($A$1="Peak","-",'Base Hours'!O230*BaseLoad!U229*IS!$B$2)</f>
        <v>356023.62107238296</v>
      </c>
      <c r="P230" s="180">
        <f>IF($A$1="Peak","-",'Base Hours'!P230*BaseLoad!V229*IS!$B$2)</f>
        <v>348607.45988161612</v>
      </c>
      <c r="Q230" s="180">
        <f>IF($A$1="Peak","-",'Base Hours'!Q230*BaseLoad!W229*IS!$B$2)</f>
        <v>311988.36395019997</v>
      </c>
      <c r="R230" s="180">
        <f>IF($A$1="Peak","-",'Base Hours'!R230*BaseLoad!X229*IS!$B$2)</f>
        <v>308609.71260536223</v>
      </c>
      <c r="S230" s="180">
        <f>IF($A$1="Peak","-",'Base Hours'!S230*BaseLoad!Y229*IS!$B$2)</f>
        <v>308609.3939804812</v>
      </c>
      <c r="T230" s="180">
        <f>IF($A$1="Peak","-",'Base Hours'!T230*BaseLoad!Z229*IS!$B$2)</f>
        <v>308608.94697169826</v>
      </c>
      <c r="U230" s="180">
        <f>IF($A$1="Peak","-",'Base Hours'!U230*BaseLoad!AA229*IS!$B$2)</f>
        <v>848338.55496421643</v>
      </c>
      <c r="V230" s="180">
        <f t="shared" si="8"/>
        <v>6681861.4208698878</v>
      </c>
      <c r="W230" s="180"/>
      <c r="X230" s="180"/>
      <c r="Y230" s="212"/>
      <c r="Z230" s="212">
        <f>(BaseLoad!C229*'Base Hours'!V230*IS!$B$2)*-1</f>
        <v>-2007836.9026498792</v>
      </c>
      <c r="AA230" s="212"/>
      <c r="AB230" s="212">
        <f>(BaseLoad!D229*'Base Hours'!V230*IS!$B$2)*-1</f>
        <v>-208469.75569527305</v>
      </c>
      <c r="AC230" s="212"/>
      <c r="AD230" s="212">
        <f>(BaseLoad!E229*'Base Hours'!V230*IS!$B$2)*-1</f>
        <v>-1510294.9055891638</v>
      </c>
      <c r="AE230" s="212"/>
      <c r="AF230" s="212">
        <f>(BaseLoad!F229*'Base Hours'!V230*IS!$B$2)*-1</f>
        <v>-123939.23345715344</v>
      </c>
      <c r="AG230" s="212"/>
    </row>
    <row r="231" spans="1:33" x14ac:dyDescent="0.2">
      <c r="A231" s="1">
        <f t="shared" si="7"/>
        <v>43262.157000000283</v>
      </c>
      <c r="B231" s="180">
        <f>IF($A$1="Peak","-",'Base Hours'!B231*BaseLoad!H230*IS!$B$2)</f>
        <v>215961.08299155964</v>
      </c>
      <c r="C231" s="180">
        <f>IF($A$1="Peak","-",'Base Hours'!C231*BaseLoad!I230*IS!$B$2)</f>
        <v>201645.85802306881</v>
      </c>
      <c r="D231" s="180">
        <f>IF($A$1="Peak","-",'Base Hours'!D231*BaseLoad!J230*IS!$B$2)</f>
        <v>379267.99527964304</v>
      </c>
      <c r="E231" s="180">
        <f>IF($A$1="Peak","-",'Base Hours'!E231*BaseLoad!K230*IS!$B$2)</f>
        <v>701658.60656031524</v>
      </c>
      <c r="F231" s="180">
        <f>IF($A$1="Peak","-",'Base Hours'!F231*BaseLoad!L230*IS!$B$2)</f>
        <v>641191.84030348063</v>
      </c>
      <c r="G231" s="180">
        <f>IF($A$1="Peak","-",'Base Hours'!G231*BaseLoad!M230*IS!$B$2)</f>
        <v>775542.32214055245</v>
      </c>
      <c r="H231" s="180">
        <f>IF($A$1="Peak","-",'Base Hours'!H231*BaseLoad!N230*IS!$B$2)</f>
        <v>657998.66273719037</v>
      </c>
      <c r="I231" s="180">
        <f>IF($A$1="Peak","-",'Base Hours'!I231*BaseLoad!O230*IS!$B$2)</f>
        <v>623926.5381240783</v>
      </c>
      <c r="J231" s="180">
        <f>IF($A$1="Peak","-",'Base Hours'!J231*BaseLoad!P230*IS!$B$2)</f>
        <v>526976.78897712298</v>
      </c>
      <c r="K231" s="180">
        <f>IF($A$1="Peak","-",'Base Hours'!K231*BaseLoad!Q230*IS!$B$2)</f>
        <v>430818.54099371424</v>
      </c>
      <c r="L231" s="180">
        <f>IF($A$1="Peak","-",'Base Hours'!L231*BaseLoad!R230*IS!$B$2)</f>
        <v>381896.70689437597</v>
      </c>
      <c r="M231" s="180">
        <f>IF($A$1="Peak","-",'Base Hours'!M231*BaseLoad!S230*IS!$B$2)</f>
        <v>360474.25905673736</v>
      </c>
      <c r="N231" s="180">
        <f>IF($A$1="Peak","-",'Base Hours'!N231*BaseLoad!T230*IS!$B$2)</f>
        <v>354017.33439413802</v>
      </c>
      <c r="O231" s="180">
        <f>IF($A$1="Peak","-",'Base Hours'!O231*BaseLoad!U230*IS!$B$2)</f>
        <v>346346.00988363882</v>
      </c>
      <c r="P231" s="180">
        <f>IF($A$1="Peak","-",'Base Hours'!P231*BaseLoad!V230*IS!$B$2)</f>
        <v>333242.09768498025</v>
      </c>
      <c r="Q231" s="180">
        <f>IF($A$1="Peak","-",'Base Hours'!Q231*BaseLoad!W230*IS!$B$2)</f>
        <v>317700.41732614691</v>
      </c>
      <c r="R231" s="180">
        <f>IF($A$1="Peak","-",'Base Hours'!R231*BaseLoad!X230*IS!$B$2)</f>
        <v>308621.58932908252</v>
      </c>
      <c r="S231" s="180">
        <f>IF($A$1="Peak","-",'Base Hours'!S231*BaseLoad!Y230*IS!$B$2)</f>
        <v>308621.49124364846</v>
      </c>
      <c r="T231" s="180">
        <f>IF($A$1="Peak","-",'Base Hours'!T231*BaseLoad!Z230*IS!$B$2)</f>
        <v>308621.49124364846</v>
      </c>
      <c r="U231" s="180">
        <f>IF($A$1="Peak","-",'Base Hours'!U231*BaseLoad!AA230*IS!$B$2)</f>
        <v>817219.69405250764</v>
      </c>
      <c r="V231" s="180">
        <f t="shared" si="8"/>
        <v>8174529.6331871226</v>
      </c>
      <c r="W231" s="180"/>
      <c r="X231" s="180"/>
      <c r="Y231" s="212"/>
      <c r="Z231" s="212">
        <f>(BaseLoad!C230*'Base Hours'!V231*IS!$B$2)*-1</f>
        <v>-2007836.9026498792</v>
      </c>
      <c r="AA231" s="212"/>
      <c r="AB231" s="212">
        <f>(BaseLoad!D230*'Base Hours'!V231*IS!$B$2)*-1</f>
        <v>-208817.20528809848</v>
      </c>
      <c r="AC231" s="212"/>
      <c r="AD231" s="212">
        <f>(BaseLoad!E230*'Base Hours'!V231*IS!$B$2)*-1</f>
        <v>-1510294.9055891638</v>
      </c>
      <c r="AE231" s="212"/>
      <c r="AF231" s="212">
        <f>(BaseLoad!F230*'Base Hours'!V231*IS!$B$2)*-1</f>
        <v>-123939.23345715344</v>
      </c>
      <c r="AG231" s="212"/>
    </row>
    <row r="232" spans="1:33" x14ac:dyDescent="0.2">
      <c r="A232" s="1">
        <f t="shared" si="7"/>
        <v>43292.574000000284</v>
      </c>
      <c r="B232" s="180">
        <f>IF($A$1="Peak","-",'Base Hours'!B232*BaseLoad!H231*IS!$B$2)</f>
        <v>284904.51905232581</v>
      </c>
      <c r="C232" s="180">
        <f>IF($A$1="Peak","-",'Base Hours'!C232*BaseLoad!I231*IS!$B$2)</f>
        <v>237326.53562974877</v>
      </c>
      <c r="D232" s="180">
        <f>IF($A$1="Peak","-",'Base Hours'!D232*BaseLoad!J231*IS!$B$2)</f>
        <v>445257.31893080863</v>
      </c>
      <c r="E232" s="180">
        <f>IF($A$1="Peak","-",'Base Hours'!E232*BaseLoad!K231*IS!$B$2)</f>
        <v>819500.07320403901</v>
      </c>
      <c r="F232" s="180">
        <f>IF($A$1="Peak","-",'Base Hours'!F232*BaseLoad!L231*IS!$B$2)</f>
        <v>760308.49355267128</v>
      </c>
      <c r="G232" s="180">
        <f>IF($A$1="Peak","-",'Base Hours'!G232*BaseLoad!M231*IS!$B$2)</f>
        <v>1404450.3410004624</v>
      </c>
      <c r="H232" s="180">
        <f>IF($A$1="Peak","-",'Base Hours'!H232*BaseLoad!N231*IS!$B$2)</f>
        <v>1171905.0035439371</v>
      </c>
      <c r="I232" s="180">
        <f>IF($A$1="Peak","-",'Base Hours'!I232*BaseLoad!O231*IS!$B$2)</f>
        <v>776934.19605680869</v>
      </c>
      <c r="J232" s="180">
        <f>IF($A$1="Peak","-",'Base Hours'!J232*BaseLoad!P231*IS!$B$2)</f>
        <v>737901.61175659753</v>
      </c>
      <c r="K232" s="180">
        <f>IF($A$1="Peak","-",'Base Hours'!K232*BaseLoad!Q231*IS!$B$2)</f>
        <v>530228.03672250966</v>
      </c>
      <c r="L232" s="180">
        <f>IF($A$1="Peak","-",'Base Hours'!L232*BaseLoad!R231*IS!$B$2)</f>
        <v>423747.0526275672</v>
      </c>
      <c r="M232" s="180">
        <f>IF($A$1="Peak","-",'Base Hours'!M232*BaseLoad!S231*IS!$B$2)</f>
        <v>393012.01052092999</v>
      </c>
      <c r="N232" s="180">
        <f>IF($A$1="Peak","-",'Base Hours'!N232*BaseLoad!T231*IS!$B$2)</f>
        <v>360893.67183639441</v>
      </c>
      <c r="O232" s="180">
        <f>IF($A$1="Peak","-",'Base Hours'!O232*BaseLoad!U231*IS!$B$2)</f>
        <v>360562.63711834239</v>
      </c>
      <c r="P232" s="180">
        <f>IF($A$1="Peak","-",'Base Hours'!P232*BaseLoad!V231*IS!$B$2)</f>
        <v>360561.12465513934</v>
      </c>
      <c r="Q232" s="180">
        <f>IF($A$1="Peak","-",'Base Hours'!Q232*BaseLoad!W231*IS!$B$2)</f>
        <v>360555.49394692457</v>
      </c>
      <c r="R232" s="180">
        <f>IF($A$1="Peak","-",'Base Hours'!R232*BaseLoad!X231*IS!$B$2)</f>
        <v>360555.49394692457</v>
      </c>
      <c r="S232" s="180">
        <f>IF($A$1="Peak","-",'Base Hours'!S232*BaseLoad!Y231*IS!$B$2)</f>
        <v>360555.49394692457</v>
      </c>
      <c r="T232" s="180">
        <f>IF($A$1="Peak","-",'Base Hours'!T232*BaseLoad!Z231*IS!$B$2)</f>
        <v>346333.62352346932</v>
      </c>
      <c r="U232" s="180">
        <f>IF($A$1="Peak","-",'Base Hours'!U232*BaseLoad!AA231*IS!$B$2)</f>
        <v>815794.07196747279</v>
      </c>
      <c r="V232" s="180">
        <f t="shared" si="8"/>
        <v>9906836.4625395369</v>
      </c>
      <c r="W232" s="180"/>
      <c r="X232" s="180"/>
      <c r="Y232" s="212"/>
      <c r="Z232" s="212">
        <f>(BaseLoad!C231*'Base Hours'!V232*IS!$B$2)*-1</f>
        <v>-2007836.9026498792</v>
      </c>
      <c r="AA232" s="212"/>
      <c r="AB232" s="212">
        <f>(BaseLoad!D231*'Base Hours'!V232*IS!$B$2)*-1</f>
        <v>-209165.23396357868</v>
      </c>
      <c r="AC232" s="212"/>
      <c r="AD232" s="212">
        <f>(BaseLoad!E231*'Base Hours'!V232*IS!$B$2)*-1</f>
        <v>-1510294.9055891638</v>
      </c>
      <c r="AE232" s="212"/>
      <c r="AF232" s="212">
        <f>(BaseLoad!F231*'Base Hours'!V232*IS!$B$2)*-1</f>
        <v>-123939.23345715344</v>
      </c>
      <c r="AG232" s="212"/>
    </row>
    <row r="233" spans="1:33" x14ac:dyDescent="0.2">
      <c r="A233" s="1">
        <f t="shared" si="7"/>
        <v>43322.991000000286</v>
      </c>
      <c r="B233" s="180">
        <f>IF($A$1="Peak","-",'Base Hours'!B233*BaseLoad!H232*IS!$B$2)</f>
        <v>620634.53156106244</v>
      </c>
      <c r="C233" s="180">
        <f>IF($A$1="Peak","-",'Base Hours'!C233*BaseLoad!I232*IS!$B$2)</f>
        <v>433116.98567150644</v>
      </c>
      <c r="D233" s="180">
        <f>IF($A$1="Peak","-",'Base Hours'!D233*BaseLoad!J232*IS!$B$2)</f>
        <v>656451.16221458779</v>
      </c>
      <c r="E233" s="180">
        <f>IF($A$1="Peak","-",'Base Hours'!E233*BaseLoad!K232*IS!$B$2)</f>
        <v>980369.96103581868</v>
      </c>
      <c r="F233" s="180">
        <f>IF($A$1="Peak","-",'Base Hours'!F233*BaseLoad!L232*IS!$B$2)</f>
        <v>877940.88265627006</v>
      </c>
      <c r="G233" s="180">
        <f>IF($A$1="Peak","-",'Base Hours'!G233*BaseLoad!M232*IS!$B$2)</f>
        <v>1588906.1670614234</v>
      </c>
      <c r="H233" s="180">
        <f>IF($A$1="Peak","-",'Base Hours'!H233*BaseLoad!N232*IS!$B$2)</f>
        <v>1425582.6149896653</v>
      </c>
      <c r="I233" s="180">
        <f>IF($A$1="Peak","-",'Base Hours'!I233*BaseLoad!O232*IS!$B$2)</f>
        <v>1116416.923342848</v>
      </c>
      <c r="J233" s="180">
        <f>IF($A$1="Peak","-",'Base Hours'!J233*BaseLoad!P232*IS!$B$2)</f>
        <v>401275.16985597427</v>
      </c>
      <c r="K233" s="180">
        <f>IF($A$1="Peak","-",'Base Hours'!K233*BaseLoad!Q232*IS!$B$2)</f>
        <v>494053.03391646541</v>
      </c>
      <c r="L233" s="180">
        <f>IF($A$1="Peak","-",'Base Hours'!L233*BaseLoad!R232*IS!$B$2)</f>
        <v>398925.35979823041</v>
      </c>
      <c r="M233" s="180">
        <f>IF($A$1="Peak","-",'Base Hours'!M233*BaseLoad!S232*IS!$B$2)</f>
        <v>378578.8603150142</v>
      </c>
      <c r="N233" s="180">
        <f>IF($A$1="Peak","-",'Base Hours'!N233*BaseLoad!T232*IS!$B$2)</f>
        <v>368687.49982050993</v>
      </c>
      <c r="O233" s="180">
        <f>IF($A$1="Peak","-",'Base Hours'!O233*BaseLoad!U232*IS!$B$2)</f>
        <v>344871.301074085</v>
      </c>
      <c r="P233" s="180">
        <f>IF($A$1="Peak","-",'Base Hours'!P233*BaseLoad!V232*IS!$B$2)</f>
        <v>332384.7166397142</v>
      </c>
      <c r="Q233" s="180">
        <f>IF($A$1="Peak","-",'Base Hours'!Q233*BaseLoad!W232*IS!$B$2)</f>
        <v>331784.0044300094</v>
      </c>
      <c r="R233" s="180">
        <f>IF($A$1="Peak","-",'Base Hours'!R233*BaseLoad!X232*IS!$B$2)</f>
        <v>330561.33639761456</v>
      </c>
      <c r="S233" s="180">
        <f>IF($A$1="Peak","-",'Base Hours'!S233*BaseLoad!Y232*IS!$B$2)</f>
        <v>326473.69052948157</v>
      </c>
      <c r="T233" s="180">
        <f>IF($A$1="Peak","-",'Base Hours'!T233*BaseLoad!Z232*IS!$B$2)</f>
        <v>326473.69052948157</v>
      </c>
      <c r="U233" s="180">
        <f>IF($A$1="Peak","-",'Base Hours'!U233*BaseLoad!AA232*IS!$B$2)</f>
        <v>810728.36600122997</v>
      </c>
      <c r="V233" s="180">
        <f t="shared" si="8"/>
        <v>10955310.090779571</v>
      </c>
      <c r="W233" s="180"/>
      <c r="X233" s="180"/>
      <c r="Y233" s="212"/>
      <c r="Z233" s="212">
        <f>(BaseLoad!C232*'Base Hours'!V233*IS!$B$2)*-1</f>
        <v>-2007836.9026498792</v>
      </c>
      <c r="AA233" s="212"/>
      <c r="AB233" s="212">
        <f>(BaseLoad!D232*'Base Hours'!V233*IS!$B$2)*-1</f>
        <v>-209513.84268685128</v>
      </c>
      <c r="AC233" s="212"/>
      <c r="AD233" s="212">
        <f>(BaseLoad!E232*'Base Hours'!V233*IS!$B$2)*-1</f>
        <v>-1510294.9055891638</v>
      </c>
      <c r="AE233" s="212"/>
      <c r="AF233" s="212">
        <f>(BaseLoad!F232*'Base Hours'!V233*IS!$B$2)*-1</f>
        <v>-123939.23345715344</v>
      </c>
      <c r="AG233" s="212"/>
    </row>
    <row r="234" spans="1:33" x14ac:dyDescent="0.2">
      <c r="A234" s="1">
        <f t="shared" si="7"/>
        <v>43353.408000000287</v>
      </c>
      <c r="B234" s="180">
        <f>IF($A$1="Peak","-",'Base Hours'!B234*BaseLoad!H233*IS!$B$2)</f>
        <v>173984.34682788921</v>
      </c>
      <c r="C234" s="180">
        <f>IF($A$1="Peak","-",'Base Hours'!C234*BaseLoad!I233*IS!$B$2)</f>
        <v>163721.59321157911</v>
      </c>
      <c r="D234" s="180">
        <f>IF($A$1="Peak","-",'Base Hours'!D234*BaseLoad!J233*IS!$B$2)</f>
        <v>258900.21992440999</v>
      </c>
      <c r="E234" s="180">
        <f>IF($A$1="Peak","-",'Base Hours'!E234*BaseLoad!K233*IS!$B$2)</f>
        <v>467253.64007315581</v>
      </c>
      <c r="F234" s="180">
        <f>IF($A$1="Peak","-",'Base Hours'!F234*BaseLoad!L233*IS!$B$2)</f>
        <v>404176.15834877809</v>
      </c>
      <c r="G234" s="180">
        <f>IF($A$1="Peak","-",'Base Hours'!G234*BaseLoad!M233*IS!$B$2)</f>
        <v>572563.23213471379</v>
      </c>
      <c r="H234" s="180">
        <f>IF($A$1="Peak","-",'Base Hours'!H234*BaseLoad!N233*IS!$B$2)</f>
        <v>487509.65162473667</v>
      </c>
      <c r="I234" s="180">
        <f>IF($A$1="Peak","-",'Base Hours'!I234*BaseLoad!O233*IS!$B$2)</f>
        <v>452494.38596574526</v>
      </c>
      <c r="J234" s="180">
        <f>IF($A$1="Peak","-",'Base Hours'!J234*BaseLoad!P233*IS!$B$2)</f>
        <v>443221.53342592582</v>
      </c>
      <c r="K234" s="180">
        <f>IF($A$1="Peak","-",'Base Hours'!K234*BaseLoad!Q233*IS!$B$2)</f>
        <v>442425.03485383856</v>
      </c>
      <c r="L234" s="180">
        <f>IF($A$1="Peak","-",'Base Hours'!L234*BaseLoad!R233*IS!$B$2)</f>
        <v>442425.03485383856</v>
      </c>
      <c r="M234" s="180">
        <f>IF($A$1="Peak","-",'Base Hours'!M234*BaseLoad!S233*IS!$B$2)</f>
        <v>442423.68852135376</v>
      </c>
      <c r="N234" s="180">
        <f>IF($A$1="Peak","-",'Base Hours'!N234*BaseLoad!T233*IS!$B$2)</f>
        <v>442421.55043571506</v>
      </c>
      <c r="O234" s="180">
        <f>IF($A$1="Peak","-",'Base Hours'!O234*BaseLoad!U233*IS!$B$2)</f>
        <v>442420.72377732699</v>
      </c>
      <c r="P234" s="180">
        <f>IF($A$1="Peak","-",'Base Hours'!P234*BaseLoad!V233*IS!$B$2)</f>
        <v>442419.16652791068</v>
      </c>
      <c r="Q234" s="180">
        <f>IF($A$1="Peak","-",'Base Hours'!Q234*BaseLoad!W233*IS!$B$2)</f>
        <v>442418.36093936488</v>
      </c>
      <c r="R234" s="180">
        <f>IF($A$1="Peak","-",'Base Hours'!R234*BaseLoad!X233*IS!$B$2)</f>
        <v>436461.92754587706</v>
      </c>
      <c r="S234" s="180">
        <f>IF($A$1="Peak","-",'Base Hours'!S234*BaseLoad!Y233*IS!$B$2)</f>
        <v>411253.6564221282</v>
      </c>
      <c r="T234" s="180">
        <f>IF($A$1="Peak","-",'Base Hours'!T234*BaseLoad!Z233*IS!$B$2)</f>
        <v>383567.13017524628</v>
      </c>
      <c r="U234" s="180">
        <f>IF($A$1="Peak","-",'Base Hours'!U234*BaseLoad!AA233*IS!$B$2)</f>
        <v>888044.42752555374</v>
      </c>
      <c r="V234" s="180">
        <f t="shared" si="8"/>
        <v>7752061.0355895329</v>
      </c>
      <c r="W234" s="180"/>
      <c r="X234" s="180"/>
      <c r="Y234" s="212"/>
      <c r="Z234" s="212">
        <f>(BaseLoad!C233*'Base Hours'!V234*IS!$B$2)*-1</f>
        <v>-2007836.9026498792</v>
      </c>
      <c r="AA234" s="212"/>
      <c r="AB234" s="212">
        <f>(BaseLoad!D233*'Base Hours'!V234*IS!$B$2)*-1</f>
        <v>-209863.03242466276</v>
      </c>
      <c r="AC234" s="212"/>
      <c r="AD234" s="212">
        <f>(BaseLoad!E233*'Base Hours'!V234*IS!$B$2)*-1</f>
        <v>-1510294.9055891638</v>
      </c>
      <c r="AE234" s="212"/>
      <c r="AF234" s="212">
        <f>(BaseLoad!F233*'Base Hours'!V234*IS!$B$2)*-1</f>
        <v>-123939.23345715344</v>
      </c>
      <c r="AG234" s="212"/>
    </row>
    <row r="235" spans="1:33" x14ac:dyDescent="0.2">
      <c r="A235" s="1">
        <f t="shared" si="7"/>
        <v>43383.825000000288</v>
      </c>
      <c r="B235" s="180">
        <f>IF($A$1="Peak","-",'Base Hours'!B235*BaseLoad!H234*IS!$B$2)</f>
        <v>108282.03525232413</v>
      </c>
      <c r="C235" s="180">
        <f>IF($A$1="Peak","-",'Base Hours'!C235*BaseLoad!I234*IS!$B$2)</f>
        <v>104917.16425573493</v>
      </c>
      <c r="D235" s="180">
        <f>IF($A$1="Peak","-",'Base Hours'!D235*BaseLoad!J234*IS!$B$2)</f>
        <v>201123.50708087411</v>
      </c>
      <c r="E235" s="180">
        <f>IF($A$1="Peak","-",'Base Hours'!E235*BaseLoad!K234*IS!$B$2)</f>
        <v>377254.27207095159</v>
      </c>
      <c r="F235" s="180">
        <f>IF($A$1="Peak","-",'Base Hours'!F235*BaseLoad!L234*IS!$B$2)</f>
        <v>359584.10524702835</v>
      </c>
      <c r="G235" s="180">
        <f>IF($A$1="Peak","-",'Base Hours'!G235*BaseLoad!M234*IS!$B$2)</f>
        <v>713853.9239934613</v>
      </c>
      <c r="H235" s="180">
        <f>IF($A$1="Peak","-",'Base Hours'!H235*BaseLoad!N234*IS!$B$2)</f>
        <v>612946.05907399603</v>
      </c>
      <c r="I235" s="180">
        <f>IF($A$1="Peak","-",'Base Hours'!I235*BaseLoad!O234*IS!$B$2)</f>
        <v>502655.29425848037</v>
      </c>
      <c r="J235" s="180">
        <f>IF($A$1="Peak","-",'Base Hours'!J235*BaseLoad!P234*IS!$B$2)</f>
        <v>484645.36799324752</v>
      </c>
      <c r="K235" s="180">
        <f>IF($A$1="Peak","-",'Base Hours'!K235*BaseLoad!Q234*IS!$B$2)</f>
        <v>446518.01646024256</v>
      </c>
      <c r="L235" s="180">
        <f>IF($A$1="Peak","-",'Base Hours'!L235*BaseLoad!R234*IS!$B$2)</f>
        <v>421706.70714642224</v>
      </c>
      <c r="M235" s="180">
        <f>IF($A$1="Peak","-",'Base Hours'!M235*BaseLoad!S234*IS!$B$2)</f>
        <v>410436.74857159</v>
      </c>
      <c r="N235" s="180">
        <f>IF($A$1="Peak","-",'Base Hours'!N235*BaseLoad!T234*IS!$B$2)</f>
        <v>404726.22614083573</v>
      </c>
      <c r="O235" s="180">
        <f>IF($A$1="Peak","-",'Base Hours'!O235*BaseLoad!U234*IS!$B$2)</f>
        <v>398803.12825325353</v>
      </c>
      <c r="P235" s="180">
        <f>IF($A$1="Peak","-",'Base Hours'!P235*BaseLoad!V234*IS!$B$2)</f>
        <v>380685.32742967748</v>
      </c>
      <c r="Q235" s="180">
        <f>IF($A$1="Peak","-",'Base Hours'!Q235*BaseLoad!W234*IS!$B$2)</f>
        <v>361434.36333993211</v>
      </c>
      <c r="R235" s="180">
        <f>IF($A$1="Peak","-",'Base Hours'!R235*BaseLoad!X234*IS!$B$2)</f>
        <v>350403.76370836876</v>
      </c>
      <c r="S235" s="180">
        <f>IF($A$1="Peak","-",'Base Hours'!S235*BaseLoad!Y234*IS!$B$2)</f>
        <v>349606.81988921226</v>
      </c>
      <c r="T235" s="180">
        <f>IF($A$1="Peak","-",'Base Hours'!T235*BaseLoad!Z234*IS!$B$2)</f>
        <v>349606.81988921226</v>
      </c>
      <c r="U235" s="180">
        <f>IF($A$1="Peak","-",'Base Hours'!U235*BaseLoad!AA234*IS!$B$2)</f>
        <v>961174.886692942</v>
      </c>
      <c r="V235" s="180">
        <f t="shared" si="8"/>
        <v>7339189.6500548441</v>
      </c>
      <c r="W235" s="180"/>
      <c r="X235" s="180"/>
      <c r="Y235" s="212"/>
      <c r="Z235" s="212">
        <f>(BaseLoad!C234*'Base Hours'!V235*IS!$B$2)*-1</f>
        <v>-2007836.9026498792</v>
      </c>
      <c r="AA235" s="212"/>
      <c r="AB235" s="212">
        <f>(BaseLoad!D234*'Base Hours'!V235*IS!$B$2)*-1</f>
        <v>-210212.80414537052</v>
      </c>
      <c r="AC235" s="212"/>
      <c r="AD235" s="212">
        <f>(BaseLoad!E234*'Base Hours'!V235*IS!$B$2)*-1</f>
        <v>-1510294.9055891638</v>
      </c>
      <c r="AE235" s="212"/>
      <c r="AF235" s="212">
        <f>(BaseLoad!F234*'Base Hours'!V235*IS!$B$2)*-1</f>
        <v>-123939.23345715344</v>
      </c>
      <c r="AG235" s="212"/>
    </row>
    <row r="236" spans="1:33" x14ac:dyDescent="0.2">
      <c r="A236" s="1">
        <f t="shared" si="7"/>
        <v>43414.242000000289</v>
      </c>
      <c r="B236" s="180">
        <f>IF($A$1="Peak","-",'Base Hours'!B236*BaseLoad!H235*IS!$B$2)</f>
        <v>188492.64425036404</v>
      </c>
      <c r="C236" s="180">
        <f>IF($A$1="Peak","-",'Base Hours'!C236*BaseLoad!I235*IS!$B$2)</f>
        <v>182055.19718104918</v>
      </c>
      <c r="D236" s="180">
        <f>IF($A$1="Peak","-",'Base Hours'!D236*BaseLoad!J235*IS!$B$2)</f>
        <v>350327.08103342704</v>
      </c>
      <c r="E236" s="180">
        <f>IF($A$1="Peak","-",'Base Hours'!E236*BaseLoad!K235*IS!$B$2)</f>
        <v>677613.98730012833</v>
      </c>
      <c r="F236" s="180">
        <f>IF($A$1="Peak","-",'Base Hours'!F236*BaseLoad!L235*IS!$B$2)</f>
        <v>548305.07404232142</v>
      </c>
      <c r="G236" s="180">
        <f>IF($A$1="Peak","-",'Base Hours'!G236*BaseLoad!M235*IS!$B$2)</f>
        <v>757835.13312897237</v>
      </c>
      <c r="H236" s="180">
        <f>IF($A$1="Peak","-",'Base Hours'!H236*BaseLoad!N235*IS!$B$2)</f>
        <v>706533.65440362785</v>
      </c>
      <c r="I236" s="180">
        <f>IF($A$1="Peak","-",'Base Hours'!I236*BaseLoad!O235*IS!$B$2)</f>
        <v>639830.76718059985</v>
      </c>
      <c r="J236" s="180">
        <f>IF($A$1="Peak","-",'Base Hours'!J236*BaseLoad!P235*IS!$B$2)</f>
        <v>595870.32378665055</v>
      </c>
      <c r="K236" s="180">
        <f>IF($A$1="Peak","-",'Base Hours'!K236*BaseLoad!Q235*IS!$B$2)</f>
        <v>580850.03788690548</v>
      </c>
      <c r="L236" s="180">
        <f>IF($A$1="Peak","-",'Base Hours'!L236*BaseLoad!R235*IS!$B$2)</f>
        <v>566294.74928965152</v>
      </c>
      <c r="M236" s="180">
        <f>IF($A$1="Peak","-",'Base Hours'!M236*BaseLoad!S235*IS!$B$2)</f>
        <v>485073.21066098759</v>
      </c>
      <c r="N236" s="180">
        <f>IF($A$1="Peak","-",'Base Hours'!N236*BaseLoad!T235*IS!$B$2)</f>
        <v>451348.49215301446</v>
      </c>
      <c r="O236" s="180">
        <f>IF($A$1="Peak","-",'Base Hours'!O236*BaseLoad!U235*IS!$B$2)</f>
        <v>431202.54539034097</v>
      </c>
      <c r="P236" s="180">
        <f>IF($A$1="Peak","-",'Base Hours'!P236*BaseLoad!V235*IS!$B$2)</f>
        <v>413728.13693164865</v>
      </c>
      <c r="Q236" s="180">
        <f>IF($A$1="Peak","-",'Base Hours'!Q236*BaseLoad!W235*IS!$B$2)</f>
        <v>408412.66609638947</v>
      </c>
      <c r="R236" s="180">
        <f>IF($A$1="Peak","-",'Base Hours'!R236*BaseLoad!X235*IS!$B$2)</f>
        <v>382431.70984672563</v>
      </c>
      <c r="S236" s="180">
        <f>IF($A$1="Peak","-",'Base Hours'!S236*BaseLoad!Y235*IS!$B$2)</f>
        <v>335577.3697240589</v>
      </c>
      <c r="T236" s="180">
        <f>IF($A$1="Peak","-",'Base Hours'!T236*BaseLoad!Z235*IS!$B$2)</f>
        <v>288575.37440128089</v>
      </c>
      <c r="U236" s="180">
        <f>IF($A$1="Peak","-",'Base Hours'!U236*BaseLoad!AA235*IS!$B$2)</f>
        <v>793445.32142285502</v>
      </c>
      <c r="V236" s="180">
        <f t="shared" si="8"/>
        <v>8990358.1546881441</v>
      </c>
      <c r="W236" s="180"/>
      <c r="X236" s="180"/>
      <c r="Y236" s="212"/>
      <c r="Z236" s="212">
        <f>(BaseLoad!C235*'Base Hours'!V236*IS!$B$2)*-1</f>
        <v>-2007836.9026498792</v>
      </c>
      <c r="AA236" s="212"/>
      <c r="AB236" s="212">
        <f>(BaseLoad!D235*'Base Hours'!V236*IS!$B$2)*-1</f>
        <v>-210563.15881894616</v>
      </c>
      <c r="AC236" s="212"/>
      <c r="AD236" s="212">
        <f>(BaseLoad!E235*'Base Hours'!V236*IS!$B$2)*-1</f>
        <v>-1510294.9055891638</v>
      </c>
      <c r="AE236" s="212"/>
      <c r="AF236" s="212">
        <f>(BaseLoad!F235*'Base Hours'!V236*IS!$B$2)*-1</f>
        <v>-123939.23345715344</v>
      </c>
      <c r="AG236" s="212"/>
    </row>
    <row r="237" spans="1:33" x14ac:dyDescent="0.2">
      <c r="A237" s="1">
        <f t="shared" si="7"/>
        <v>43444.659000000291</v>
      </c>
      <c r="B237" s="180">
        <f>IF($A$1="Peak","-",'Base Hours'!B237*BaseLoad!H236*IS!$B$2)</f>
        <v>171265.46280197223</v>
      </c>
      <c r="C237" s="180">
        <f>IF($A$1="Peak","-",'Base Hours'!C237*BaseLoad!I236*IS!$B$2)</f>
        <v>168473.40307199507</v>
      </c>
      <c r="D237" s="180">
        <f>IF($A$1="Peak","-",'Base Hours'!D237*BaseLoad!J236*IS!$B$2)</f>
        <v>327178.67282929341</v>
      </c>
      <c r="E237" s="180">
        <f>IF($A$1="Peak","-",'Base Hours'!E237*BaseLoad!K236*IS!$B$2)</f>
        <v>548399.5452126445</v>
      </c>
      <c r="F237" s="180">
        <f>IF($A$1="Peak","-",'Base Hours'!F237*BaseLoad!L236*IS!$B$2)</f>
        <v>504029.8229531066</v>
      </c>
      <c r="G237" s="180">
        <f>IF($A$1="Peak","-",'Base Hours'!G237*BaseLoad!M236*IS!$B$2)</f>
        <v>927812.65046556795</v>
      </c>
      <c r="H237" s="180">
        <f>IF($A$1="Peak","-",'Base Hours'!H237*BaseLoad!N236*IS!$B$2)</f>
        <v>911694.26739486889</v>
      </c>
      <c r="I237" s="180">
        <f>IF($A$1="Peak","-",'Base Hours'!I237*BaseLoad!O236*IS!$B$2)</f>
        <v>837745.93664505647</v>
      </c>
      <c r="J237" s="180">
        <f>IF($A$1="Peak","-",'Base Hours'!J237*BaseLoad!P236*IS!$B$2)</f>
        <v>632026.08507669054</v>
      </c>
      <c r="K237" s="180">
        <f>IF($A$1="Peak","-",'Base Hours'!K237*BaseLoad!Q236*IS!$B$2)</f>
        <v>537554.26511972933</v>
      </c>
      <c r="L237" s="180">
        <f>IF($A$1="Peak","-",'Base Hours'!L237*BaseLoad!R236*IS!$B$2)</f>
        <v>505786.51111589052</v>
      </c>
      <c r="M237" s="180">
        <f>IF($A$1="Peak","-",'Base Hours'!M237*BaseLoad!S236*IS!$B$2)</f>
        <v>437402.43796603964</v>
      </c>
      <c r="N237" s="180">
        <f>IF($A$1="Peak","-",'Base Hours'!N237*BaseLoad!T236*IS!$B$2)</f>
        <v>434147.09892120014</v>
      </c>
      <c r="O237" s="180">
        <f>IF($A$1="Peak","-",'Base Hours'!O237*BaseLoad!U236*IS!$B$2)</f>
        <v>434146.86444397998</v>
      </c>
      <c r="P237" s="180">
        <f>IF($A$1="Peak","-",'Base Hours'!P237*BaseLoad!V236*IS!$B$2)</f>
        <v>434146.58450493735</v>
      </c>
      <c r="Q237" s="180">
        <f>IF($A$1="Peak","-",'Base Hours'!Q237*BaseLoad!W236*IS!$B$2)</f>
        <v>434146.58450493735</v>
      </c>
      <c r="R237" s="180">
        <f>IF($A$1="Peak","-",'Base Hours'!R237*BaseLoad!X236*IS!$B$2)</f>
        <v>434146.18537432241</v>
      </c>
      <c r="S237" s="180">
        <f>IF($A$1="Peak","-",'Base Hours'!S237*BaseLoad!Y236*IS!$B$2)</f>
        <v>434145.94122569414</v>
      </c>
      <c r="T237" s="180">
        <f>IF($A$1="Peak","-",'Base Hours'!T237*BaseLoad!Z236*IS!$B$2)</f>
        <v>434145.72916499444</v>
      </c>
      <c r="U237" s="180">
        <f>IF($A$1="Peak","-",'Base Hours'!U237*BaseLoad!AA236*IS!$B$2)</f>
        <v>1163396.6511254432</v>
      </c>
      <c r="V237" s="180">
        <f t="shared" si="8"/>
        <v>9548394.0487929247</v>
      </c>
      <c r="W237" s="180"/>
      <c r="X237" s="180"/>
      <c r="Y237" s="212">
        <f>SUM(B226:U237)</f>
        <v>115220611.65315066</v>
      </c>
      <c r="Z237" s="212">
        <f>(BaseLoad!C236*'Base Hours'!V237*IS!$B$2)*-1</f>
        <v>-2007836.9026498792</v>
      </c>
      <c r="AA237" s="212">
        <f>SUM(Z226:Z237)</f>
        <v>-24094042.83179855</v>
      </c>
      <c r="AB237" s="212">
        <f>(BaseLoad!D236*'Base Hours'!V237*IS!$B$2)*-1</f>
        <v>-210914.09741697772</v>
      </c>
      <c r="AC237" s="212">
        <f>SUM(AB226:AB237)</f>
        <v>-2507935.205255724</v>
      </c>
      <c r="AD237" s="212">
        <f>(BaseLoad!E236*'Base Hours'!V237*IS!$B$2)*-1</f>
        <v>-1510294.9055891638</v>
      </c>
      <c r="AE237" s="212">
        <f>SUM(AD226:AD237)</f>
        <v>-18123538.867069963</v>
      </c>
      <c r="AF237" s="212">
        <f>(BaseLoad!F236*'Base Hours'!V237*IS!$B$2)*-1</f>
        <v>-123939.23345715344</v>
      </c>
      <c r="AG237" s="212">
        <f>SUM(AF226:AF237)</f>
        <v>-1487270.8014858414</v>
      </c>
    </row>
    <row r="238" spans="1:33" x14ac:dyDescent="0.2">
      <c r="A238" s="1">
        <f t="shared" si="7"/>
        <v>43475.076000000292</v>
      </c>
      <c r="B238" s="180">
        <f>IF($A$1="Peak","-",'Base Hours'!B238*BaseLoad!H237*IS!$B$2)</f>
        <v>155885.9457704713</v>
      </c>
      <c r="C238" s="180">
        <f>IF($A$1="Peak","-",'Base Hours'!C238*BaseLoad!I237*IS!$B$2)</f>
        <v>148143.98946206871</v>
      </c>
      <c r="D238" s="180">
        <f>IF($A$1="Peak","-",'Base Hours'!D238*BaseLoad!J237*IS!$B$2)</f>
        <v>282368.11471900839</v>
      </c>
      <c r="E238" s="180">
        <f>IF($A$1="Peak","-",'Base Hours'!E238*BaseLoad!K237*IS!$B$2)</f>
        <v>526764.52782239707</v>
      </c>
      <c r="F238" s="180">
        <f>IF($A$1="Peak","-",'Base Hours'!F238*BaseLoad!L237*IS!$B$2)</f>
        <v>521237.93709998141</v>
      </c>
      <c r="G238" s="180">
        <f>IF($A$1="Peak","-",'Base Hours'!G238*BaseLoad!M237*IS!$B$2)</f>
        <v>952771.80031746079</v>
      </c>
      <c r="H238" s="180">
        <f>IF($A$1="Peak","-",'Base Hours'!H238*BaseLoad!N237*IS!$B$2)</f>
        <v>694150.2379585359</v>
      </c>
      <c r="I238" s="180">
        <f>IF($A$1="Peak","-",'Base Hours'!I238*BaseLoad!O237*IS!$B$2)</f>
        <v>577152.89810792252</v>
      </c>
      <c r="J238" s="180">
        <f>IF($A$1="Peak","-",'Base Hours'!J238*BaseLoad!P237*IS!$B$2)</f>
        <v>523263.32300723711</v>
      </c>
      <c r="K238" s="180">
        <f>IF($A$1="Peak","-",'Base Hours'!K238*BaseLoad!Q237*IS!$B$2)</f>
        <v>491747.13599702279</v>
      </c>
      <c r="L238" s="180">
        <f>IF($A$1="Peak","-",'Base Hours'!L238*BaseLoad!R237*IS!$B$2)</f>
        <v>491747.13599702279</v>
      </c>
      <c r="M238" s="180">
        <f>IF($A$1="Peak","-",'Base Hours'!M238*BaseLoad!S237*IS!$B$2)</f>
        <v>491747.13599702279</v>
      </c>
      <c r="N238" s="180">
        <f>IF($A$1="Peak","-",'Base Hours'!N238*BaseLoad!T237*IS!$B$2)</f>
        <v>491747.13599702279</v>
      </c>
      <c r="O238" s="180">
        <f>IF($A$1="Peak","-",'Base Hours'!O238*BaseLoad!U237*IS!$B$2)</f>
        <v>491747.13599702279</v>
      </c>
      <c r="P238" s="180">
        <f>IF($A$1="Peak","-",'Base Hours'!P238*BaseLoad!V237*IS!$B$2)</f>
        <v>491747.13599702279</v>
      </c>
      <c r="Q238" s="180">
        <f>IF($A$1="Peak","-",'Base Hours'!Q238*BaseLoad!W237*IS!$B$2)</f>
        <v>491746.9419803092</v>
      </c>
      <c r="R238" s="180">
        <f>IF($A$1="Peak","-",'Base Hours'!R238*BaseLoad!X237*IS!$B$2)</f>
        <v>491746.63588305202</v>
      </c>
      <c r="S238" s="180">
        <f>IF($A$1="Peak","-",'Base Hours'!S238*BaseLoad!Y237*IS!$B$2)</f>
        <v>491744.94471634878</v>
      </c>
      <c r="T238" s="180">
        <f>IF($A$1="Peak","-",'Base Hours'!T238*BaseLoad!Z237*IS!$B$2)</f>
        <v>491741.02046652371</v>
      </c>
      <c r="U238" s="180">
        <f>IF($A$1="Peak","-",'Base Hours'!U238*BaseLoad!AA237*IS!$B$2)</f>
        <v>1241647.7442932313</v>
      </c>
      <c r="V238" s="180">
        <f t="shared" si="8"/>
        <v>9299201.1332934517</v>
      </c>
      <c r="W238" s="180"/>
      <c r="X238" s="180"/>
      <c r="Y238" s="212"/>
      <c r="Z238" s="212">
        <f>(BaseLoad!C237*'Base Hours'!V238*IS!$B$2)*-1</f>
        <v>-2018314.3088345015</v>
      </c>
      <c r="AA238" s="212"/>
      <c r="AB238" s="212">
        <f>(BaseLoad!D237*'Base Hours'!V238*IS!$B$2)*-1</f>
        <v>-211265.62091267272</v>
      </c>
      <c r="AC238" s="212"/>
      <c r="AD238" s="212">
        <f>(BaseLoad!E237*'Base Hours'!V238*IS!$B$2)*-1</f>
        <v>-1565897.1729156072</v>
      </c>
      <c r="AE238" s="212"/>
      <c r="AF238" s="212">
        <f>(BaseLoad!F237*'Base Hours'!V238*IS!$B$2)*-1</f>
        <v>-67478.784366100575</v>
      </c>
      <c r="AG238" s="212"/>
    </row>
    <row r="239" spans="1:33" x14ac:dyDescent="0.2">
      <c r="A239" s="1">
        <f t="shared" si="7"/>
        <v>43505.493000000293</v>
      </c>
      <c r="B239" s="180">
        <f>IF($A$1="Peak","-",'Base Hours'!B239*BaseLoad!H238*IS!$B$2)</f>
        <v>177030.83342455418</v>
      </c>
      <c r="C239" s="180">
        <f>IF($A$1="Peak","-",'Base Hours'!C239*BaseLoad!I238*IS!$B$2)</f>
        <v>171161.56645174042</v>
      </c>
      <c r="D239" s="180">
        <f>IF($A$1="Peak","-",'Base Hours'!D239*BaseLoad!J238*IS!$B$2)</f>
        <v>334581.6101285952</v>
      </c>
      <c r="E239" s="180">
        <f>IF($A$1="Peak","-",'Base Hours'!E239*BaseLoad!K238*IS!$B$2)</f>
        <v>555160.05410404725</v>
      </c>
      <c r="F239" s="180">
        <f>IF($A$1="Peak","-",'Base Hours'!F239*BaseLoad!L238*IS!$B$2)</f>
        <v>508853.20711147011</v>
      </c>
      <c r="G239" s="180">
        <f>IF($A$1="Peak","-",'Base Hours'!G239*BaseLoad!M238*IS!$B$2)</f>
        <v>956613.20383091341</v>
      </c>
      <c r="H239" s="180">
        <f>IF($A$1="Peak","-",'Base Hours'!H239*BaseLoad!N238*IS!$B$2)</f>
        <v>921470.64044652239</v>
      </c>
      <c r="I239" s="180">
        <f>IF($A$1="Peak","-",'Base Hours'!I239*BaseLoad!O238*IS!$B$2)</f>
        <v>711445.99776602758</v>
      </c>
      <c r="J239" s="180">
        <f>IF($A$1="Peak","-",'Base Hours'!J239*BaseLoad!P238*IS!$B$2)</f>
        <v>593657.32049979747</v>
      </c>
      <c r="K239" s="180">
        <f>IF($A$1="Peak","-",'Base Hours'!K239*BaseLoad!Q238*IS!$B$2)</f>
        <v>530941.90742614039</v>
      </c>
      <c r="L239" s="180">
        <f>IF($A$1="Peak","-",'Base Hours'!L239*BaseLoad!R238*IS!$B$2)</f>
        <v>506687.19388640532</v>
      </c>
      <c r="M239" s="180">
        <f>IF($A$1="Peak","-",'Base Hours'!M239*BaseLoad!S238*IS!$B$2)</f>
        <v>458357.06707273464</v>
      </c>
      <c r="N239" s="180">
        <f>IF($A$1="Peak","-",'Base Hours'!N239*BaseLoad!T238*IS!$B$2)</f>
        <v>454024.40879751742</v>
      </c>
      <c r="O239" s="180">
        <f>IF($A$1="Peak","-",'Base Hours'!O239*BaseLoad!U238*IS!$B$2)</f>
        <v>454024.40879751742</v>
      </c>
      <c r="P239" s="180">
        <f>IF($A$1="Peak","-",'Base Hours'!P239*BaseLoad!V238*IS!$B$2)</f>
        <v>454024.40879751742</v>
      </c>
      <c r="Q239" s="180">
        <f>IF($A$1="Peak","-",'Base Hours'!Q239*BaseLoad!W238*IS!$B$2)</f>
        <v>454024.40879751742</v>
      </c>
      <c r="R239" s="180">
        <f>IF($A$1="Peak","-",'Base Hours'!R239*BaseLoad!X238*IS!$B$2)</f>
        <v>454023.72231833549</v>
      </c>
      <c r="S239" s="180">
        <f>IF($A$1="Peak","-",'Base Hours'!S239*BaseLoad!Y238*IS!$B$2)</f>
        <v>454014.64429381711</v>
      </c>
      <c r="T239" s="180">
        <f>IF($A$1="Peak","-",'Base Hours'!T239*BaseLoad!Z238*IS!$B$2)</f>
        <v>454011.30447618256</v>
      </c>
      <c r="U239" s="180">
        <f>IF($A$1="Peak","-",'Base Hours'!U239*BaseLoad!AA238*IS!$B$2)</f>
        <v>1212992.8547966038</v>
      </c>
      <c r="V239" s="180">
        <f t="shared" si="8"/>
        <v>9604107.9084273539</v>
      </c>
      <c r="W239" s="180"/>
      <c r="X239" s="180"/>
      <c r="Y239" s="212"/>
      <c r="Z239" s="212">
        <f>(BaseLoad!C238*'Base Hours'!V239*IS!$B$2)*-1</f>
        <v>-2018314.3088345015</v>
      </c>
      <c r="AA239" s="212"/>
      <c r="AB239" s="212">
        <f>(BaseLoad!D238*'Base Hours'!V239*IS!$B$2)*-1</f>
        <v>-211617.7302808605</v>
      </c>
      <c r="AC239" s="212"/>
      <c r="AD239" s="212">
        <f>(BaseLoad!E238*'Base Hours'!V239*IS!$B$2)*-1</f>
        <v>-1565897.1729156072</v>
      </c>
      <c r="AE239" s="212"/>
      <c r="AF239" s="212">
        <f>(BaseLoad!F238*'Base Hours'!V239*IS!$B$2)*-1</f>
        <v>-67478.784366100575</v>
      </c>
      <c r="AG239" s="212"/>
    </row>
    <row r="240" spans="1:33" x14ac:dyDescent="0.2">
      <c r="A240" s="1">
        <f t="shared" si="7"/>
        <v>43535.910000000295</v>
      </c>
      <c r="B240" s="180">
        <f>IF($A$1="Peak","-",'Base Hours'!B240*BaseLoad!H239*IS!$B$2)</f>
        <v>108858.34338451689</v>
      </c>
      <c r="C240" s="180">
        <f>IF($A$1="Peak","-",'Base Hours'!C240*BaseLoad!I239*IS!$B$2)</f>
        <v>105411.42206417606</v>
      </c>
      <c r="D240" s="180">
        <f>IF($A$1="Peak","-",'Base Hours'!D240*BaseLoad!J239*IS!$B$2)</f>
        <v>210706.45112169121</v>
      </c>
      <c r="E240" s="180">
        <f>IF($A$1="Peak","-",'Base Hours'!E240*BaseLoad!K239*IS!$B$2)</f>
        <v>418977.1985346094</v>
      </c>
      <c r="F240" s="180">
        <f>IF($A$1="Peak","-",'Base Hours'!F240*BaseLoad!L239*IS!$B$2)</f>
        <v>417972.87568349519</v>
      </c>
      <c r="G240" s="180">
        <f>IF($A$1="Peak","-",'Base Hours'!G240*BaseLoad!M239*IS!$B$2)</f>
        <v>755368.56426494999</v>
      </c>
      <c r="H240" s="180">
        <f>IF($A$1="Peak","-",'Base Hours'!H240*BaseLoad!N239*IS!$B$2)</f>
        <v>672049.20546519058</v>
      </c>
      <c r="I240" s="180">
        <f>IF($A$1="Peak","-",'Base Hours'!I240*BaseLoad!O239*IS!$B$2)</f>
        <v>633171.98246106808</v>
      </c>
      <c r="J240" s="180">
        <f>IF($A$1="Peak","-",'Base Hours'!J240*BaseLoad!P239*IS!$B$2)</f>
        <v>600435.60047884006</v>
      </c>
      <c r="K240" s="180">
        <f>IF($A$1="Peak","-",'Base Hours'!K240*BaseLoad!Q239*IS!$B$2)</f>
        <v>578658.37025596667</v>
      </c>
      <c r="L240" s="180">
        <f>IF($A$1="Peak","-",'Base Hours'!L240*BaseLoad!R239*IS!$B$2)</f>
        <v>551153.03337187786</v>
      </c>
      <c r="M240" s="180">
        <f>IF($A$1="Peak","-",'Base Hours'!M240*BaseLoad!S239*IS!$B$2)</f>
        <v>471795.04229487875</v>
      </c>
      <c r="N240" s="180">
        <f>IF($A$1="Peak","-",'Base Hours'!N240*BaseLoad!T239*IS!$B$2)</f>
        <v>427921.3760444565</v>
      </c>
      <c r="O240" s="180">
        <f>IF($A$1="Peak","-",'Base Hours'!O240*BaseLoad!U239*IS!$B$2)</f>
        <v>403974.00242764351</v>
      </c>
      <c r="P240" s="180">
        <f>IF($A$1="Peak","-",'Base Hours'!P240*BaseLoad!V239*IS!$B$2)</f>
        <v>398845.28090795851</v>
      </c>
      <c r="Q240" s="180">
        <f>IF($A$1="Peak","-",'Base Hours'!Q240*BaseLoad!W239*IS!$B$2)</f>
        <v>398845.28090795851</v>
      </c>
      <c r="R240" s="180">
        <f>IF($A$1="Peak","-",'Base Hours'!R240*BaseLoad!X239*IS!$B$2)</f>
        <v>398845.28090795851</v>
      </c>
      <c r="S240" s="180">
        <f>IF($A$1="Peak","-",'Base Hours'!S240*BaseLoad!Y239*IS!$B$2)</f>
        <v>398844.94129684102</v>
      </c>
      <c r="T240" s="180">
        <f>IF($A$1="Peak","-",'Base Hours'!T240*BaseLoad!Z239*IS!$B$2)</f>
        <v>398844.89285974123</v>
      </c>
      <c r="U240" s="180">
        <f>IF($A$1="Peak","-",'Base Hours'!U240*BaseLoad!AA239*IS!$B$2)</f>
        <v>1096794.7045186684</v>
      </c>
      <c r="V240" s="180">
        <f t="shared" si="8"/>
        <v>8350679.1447338201</v>
      </c>
      <c r="W240" s="180"/>
      <c r="X240" s="180"/>
      <c r="Y240" s="212"/>
      <c r="Z240" s="212">
        <f>(BaseLoad!C239*'Base Hours'!V240*IS!$B$2)*-1</f>
        <v>-2018314.3088345015</v>
      </c>
      <c r="AA240" s="212"/>
      <c r="AB240" s="212">
        <f>(BaseLoad!D239*'Base Hours'!V240*IS!$B$2)*-1</f>
        <v>-211970.4264979953</v>
      </c>
      <c r="AC240" s="212"/>
      <c r="AD240" s="212">
        <f>(BaseLoad!E239*'Base Hours'!V240*IS!$B$2)*-1</f>
        <v>-1565897.1729156072</v>
      </c>
      <c r="AE240" s="212"/>
      <c r="AF240" s="212">
        <f>(BaseLoad!F239*'Base Hours'!V240*IS!$B$2)*-1</f>
        <v>-67478.784366100575</v>
      </c>
      <c r="AG240" s="212"/>
    </row>
    <row r="241" spans="1:33" x14ac:dyDescent="0.2">
      <c r="A241" s="1">
        <f t="shared" si="7"/>
        <v>43566.327000000296</v>
      </c>
      <c r="B241" s="180">
        <f>IF($A$1="Peak","-",'Base Hours'!B241*BaseLoad!H240*IS!$B$2)</f>
        <v>173088.54169999406</v>
      </c>
      <c r="C241" s="180">
        <f>IF($A$1="Peak","-",'Base Hours'!C241*BaseLoad!I240*IS!$B$2)</f>
        <v>169328.36565776885</v>
      </c>
      <c r="D241" s="180">
        <f>IF($A$1="Peak","-",'Base Hours'!D241*BaseLoad!J240*IS!$B$2)</f>
        <v>301907.1436277348</v>
      </c>
      <c r="E241" s="180">
        <f>IF($A$1="Peak","-",'Base Hours'!E241*BaseLoad!K240*IS!$B$2)</f>
        <v>498016.98182315874</v>
      </c>
      <c r="F241" s="180">
        <f>IF($A$1="Peak","-",'Base Hours'!F241*BaseLoad!L240*IS!$B$2)</f>
        <v>401436.78582476301</v>
      </c>
      <c r="G241" s="180">
        <f>IF($A$1="Peak","-",'Base Hours'!G241*BaseLoad!M240*IS!$B$2)</f>
        <v>608612.35531125835</v>
      </c>
      <c r="H241" s="180">
        <f>IF($A$1="Peak","-",'Base Hours'!H241*BaseLoad!N240*IS!$B$2)</f>
        <v>565058.50120541255</v>
      </c>
      <c r="I241" s="180">
        <f>IF($A$1="Peak","-",'Base Hours'!I241*BaseLoad!O240*IS!$B$2)</f>
        <v>540435.03330252517</v>
      </c>
      <c r="J241" s="180">
        <f>IF($A$1="Peak","-",'Base Hours'!J241*BaseLoad!P240*IS!$B$2)</f>
        <v>538028.60669880302</v>
      </c>
      <c r="K241" s="180">
        <f>IF($A$1="Peak","-",'Base Hours'!K241*BaseLoad!Q240*IS!$B$2)</f>
        <v>490309.17268083163</v>
      </c>
      <c r="L241" s="180">
        <f>IF($A$1="Peak","-",'Base Hours'!L241*BaseLoad!R240*IS!$B$2)</f>
        <v>448263.7902203417</v>
      </c>
      <c r="M241" s="180">
        <f>IF($A$1="Peak","-",'Base Hours'!M241*BaseLoad!S240*IS!$B$2)</f>
        <v>424028.63513139216</v>
      </c>
      <c r="N241" s="180">
        <f>IF($A$1="Peak","-",'Base Hours'!N241*BaseLoad!T240*IS!$B$2)</f>
        <v>407066.94069533661</v>
      </c>
      <c r="O241" s="180">
        <f>IF($A$1="Peak","-",'Base Hours'!O241*BaseLoad!U240*IS!$B$2)</f>
        <v>389038.42402719706</v>
      </c>
      <c r="P241" s="180">
        <f>IF($A$1="Peak","-",'Base Hours'!P241*BaseLoad!V240*IS!$B$2)</f>
        <v>383515.24059895519</v>
      </c>
      <c r="Q241" s="180">
        <f>IF($A$1="Peak","-",'Base Hours'!Q241*BaseLoad!W240*IS!$B$2)</f>
        <v>365424.6122506407</v>
      </c>
      <c r="R241" s="180">
        <f>IF($A$1="Peak","-",'Base Hours'!R241*BaseLoad!X240*IS!$B$2)</f>
        <v>318996.06056369451</v>
      </c>
      <c r="S241" s="180">
        <f>IF($A$1="Peak","-",'Base Hours'!S241*BaseLoad!Y240*IS!$B$2)</f>
        <v>276072.05113191699</v>
      </c>
      <c r="T241" s="180">
        <f>IF($A$1="Peak","-",'Base Hours'!T241*BaseLoad!Z240*IS!$B$2)</f>
        <v>272450.38840556069</v>
      </c>
      <c r="U241" s="180">
        <f>IF($A$1="Peak","-",'Base Hours'!U241*BaseLoad!AA240*IS!$B$2)</f>
        <v>749095.30937193066</v>
      </c>
      <c r="V241" s="180">
        <f t="shared" si="8"/>
        <v>7571077.630857286</v>
      </c>
      <c r="W241" s="180"/>
      <c r="X241" s="180"/>
      <c r="Y241" s="212"/>
      <c r="Z241" s="212">
        <f>(BaseLoad!C240*'Base Hours'!V241*IS!$B$2)*-1</f>
        <v>-2018314.3088345015</v>
      </c>
      <c r="AA241" s="212"/>
      <c r="AB241" s="212">
        <f>(BaseLoad!D240*'Base Hours'!V241*IS!$B$2)*-1</f>
        <v>-212323.71054215863</v>
      </c>
      <c r="AC241" s="212"/>
      <c r="AD241" s="212">
        <f>(BaseLoad!E240*'Base Hours'!V241*IS!$B$2)*-1</f>
        <v>-1565897.1729156072</v>
      </c>
      <c r="AE241" s="212"/>
      <c r="AF241" s="212">
        <f>(BaseLoad!F240*'Base Hours'!V241*IS!$B$2)*-1</f>
        <v>-67478.784366100575</v>
      </c>
      <c r="AG241" s="212"/>
    </row>
    <row r="242" spans="1:33" x14ac:dyDescent="0.2">
      <c r="A242" s="1">
        <f t="shared" si="7"/>
        <v>43596.744000000297</v>
      </c>
      <c r="B242" s="180">
        <f>IF($A$1="Peak","-",'Base Hours'!B242*BaseLoad!H241*IS!$B$2)</f>
        <v>101734.996547699</v>
      </c>
      <c r="C242" s="180">
        <f>IF($A$1="Peak","-",'Base Hours'!C242*BaseLoad!I241*IS!$B$2)</f>
        <v>94626.347984100008</v>
      </c>
      <c r="D242" s="180">
        <f>IF($A$1="Peak","-",'Base Hours'!D242*BaseLoad!J241*IS!$B$2)</f>
        <v>187541.55545916111</v>
      </c>
      <c r="E242" s="180">
        <f>IF($A$1="Peak","-",'Base Hours'!E242*BaseLoad!K241*IS!$B$2)</f>
        <v>354196.94404786162</v>
      </c>
      <c r="F242" s="180">
        <f>IF($A$1="Peak","-",'Base Hours'!F242*BaseLoad!L241*IS!$B$2)</f>
        <v>304053.96337509475</v>
      </c>
      <c r="G242" s="180">
        <f>IF($A$1="Peak","-",'Base Hours'!G242*BaseLoad!M241*IS!$B$2)</f>
        <v>542241.793083361</v>
      </c>
      <c r="H242" s="180">
        <f>IF($A$1="Peak","-",'Base Hours'!H242*BaseLoad!N241*IS!$B$2)</f>
        <v>519082.09962939494</v>
      </c>
      <c r="I242" s="180">
        <f>IF($A$1="Peak","-",'Base Hours'!I242*BaseLoad!O241*IS!$B$2)</f>
        <v>506233.51250040618</v>
      </c>
      <c r="J242" s="180">
        <f>IF($A$1="Peak","-",'Base Hours'!J242*BaseLoad!P241*IS!$B$2)</f>
        <v>491166.1333263577</v>
      </c>
      <c r="K242" s="180">
        <f>IF($A$1="Peak","-",'Base Hours'!K242*BaseLoad!Q241*IS!$B$2)</f>
        <v>473522.89847621066</v>
      </c>
      <c r="L242" s="180">
        <f>IF($A$1="Peak","-",'Base Hours'!L242*BaseLoad!R241*IS!$B$2)</f>
        <v>453429.97190580639</v>
      </c>
      <c r="M242" s="180">
        <f>IF($A$1="Peak","-",'Base Hours'!M242*BaseLoad!S241*IS!$B$2)</f>
        <v>424594.96268484654</v>
      </c>
      <c r="N242" s="180">
        <f>IF($A$1="Peak","-",'Base Hours'!N242*BaseLoad!T241*IS!$B$2)</f>
        <v>421367.50443623302</v>
      </c>
      <c r="O242" s="180">
        <f>IF($A$1="Peak","-",'Base Hours'!O242*BaseLoad!U241*IS!$B$2)</f>
        <v>402239.95045183506</v>
      </c>
      <c r="P242" s="180">
        <f>IF($A$1="Peak","-",'Base Hours'!P242*BaseLoad!V241*IS!$B$2)</f>
        <v>376599.11041882652</v>
      </c>
      <c r="Q242" s="180">
        <f>IF($A$1="Peak","-",'Base Hours'!Q242*BaseLoad!W241*IS!$B$2)</f>
        <v>368018.60506647412</v>
      </c>
      <c r="R242" s="180">
        <f>IF($A$1="Peak","-",'Base Hours'!R242*BaseLoad!X241*IS!$B$2)</f>
        <v>365561.86336406396</v>
      </c>
      <c r="S242" s="180">
        <f>IF($A$1="Peak","-",'Base Hours'!S242*BaseLoad!Y241*IS!$B$2)</f>
        <v>364400.01149511203</v>
      </c>
      <c r="T242" s="180">
        <f>IF($A$1="Peak","-",'Base Hours'!T242*BaseLoad!Z241*IS!$B$2)</f>
        <v>364400.01149511203</v>
      </c>
      <c r="U242" s="180">
        <f>IF($A$1="Peak","-",'Base Hours'!U242*BaseLoad!AA241*IS!$B$2)</f>
        <v>1001899.5100792939</v>
      </c>
      <c r="V242" s="180">
        <f t="shared" si="8"/>
        <v>7115012.2357479585</v>
      </c>
      <c r="W242" s="180"/>
      <c r="X242" s="180"/>
      <c r="Y242" s="212"/>
      <c r="Z242" s="212">
        <f>(BaseLoad!C241*'Base Hours'!V242*IS!$B$2)*-1</f>
        <v>-2018314.3088345015</v>
      </c>
      <c r="AA242" s="212"/>
      <c r="AB242" s="212">
        <f>(BaseLoad!D241*'Base Hours'!V242*IS!$B$2)*-1</f>
        <v>-212677.5833930622</v>
      </c>
      <c r="AC242" s="212"/>
      <c r="AD242" s="212">
        <f>(BaseLoad!E241*'Base Hours'!V242*IS!$B$2)*-1</f>
        <v>-1565897.1729156072</v>
      </c>
      <c r="AE242" s="212"/>
      <c r="AF242" s="212">
        <f>(BaseLoad!F241*'Base Hours'!V242*IS!$B$2)*-1</f>
        <v>-67478.784366100575</v>
      </c>
      <c r="AG242" s="212"/>
    </row>
    <row r="243" spans="1:33" x14ac:dyDescent="0.2">
      <c r="A243" s="1">
        <f t="shared" si="7"/>
        <v>43627.161000000298</v>
      </c>
      <c r="B243" s="180">
        <f>IF($A$1="Peak","-",'Base Hours'!B243*BaseLoad!H242*IS!$B$2)</f>
        <v>201174.73832039081</v>
      </c>
      <c r="C243" s="180">
        <f>IF($A$1="Peak","-",'Base Hours'!C243*BaseLoad!I242*IS!$B$2)</f>
        <v>188161.70888937049</v>
      </c>
      <c r="D243" s="180">
        <f>IF($A$1="Peak","-",'Base Hours'!D243*BaseLoad!J242*IS!$B$2)</f>
        <v>354214.21070644853</v>
      </c>
      <c r="E243" s="180">
        <f>IF($A$1="Peak","-",'Base Hours'!E243*BaseLoad!K242*IS!$B$2)</f>
        <v>642292.93054033373</v>
      </c>
      <c r="F243" s="180">
        <f>IF($A$1="Peak","-",'Base Hours'!F243*BaseLoad!L242*IS!$B$2)</f>
        <v>404766.38833296031</v>
      </c>
      <c r="G243" s="180">
        <f>IF($A$1="Peak","-",'Base Hours'!G243*BaseLoad!M242*IS!$B$2)</f>
        <v>763345.73714458756</v>
      </c>
      <c r="H243" s="180">
        <f>IF($A$1="Peak","-",'Base Hours'!H243*BaseLoad!N242*IS!$B$2)</f>
        <v>700884.44100732857</v>
      </c>
      <c r="I243" s="180">
        <f>IF($A$1="Peak","-",'Base Hours'!I243*BaseLoad!O242*IS!$B$2)</f>
        <v>665316.00288454152</v>
      </c>
      <c r="J243" s="180">
        <f>IF($A$1="Peak","-",'Base Hours'!J243*BaseLoad!P242*IS!$B$2)</f>
        <v>611545.90626169648</v>
      </c>
      <c r="K243" s="180">
        <f>IF($A$1="Peak","-",'Base Hours'!K243*BaseLoad!Q242*IS!$B$2)</f>
        <v>544499.51665528922</v>
      </c>
      <c r="L243" s="180">
        <f>IF($A$1="Peak","-",'Base Hours'!L243*BaseLoad!R242*IS!$B$2)</f>
        <v>482164.32139152812</v>
      </c>
      <c r="M243" s="180">
        <f>IF($A$1="Peak","-",'Base Hours'!M243*BaseLoad!S242*IS!$B$2)</f>
        <v>418584.51492203691</v>
      </c>
      <c r="N243" s="180">
        <f>IF($A$1="Peak","-",'Base Hours'!N243*BaseLoad!T242*IS!$B$2)</f>
        <v>389404.16619874327</v>
      </c>
      <c r="O243" s="180">
        <f>IF($A$1="Peak","-",'Base Hours'!O243*BaseLoad!U242*IS!$B$2)</f>
        <v>379002.25538586907</v>
      </c>
      <c r="P243" s="180">
        <f>IF($A$1="Peak","-",'Base Hours'!P243*BaseLoad!V242*IS!$B$2)</f>
        <v>373368.27278241038</v>
      </c>
      <c r="Q243" s="180">
        <f>IF($A$1="Peak","-",'Base Hours'!Q243*BaseLoad!W242*IS!$B$2)</f>
        <v>368401.01812114543</v>
      </c>
      <c r="R243" s="180">
        <f>IF($A$1="Peak","-",'Base Hours'!R243*BaseLoad!X242*IS!$B$2)</f>
        <v>365347.44229888322</v>
      </c>
      <c r="S243" s="180">
        <f>IF($A$1="Peak","-",'Base Hours'!S243*BaseLoad!Y242*IS!$B$2)</f>
        <v>361467.26623758103</v>
      </c>
      <c r="T243" s="180">
        <f>IF($A$1="Peak","-",'Base Hours'!T243*BaseLoad!Z242*IS!$B$2)</f>
        <v>358238.40702416212</v>
      </c>
      <c r="U243" s="180">
        <f>IF($A$1="Peak","-",'Base Hours'!U243*BaseLoad!AA242*IS!$B$2)</f>
        <v>958912.62152751826</v>
      </c>
      <c r="V243" s="180">
        <f t="shared" si="8"/>
        <v>8572179.2451053094</v>
      </c>
      <c r="W243" s="180"/>
      <c r="X243" s="180"/>
      <c r="Y243" s="212"/>
      <c r="Z243" s="212">
        <f>(BaseLoad!C242*'Base Hours'!V243*IS!$B$2)*-1</f>
        <v>-2018314.3088345015</v>
      </c>
      <c r="AA243" s="212"/>
      <c r="AB243" s="212">
        <f>(BaseLoad!D242*'Base Hours'!V243*IS!$B$2)*-1</f>
        <v>-213032.04603205065</v>
      </c>
      <c r="AC243" s="212"/>
      <c r="AD243" s="212">
        <f>(BaseLoad!E242*'Base Hours'!V243*IS!$B$2)*-1</f>
        <v>-1565897.1729156072</v>
      </c>
      <c r="AE243" s="212"/>
      <c r="AF243" s="212">
        <f>(BaseLoad!F242*'Base Hours'!V243*IS!$B$2)*-1</f>
        <v>-67478.784366100575</v>
      </c>
      <c r="AG243" s="212"/>
    </row>
    <row r="244" spans="1:33" x14ac:dyDescent="0.2">
      <c r="A244" s="1">
        <f t="shared" si="7"/>
        <v>43657.5780000003</v>
      </c>
      <c r="B244" s="180">
        <f>IF($A$1="Peak","-",'Base Hours'!B244*BaseLoad!H243*IS!$B$2)</f>
        <v>330195.18727721664</v>
      </c>
      <c r="C244" s="180">
        <f>IF($A$1="Peak","-",'Base Hours'!C244*BaseLoad!I243*IS!$B$2)</f>
        <v>248454.00913434738</v>
      </c>
      <c r="D244" s="180">
        <f>IF($A$1="Peak","-",'Base Hours'!D244*BaseLoad!J243*IS!$B$2)</f>
        <v>459337.4548786871</v>
      </c>
      <c r="E244" s="180">
        <f>IF($A$1="Peak","-",'Base Hours'!E244*BaseLoad!K243*IS!$B$2)</f>
        <v>845677.66152224503</v>
      </c>
      <c r="F244" s="180">
        <f>IF($A$1="Peak","-",'Base Hours'!F244*BaseLoad!L243*IS!$B$2)</f>
        <v>783422.64614085166</v>
      </c>
      <c r="G244" s="180">
        <f>IF($A$1="Peak","-",'Base Hours'!G244*BaseLoad!M243*IS!$B$2)</f>
        <v>1441822.2568572469</v>
      </c>
      <c r="H244" s="180">
        <f>IF($A$1="Peak","-",'Base Hours'!H244*BaseLoad!N243*IS!$B$2)</f>
        <v>1332959.7375392937</v>
      </c>
      <c r="I244" s="180">
        <f>IF($A$1="Peak","-",'Base Hours'!I244*BaseLoad!O243*IS!$B$2)</f>
        <v>862632.54282375448</v>
      </c>
      <c r="J244" s="180">
        <f>IF($A$1="Peak","-",'Base Hours'!J244*BaseLoad!P243*IS!$B$2)</f>
        <v>735499.70316933584</v>
      </c>
      <c r="K244" s="180">
        <f>IF($A$1="Peak","-",'Base Hours'!K244*BaseLoad!Q243*IS!$B$2)</f>
        <v>663858.38681385585</v>
      </c>
      <c r="L244" s="180">
        <f>IF($A$1="Peak","-",'Base Hours'!L244*BaseLoad!R243*IS!$B$2)</f>
        <v>585452.32970380352</v>
      </c>
      <c r="M244" s="180">
        <f>IF($A$1="Peak","-",'Base Hours'!M244*BaseLoad!S243*IS!$B$2)</f>
        <v>444444.07820878277</v>
      </c>
      <c r="N244" s="180">
        <f>IF($A$1="Peak","-",'Base Hours'!N244*BaseLoad!T243*IS!$B$2)</f>
        <v>380859.52568819252</v>
      </c>
      <c r="O244" s="180">
        <f>IF($A$1="Peak","-",'Base Hours'!O244*BaseLoad!U243*IS!$B$2)</f>
        <v>372076.15709377034</v>
      </c>
      <c r="P244" s="180">
        <f>IF($A$1="Peak","-",'Base Hours'!P244*BaseLoad!V243*IS!$B$2)</f>
        <v>360481.07312966959</v>
      </c>
      <c r="Q244" s="180">
        <f>IF($A$1="Peak","-",'Base Hours'!Q244*BaseLoad!W243*IS!$B$2)</f>
        <v>343988.63768976042</v>
      </c>
      <c r="R244" s="180">
        <f>IF($A$1="Peak","-",'Base Hours'!R244*BaseLoad!X243*IS!$B$2)</f>
        <v>331863.13119696197</v>
      </c>
      <c r="S244" s="180">
        <f>IF($A$1="Peak","-",'Base Hours'!S244*BaseLoad!Y243*IS!$B$2)</f>
        <v>327116.36766190099</v>
      </c>
      <c r="T244" s="180">
        <f>IF($A$1="Peak","-",'Base Hours'!T244*BaseLoad!Z243*IS!$B$2)</f>
        <v>325862.41114160599</v>
      </c>
      <c r="U244" s="180">
        <f>IF($A$1="Peak","-",'Base Hours'!U244*BaseLoad!AA243*IS!$B$2)</f>
        <v>889692.79314847779</v>
      </c>
      <c r="V244" s="180">
        <f t="shared" si="8"/>
        <v>10623873.833962513</v>
      </c>
      <c r="W244" s="180"/>
      <c r="X244" s="180"/>
      <c r="Y244" s="212"/>
      <c r="Z244" s="212">
        <f>(BaseLoad!C243*'Base Hours'!V244*IS!$B$2)*-1</f>
        <v>-2018314.3088345015</v>
      </c>
      <c r="AA244" s="212"/>
      <c r="AB244" s="212">
        <f>(BaseLoad!D243*'Base Hours'!V244*IS!$B$2)*-1</f>
        <v>-213387.09944210408</v>
      </c>
      <c r="AC244" s="212"/>
      <c r="AD244" s="212">
        <f>(BaseLoad!E243*'Base Hours'!V244*IS!$B$2)*-1</f>
        <v>-1565897.1729156072</v>
      </c>
      <c r="AE244" s="212"/>
      <c r="AF244" s="212">
        <f>(BaseLoad!F243*'Base Hours'!V244*IS!$B$2)*-1</f>
        <v>-67478.784366100575</v>
      </c>
      <c r="AG244" s="212"/>
    </row>
    <row r="245" spans="1:33" x14ac:dyDescent="0.2">
      <c r="A245" s="1">
        <f t="shared" si="7"/>
        <v>43687.995000000301</v>
      </c>
      <c r="B245" s="180">
        <f>IF($A$1="Peak","-",'Base Hours'!B245*BaseLoad!H244*IS!$B$2)</f>
        <v>329441.30871790001</v>
      </c>
      <c r="C245" s="180">
        <f>IF($A$1="Peak","-",'Base Hours'!C245*BaseLoad!I244*IS!$B$2)</f>
        <v>240045.00737514009</v>
      </c>
      <c r="D245" s="180">
        <f>IF($A$1="Peak","-",'Base Hours'!D245*BaseLoad!J244*IS!$B$2)</f>
        <v>443139.36187201005</v>
      </c>
      <c r="E245" s="180">
        <f>IF($A$1="Peak","-",'Base Hours'!E245*BaseLoad!K244*IS!$B$2)</f>
        <v>802519.21219347918</v>
      </c>
      <c r="F245" s="180">
        <f>IF($A$1="Peak","-",'Base Hours'!F245*BaseLoad!L244*IS!$B$2)</f>
        <v>736488.95986526797</v>
      </c>
      <c r="G245" s="180">
        <f>IF($A$1="Peak","-",'Base Hours'!G245*BaseLoad!M244*IS!$B$2)</f>
        <v>1358435.9433531403</v>
      </c>
      <c r="H245" s="180">
        <f>IF($A$1="Peak","-",'Base Hours'!H245*BaseLoad!N244*IS!$B$2)</f>
        <v>1054290.8159261942</v>
      </c>
      <c r="I245" s="180">
        <f>IF($A$1="Peak","-",'Base Hours'!I245*BaseLoad!O244*IS!$B$2)</f>
        <v>910894.64216397097</v>
      </c>
      <c r="J245" s="180">
        <f>IF($A$1="Peak","-",'Base Hours'!J245*BaseLoad!P244*IS!$B$2)</f>
        <v>810554.43632456742</v>
      </c>
      <c r="K245" s="180">
        <f>IF($A$1="Peak","-",'Base Hours'!K245*BaseLoad!Q244*IS!$B$2)</f>
        <v>585734.56213021511</v>
      </c>
      <c r="L245" s="180">
        <f>IF($A$1="Peak","-",'Base Hours'!L245*BaseLoad!R244*IS!$B$2)</f>
        <v>500379.22914960136</v>
      </c>
      <c r="M245" s="180">
        <f>IF($A$1="Peak","-",'Base Hours'!M245*BaseLoad!S244*IS!$B$2)</f>
        <v>464517.84013123572</v>
      </c>
      <c r="N245" s="180">
        <f>IF($A$1="Peak","-",'Base Hours'!N245*BaseLoad!T244*IS!$B$2)</f>
        <v>441839.64317691216</v>
      </c>
      <c r="O245" s="180">
        <f>IF($A$1="Peak","-",'Base Hours'!O245*BaseLoad!U244*IS!$B$2)</f>
        <v>438743.17391563067</v>
      </c>
      <c r="P245" s="180">
        <f>IF($A$1="Peak","-",'Base Hours'!P245*BaseLoad!V244*IS!$B$2)</f>
        <v>438743.17391563067</v>
      </c>
      <c r="Q245" s="180">
        <f>IF($A$1="Peak","-",'Base Hours'!Q245*BaseLoad!W244*IS!$B$2)</f>
        <v>431058.86784068716</v>
      </c>
      <c r="R245" s="180">
        <f>IF($A$1="Peak","-",'Base Hours'!R245*BaseLoad!X244*IS!$B$2)</f>
        <v>427766.60835723416</v>
      </c>
      <c r="S245" s="180">
        <f>IF($A$1="Peak","-",'Base Hours'!S245*BaseLoad!Y244*IS!$B$2)</f>
        <v>427765.87944653461</v>
      </c>
      <c r="T245" s="180">
        <f>IF($A$1="Peak","-",'Base Hours'!T245*BaseLoad!Z244*IS!$B$2)</f>
        <v>427765.70515948709</v>
      </c>
      <c r="U245" s="180">
        <f>IF($A$1="Peak","-",'Base Hours'!U245*BaseLoad!AA244*IS!$B$2)</f>
        <v>965671.41724315868</v>
      </c>
      <c r="V245" s="180">
        <f t="shared" si="8"/>
        <v>10877359.844904855</v>
      </c>
      <c r="W245" s="180"/>
      <c r="X245" s="180"/>
      <c r="Y245" s="212"/>
      <c r="Z245" s="212">
        <f>(BaseLoad!C244*'Base Hours'!V245*IS!$B$2)*-1</f>
        <v>-2018314.3088345015</v>
      </c>
      <c r="AA245" s="212"/>
      <c r="AB245" s="212">
        <f>(BaseLoad!D244*'Base Hours'!V245*IS!$B$2)*-1</f>
        <v>-213742.74460784093</v>
      </c>
      <c r="AC245" s="212"/>
      <c r="AD245" s="212">
        <f>(BaseLoad!E244*'Base Hours'!V245*IS!$B$2)*-1</f>
        <v>-1565897.1729156072</v>
      </c>
      <c r="AE245" s="212"/>
      <c r="AF245" s="212">
        <f>(BaseLoad!F244*'Base Hours'!V245*IS!$B$2)*-1</f>
        <v>-67478.784366100575</v>
      </c>
      <c r="AG245" s="212"/>
    </row>
    <row r="246" spans="1:33" x14ac:dyDescent="0.2">
      <c r="A246" s="1">
        <f t="shared" si="7"/>
        <v>43718.412000000302</v>
      </c>
      <c r="B246" s="180">
        <f>IF($A$1="Peak","-",'Base Hours'!B246*BaseLoad!H245*IS!$B$2)</f>
        <v>187265.20462816078</v>
      </c>
      <c r="C246" s="180">
        <f>IF($A$1="Peak","-",'Base Hours'!C246*BaseLoad!I245*IS!$B$2)</f>
        <v>175183.66099581949</v>
      </c>
      <c r="D246" s="180">
        <f>IF($A$1="Peak","-",'Base Hours'!D246*BaseLoad!J245*IS!$B$2)</f>
        <v>337073.45086753258</v>
      </c>
      <c r="E246" s="180">
        <f>IF($A$1="Peak","-",'Base Hours'!E246*BaseLoad!K245*IS!$B$2)</f>
        <v>525222.57584800967</v>
      </c>
      <c r="F246" s="180">
        <f>IF($A$1="Peak","-",'Base Hours'!F246*BaseLoad!L245*IS!$B$2)</f>
        <v>433195.03918796167</v>
      </c>
      <c r="G246" s="180">
        <f>IF($A$1="Peak","-",'Base Hours'!G246*BaseLoad!M245*IS!$B$2)</f>
        <v>799277.69099705527</v>
      </c>
      <c r="H246" s="180">
        <f>IF($A$1="Peak","-",'Base Hours'!H246*BaseLoad!N245*IS!$B$2)</f>
        <v>683489.09406565316</v>
      </c>
      <c r="I246" s="180">
        <f>IF($A$1="Peak","-",'Base Hours'!I246*BaseLoad!O245*IS!$B$2)</f>
        <v>526695.09827642201</v>
      </c>
      <c r="J246" s="180">
        <f>IF($A$1="Peak","-",'Base Hours'!J246*BaseLoad!P245*IS!$B$2)</f>
        <v>486466.58842305321</v>
      </c>
      <c r="K246" s="180">
        <f>IF($A$1="Peak","-",'Base Hours'!K246*BaseLoad!Q245*IS!$B$2)</f>
        <v>445899.39353232447</v>
      </c>
      <c r="L246" s="180">
        <f>IF($A$1="Peak","-",'Base Hours'!L246*BaseLoad!R245*IS!$B$2)</f>
        <v>406399.82803284068</v>
      </c>
      <c r="M246" s="180">
        <f>IF($A$1="Peak","-",'Base Hours'!M246*BaseLoad!S245*IS!$B$2)</f>
        <v>394545.06950169208</v>
      </c>
      <c r="N246" s="180">
        <f>IF($A$1="Peak","-",'Base Hours'!N246*BaseLoad!T245*IS!$B$2)</f>
        <v>387722.60643540305</v>
      </c>
      <c r="O246" s="180">
        <f>IF($A$1="Peak","-",'Base Hours'!O246*BaseLoad!U245*IS!$B$2)</f>
        <v>384688.01816056686</v>
      </c>
      <c r="P246" s="180">
        <f>IF($A$1="Peak","-",'Base Hours'!P246*BaseLoad!V245*IS!$B$2)</f>
        <v>384028.15087307664</v>
      </c>
      <c r="Q246" s="180">
        <f>IF($A$1="Peak","-",'Base Hours'!Q246*BaseLoad!W245*IS!$B$2)</f>
        <v>384028.07290413696</v>
      </c>
      <c r="R246" s="180">
        <f>IF($A$1="Peak","-",'Base Hours'!R246*BaseLoad!X245*IS!$B$2)</f>
        <v>384028.07290413696</v>
      </c>
      <c r="S246" s="180">
        <f>IF($A$1="Peak","-",'Base Hours'!S246*BaseLoad!Y245*IS!$B$2)</f>
        <v>384025.37686249259</v>
      </c>
      <c r="T246" s="180">
        <f>IF($A$1="Peak","-",'Base Hours'!T246*BaseLoad!Z245*IS!$B$2)</f>
        <v>384024.79459892848</v>
      </c>
      <c r="U246" s="180">
        <f>IF($A$1="Peak","-",'Base Hours'!U246*BaseLoad!AA245*IS!$B$2)</f>
        <v>1001894.5016412114</v>
      </c>
      <c r="V246" s="180">
        <f t="shared" si="8"/>
        <v>8093257.7870952664</v>
      </c>
      <c r="W246" s="180"/>
      <c r="X246" s="180"/>
      <c r="Y246" s="212"/>
      <c r="Z246" s="212">
        <f>(BaseLoad!C245*'Base Hours'!V246*IS!$B$2)*-1</f>
        <v>-2018314.3088345015</v>
      </c>
      <c r="AA246" s="212"/>
      <c r="AB246" s="212">
        <f>(BaseLoad!D245*'Base Hours'!V246*IS!$B$2)*-1</f>
        <v>-214098.98251552068</v>
      </c>
      <c r="AC246" s="212"/>
      <c r="AD246" s="212">
        <f>(BaseLoad!E245*'Base Hours'!V246*IS!$B$2)*-1</f>
        <v>-1565897.1729156072</v>
      </c>
      <c r="AE246" s="212"/>
      <c r="AF246" s="212">
        <f>(BaseLoad!F245*'Base Hours'!V246*IS!$B$2)*-1</f>
        <v>-67478.784366100575</v>
      </c>
      <c r="AG246" s="212"/>
    </row>
    <row r="247" spans="1:33" x14ac:dyDescent="0.2">
      <c r="A247" s="1">
        <f t="shared" si="7"/>
        <v>43748.829000000303</v>
      </c>
      <c r="B247" s="180">
        <f>IF($A$1="Peak","-",'Base Hours'!B247*BaseLoad!H246*IS!$B$2)</f>
        <v>146302.93182857841</v>
      </c>
      <c r="C247" s="180">
        <f>IF($A$1="Peak","-",'Base Hours'!C247*BaseLoad!I246*IS!$B$2)</f>
        <v>120517.96032861951</v>
      </c>
      <c r="D247" s="180">
        <f>IF($A$1="Peak","-",'Base Hours'!D247*BaseLoad!J246*IS!$B$2)</f>
        <v>227489.33548363851</v>
      </c>
      <c r="E247" s="180">
        <f>IF($A$1="Peak","-",'Base Hours'!E247*BaseLoad!K246*IS!$B$2)</f>
        <v>423381.5311386392</v>
      </c>
      <c r="F247" s="180">
        <f>IF($A$1="Peak","-",'Base Hours'!F247*BaseLoad!L246*IS!$B$2)</f>
        <v>406527.52614266973</v>
      </c>
      <c r="G247" s="180">
        <f>IF($A$1="Peak","-",'Base Hours'!G247*BaseLoad!M246*IS!$B$2)</f>
        <v>810353.5632507822</v>
      </c>
      <c r="H247" s="180">
        <f>IF($A$1="Peak","-",'Base Hours'!H247*BaseLoad!N246*IS!$B$2)</f>
        <v>642552.98264795972</v>
      </c>
      <c r="I247" s="180">
        <f>IF($A$1="Peak","-",'Base Hours'!I247*BaseLoad!O246*IS!$B$2)</f>
        <v>550891.81999319792</v>
      </c>
      <c r="J247" s="180">
        <f>IF($A$1="Peak","-",'Base Hours'!J247*BaseLoad!P246*IS!$B$2)</f>
        <v>460795.94419605064</v>
      </c>
      <c r="K247" s="180">
        <f>IF($A$1="Peak","-",'Base Hours'!K247*BaseLoad!Q246*IS!$B$2)</f>
        <v>454795.12642012339</v>
      </c>
      <c r="L247" s="180">
        <f>IF($A$1="Peak","-",'Base Hours'!L247*BaseLoad!R246*IS!$B$2)</f>
        <v>435259.23011681583</v>
      </c>
      <c r="M247" s="180">
        <f>IF($A$1="Peak","-",'Base Hours'!M247*BaseLoad!S246*IS!$B$2)</f>
        <v>402297.24420031236</v>
      </c>
      <c r="N247" s="180">
        <f>IF($A$1="Peak","-",'Base Hours'!N247*BaseLoad!T246*IS!$B$2)</f>
        <v>402296.35905224195</v>
      </c>
      <c r="O247" s="180">
        <f>IF($A$1="Peak","-",'Base Hours'!O247*BaseLoad!U246*IS!$B$2)</f>
        <v>402296.35905224195</v>
      </c>
      <c r="P247" s="180">
        <f>IF($A$1="Peak","-",'Base Hours'!P247*BaseLoad!V246*IS!$B$2)</f>
        <v>402296.35905224195</v>
      </c>
      <c r="Q247" s="180">
        <f>IF($A$1="Peak","-",'Base Hours'!Q247*BaseLoad!W246*IS!$B$2)</f>
        <v>402296.35905224195</v>
      </c>
      <c r="R247" s="180">
        <f>IF($A$1="Peak","-",'Base Hours'!R247*BaseLoad!X246*IS!$B$2)</f>
        <v>385519.50219479797</v>
      </c>
      <c r="S247" s="180">
        <f>IF($A$1="Peak","-",'Base Hours'!S247*BaseLoad!Y246*IS!$B$2)</f>
        <v>366290.25502204278</v>
      </c>
      <c r="T247" s="180">
        <f>IF($A$1="Peak","-",'Base Hours'!T247*BaseLoad!Z246*IS!$B$2)</f>
        <v>352577.17399638146</v>
      </c>
      <c r="U247" s="180">
        <f>IF($A$1="Peak","-",'Base Hours'!U247*BaseLoad!AA246*IS!$B$2)</f>
        <v>852488.70142653375</v>
      </c>
      <c r="V247" s="180">
        <f t="shared" si="8"/>
        <v>7794737.5631695762</v>
      </c>
      <c r="W247" s="180"/>
      <c r="X247" s="180"/>
      <c r="Y247" s="212"/>
      <c r="Z247" s="212">
        <f>(BaseLoad!C246*'Base Hours'!V247*IS!$B$2)*-1</f>
        <v>-2018314.3088345015</v>
      </c>
      <c r="AA247" s="212"/>
      <c r="AB247" s="212">
        <f>(BaseLoad!D246*'Base Hours'!V247*IS!$B$2)*-1</f>
        <v>-214455.81415304655</v>
      </c>
      <c r="AC247" s="212"/>
      <c r="AD247" s="212">
        <f>(BaseLoad!E246*'Base Hours'!V247*IS!$B$2)*-1</f>
        <v>-1565897.1729156072</v>
      </c>
      <c r="AE247" s="212"/>
      <c r="AF247" s="212">
        <f>(BaseLoad!F246*'Base Hours'!V247*IS!$B$2)*-1</f>
        <v>-67478.784366100575</v>
      </c>
      <c r="AG247" s="212"/>
    </row>
    <row r="248" spans="1:33" x14ac:dyDescent="0.2">
      <c r="A248" s="1">
        <f t="shared" si="7"/>
        <v>43779.246000000305</v>
      </c>
      <c r="B248" s="180">
        <f>IF($A$1="Peak","-",'Base Hours'!B248*BaseLoad!H247*IS!$B$2)</f>
        <v>139434.82310347573</v>
      </c>
      <c r="C248" s="180">
        <f>IF($A$1="Peak","-",'Base Hours'!C248*BaseLoad!I247*IS!$B$2)</f>
        <v>122714.65385518184</v>
      </c>
      <c r="D248" s="180">
        <f>IF($A$1="Peak","-",'Base Hours'!D248*BaseLoad!J247*IS!$B$2)</f>
        <v>236796.56145130211</v>
      </c>
      <c r="E248" s="180">
        <f>IF($A$1="Peak","-",'Base Hours'!E248*BaseLoad!K247*IS!$B$2)</f>
        <v>443512.54973110667</v>
      </c>
      <c r="F248" s="180">
        <f>IF($A$1="Peak","-",'Base Hours'!F248*BaseLoad!L247*IS!$B$2)</f>
        <v>440555.88744697243</v>
      </c>
      <c r="G248" s="180">
        <f>IF($A$1="Peak","-",'Base Hours'!G248*BaseLoad!M247*IS!$B$2)</f>
        <v>786766.48523298593</v>
      </c>
      <c r="H248" s="180">
        <f>IF($A$1="Peak","-",'Base Hours'!H248*BaseLoad!N247*IS!$B$2)</f>
        <v>646513.60833033232</v>
      </c>
      <c r="I248" s="180">
        <f>IF($A$1="Peak","-",'Base Hours'!I248*BaseLoad!O247*IS!$B$2)</f>
        <v>609598.55880975397</v>
      </c>
      <c r="J248" s="180">
        <f>IF($A$1="Peak","-",'Base Hours'!J248*BaseLoad!P247*IS!$B$2)</f>
        <v>551720.70503498078</v>
      </c>
      <c r="K248" s="180">
        <f>IF($A$1="Peak","-",'Base Hours'!K248*BaseLoad!Q247*IS!$B$2)</f>
        <v>458023.41384651518</v>
      </c>
      <c r="L248" s="180">
        <f>IF($A$1="Peak","-",'Base Hours'!L248*BaseLoad!R247*IS!$B$2)</f>
        <v>428696.9360287186</v>
      </c>
      <c r="M248" s="180">
        <f>IF($A$1="Peak","-",'Base Hours'!M248*BaseLoad!S247*IS!$B$2)</f>
        <v>424555.79744549998</v>
      </c>
      <c r="N248" s="180">
        <f>IF($A$1="Peak","-",'Base Hours'!N248*BaseLoad!T247*IS!$B$2)</f>
        <v>421080.69951557484</v>
      </c>
      <c r="O248" s="180">
        <f>IF($A$1="Peak","-",'Base Hours'!O248*BaseLoad!U247*IS!$B$2)</f>
        <v>421048.57795340789</v>
      </c>
      <c r="P248" s="180">
        <f>IF($A$1="Peak","-",'Base Hours'!P248*BaseLoad!V247*IS!$B$2)</f>
        <v>421048.5114981003</v>
      </c>
      <c r="Q248" s="180">
        <f>IF($A$1="Peak","-",'Base Hours'!Q248*BaseLoad!W247*IS!$B$2)</f>
        <v>421048.5114981003</v>
      </c>
      <c r="R248" s="180">
        <f>IF($A$1="Peak","-",'Base Hours'!R248*BaseLoad!X247*IS!$B$2)</f>
        <v>421046.03100593144</v>
      </c>
      <c r="S248" s="180">
        <f>IF($A$1="Peak","-",'Base Hours'!S248*BaseLoad!Y247*IS!$B$2)</f>
        <v>421045.21967343835</v>
      </c>
      <c r="T248" s="180">
        <f>IF($A$1="Peak","-",'Base Hours'!T248*BaseLoad!Z247*IS!$B$2)</f>
        <v>421045.21967343835</v>
      </c>
      <c r="U248" s="180">
        <f>IF($A$1="Peak","-",'Base Hours'!U248*BaseLoad!AA247*IS!$B$2)</f>
        <v>1106092.9073470517</v>
      </c>
      <c r="V248" s="180">
        <f t="shared" si="8"/>
        <v>8236252.7511348166</v>
      </c>
      <c r="W248" s="180"/>
      <c r="X248" s="180"/>
      <c r="Y248" s="212"/>
      <c r="Z248" s="212">
        <f>(BaseLoad!C247*'Base Hours'!V248*IS!$B$2)*-1</f>
        <v>-2018314.3088345015</v>
      </c>
      <c r="AA248" s="212"/>
      <c r="AB248" s="212">
        <f>(BaseLoad!D247*'Base Hours'!V248*IS!$B$2)*-1</f>
        <v>-214813.24050996828</v>
      </c>
      <c r="AC248" s="212"/>
      <c r="AD248" s="212">
        <f>(BaseLoad!E247*'Base Hours'!V248*IS!$B$2)*-1</f>
        <v>-1565897.1729156072</v>
      </c>
      <c r="AE248" s="212"/>
      <c r="AF248" s="212">
        <f>(BaseLoad!F247*'Base Hours'!V248*IS!$B$2)*-1</f>
        <v>-67478.784366100575</v>
      </c>
      <c r="AG248" s="212"/>
    </row>
    <row r="249" spans="1:33" x14ac:dyDescent="0.2">
      <c r="A249" s="1">
        <f t="shared" si="7"/>
        <v>43809.663000000306</v>
      </c>
      <c r="B249" s="180">
        <f>IF($A$1="Peak","-",'Base Hours'!B249*BaseLoad!H248*IS!$B$2)</f>
        <v>157424.58918232861</v>
      </c>
      <c r="C249" s="180">
        <f>IF($A$1="Peak","-",'Base Hours'!C249*BaseLoad!I248*IS!$B$2)</f>
        <v>141466.67104867412</v>
      </c>
      <c r="D249" s="180">
        <f>IF($A$1="Peak","-",'Base Hours'!D249*BaseLoad!J248*IS!$B$2)</f>
        <v>274668.95296699647</v>
      </c>
      <c r="E249" s="180">
        <f>IF($A$1="Peak","-",'Base Hours'!E249*BaseLoad!K248*IS!$B$2)</f>
        <v>512481.4010189292</v>
      </c>
      <c r="F249" s="180">
        <f>IF($A$1="Peak","-",'Base Hours'!F249*BaseLoad!L248*IS!$B$2)</f>
        <v>507916.7721108743</v>
      </c>
      <c r="G249" s="180">
        <f>IF($A$1="Peak","-",'Base Hours'!G249*BaseLoad!M248*IS!$B$2)</f>
        <v>954562.78657750285</v>
      </c>
      <c r="H249" s="180">
        <f>IF($A$1="Peak","-",'Base Hours'!H249*BaseLoad!N248*IS!$B$2)</f>
        <v>687975.00317515363</v>
      </c>
      <c r="I249" s="180">
        <f>IF($A$1="Peak","-",'Base Hours'!I249*BaseLoad!O248*IS!$B$2)</f>
        <v>635462.13416574302</v>
      </c>
      <c r="J249" s="180">
        <f>IF($A$1="Peak","-",'Base Hours'!J249*BaseLoad!P248*IS!$B$2)</f>
        <v>617324.06617909367</v>
      </c>
      <c r="K249" s="180">
        <f>IF($A$1="Peak","-",'Base Hours'!K249*BaseLoad!Q248*IS!$B$2)</f>
        <v>492133.27885659708</v>
      </c>
      <c r="L249" s="180">
        <f>IF($A$1="Peak","-",'Base Hours'!L249*BaseLoad!R248*IS!$B$2)</f>
        <v>483417.57141847961</v>
      </c>
      <c r="M249" s="180">
        <f>IF($A$1="Peak","-",'Base Hours'!M249*BaseLoad!S248*IS!$B$2)</f>
        <v>479462.60050050402</v>
      </c>
      <c r="N249" s="180">
        <f>IF($A$1="Peak","-",'Base Hours'!N249*BaseLoad!T248*IS!$B$2)</f>
        <v>479462.57041658735</v>
      </c>
      <c r="O249" s="180">
        <f>IF($A$1="Peak","-",'Base Hours'!O249*BaseLoad!U248*IS!$B$2)</f>
        <v>479462.4687097345</v>
      </c>
      <c r="P249" s="180">
        <f>IF($A$1="Peak","-",'Base Hours'!P249*BaseLoad!V248*IS!$B$2)</f>
        <v>479462.4687097345</v>
      </c>
      <c r="Q249" s="180">
        <f>IF($A$1="Peak","-",'Base Hours'!Q249*BaseLoad!W248*IS!$B$2)</f>
        <v>479462.14461628802</v>
      </c>
      <c r="R249" s="180">
        <f>IF($A$1="Peak","-",'Base Hours'!R249*BaseLoad!X248*IS!$B$2)</f>
        <v>479459.17010445264</v>
      </c>
      <c r="S249" s="180">
        <f>IF($A$1="Peak","-",'Base Hours'!S249*BaseLoad!Y248*IS!$B$2)</f>
        <v>479459.17010445264</v>
      </c>
      <c r="T249" s="180">
        <f>IF($A$1="Peak","-",'Base Hours'!T249*BaseLoad!Z248*IS!$B$2)</f>
        <v>479459.17010445264</v>
      </c>
      <c r="U249" s="180">
        <f>IF($A$1="Peak","-",'Base Hours'!U249*BaseLoad!AA248*IS!$B$2)</f>
        <v>1213121.491877642</v>
      </c>
      <c r="V249" s="180">
        <f t="shared" si="8"/>
        <v>9300522.9899665788</v>
      </c>
      <c r="W249" s="180"/>
      <c r="X249" s="180"/>
      <c r="Y249" s="212">
        <f>SUM(B238:U249)</f>
        <v>118673460.61548896</v>
      </c>
      <c r="Z249" s="212">
        <f>(BaseLoad!C248*'Base Hours'!V249*IS!$B$2)*-1</f>
        <v>-2018314.3088345015</v>
      </c>
      <c r="AA249" s="212">
        <f>SUM(Z238:Z249)</f>
        <v>-24219771.706014011</v>
      </c>
      <c r="AB249" s="212">
        <f>(BaseLoad!D248*'Base Hours'!V249*IS!$B$2)*-1</f>
        <v>-215171.26257748491</v>
      </c>
      <c r="AC249" s="212">
        <f>SUM(AB238:AB249)</f>
        <v>-2558556.2614647653</v>
      </c>
      <c r="AD249" s="212">
        <f>(BaseLoad!E248*'Base Hours'!V249*IS!$B$2)*-1</f>
        <v>-1565897.1729156072</v>
      </c>
      <c r="AE249" s="212">
        <f>SUM(AD238:AD249)</f>
        <v>-18790766.074987289</v>
      </c>
      <c r="AF249" s="212">
        <f>(BaseLoad!F248*'Base Hours'!V249*IS!$B$2)*-1</f>
        <v>-67478.784366100575</v>
      </c>
      <c r="AG249" s="212">
        <f>SUM(AF238:AF249)</f>
        <v>-809745.41239320685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2269"/>
  <sheetViews>
    <sheetView workbookViewId="0"/>
  </sheetViews>
  <sheetFormatPr defaultRowHeight="12.75" x14ac:dyDescent="0.2"/>
  <cols>
    <col min="1" max="1" width="31.42578125" style="24" bestFit="1" customWidth="1"/>
    <col min="2" max="2" width="27.5703125" style="24" bestFit="1" customWidth="1"/>
    <col min="3" max="3" width="19.7109375" style="24" bestFit="1" customWidth="1"/>
    <col min="4" max="4" width="17.85546875" style="24" bestFit="1" customWidth="1"/>
    <col min="5" max="5" width="17.7109375" style="24" bestFit="1" customWidth="1"/>
    <col min="6" max="6" width="18" style="24" bestFit="1" customWidth="1"/>
    <col min="7" max="7" width="19.85546875" style="24" bestFit="1" customWidth="1"/>
    <col min="8" max="8" width="18.140625" style="24" bestFit="1" customWidth="1"/>
    <col min="9" max="9" width="17.28515625" style="24" bestFit="1" customWidth="1"/>
    <col min="10" max="10" width="16" style="24" customWidth="1"/>
    <col min="11" max="11" width="17.42578125" style="24" bestFit="1" customWidth="1"/>
    <col min="12" max="12" width="17.85546875" style="24" bestFit="1" customWidth="1"/>
    <col min="13" max="13" width="18" style="24" bestFit="1" customWidth="1"/>
    <col min="14" max="14" width="17.85546875" style="24" bestFit="1" customWidth="1"/>
    <col min="15" max="15" width="16" style="24" customWidth="1"/>
    <col min="16" max="16" width="18" style="24" bestFit="1" customWidth="1"/>
    <col min="17" max="17" width="17.7109375" style="24" bestFit="1" customWidth="1"/>
    <col min="18" max="18" width="17.42578125" style="24" bestFit="1" customWidth="1"/>
    <col min="19" max="19" width="18.28515625" style="24" bestFit="1" customWidth="1"/>
    <col min="20" max="20" width="17.140625" style="24" bestFit="1" customWidth="1"/>
    <col min="21" max="21" width="17.42578125" style="24" bestFit="1" customWidth="1"/>
    <col min="22" max="22" width="13.28515625" style="24" bestFit="1" customWidth="1"/>
    <col min="23" max="23" width="4" style="24" customWidth="1"/>
    <col min="24" max="16384" width="9.140625" style="24"/>
  </cols>
  <sheetData>
    <row r="1" spans="1:23" s="9" customFormat="1" x14ac:dyDescent="0.2">
      <c r="A1" s="308"/>
      <c r="B1" s="309"/>
      <c r="C1" s="310"/>
      <c r="F1" s="476" t="s">
        <v>138</v>
      </c>
      <c r="G1" s="476"/>
      <c r="H1" s="476"/>
      <c r="I1" s="476"/>
    </row>
    <row r="2" spans="1:23" s="9" customFormat="1" x14ac:dyDescent="0.2">
      <c r="A2" s="265" t="s">
        <v>26</v>
      </c>
      <c r="B2" s="381">
        <f>Summary!C51</f>
        <v>5831.8480000000018</v>
      </c>
      <c r="C2" s="363"/>
      <c r="D2" s="267"/>
    </row>
    <row r="3" spans="1:23" s="9" customFormat="1" x14ac:dyDescent="0.2">
      <c r="A3" s="265" t="s">
        <v>99</v>
      </c>
      <c r="B3" s="382">
        <f>Assumptions!L16</f>
        <v>0.1</v>
      </c>
      <c r="C3" s="267"/>
      <c r="D3" s="267"/>
    </row>
    <row r="4" spans="1:23" s="9" customFormat="1" x14ac:dyDescent="0.2">
      <c r="A4" s="308"/>
      <c r="B4" s="309"/>
    </row>
    <row r="5" spans="1:23" s="9" customFormat="1" x14ac:dyDescent="0.2">
      <c r="B5" s="69"/>
    </row>
    <row r="6" spans="1:23" s="9" customFormat="1" ht="15.75" x14ac:dyDescent="0.25">
      <c r="A6" s="308" t="s">
        <v>29</v>
      </c>
      <c r="B6" s="311" t="s">
        <v>182</v>
      </c>
      <c r="C6" s="312">
        <v>2000</v>
      </c>
      <c r="D6" s="312">
        <v>2001</v>
      </c>
      <c r="E6" s="312">
        <v>2002</v>
      </c>
      <c r="F6" s="312">
        <v>2003</v>
      </c>
      <c r="G6" s="312">
        <v>2004</v>
      </c>
      <c r="H6" s="312">
        <v>2005</v>
      </c>
      <c r="I6" s="312">
        <v>2006</v>
      </c>
      <c r="J6" s="312">
        <v>2007</v>
      </c>
      <c r="K6" s="312">
        <v>2008</v>
      </c>
      <c r="L6" s="312">
        <v>2009</v>
      </c>
      <c r="M6" s="312">
        <v>2010</v>
      </c>
      <c r="N6" s="312">
        <v>2011</v>
      </c>
      <c r="O6" s="312">
        <v>2012</v>
      </c>
      <c r="P6" s="312">
        <v>2013</v>
      </c>
      <c r="Q6" s="312">
        <v>2014</v>
      </c>
      <c r="R6" s="312">
        <v>2015</v>
      </c>
      <c r="S6" s="312">
        <v>2016</v>
      </c>
      <c r="T6" s="312">
        <v>2017</v>
      </c>
      <c r="U6" s="312">
        <v>2018</v>
      </c>
      <c r="V6" s="312">
        <v>2019</v>
      </c>
      <c r="W6" s="312" t="s">
        <v>154</v>
      </c>
    </row>
    <row r="7" spans="1:23" s="9" customFormat="1" x14ac:dyDescent="0.2">
      <c r="A7" s="408">
        <f>Summary!F4</f>
        <v>0</v>
      </c>
      <c r="B7" s="313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</row>
    <row r="8" spans="1:23" s="333" customFormat="1" x14ac:dyDescent="0.2">
      <c r="A8" s="9"/>
      <c r="B8" s="409" t="s">
        <v>27</v>
      </c>
      <c r="C8" s="444">
        <v>0</v>
      </c>
      <c r="D8" s="410">
        <f>+D68+D134+D200+D266+D332+D398+D464+D530+D596+D662+D728+D794+D860+D926+D992+D1058+D1124+D1190+D1256+D1322+D1388+D1454+D1520+D1586+D1652+D1718+D1784+D1850+D1916+D1982+D2048+D2114+D2180</f>
        <v>1372730909.3561387</v>
      </c>
      <c r="E8" s="410">
        <f t="shared" ref="E8:V12" si="0">+E68+E134+E200+E266+E332+E398+E464+E530+E596+E662+E728+E794+E860+E926+E992+E1058+E1124+E1190+E1256+E1322+E1388+E1454+E1520+E1586+E1652+E1718+E1784+E1850+E1916+E1982+E2048+E2114+E2180</f>
        <v>1328570064.4907503</v>
      </c>
      <c r="F8" s="410">
        <f t="shared" si="0"/>
        <v>1334677335.4578409</v>
      </c>
      <c r="G8" s="410">
        <f t="shared" si="0"/>
        <v>1277366426.6770792</v>
      </c>
      <c r="H8" s="410">
        <f t="shared" si="0"/>
        <v>1274800572.7705138</v>
      </c>
      <c r="I8" s="410">
        <f t="shared" si="0"/>
        <v>1352793099.2476077</v>
      </c>
      <c r="J8" s="410">
        <f t="shared" si="0"/>
        <v>1460424794.753768</v>
      </c>
      <c r="K8" s="410">
        <f t="shared" si="0"/>
        <v>1538233816.1531239</v>
      </c>
      <c r="L8" s="410">
        <f t="shared" si="0"/>
        <v>1566939034.6281829</v>
      </c>
      <c r="M8" s="410">
        <f t="shared" si="0"/>
        <v>1552239028.1996672</v>
      </c>
      <c r="N8" s="410">
        <f t="shared" si="0"/>
        <v>1587024744.6804693</v>
      </c>
      <c r="O8" s="410">
        <f t="shared" si="0"/>
        <v>1596798790.9090114</v>
      </c>
      <c r="P8" s="410">
        <f t="shared" si="0"/>
        <v>1609000453.7051835</v>
      </c>
      <c r="Q8" s="410">
        <f t="shared" si="0"/>
        <v>1688017762.2003493</v>
      </c>
      <c r="R8" s="410">
        <f t="shared" si="0"/>
        <v>1795240311.0517321</v>
      </c>
      <c r="S8" s="410">
        <f t="shared" si="0"/>
        <v>1756309092.0869741</v>
      </c>
      <c r="T8" s="410">
        <f t="shared" si="0"/>
        <v>1773033943.1226408</v>
      </c>
      <c r="U8" s="410">
        <f t="shared" si="0"/>
        <v>1862769785.359643</v>
      </c>
      <c r="V8" s="410">
        <f t="shared" si="0"/>
        <v>1938795352.9998429</v>
      </c>
    </row>
    <row r="9" spans="1:23" s="333" customFormat="1" x14ac:dyDescent="0.2">
      <c r="A9" s="9"/>
      <c r="B9" s="409" t="s">
        <v>20</v>
      </c>
      <c r="C9" s="444">
        <v>0</v>
      </c>
      <c r="D9" s="410">
        <f>+D69+D135+D201+D267+D333+D399+D465+D531+D597+D663+D729+D795+D861+D927+D993+D1059+D1125+D1191+D1257+D1323+D1389+D1455+D1521+D1587+D1653+D1719+D1785+D1851+D1917+D1983+D2049+D2115+D2181</f>
        <v>-415487589.32843727</v>
      </c>
      <c r="E9" s="410">
        <f t="shared" ref="E9:S9" si="1">+E69+E135+E201+E267+E333+E399+E465+E531+E597+E663+E729+E795+E861+E927+E993+E1059+E1125+E1191+E1257+E1323+E1389+E1455+E1521+E1587+E1653+E1719+E1785+E1851+E1917+E1983+E2049+E2115+E2181</f>
        <v>-423061744.57371527</v>
      </c>
      <c r="F9" s="410">
        <f t="shared" si="1"/>
        <v>-432733735.43757969</v>
      </c>
      <c r="G9" s="410">
        <f t="shared" si="1"/>
        <v>-422314750.95543045</v>
      </c>
      <c r="H9" s="410">
        <f t="shared" si="1"/>
        <v>-434267042.94994861</v>
      </c>
      <c r="I9" s="410">
        <f t="shared" si="1"/>
        <v>-462311831.91124266</v>
      </c>
      <c r="J9" s="410">
        <f t="shared" si="1"/>
        <v>-482380451.09508967</v>
      </c>
      <c r="K9" s="410">
        <f t="shared" si="1"/>
        <v>-512698629.68327206</v>
      </c>
      <c r="L9" s="410">
        <f t="shared" si="1"/>
        <v>-522675572.42782122</v>
      </c>
      <c r="M9" s="410">
        <f t="shared" si="1"/>
        <v>-508612626.12843686</v>
      </c>
      <c r="N9" s="410">
        <f t="shared" si="1"/>
        <v>-532123015.67916906</v>
      </c>
      <c r="O9" s="410">
        <f t="shared" si="1"/>
        <v>-530110232.60831398</v>
      </c>
      <c r="P9" s="410">
        <f t="shared" si="1"/>
        <v>-535839505.63024336</v>
      </c>
      <c r="Q9" s="410">
        <f t="shared" si="1"/>
        <v>-558018799.33417308</v>
      </c>
      <c r="R9" s="410">
        <f t="shared" si="1"/>
        <v>-578821110.97015607</v>
      </c>
      <c r="S9" s="410">
        <f t="shared" si="1"/>
        <v>-571200154.14341295</v>
      </c>
      <c r="T9" s="410">
        <f t="shared" si="0"/>
        <v>-570795312.55053818</v>
      </c>
      <c r="U9" s="410">
        <f t="shared" si="0"/>
        <v>-585370273.94101608</v>
      </c>
      <c r="V9" s="410">
        <f t="shared" si="0"/>
        <v>-625207891.81244063</v>
      </c>
    </row>
    <row r="10" spans="1:23" s="333" customFormat="1" x14ac:dyDescent="0.2">
      <c r="A10" s="9"/>
      <c r="B10" s="409" t="s">
        <v>31</v>
      </c>
      <c r="C10" s="444">
        <v>0</v>
      </c>
      <c r="D10" s="410">
        <f>+D70+D136+D202+D268+D334+D400+D466+D532+D598+D664+D730+D796+D862+D928+D994+D1060+D1126+D1192+D1258+D1324+D1390+D1456+D1522+D1588+D1654+D1720+D1786+D1852+D1918+D1984+D2050+D2116+D2182</f>
        <v>-31799250.336833995</v>
      </c>
      <c r="E10" s="410">
        <f t="shared" si="0"/>
        <v>-32364848.28093202</v>
      </c>
      <c r="F10" s="410">
        <f t="shared" si="0"/>
        <v>-43629684.649772994</v>
      </c>
      <c r="G10" s="410">
        <f t="shared" si="0"/>
        <v>-43719756.79680191</v>
      </c>
      <c r="H10" s="410">
        <f t="shared" si="0"/>
        <v>-44186099.294483051</v>
      </c>
      <c r="I10" s="410">
        <f t="shared" si="0"/>
        <v>-44993082.866855808</v>
      </c>
      <c r="J10" s="410">
        <f t="shared" si="0"/>
        <v>-46085190.328784183</v>
      </c>
      <c r="K10" s="410">
        <f t="shared" si="0"/>
        <v>-47935196.031235181</v>
      </c>
      <c r="L10" s="410">
        <f t="shared" si="0"/>
        <v>-48929716.228158817</v>
      </c>
      <c r="M10" s="410">
        <f t="shared" si="0"/>
        <v>-49333502.212658525</v>
      </c>
      <c r="N10" s="410">
        <f t="shared" si="0"/>
        <v>-50739219.400514401</v>
      </c>
      <c r="O10" s="410">
        <f t="shared" si="0"/>
        <v>-51602435.775182329</v>
      </c>
      <c r="P10" s="410">
        <f t="shared" si="0"/>
        <v>-52444569.665076181</v>
      </c>
      <c r="Q10" s="410">
        <f t="shared" si="0"/>
        <v>-53979923.0001323</v>
      </c>
      <c r="R10" s="410">
        <f t="shared" si="0"/>
        <v>-55163187.439068533</v>
      </c>
      <c r="S10" s="410">
        <f t="shared" si="0"/>
        <v>-55778216.105304837</v>
      </c>
      <c r="T10" s="410">
        <f t="shared" si="0"/>
        <v>-56676133.810380735</v>
      </c>
      <c r="U10" s="410">
        <f t="shared" si="0"/>
        <v>-57984751.450396523</v>
      </c>
      <c r="V10" s="410">
        <f t="shared" si="0"/>
        <v>-60056561.176164135</v>
      </c>
    </row>
    <row r="11" spans="1:23" s="333" customFormat="1" x14ac:dyDescent="0.2">
      <c r="A11" s="9"/>
      <c r="B11" s="409" t="s">
        <v>32</v>
      </c>
      <c r="C11" s="444">
        <v>0</v>
      </c>
      <c r="D11" s="410">
        <f>+D71+D137+D203+D269+D335+D401+D467+D533+D599+D665+D731+D797+D863+D929+D995+D1061+D1127+D1193+D1259+D1325+D1391+D1457+D1523+D1589+D1655+D1721+D1787+D1853+D1919+D1985+D2051+D2117+D2183</f>
        <v>0</v>
      </c>
      <c r="E11" s="410">
        <f t="shared" si="0"/>
        <v>0</v>
      </c>
      <c r="F11" s="410">
        <f t="shared" si="0"/>
        <v>0</v>
      </c>
      <c r="G11" s="410">
        <f t="shared" si="0"/>
        <v>0</v>
      </c>
      <c r="H11" s="410">
        <f t="shared" si="0"/>
        <v>0</v>
      </c>
      <c r="I11" s="410">
        <f>+I71+I137+I203+I269+I335+I401+I467+I533+I599+I665+I731+I797+I863+I929+I995+I1061+I1127+I1193+I1259+I1325+I1391+I1457+I1523+I1589+I1655+I1721+I1787+I1853+I1919+I1985+I2051+I2117+I2183</f>
        <v>-11422676.359529186</v>
      </c>
      <c r="J11" s="410">
        <f t="shared" ref="J11:V11" si="2">+J71+J137+J203+J269+J335+J401+J467+J533+J599+J665+J731+J797+J863+J929+J995+J1061+J1127+J1193+J1259+J1325+J1391+J1457+J1523+J1589+J1655+J1721+J1787+J1853+J1919+J1985+J2051+J2117+J2183</f>
        <v>-12407960.579805208</v>
      </c>
      <c r="K11" s="410">
        <f t="shared" si="2"/>
        <v>-15923164.996475311</v>
      </c>
      <c r="L11" s="410">
        <f t="shared" si="2"/>
        <v>-15133110.355947956</v>
      </c>
      <c r="M11" s="410">
        <f t="shared" si="2"/>
        <v>-16875592.602202546</v>
      </c>
      <c r="N11" s="410">
        <f t="shared" si="2"/>
        <v>-18666060.597679891</v>
      </c>
      <c r="O11" s="410">
        <f t="shared" si="2"/>
        <v>-20617088.300224513</v>
      </c>
      <c r="P11" s="410">
        <f t="shared" si="2"/>
        <v>-23033628.858600806</v>
      </c>
      <c r="Q11" s="410">
        <f t="shared" si="2"/>
        <v>-25871298.140835039</v>
      </c>
      <c r="R11" s="410">
        <f t="shared" si="2"/>
        <v>-29200093.961603817</v>
      </c>
      <c r="S11" s="410">
        <f t="shared" si="2"/>
        <v>-31240621.772135306</v>
      </c>
      <c r="T11" s="410">
        <f t="shared" si="2"/>
        <v>-30757676.941415217</v>
      </c>
      <c r="U11" s="410">
        <f t="shared" si="2"/>
        <v>-26638031.38574658</v>
      </c>
      <c r="V11" s="410">
        <f t="shared" si="2"/>
        <v>-28535344.479759879</v>
      </c>
    </row>
    <row r="12" spans="1:23" s="333" customFormat="1" ht="13.5" thickBot="1" x14ac:dyDescent="0.25">
      <c r="A12" s="9"/>
      <c r="B12" s="411" t="s">
        <v>33</v>
      </c>
      <c r="C12" s="445">
        <v>0</v>
      </c>
      <c r="D12" s="412">
        <f>+D72+D138+D204+D270+D336+D402+D468+D534+D600+D666+D732+D798+D864+D930+D996+D1062+D1128+D1194+D1260+D1326+D1392+D1458+D1524+D1590+D1656+D1722+D1788+D1854+D1920+D1986+D2052+D2118+D2184</f>
        <v>0</v>
      </c>
      <c r="E12" s="412">
        <f t="shared" si="0"/>
        <v>0</v>
      </c>
      <c r="F12" s="412">
        <f t="shared" si="0"/>
        <v>-36925840.78754475</v>
      </c>
      <c r="G12" s="412">
        <f t="shared" si="0"/>
        <v>-31033694.854999449</v>
      </c>
      <c r="H12" s="412">
        <f t="shared" si="0"/>
        <v>-31752780.975241907</v>
      </c>
      <c r="I12" s="412">
        <f t="shared" si="0"/>
        <v>-29916206.385394819</v>
      </c>
      <c r="J12" s="412">
        <f t="shared" si="0"/>
        <v>-40548031.981677771</v>
      </c>
      <c r="K12" s="412">
        <f t="shared" si="0"/>
        <v>-35527904.041127436</v>
      </c>
      <c r="L12" s="412">
        <f t="shared" si="0"/>
        <v>-37616475.118039154</v>
      </c>
      <c r="M12" s="412">
        <f t="shared" si="0"/>
        <v>-35985186.311189927</v>
      </c>
      <c r="N12" s="412">
        <f t="shared" si="0"/>
        <v>-37356941.107750446</v>
      </c>
      <c r="O12" s="412">
        <f t="shared" si="0"/>
        <v>-38038260.767427035</v>
      </c>
      <c r="P12" s="412">
        <f t="shared" si="0"/>
        <v>-33928800.405120812</v>
      </c>
      <c r="Q12" s="412">
        <f t="shared" si="0"/>
        <v>-35536070.212488391</v>
      </c>
      <c r="R12" s="412">
        <f t="shared" si="0"/>
        <v>-37400448.061806791</v>
      </c>
      <c r="S12" s="412">
        <f t="shared" si="0"/>
        <v>-38314671.465560772</v>
      </c>
      <c r="T12" s="412">
        <f t="shared" si="0"/>
        <v>-36122143.9015406</v>
      </c>
      <c r="U12" s="412">
        <f t="shared" si="0"/>
        <v>-40300076.309235319</v>
      </c>
      <c r="V12" s="412">
        <f t="shared" si="0"/>
        <v>-23169601.884489182</v>
      </c>
    </row>
    <row r="13" spans="1:23" s="333" customFormat="1" ht="13.5" thickTop="1" x14ac:dyDescent="0.2">
      <c r="A13" s="9"/>
      <c r="B13" s="413" t="s">
        <v>38</v>
      </c>
      <c r="C13" s="446">
        <v>0</v>
      </c>
      <c r="D13" s="414">
        <f t="shared" ref="D13:V13" si="3">SUM(D8:D12)</f>
        <v>925444069.69086742</v>
      </c>
      <c r="E13" s="414">
        <f t="shared" si="3"/>
        <v>873143471.63610303</v>
      </c>
      <c r="F13" s="414">
        <f t="shared" si="3"/>
        <v>821388074.58294356</v>
      </c>
      <c r="G13" s="414">
        <f t="shared" si="3"/>
        <v>780298224.06984735</v>
      </c>
      <c r="H13" s="414">
        <f t="shared" si="3"/>
        <v>764594649.55084026</v>
      </c>
      <c r="I13" s="414">
        <f t="shared" si="3"/>
        <v>804149301.72458518</v>
      </c>
      <c r="J13" s="414">
        <f t="shared" si="3"/>
        <v>879003160.76841104</v>
      </c>
      <c r="K13" s="414">
        <f t="shared" si="3"/>
        <v>926148921.40101373</v>
      </c>
      <c r="L13" s="414">
        <f t="shared" si="3"/>
        <v>942584160.49821579</v>
      </c>
      <c r="M13" s="414">
        <f t="shared" si="3"/>
        <v>941432120.94517946</v>
      </c>
      <c r="N13" s="414">
        <f t="shared" si="3"/>
        <v>948139507.89535558</v>
      </c>
      <c r="O13" s="414">
        <f t="shared" si="3"/>
        <v>956430773.45786333</v>
      </c>
      <c r="P13" s="414">
        <f t="shared" si="3"/>
        <v>963753949.14614236</v>
      </c>
      <c r="Q13" s="414">
        <f t="shared" si="3"/>
        <v>1014611671.5127203</v>
      </c>
      <c r="R13" s="414">
        <f t="shared" si="3"/>
        <v>1094655470.6190968</v>
      </c>
      <c r="S13" s="414">
        <f t="shared" si="3"/>
        <v>1059775428.6005603</v>
      </c>
      <c r="T13" s="414">
        <f t="shared" si="3"/>
        <v>1078682675.918766</v>
      </c>
      <c r="U13" s="414">
        <f t="shared" si="3"/>
        <v>1152476652.2732484</v>
      </c>
      <c r="V13" s="414">
        <f t="shared" si="3"/>
        <v>1201825953.6469889</v>
      </c>
    </row>
    <row r="14" spans="1:23" s="333" customFormat="1" x14ac:dyDescent="0.2">
      <c r="A14" s="9"/>
      <c r="B14" s="409" t="s">
        <v>34</v>
      </c>
      <c r="C14" s="444">
        <v>0</v>
      </c>
      <c r="D14" s="415">
        <f>+D74+D140+D206+D272+D338+D404+D470+D536+D602+D668+D734+D800+D866+D932+D998+D1064+D1130+D1196+D1262+D1328+D1394+D1460+D1526+D1592+D1658+D1724+D1790+D1856+D1922+D1988+D2054+D2120+D2186</f>
        <v>-68695001.786403477</v>
      </c>
      <c r="E14" s="415">
        <f t="shared" ref="E14:V16" si="4">+E74+E140+E206+E272+E338+E404+E470+E536+E602+E668+E734+E800+E866+E932+E998+E1064+E1130+E1196+E1262+E1328+E1394+E1460+E1526+E1592+E1658+E1724+E1790+E1856+E1922+E1988+E2054+E2120+E2186</f>
        <v>-70068901.822131574</v>
      </c>
      <c r="F14" s="415">
        <f t="shared" si="4"/>
        <v>-71981803.858574226</v>
      </c>
      <c r="G14" s="415">
        <f t="shared" si="4"/>
        <v>-73423997.555745676</v>
      </c>
      <c r="H14" s="415">
        <f t="shared" si="4"/>
        <v>-74895099.067360595</v>
      </c>
      <c r="I14" s="415">
        <f t="shared" si="4"/>
        <v>-76395688.14822033</v>
      </c>
      <c r="J14" s="415">
        <f t="shared" si="4"/>
        <v>-77926356.188185021</v>
      </c>
      <c r="K14" s="415">
        <f t="shared" si="4"/>
        <v>-79487706.44587411</v>
      </c>
      <c r="L14" s="415">
        <f t="shared" si="4"/>
        <v>-81080354.287065059</v>
      </c>
      <c r="M14" s="415">
        <f t="shared" si="4"/>
        <v>-82704927.427886605</v>
      </c>
      <c r="N14" s="415">
        <f t="shared" si="4"/>
        <v>-84362066.182901606</v>
      </c>
      <c r="O14" s="415">
        <f t="shared" si="4"/>
        <v>-86052423.718178377</v>
      </c>
      <c r="P14" s="415">
        <f t="shared" si="4"/>
        <v>-87776666.309451073</v>
      </c>
      <c r="Q14" s="415">
        <f t="shared" si="4"/>
        <v>-89535473.605472073</v>
      </c>
      <c r="R14" s="415">
        <f t="shared" si="4"/>
        <v>-91329538.8966593</v>
      </c>
      <c r="S14" s="415">
        <f t="shared" si="4"/>
        <v>-93159569.389147162</v>
      </c>
      <c r="T14" s="415">
        <f t="shared" si="4"/>
        <v>-95026286.48434858</v>
      </c>
      <c r="U14" s="415">
        <f t="shared" si="4"/>
        <v>-96930426.064139649</v>
      </c>
      <c r="V14" s="415">
        <f t="shared" si="4"/>
        <v>-98872738.781778947</v>
      </c>
    </row>
    <row r="15" spans="1:23" s="333" customFormat="1" x14ac:dyDescent="0.2">
      <c r="A15" s="9"/>
      <c r="B15" s="409" t="s">
        <v>35</v>
      </c>
      <c r="C15" s="444">
        <v>0</v>
      </c>
      <c r="D15" s="415">
        <f>+D75+D141+D207+D273+D339+D405+D471+D537+D603+D669+D735+D801+D867+D933+D999+D1065+D1131+D1197+D1263+D1329+D1395+D1461+D1527+D1593+D1659+D1725+D1791+D1857+D1923+D1989+D2055+D2121+D2187</f>
        <v>-12767905.913376469</v>
      </c>
      <c r="E15" s="415">
        <f t="shared" ref="E15:S15" si="5">+E75+E141+E207+E273+E339+E405+E471+E537+E603+E669+E735+E801+E867+E933+E999+E1065+E1131+E1197+E1263+E1329+E1395+E1461+E1527+E1593+E1659+E1725+E1791+E1857+E1923+E1989+E2055+E2121+E2187</f>
        <v>-12988349.945013341</v>
      </c>
      <c r="F15" s="415">
        <f t="shared" si="5"/>
        <v>-13166049.691189464</v>
      </c>
      <c r="G15" s="415">
        <f t="shared" si="5"/>
        <v>-13394738.925766969</v>
      </c>
      <c r="H15" s="415">
        <f t="shared" si="5"/>
        <v>-13923530.505658176</v>
      </c>
      <c r="I15" s="415">
        <f t="shared" si="5"/>
        <v>-14845595.034926198</v>
      </c>
      <c r="J15" s="415">
        <f t="shared" si="5"/>
        <v>-15413329.457260314</v>
      </c>
      <c r="K15" s="415">
        <f t="shared" si="5"/>
        <v>-15995796.514867311</v>
      </c>
      <c r="L15" s="415">
        <f t="shared" si="5"/>
        <v>-16537162.938873557</v>
      </c>
      <c r="M15" s="415">
        <f t="shared" si="5"/>
        <v>-16893245.369674541</v>
      </c>
      <c r="N15" s="415">
        <f t="shared" si="5"/>
        <v>-17101456.592494987</v>
      </c>
      <c r="O15" s="415">
        <f t="shared" si="5"/>
        <v>-17314791.204069324</v>
      </c>
      <c r="P15" s="415">
        <f t="shared" si="5"/>
        <v>-17530488.745849188</v>
      </c>
      <c r="Q15" s="415">
        <f t="shared" si="5"/>
        <v>-17751578.726173554</v>
      </c>
      <c r="R15" s="415">
        <f t="shared" si="5"/>
        <v>-17978218.065004054</v>
      </c>
      <c r="S15" s="415">
        <f t="shared" si="5"/>
        <v>-18210523.387305327</v>
      </c>
      <c r="T15" s="415">
        <f t="shared" si="4"/>
        <v>-18448589.881599657</v>
      </c>
      <c r="U15" s="415">
        <f t="shared" si="4"/>
        <v>-18692631.844900783</v>
      </c>
      <c r="V15" s="415">
        <f t="shared" si="4"/>
        <v>-18942799.261480771</v>
      </c>
    </row>
    <row r="16" spans="1:23" s="333" customFormat="1" ht="13.5" thickBot="1" x14ac:dyDescent="0.25">
      <c r="A16" s="9"/>
      <c r="B16" s="411" t="s">
        <v>36</v>
      </c>
      <c r="C16" s="445">
        <v>0</v>
      </c>
      <c r="D16" s="412">
        <f>+D76+D142+D208+D274+D340+D406+D472+D538+D604+D670+D736+D802+D868+D934+D1000+D1066+D1132+D1198+D1264+D1330+D1396+D1462+D1528+D1594+D1660+D1726+D1792+D1858+D1924+D1990+D2056+D2122+D2188</f>
        <v>-10698495.129002243</v>
      </c>
      <c r="E16" s="412">
        <f t="shared" si="4"/>
        <v>-10924570.78622425</v>
      </c>
      <c r="F16" s="412">
        <f t="shared" si="4"/>
        <v>-11163857.201222589</v>
      </c>
      <c r="G16" s="412">
        <f t="shared" si="4"/>
        <v>-11415925.427739171</v>
      </c>
      <c r="H16" s="412">
        <f t="shared" si="4"/>
        <v>-11686904.107775267</v>
      </c>
      <c r="I16" s="412">
        <f t="shared" si="4"/>
        <v>-11978527.530851079</v>
      </c>
      <c r="J16" s="412">
        <f t="shared" si="4"/>
        <v>-12274456.836925253</v>
      </c>
      <c r="K16" s="412">
        <f t="shared" si="4"/>
        <v>-12583733.824679468</v>
      </c>
      <c r="L16" s="412">
        <f t="shared" si="4"/>
        <v>-12893373.262775861</v>
      </c>
      <c r="M16" s="412">
        <f t="shared" si="4"/>
        <v>-13220592.606001101</v>
      </c>
      <c r="N16" s="412">
        <f t="shared" si="4"/>
        <v>-13539527.727062106</v>
      </c>
      <c r="O16" s="412">
        <f t="shared" si="4"/>
        <v>-13879232.493646793</v>
      </c>
      <c r="P16" s="412">
        <f t="shared" si="4"/>
        <v>-14230145.59870084</v>
      </c>
      <c r="Q16" s="412">
        <f t="shared" si="4"/>
        <v>-14584438.920647066</v>
      </c>
      <c r="R16" s="412">
        <f t="shared" si="4"/>
        <v>-14948966.144370275</v>
      </c>
      <c r="S16" s="412">
        <f t="shared" si="4"/>
        <v>-15321165.019171411</v>
      </c>
      <c r="T16" s="412">
        <f t="shared" si="4"/>
        <v>-15699674.999034358</v>
      </c>
      <c r="U16" s="412">
        <f t="shared" si="4"/>
        <v>-16092090.607889149</v>
      </c>
      <c r="V16" s="412">
        <f t="shared" si="4"/>
        <v>-16494319.631386483</v>
      </c>
    </row>
    <row r="17" spans="1:23" s="333" customFormat="1" ht="13.5" thickTop="1" x14ac:dyDescent="0.2">
      <c r="A17" s="9"/>
      <c r="B17" s="413" t="s">
        <v>221</v>
      </c>
      <c r="C17" s="447">
        <v>0</v>
      </c>
      <c r="D17" s="416">
        <f>SUM(D13:D16)</f>
        <v>833282666.86208534</v>
      </c>
      <c r="E17" s="416">
        <f t="shared" ref="E17:V17" si="6">SUM(E13:E16)</f>
        <v>779161649.08273399</v>
      </c>
      <c r="F17" s="416">
        <f t="shared" si="6"/>
        <v>725076363.83195734</v>
      </c>
      <c r="G17" s="416">
        <f t="shared" si="6"/>
        <v>682063562.16059554</v>
      </c>
      <c r="H17" s="416">
        <f t="shared" si="6"/>
        <v>664089115.87004626</v>
      </c>
      <c r="I17" s="416">
        <f t="shared" si="6"/>
        <v>700929491.01058757</v>
      </c>
      <c r="J17" s="416">
        <f t="shared" si="6"/>
        <v>773389018.28604043</v>
      </c>
      <c r="K17" s="416">
        <f t="shared" si="6"/>
        <v>818081684.61559284</v>
      </c>
      <c r="L17" s="416">
        <f t="shared" si="6"/>
        <v>832073270.00950134</v>
      </c>
      <c r="M17" s="416">
        <f t="shared" si="6"/>
        <v>828613355.54161716</v>
      </c>
      <c r="N17" s="416">
        <f t="shared" si="6"/>
        <v>833136457.39289689</v>
      </c>
      <c r="O17" s="416">
        <f t="shared" si="6"/>
        <v>839184326.04196882</v>
      </c>
      <c r="P17" s="416">
        <f t="shared" si="6"/>
        <v>844216648.49214125</v>
      </c>
      <c r="Q17" s="416">
        <f t="shared" si="6"/>
        <v>892740180.26042771</v>
      </c>
      <c r="R17" s="416">
        <f t="shared" si="6"/>
        <v>970398747.51306307</v>
      </c>
      <c r="S17" s="416">
        <f t="shared" si="6"/>
        <v>933084170.80493641</v>
      </c>
      <c r="T17" s="416">
        <f t="shared" si="6"/>
        <v>949508124.55378342</v>
      </c>
      <c r="U17" s="416">
        <f t="shared" si="6"/>
        <v>1020761503.7563189</v>
      </c>
      <c r="V17" s="416">
        <f t="shared" si="6"/>
        <v>1067516095.9723425</v>
      </c>
    </row>
    <row r="18" spans="1:23" s="333" customFormat="1" x14ac:dyDescent="0.2">
      <c r="A18" s="9"/>
      <c r="B18" s="409" t="s">
        <v>37</v>
      </c>
      <c r="C18" s="444">
        <v>0</v>
      </c>
      <c r="D18" s="415">
        <f t="shared" ref="D18:V18" si="7">+D78+D144+D210+D276+D342+D408+D474+D540+D606+D672+D738+D804+D870+D936+D1002+D1068+D1134+D1200+D1266+D1332+D1398+D1464+D1530+D1596+D1662+D1728+D1794+D1860+D1926+D1992+D2058+D2124+D2190</f>
        <v>-124019323.54487899</v>
      </c>
      <c r="E18" s="415">
        <f t="shared" si="7"/>
        <v>-136819901.36602429</v>
      </c>
      <c r="F18" s="415">
        <f t="shared" si="7"/>
        <v>-142342503.45333138</v>
      </c>
      <c r="G18" s="415">
        <f t="shared" si="7"/>
        <v>-141672891.25210619</v>
      </c>
      <c r="H18" s="415">
        <f t="shared" si="7"/>
        <v>-96822825.121369198</v>
      </c>
      <c r="I18" s="415">
        <f t="shared" si="7"/>
        <v>-88718324.208471864</v>
      </c>
      <c r="J18" s="415">
        <f t="shared" si="7"/>
        <v>-73936424.798074126</v>
      </c>
      <c r="K18" s="415">
        <f t="shared" si="7"/>
        <v>-62452705.896495461</v>
      </c>
      <c r="L18" s="415">
        <f t="shared" si="7"/>
        <v>-60910415.507477529</v>
      </c>
      <c r="M18" s="415">
        <f t="shared" si="7"/>
        <v>-61716348.082673006</v>
      </c>
      <c r="N18" s="415">
        <f t="shared" si="7"/>
        <v>-62993297.942562923</v>
      </c>
      <c r="O18" s="415">
        <f t="shared" si="7"/>
        <v>-64212845.735393852</v>
      </c>
      <c r="P18" s="415">
        <f t="shared" si="7"/>
        <v>-65615934.808909237</v>
      </c>
      <c r="Q18" s="415">
        <f t="shared" si="7"/>
        <v>-66029126.304630086</v>
      </c>
      <c r="R18" s="415">
        <f t="shared" si="7"/>
        <v>-56520648.835222572</v>
      </c>
      <c r="S18" s="415">
        <f t="shared" si="7"/>
        <v>-58872034.021732844</v>
      </c>
      <c r="T18" s="415">
        <f t="shared" si="7"/>
        <v>-61062547.68383836</v>
      </c>
      <c r="U18" s="415">
        <f t="shared" si="7"/>
        <v>-63811499.095807113</v>
      </c>
      <c r="V18" s="415">
        <f t="shared" si="7"/>
        <v>-66325890.310134917</v>
      </c>
    </row>
    <row r="19" spans="1:23" s="333" customFormat="1" ht="13.5" thickBot="1" x14ac:dyDescent="0.25">
      <c r="A19" s="9"/>
      <c r="B19" s="411" t="s">
        <v>293</v>
      </c>
      <c r="C19" s="445">
        <v>0</v>
      </c>
      <c r="D19" s="412">
        <f t="shared" ref="D19:V19" si="8">+D79+D145+D211+D277+D343+D409+D475+D541+D607+D673+D739+D805+D871+D937+D1003+D1069+D1135+D1201+D1267+D1333+D1399+D1465+D1531+D1597+D1663+D1729+D1795+D1861+D1927+D1993+D2059+D2125+D2191</f>
        <v>-283705337.32688272</v>
      </c>
      <c r="E19" s="412">
        <f t="shared" si="8"/>
        <v>-256936699.08668438</v>
      </c>
      <c r="F19" s="412">
        <f t="shared" si="8"/>
        <v>-233093544.1514501</v>
      </c>
      <c r="G19" s="412">
        <f t="shared" si="8"/>
        <v>-216156268.36339554</v>
      </c>
      <c r="H19" s="412">
        <f t="shared" si="8"/>
        <v>-226906516.29947096</v>
      </c>
      <c r="I19" s="412">
        <f t="shared" si="8"/>
        <v>-244884466.7208463</v>
      </c>
      <c r="J19" s="412">
        <f t="shared" si="8"/>
        <v>-279781037.3951866</v>
      </c>
      <c r="K19" s="412">
        <f t="shared" si="8"/>
        <v>-302251591.48763859</v>
      </c>
      <c r="L19" s="412">
        <f t="shared" si="8"/>
        <v>-308465141.80080914</v>
      </c>
      <c r="M19" s="412">
        <f t="shared" si="8"/>
        <v>-306758802.98357731</v>
      </c>
      <c r="N19" s="412">
        <f t="shared" si="8"/>
        <v>-308057263.78013319</v>
      </c>
      <c r="O19" s="412">
        <f t="shared" si="8"/>
        <v>-309988592.12263024</v>
      </c>
      <c r="P19" s="412">
        <f t="shared" si="8"/>
        <v>-311440285.47329283</v>
      </c>
      <c r="Q19" s="412">
        <f t="shared" si="8"/>
        <v>-330684421.58231902</v>
      </c>
      <c r="R19" s="412">
        <f t="shared" si="8"/>
        <v>-365551239.47113633</v>
      </c>
      <c r="S19" s="412">
        <f t="shared" si="8"/>
        <v>-349684854.71328169</v>
      </c>
      <c r="T19" s="412">
        <f t="shared" si="8"/>
        <v>-355378230.74797845</v>
      </c>
      <c r="U19" s="412">
        <f t="shared" si="8"/>
        <v>-382780001.86420512</v>
      </c>
      <c r="V19" s="412">
        <f t="shared" si="8"/>
        <v>-400476082.26488352</v>
      </c>
    </row>
    <row r="20" spans="1:23" s="333" customFormat="1" ht="13.5" thickTop="1" x14ac:dyDescent="0.2">
      <c r="A20" s="9"/>
      <c r="B20" s="413" t="s">
        <v>183</v>
      </c>
      <c r="C20" s="447">
        <v>0</v>
      </c>
      <c r="D20" s="416">
        <f t="shared" ref="D20:V20" si="9">D17+D18+D19</f>
        <v>425558005.99032366</v>
      </c>
      <c r="E20" s="416">
        <f t="shared" si="9"/>
        <v>385405048.63002539</v>
      </c>
      <c r="F20" s="416">
        <f t="shared" si="9"/>
        <v>349640316.22717589</v>
      </c>
      <c r="G20" s="416">
        <f t="shared" si="9"/>
        <v>324234402.54509377</v>
      </c>
      <c r="H20" s="416">
        <f t="shared" si="9"/>
        <v>340359774.44920605</v>
      </c>
      <c r="I20" s="416">
        <f t="shared" si="9"/>
        <v>367326700.08126938</v>
      </c>
      <c r="J20" s="416">
        <f t="shared" si="9"/>
        <v>419671556.0927797</v>
      </c>
      <c r="K20" s="416">
        <f t="shared" si="9"/>
        <v>453377387.23145878</v>
      </c>
      <c r="L20" s="416">
        <f t="shared" si="9"/>
        <v>462697712.70121467</v>
      </c>
      <c r="M20" s="416">
        <f t="shared" si="9"/>
        <v>460138204.47536689</v>
      </c>
      <c r="N20" s="416">
        <f t="shared" si="9"/>
        <v>462085895.67020077</v>
      </c>
      <c r="O20" s="416">
        <f t="shared" si="9"/>
        <v>464982888.1839447</v>
      </c>
      <c r="P20" s="416">
        <f t="shared" si="9"/>
        <v>467160428.20993924</v>
      </c>
      <c r="Q20" s="416">
        <f t="shared" si="9"/>
        <v>496026632.37347865</v>
      </c>
      <c r="R20" s="416">
        <f t="shared" si="9"/>
        <v>548326859.20670414</v>
      </c>
      <c r="S20" s="416">
        <f t="shared" si="9"/>
        <v>524527282.06992191</v>
      </c>
      <c r="T20" s="416">
        <f t="shared" si="9"/>
        <v>533067346.1219666</v>
      </c>
      <c r="U20" s="416">
        <f t="shared" si="9"/>
        <v>574170002.79630673</v>
      </c>
      <c r="V20" s="416">
        <f t="shared" si="9"/>
        <v>600714123.39732409</v>
      </c>
    </row>
    <row r="21" spans="1:23" s="333" customFormat="1" x14ac:dyDescent="0.2">
      <c r="A21" s="9"/>
      <c r="B21" s="409" t="s">
        <v>37</v>
      </c>
      <c r="C21" s="444">
        <v>0</v>
      </c>
      <c r="D21" s="410">
        <f t="shared" ref="D21:V21" si="10">-D18</f>
        <v>124019323.54487899</v>
      </c>
      <c r="E21" s="410">
        <f t="shared" si="10"/>
        <v>136819901.36602429</v>
      </c>
      <c r="F21" s="410">
        <f t="shared" si="10"/>
        <v>142342503.45333138</v>
      </c>
      <c r="G21" s="410">
        <f t="shared" si="10"/>
        <v>141672891.25210619</v>
      </c>
      <c r="H21" s="410">
        <f t="shared" si="10"/>
        <v>96822825.121369198</v>
      </c>
      <c r="I21" s="410">
        <f t="shared" si="10"/>
        <v>88718324.208471864</v>
      </c>
      <c r="J21" s="410">
        <f t="shared" si="10"/>
        <v>73936424.798074126</v>
      </c>
      <c r="K21" s="410">
        <f t="shared" si="10"/>
        <v>62452705.896495461</v>
      </c>
      <c r="L21" s="410">
        <f t="shared" si="10"/>
        <v>60910415.507477529</v>
      </c>
      <c r="M21" s="410">
        <f t="shared" si="10"/>
        <v>61716348.082673006</v>
      </c>
      <c r="N21" s="410">
        <f t="shared" si="10"/>
        <v>62993297.942562923</v>
      </c>
      <c r="O21" s="410">
        <f t="shared" si="10"/>
        <v>64212845.735393852</v>
      </c>
      <c r="P21" s="410">
        <f t="shared" si="10"/>
        <v>65615934.808909237</v>
      </c>
      <c r="Q21" s="410">
        <f t="shared" si="10"/>
        <v>66029126.304630086</v>
      </c>
      <c r="R21" s="410">
        <f t="shared" si="10"/>
        <v>56520648.835222572</v>
      </c>
      <c r="S21" s="410">
        <f t="shared" si="10"/>
        <v>58872034.021732844</v>
      </c>
      <c r="T21" s="410">
        <f t="shared" si="10"/>
        <v>61062547.68383836</v>
      </c>
      <c r="U21" s="410">
        <f t="shared" si="10"/>
        <v>63811499.095807113</v>
      </c>
      <c r="V21" s="410">
        <f t="shared" si="10"/>
        <v>66325890.310134917</v>
      </c>
    </row>
    <row r="22" spans="1:23" s="333" customFormat="1" x14ac:dyDescent="0.2">
      <c r="A22" s="9"/>
      <c r="B22" s="409" t="s">
        <v>39</v>
      </c>
      <c r="C22" s="444">
        <v>0</v>
      </c>
      <c r="D22" s="415">
        <f t="shared" ref="D22:V23" si="11">+D82+D148+D214+D280+D346+D412+D478+D544+D610+D676+D742+D808+D874+D940+D1006+D1072+D1138+D1204+D1270+D1336+D1402+D1468+D1534+D1600+D1666+D1732+D1798+D1864+D1930+D1996+D2062+D2128+D2194</f>
        <v>-57998154.670000002</v>
      </c>
      <c r="E22" s="415">
        <f t="shared" si="11"/>
        <v>-53017298.62000002</v>
      </c>
      <c r="F22" s="415">
        <f t="shared" si="11"/>
        <v>-39685921.899999991</v>
      </c>
      <c r="G22" s="415">
        <f t="shared" si="11"/>
        <v>-29370635.689999983</v>
      </c>
      <c r="H22" s="415">
        <f t="shared" si="11"/>
        <v>-45513050.084000029</v>
      </c>
      <c r="I22" s="415">
        <f t="shared" si="11"/>
        <v>-46878441.586520009</v>
      </c>
      <c r="J22" s="415">
        <f t="shared" si="11"/>
        <v>-48284794.834115602</v>
      </c>
      <c r="K22" s="415">
        <f t="shared" si="11"/>
        <v>-49733338.679139085</v>
      </c>
      <c r="L22" s="415">
        <f t="shared" si="11"/>
        <v>-51225338.839513227</v>
      </c>
      <c r="M22" s="415">
        <f t="shared" si="11"/>
        <v>-52762099.004698649</v>
      </c>
      <c r="N22" s="415">
        <f t="shared" si="11"/>
        <v>-54344961.97483959</v>
      </c>
      <c r="O22" s="415">
        <f t="shared" si="11"/>
        <v>-55975310.834084794</v>
      </c>
      <c r="P22" s="415">
        <f t="shared" si="11"/>
        <v>-57654570.159107335</v>
      </c>
      <c r="Q22" s="415">
        <f t="shared" si="11"/>
        <v>-59384207.263880566</v>
      </c>
      <c r="R22" s="415">
        <f t="shared" si="11"/>
        <v>-61165733.481796958</v>
      </c>
      <c r="S22" s="415">
        <f t="shared" si="11"/>
        <v>-63000705.4862509</v>
      </c>
      <c r="T22" s="415">
        <f t="shared" si="11"/>
        <v>-64890726.650838412</v>
      </c>
      <c r="U22" s="415">
        <f t="shared" si="11"/>
        <v>-66837448.450363576</v>
      </c>
      <c r="V22" s="415">
        <f t="shared" si="11"/>
        <v>-68842571.903874472</v>
      </c>
    </row>
    <row r="23" spans="1:23" s="333" customFormat="1" ht="13.5" thickBot="1" x14ac:dyDescent="0.25">
      <c r="A23" s="9"/>
      <c r="B23" s="411" t="s">
        <v>40</v>
      </c>
      <c r="C23" s="445">
        <v>0</v>
      </c>
      <c r="D23" s="412">
        <f t="shared" si="11"/>
        <v>-97009902.149999991</v>
      </c>
      <c r="E23" s="412">
        <f t="shared" si="11"/>
        <v>-76633621.460000008</v>
      </c>
      <c r="F23" s="412">
        <f t="shared" si="11"/>
        <v>-18151182.469999999</v>
      </c>
      <c r="G23" s="412">
        <f t="shared" si="11"/>
        <v>0</v>
      </c>
      <c r="H23" s="412">
        <f t="shared" si="11"/>
        <v>0</v>
      </c>
      <c r="I23" s="412">
        <f t="shared" si="11"/>
        <v>0</v>
      </c>
      <c r="J23" s="412">
        <f t="shared" si="11"/>
        <v>0</v>
      </c>
      <c r="K23" s="412">
        <f t="shared" si="11"/>
        <v>0</v>
      </c>
      <c r="L23" s="412">
        <f t="shared" si="11"/>
        <v>0</v>
      </c>
      <c r="M23" s="412">
        <f t="shared" si="11"/>
        <v>0</v>
      </c>
      <c r="N23" s="412">
        <f t="shared" si="11"/>
        <v>0</v>
      </c>
      <c r="O23" s="412">
        <f t="shared" si="11"/>
        <v>0</v>
      </c>
      <c r="P23" s="412">
        <f t="shared" si="11"/>
        <v>0</v>
      </c>
      <c r="Q23" s="412">
        <f t="shared" si="11"/>
        <v>0</v>
      </c>
      <c r="R23" s="412">
        <f t="shared" si="11"/>
        <v>0</v>
      </c>
      <c r="S23" s="412">
        <f t="shared" si="11"/>
        <v>0</v>
      </c>
      <c r="T23" s="412">
        <f t="shared" si="11"/>
        <v>0</v>
      </c>
      <c r="U23" s="412">
        <f t="shared" si="11"/>
        <v>0</v>
      </c>
      <c r="V23" s="412">
        <f t="shared" si="11"/>
        <v>0</v>
      </c>
    </row>
    <row r="24" spans="1:23" s="333" customFormat="1" ht="13.5" thickTop="1" x14ac:dyDescent="0.2">
      <c r="A24" s="9"/>
      <c r="B24" s="409"/>
      <c r="C24" s="448"/>
    </row>
    <row r="25" spans="1:23" s="333" customFormat="1" x14ac:dyDescent="0.2">
      <c r="A25" s="9"/>
      <c r="B25" s="413" t="s">
        <v>234</v>
      </c>
      <c r="C25" s="447">
        <f>SUM(C20:C23)</f>
        <v>0</v>
      </c>
      <c r="D25" s="416">
        <f t="shared" ref="D25:V25" si="12">SUM(D20:D23)</f>
        <v>394569272.71520263</v>
      </c>
      <c r="E25" s="416">
        <f t="shared" si="12"/>
        <v>392574029.9160496</v>
      </c>
      <c r="F25" s="416">
        <f t="shared" si="12"/>
        <v>434145715.3105073</v>
      </c>
      <c r="G25" s="416">
        <f t="shared" si="12"/>
        <v>436536658.10719997</v>
      </c>
      <c r="H25" s="416">
        <f t="shared" si="12"/>
        <v>391669549.48657519</v>
      </c>
      <c r="I25" s="416">
        <f t="shared" si="12"/>
        <v>409166582.70322126</v>
      </c>
      <c r="J25" s="416">
        <f t="shared" si="12"/>
        <v>445323186.0567382</v>
      </c>
      <c r="K25" s="416">
        <f t="shared" si="12"/>
        <v>466096754.44881517</v>
      </c>
      <c r="L25" s="416">
        <f t="shared" si="12"/>
        <v>472382789.36917895</v>
      </c>
      <c r="M25" s="416">
        <f t="shared" si="12"/>
        <v>469092453.55334127</v>
      </c>
      <c r="N25" s="416">
        <f t="shared" si="12"/>
        <v>470734231.63792413</v>
      </c>
      <c r="O25" s="416">
        <f t="shared" si="12"/>
        <v>473220423.08525378</v>
      </c>
      <c r="P25" s="416">
        <f t="shared" si="12"/>
        <v>475121792.85974115</v>
      </c>
      <c r="Q25" s="416">
        <f t="shared" si="12"/>
        <v>502671551.41422814</v>
      </c>
      <c r="R25" s="416">
        <f t="shared" si="12"/>
        <v>543681774.56012976</v>
      </c>
      <c r="S25" s="416">
        <f t="shared" si="12"/>
        <v>520398610.6054039</v>
      </c>
      <c r="T25" s="416">
        <f t="shared" si="12"/>
        <v>529239167.15496653</v>
      </c>
      <c r="U25" s="416">
        <f t="shared" si="12"/>
        <v>571144053.44175029</v>
      </c>
      <c r="V25" s="416">
        <f t="shared" si="12"/>
        <v>598197441.80358446</v>
      </c>
      <c r="W25" s="417">
        <f>+W85+W151+W217+W283+W349+W415+W481+W547+W613+W679+W745+W811+W877+W943+W1009+W1075+W1141+W1207+W1273+W1339+W1405+W1471+W1537+W1603+W1669+W1735+W1801+W1867+W1933+W1999+W2065+W2131+W2197</f>
        <v>3166603579.6814528</v>
      </c>
    </row>
    <row r="26" spans="1:23" s="333" customFormat="1" x14ac:dyDescent="0.2">
      <c r="A26" s="9"/>
      <c r="B26" s="409"/>
    </row>
    <row r="27" spans="1:23" s="333" customFormat="1" x14ac:dyDescent="0.2">
      <c r="A27" s="308" t="s">
        <v>219</v>
      </c>
      <c r="B27" s="418" t="s">
        <v>170</v>
      </c>
      <c r="C27" s="439">
        <f>NPV($B$3,D25:H25)*(1+Assumptions!$L$16)^0.5</f>
        <v>1626363940.3768265</v>
      </c>
      <c r="E27" s="419" t="s">
        <v>220</v>
      </c>
      <c r="F27" s="420" t="s">
        <v>170</v>
      </c>
      <c r="G27" s="368">
        <f>+G87+G153+G219+G285+G351+G417+G483+G549+G615+G681+G747+G813+G879+G945+G1011+G1077+G1143+G1209+G1275+G1341+G1407+G1473+G1539+G1605+G1671+G1737+G1803+G1869+G1935+G2001+G2067+G2133+G2199</f>
        <v>1626363940.3768268</v>
      </c>
    </row>
    <row r="28" spans="1:23" s="333" customFormat="1" x14ac:dyDescent="0.2">
      <c r="A28" s="9"/>
      <c r="B28" s="418" t="s">
        <v>180</v>
      </c>
      <c r="C28" s="439">
        <f>(NPV($B$3,I25:V25)/(1+$B$3)^5)*(1+Assumptions!$L$16)^0.5</f>
        <v>2299545991.2992306</v>
      </c>
      <c r="E28" s="421"/>
      <c r="F28" s="420" t="s">
        <v>180</v>
      </c>
      <c r="G28" s="368">
        <f>+G88+G154+G220+G286+G352+G418+G484+G550+G616+G682+G748+G814+G880+G946+G1012+G1078+G1144+G1210+G1276+G1342+G1408+G1474+G1540+G1606+G1672+G1738+G1804+G1870+G1936+G2002+G2068+G2134+G2200</f>
        <v>2299545991.2992296</v>
      </c>
    </row>
    <row r="29" spans="1:23" s="333" customFormat="1" ht="13.5" thickBot="1" x14ac:dyDescent="0.25">
      <c r="A29" s="9"/>
      <c r="B29" s="422" t="s">
        <v>137</v>
      </c>
      <c r="C29" s="440">
        <f>(W25/(1+$B$3)^(20))*(1+Assumptions!$L$16)^0.5</f>
        <v>493669547.0878613</v>
      </c>
      <c r="D29" s="423"/>
      <c r="E29" s="421"/>
      <c r="F29" s="420" t="s">
        <v>137</v>
      </c>
      <c r="G29" s="368">
        <f>+G89+G155+G221+G287+G353+G419+G485+G551+G617+G683+G749+G815+G881+G947+G1013+G1079+G1145+G1211+G1277+G1343+G1409+G1475+G1541+G1607+G1673+G1739+G1805+G1871+G1937+G2003+G2069+G2135+G2201</f>
        <v>493669547.0878613</v>
      </c>
    </row>
    <row r="30" spans="1:23" s="333" customFormat="1" ht="14.25" thickTop="1" thickBot="1" x14ac:dyDescent="0.25">
      <c r="A30" s="9"/>
      <c r="B30" s="418" t="s">
        <v>28</v>
      </c>
      <c r="C30" s="438">
        <f>NPV($B$3,D25:W25)*(1+Assumptions!$L$16)^0.5</f>
        <v>4419579478.7639179</v>
      </c>
      <c r="E30" s="421"/>
      <c r="F30" s="424" t="s">
        <v>204</v>
      </c>
      <c r="G30" s="325">
        <f>+G90+G156+G222+G288+G354+G420+G486+G552+G618+G684+G750+G816+G882+G948+G1014+G1080+G1146+G1212+G1278+G1344+G1410+G1476+G1542+G1608+G1674+G1740+G1806+G1872+G1938+G2004+G2070+G2136+G2202</f>
        <v>0</v>
      </c>
    </row>
    <row r="31" spans="1:23" s="333" customFormat="1" ht="13.5" thickTop="1" x14ac:dyDescent="0.2">
      <c r="A31" s="9"/>
      <c r="B31" s="409"/>
      <c r="C31" s="410"/>
      <c r="E31" s="421"/>
      <c r="F31" s="420" t="s">
        <v>28</v>
      </c>
      <c r="G31" s="368">
        <f>+G91+G157+G223+G289+G355+G421+G487+G553+G619+G685+G751+G817+G883+G949+G1015+G1081+G1147+G1213+G1279+G1345+G1411+G1477+G1543+G1609+G1675+G1741+G1807+G1873+G1939+G2005+G2071+G2137+G2203</f>
        <v>4419579478.7639189</v>
      </c>
    </row>
    <row r="32" spans="1:23" s="333" customFormat="1" x14ac:dyDescent="0.2">
      <c r="A32" s="9"/>
      <c r="B32" s="409"/>
      <c r="C32" s="410"/>
      <c r="E32" s="421"/>
      <c r="F32" s="420"/>
      <c r="G32" s="425"/>
    </row>
    <row r="33" spans="1:23" s="333" customFormat="1" x14ac:dyDescent="0.2">
      <c r="A33" s="9"/>
      <c r="B33" s="409"/>
      <c r="C33" s="410"/>
      <c r="E33" s="421"/>
      <c r="F33" s="420"/>
      <c r="G33" s="425"/>
    </row>
    <row r="34" spans="1:23" s="333" customFormat="1" x14ac:dyDescent="0.2">
      <c r="A34" s="9"/>
      <c r="B34" s="413" t="s">
        <v>223</v>
      </c>
      <c r="C34" s="410"/>
      <c r="E34" s="421"/>
      <c r="F34" s="420"/>
      <c r="G34" s="425"/>
    </row>
    <row r="35" spans="1:23" s="333" customFormat="1" x14ac:dyDescent="0.2">
      <c r="A35" s="330" t="s">
        <v>225</v>
      </c>
      <c r="B35" s="413" t="s">
        <v>224</v>
      </c>
      <c r="C35" s="416"/>
      <c r="D35" s="332">
        <f>D20</f>
        <v>425558005.99032366</v>
      </c>
      <c r="E35" s="332">
        <f t="shared" ref="E35:V35" si="13">E20</f>
        <v>385405048.63002539</v>
      </c>
      <c r="F35" s="332">
        <f t="shared" si="13"/>
        <v>349640316.22717589</v>
      </c>
      <c r="G35" s="332">
        <f t="shared" si="13"/>
        <v>324234402.54509377</v>
      </c>
      <c r="H35" s="332">
        <f t="shared" si="13"/>
        <v>340359774.44920605</v>
      </c>
      <c r="I35" s="332">
        <f t="shared" si="13"/>
        <v>367326700.08126938</v>
      </c>
      <c r="J35" s="332">
        <f t="shared" si="13"/>
        <v>419671556.0927797</v>
      </c>
      <c r="K35" s="332">
        <f t="shared" si="13"/>
        <v>453377387.23145878</v>
      </c>
      <c r="L35" s="332">
        <f t="shared" si="13"/>
        <v>462697712.70121467</v>
      </c>
      <c r="M35" s="332">
        <f t="shared" si="13"/>
        <v>460138204.47536689</v>
      </c>
      <c r="N35" s="332">
        <f t="shared" si="13"/>
        <v>462085895.67020077</v>
      </c>
      <c r="O35" s="332">
        <f t="shared" si="13"/>
        <v>464982888.1839447</v>
      </c>
      <c r="P35" s="332">
        <f t="shared" si="13"/>
        <v>467160428.20993924</v>
      </c>
      <c r="Q35" s="332">
        <f t="shared" si="13"/>
        <v>496026632.37347865</v>
      </c>
      <c r="R35" s="332">
        <f t="shared" si="13"/>
        <v>548326859.20670414</v>
      </c>
      <c r="S35" s="332">
        <f t="shared" si="13"/>
        <v>524527282.06992191</v>
      </c>
      <c r="T35" s="332">
        <f t="shared" si="13"/>
        <v>533067346.1219666</v>
      </c>
      <c r="U35" s="332">
        <f t="shared" si="13"/>
        <v>574170002.79630673</v>
      </c>
      <c r="V35" s="332">
        <f t="shared" si="13"/>
        <v>600714123.39732409</v>
      </c>
    </row>
    <row r="36" spans="1:23" s="333" customFormat="1" x14ac:dyDescent="0.2">
      <c r="A36" s="9"/>
      <c r="B36" s="409" t="s">
        <v>226</v>
      </c>
      <c r="C36" s="410"/>
      <c r="D36" s="333">
        <f>-D19</f>
        <v>283705337.32688272</v>
      </c>
      <c r="E36" s="333">
        <f t="shared" ref="E36:V36" si="14">-E19</f>
        <v>256936699.08668438</v>
      </c>
      <c r="F36" s="333">
        <f t="shared" si="14"/>
        <v>233093544.1514501</v>
      </c>
      <c r="G36" s="333">
        <f t="shared" si="14"/>
        <v>216156268.36339554</v>
      </c>
      <c r="H36" s="333">
        <f t="shared" si="14"/>
        <v>226906516.29947096</v>
      </c>
      <c r="I36" s="333">
        <f t="shared" si="14"/>
        <v>244884466.7208463</v>
      </c>
      <c r="J36" s="333">
        <f t="shared" si="14"/>
        <v>279781037.3951866</v>
      </c>
      <c r="K36" s="333">
        <f t="shared" si="14"/>
        <v>302251591.48763859</v>
      </c>
      <c r="L36" s="333">
        <f t="shared" si="14"/>
        <v>308465141.80080914</v>
      </c>
      <c r="M36" s="333">
        <f t="shared" si="14"/>
        <v>306758802.98357731</v>
      </c>
      <c r="N36" s="333">
        <f t="shared" si="14"/>
        <v>308057263.78013319</v>
      </c>
      <c r="O36" s="333">
        <f t="shared" si="14"/>
        <v>309988592.12263024</v>
      </c>
      <c r="P36" s="333">
        <f t="shared" si="14"/>
        <v>311440285.47329283</v>
      </c>
      <c r="Q36" s="333">
        <f t="shared" si="14"/>
        <v>330684421.58231902</v>
      </c>
      <c r="R36" s="333">
        <f t="shared" si="14"/>
        <v>365551239.47113633</v>
      </c>
      <c r="S36" s="333">
        <f t="shared" si="14"/>
        <v>349684854.71328169</v>
      </c>
      <c r="T36" s="333">
        <f t="shared" si="14"/>
        <v>355378230.74797845</v>
      </c>
      <c r="U36" s="333">
        <f t="shared" si="14"/>
        <v>382780001.86420512</v>
      </c>
      <c r="V36" s="333">
        <f t="shared" si="14"/>
        <v>400476082.26488352</v>
      </c>
    </row>
    <row r="37" spans="1:23" s="333" customFormat="1" x14ac:dyDescent="0.2">
      <c r="A37" s="9"/>
      <c r="B37" s="426" t="s">
        <v>227</v>
      </c>
      <c r="C37" s="427"/>
      <c r="D37" s="333">
        <f>D21</f>
        <v>124019323.54487899</v>
      </c>
      <c r="E37" s="333">
        <f t="shared" ref="E37:V37" si="15">E21</f>
        <v>136819901.36602429</v>
      </c>
      <c r="F37" s="333">
        <f t="shared" si="15"/>
        <v>142342503.45333138</v>
      </c>
      <c r="G37" s="333">
        <f t="shared" si="15"/>
        <v>141672891.25210619</v>
      </c>
      <c r="H37" s="333">
        <f t="shared" si="15"/>
        <v>96822825.121369198</v>
      </c>
      <c r="I37" s="333">
        <f t="shared" si="15"/>
        <v>88718324.208471864</v>
      </c>
      <c r="J37" s="333">
        <f t="shared" si="15"/>
        <v>73936424.798074126</v>
      </c>
      <c r="K37" s="333">
        <f t="shared" si="15"/>
        <v>62452705.896495461</v>
      </c>
      <c r="L37" s="333">
        <f t="shared" si="15"/>
        <v>60910415.507477529</v>
      </c>
      <c r="M37" s="333">
        <f t="shared" si="15"/>
        <v>61716348.082673006</v>
      </c>
      <c r="N37" s="333">
        <f t="shared" si="15"/>
        <v>62993297.942562923</v>
      </c>
      <c r="O37" s="333">
        <f t="shared" si="15"/>
        <v>64212845.735393852</v>
      </c>
      <c r="P37" s="333">
        <f t="shared" si="15"/>
        <v>65615934.808909237</v>
      </c>
      <c r="Q37" s="333">
        <f t="shared" si="15"/>
        <v>66029126.304630086</v>
      </c>
      <c r="R37" s="333">
        <f t="shared" si="15"/>
        <v>56520648.835222572</v>
      </c>
      <c r="S37" s="333">
        <f t="shared" si="15"/>
        <v>58872034.021732844</v>
      </c>
      <c r="T37" s="333">
        <f t="shared" si="15"/>
        <v>61062547.68383836</v>
      </c>
      <c r="U37" s="333">
        <f t="shared" si="15"/>
        <v>63811499.095807113</v>
      </c>
      <c r="V37" s="333">
        <f t="shared" si="15"/>
        <v>66325890.310134917</v>
      </c>
    </row>
    <row r="38" spans="1:23" s="333" customFormat="1" ht="13.5" thickBot="1" x14ac:dyDescent="0.25">
      <c r="A38" s="9"/>
      <c r="B38" s="428" t="s">
        <v>228</v>
      </c>
      <c r="C38" s="429"/>
      <c r="D38" s="338">
        <f>SUM(D35:D37)</f>
        <v>833282666.86208534</v>
      </c>
      <c r="E38" s="338">
        <f t="shared" ref="E38:V38" si="16">SUM(E35:E37)</f>
        <v>779161649.08273399</v>
      </c>
      <c r="F38" s="338">
        <f t="shared" si="16"/>
        <v>725076363.83195734</v>
      </c>
      <c r="G38" s="338">
        <f t="shared" si="16"/>
        <v>682063562.16059554</v>
      </c>
      <c r="H38" s="338">
        <f t="shared" si="16"/>
        <v>664089115.87004626</v>
      </c>
      <c r="I38" s="338">
        <f t="shared" si="16"/>
        <v>700929491.01058757</v>
      </c>
      <c r="J38" s="338">
        <f t="shared" si="16"/>
        <v>773389018.28604043</v>
      </c>
      <c r="K38" s="338">
        <f t="shared" si="16"/>
        <v>818081684.61559284</v>
      </c>
      <c r="L38" s="338">
        <f t="shared" si="16"/>
        <v>832073270.00950134</v>
      </c>
      <c r="M38" s="338">
        <f t="shared" si="16"/>
        <v>828613355.54161716</v>
      </c>
      <c r="N38" s="338">
        <f t="shared" si="16"/>
        <v>833136457.39289689</v>
      </c>
      <c r="O38" s="338">
        <f t="shared" si="16"/>
        <v>839184326.04196882</v>
      </c>
      <c r="P38" s="338">
        <f t="shared" si="16"/>
        <v>844216648.49214125</v>
      </c>
      <c r="Q38" s="338">
        <f t="shared" si="16"/>
        <v>892740180.26042771</v>
      </c>
      <c r="R38" s="338">
        <f t="shared" si="16"/>
        <v>970398747.51306307</v>
      </c>
      <c r="S38" s="338">
        <f t="shared" si="16"/>
        <v>933084170.80493641</v>
      </c>
      <c r="T38" s="338">
        <f t="shared" si="16"/>
        <v>949508124.55378342</v>
      </c>
      <c r="U38" s="338">
        <f t="shared" si="16"/>
        <v>1020761503.7563189</v>
      </c>
      <c r="V38" s="338">
        <f t="shared" si="16"/>
        <v>1067516095.9723425</v>
      </c>
    </row>
    <row r="39" spans="1:23" s="333" customFormat="1" ht="13.5" thickTop="1" x14ac:dyDescent="0.2">
      <c r="A39" s="330" t="s">
        <v>229</v>
      </c>
      <c r="B39" s="409" t="s">
        <v>230</v>
      </c>
      <c r="C39" s="410"/>
      <c r="D39" s="415">
        <f t="shared" ref="D39:V39" si="17">+D99+D165+D231+D297+D363+D429+D495+D561+D627+D693+D759+D825+D891+D957+D1023+D1089+D1155+D1221+D1287+D1353+D1419+D1485+D1551+D1617+D1683+D1749+D1815+D1881+D1947+D2013+D2079+D2145+D2211</f>
        <v>-118773067.40899995</v>
      </c>
      <c r="E39" s="415">
        <f t="shared" si="17"/>
        <v>-125212372.57299998</v>
      </c>
      <c r="F39" s="415">
        <f t="shared" si="17"/>
        <v>-127040289.50799994</v>
      </c>
      <c r="G39" s="415">
        <f t="shared" si="17"/>
        <v>-128111148.77249998</v>
      </c>
      <c r="H39" s="415">
        <f t="shared" si="17"/>
        <v>-128547431.23669992</v>
      </c>
      <c r="I39" s="415">
        <f t="shared" si="17"/>
        <v>-130891353.31602593</v>
      </c>
      <c r="J39" s="415">
        <f t="shared" si="17"/>
        <v>-127068886.25773174</v>
      </c>
      <c r="K39" s="415">
        <f t="shared" si="17"/>
        <v>-124320150.26168868</v>
      </c>
      <c r="L39" s="415">
        <f t="shared" si="17"/>
        <v>-126299175.34366432</v>
      </c>
      <c r="M39" s="415">
        <f t="shared" si="17"/>
        <v>-128733673.57389931</v>
      </c>
      <c r="N39" s="415">
        <f t="shared" si="17"/>
        <v>-130295422.97264127</v>
      </c>
      <c r="O39" s="415">
        <f t="shared" si="17"/>
        <v>-133094188.51434547</v>
      </c>
      <c r="P39" s="415">
        <f t="shared" si="17"/>
        <v>-134589708.13230088</v>
      </c>
      <c r="Q39" s="415">
        <f t="shared" si="17"/>
        <v>-133681268.66549489</v>
      </c>
      <c r="R39" s="415">
        <f t="shared" si="17"/>
        <v>-121598581.13958479</v>
      </c>
      <c r="S39" s="415">
        <f t="shared" si="17"/>
        <v>-112273468.62389717</v>
      </c>
      <c r="T39" s="415">
        <f t="shared" si="17"/>
        <v>-109022871.32643922</v>
      </c>
      <c r="U39" s="415">
        <f t="shared" si="17"/>
        <v>-109113115.3689574</v>
      </c>
      <c r="V39" s="415">
        <f t="shared" si="17"/>
        <v>-112544681.16415112</v>
      </c>
    </row>
    <row r="40" spans="1:23" s="333" customFormat="1" x14ac:dyDescent="0.2">
      <c r="A40" s="9"/>
      <c r="B40" s="409" t="s">
        <v>231</v>
      </c>
      <c r="C40" s="410"/>
      <c r="D40" s="333">
        <f>-D53</f>
        <v>0</v>
      </c>
      <c r="E40" s="333">
        <f t="shared" ref="E40:V40" si="18">-E53</f>
        <v>0</v>
      </c>
      <c r="F40" s="333">
        <f t="shared" si="18"/>
        <v>0</v>
      </c>
      <c r="G40" s="333">
        <f t="shared" si="18"/>
        <v>0</v>
      </c>
      <c r="H40" s="333">
        <f t="shared" si="18"/>
        <v>0</v>
      </c>
      <c r="I40" s="333">
        <f t="shared" si="18"/>
        <v>0</v>
      </c>
      <c r="J40" s="333">
        <f t="shared" si="18"/>
        <v>0</v>
      </c>
      <c r="K40" s="333">
        <f t="shared" si="18"/>
        <v>0</v>
      </c>
      <c r="L40" s="333">
        <f t="shared" si="18"/>
        <v>0</v>
      </c>
      <c r="M40" s="333">
        <f t="shared" si="18"/>
        <v>0</v>
      </c>
      <c r="N40" s="333">
        <f t="shared" si="18"/>
        <v>0</v>
      </c>
      <c r="O40" s="333">
        <f t="shared" si="18"/>
        <v>0</v>
      </c>
      <c r="P40" s="333">
        <f t="shared" si="18"/>
        <v>0</v>
      </c>
      <c r="Q40" s="333">
        <f t="shared" si="18"/>
        <v>0</v>
      </c>
      <c r="R40" s="333">
        <f t="shared" si="18"/>
        <v>0</v>
      </c>
      <c r="S40" s="333">
        <f t="shared" si="18"/>
        <v>0</v>
      </c>
      <c r="T40" s="333">
        <f t="shared" si="18"/>
        <v>0</v>
      </c>
      <c r="U40" s="333">
        <f t="shared" si="18"/>
        <v>0</v>
      </c>
      <c r="V40" s="333">
        <f t="shared" si="18"/>
        <v>0</v>
      </c>
    </row>
    <row r="41" spans="1:23" s="333" customFormat="1" x14ac:dyDescent="0.2">
      <c r="A41" s="9"/>
      <c r="B41" s="413" t="s">
        <v>232</v>
      </c>
      <c r="C41" s="416"/>
      <c r="D41" s="332">
        <f>SUM(D38:D40)</f>
        <v>714509599.45308542</v>
      </c>
      <c r="E41" s="332">
        <f t="shared" ref="E41:V41" si="19">SUM(E38:E40)</f>
        <v>653949276.50973403</v>
      </c>
      <c r="F41" s="332">
        <f t="shared" si="19"/>
        <v>598036074.32395744</v>
      </c>
      <c r="G41" s="332">
        <f t="shared" si="19"/>
        <v>553952413.38809562</v>
      </c>
      <c r="H41" s="332">
        <f t="shared" si="19"/>
        <v>535541684.63334632</v>
      </c>
      <c r="I41" s="332">
        <f t="shared" si="19"/>
        <v>570038137.6945616</v>
      </c>
      <c r="J41" s="332">
        <f t="shared" si="19"/>
        <v>646320132.02830863</v>
      </c>
      <c r="K41" s="332">
        <f t="shared" si="19"/>
        <v>693761534.35390413</v>
      </c>
      <c r="L41" s="332">
        <f t="shared" si="19"/>
        <v>705774094.66583705</v>
      </c>
      <c r="M41" s="332">
        <f t="shared" si="19"/>
        <v>699879681.96771789</v>
      </c>
      <c r="N41" s="332">
        <f t="shared" si="19"/>
        <v>702841034.42025566</v>
      </c>
      <c r="O41" s="332">
        <f t="shared" si="19"/>
        <v>706090137.52762341</v>
      </c>
      <c r="P41" s="332">
        <f t="shared" si="19"/>
        <v>709626940.35984039</v>
      </c>
      <c r="Q41" s="332">
        <f t="shared" si="19"/>
        <v>759058911.59493279</v>
      </c>
      <c r="R41" s="332">
        <f t="shared" si="19"/>
        <v>848800166.37347829</v>
      </c>
      <c r="S41" s="332">
        <f t="shared" si="19"/>
        <v>820810702.18103921</v>
      </c>
      <c r="T41" s="332">
        <f t="shared" si="19"/>
        <v>840485253.22734416</v>
      </c>
      <c r="U41" s="332">
        <f t="shared" si="19"/>
        <v>911648388.38736153</v>
      </c>
      <c r="V41" s="332">
        <f t="shared" si="19"/>
        <v>954971414.80819142</v>
      </c>
    </row>
    <row r="42" spans="1:23" s="333" customFormat="1" ht="13.5" thickBot="1" x14ac:dyDescent="0.25">
      <c r="A42" s="9"/>
      <c r="B42" s="430" t="s">
        <v>238</v>
      </c>
      <c r="C42" s="431"/>
      <c r="D42" s="341">
        <f>-D41*Assumptions!$L$15</f>
        <v>-285803839.7812342</v>
      </c>
      <c r="E42" s="341">
        <f>-E41*Assumptions!$L$15</f>
        <v>-261579710.60389364</v>
      </c>
      <c r="F42" s="341">
        <f>-F41*Assumptions!$L$15</f>
        <v>-239214429.729583</v>
      </c>
      <c r="G42" s="341">
        <f>-G41*Assumptions!$L$15</f>
        <v>-221580965.35523826</v>
      </c>
      <c r="H42" s="341">
        <f>-H41*Assumptions!$L$15</f>
        <v>-214216673.85333854</v>
      </c>
      <c r="I42" s="341">
        <f>-I41*Assumptions!$L$15</f>
        <v>-228015255.07782465</v>
      </c>
      <c r="J42" s="341">
        <f>-J41*Assumptions!$L$15</f>
        <v>-258528052.81132346</v>
      </c>
      <c r="K42" s="341">
        <f>-K41*Assumptions!$L$15</f>
        <v>-277504613.74156165</v>
      </c>
      <c r="L42" s="341">
        <f>-L41*Assumptions!$L$15</f>
        <v>-282309637.86633486</v>
      </c>
      <c r="M42" s="341">
        <f>-M41*Assumptions!$L$15</f>
        <v>-279951872.78708714</v>
      </c>
      <c r="N42" s="341">
        <f>-N41*Assumptions!$L$15</f>
        <v>-281136413.76810229</v>
      </c>
      <c r="O42" s="341">
        <f>-O41*Assumptions!$L$15</f>
        <v>-282436055.01104939</v>
      </c>
      <c r="P42" s="341">
        <f>-P41*Assumptions!$L$15</f>
        <v>-283850776.14393616</v>
      </c>
      <c r="Q42" s="341">
        <f>-Q41*Assumptions!$L$15</f>
        <v>-303623564.63797313</v>
      </c>
      <c r="R42" s="341">
        <f>-R41*Assumptions!$L$15</f>
        <v>-339520066.54939133</v>
      </c>
      <c r="S42" s="341">
        <f>-S41*Assumptions!$L$15</f>
        <v>-328324280.87241572</v>
      </c>
      <c r="T42" s="341">
        <f>-T41*Assumptions!$L$15</f>
        <v>-336194101.29093766</v>
      </c>
      <c r="U42" s="341">
        <f>-U41*Assumptions!$L$15</f>
        <v>-364659355.35494465</v>
      </c>
      <c r="V42" s="341">
        <f>-V41*Assumptions!$L$15</f>
        <v>-381988565.9232766</v>
      </c>
    </row>
    <row r="43" spans="1:23" s="333" customFormat="1" ht="13.5" thickTop="1" x14ac:dyDescent="0.2">
      <c r="A43" s="9"/>
      <c r="B43" s="413" t="s">
        <v>233</v>
      </c>
      <c r="C43" s="416"/>
      <c r="D43" s="332">
        <f>SUM(D41:D42)</f>
        <v>428705759.67185122</v>
      </c>
      <c r="E43" s="332">
        <f t="shared" ref="E43:V43" si="20">SUM(E41:E42)</f>
        <v>392369565.9058404</v>
      </c>
      <c r="F43" s="332">
        <f t="shared" si="20"/>
        <v>358821644.59437442</v>
      </c>
      <c r="G43" s="332">
        <f t="shared" si="20"/>
        <v>332371448.03285736</v>
      </c>
      <c r="H43" s="332">
        <f t="shared" si="20"/>
        <v>321325010.78000778</v>
      </c>
      <c r="I43" s="332">
        <f t="shared" si="20"/>
        <v>342022882.61673695</v>
      </c>
      <c r="J43" s="332">
        <f t="shared" si="20"/>
        <v>387792079.21698517</v>
      </c>
      <c r="K43" s="332">
        <f t="shared" si="20"/>
        <v>416256920.61234248</v>
      </c>
      <c r="L43" s="332">
        <f t="shared" si="20"/>
        <v>423464456.79950219</v>
      </c>
      <c r="M43" s="332">
        <f t="shared" si="20"/>
        <v>419927809.18063074</v>
      </c>
      <c r="N43" s="332">
        <f t="shared" si="20"/>
        <v>421704620.65215337</v>
      </c>
      <c r="O43" s="332">
        <f t="shared" si="20"/>
        <v>423654082.51657403</v>
      </c>
      <c r="P43" s="332">
        <f t="shared" si="20"/>
        <v>425776164.21590424</v>
      </c>
      <c r="Q43" s="332">
        <f t="shared" si="20"/>
        <v>455435346.95695966</v>
      </c>
      <c r="R43" s="332">
        <f t="shared" si="20"/>
        <v>509280099.82408696</v>
      </c>
      <c r="S43" s="332">
        <f t="shared" si="20"/>
        <v>492486421.30862349</v>
      </c>
      <c r="T43" s="332">
        <f t="shared" si="20"/>
        <v>504291151.93640649</v>
      </c>
      <c r="U43" s="332">
        <f t="shared" si="20"/>
        <v>546989033.03241682</v>
      </c>
      <c r="V43" s="332">
        <f t="shared" si="20"/>
        <v>572982848.88491488</v>
      </c>
    </row>
    <row r="44" spans="1:23" s="333" customFormat="1" x14ac:dyDescent="0.2">
      <c r="A44" s="9"/>
      <c r="C44" s="410"/>
      <c r="E44" s="421"/>
      <c r="F44" s="420"/>
      <c r="G44" s="425"/>
    </row>
    <row r="45" spans="1:23" s="333" customFormat="1" ht="15.75" x14ac:dyDescent="0.25">
      <c r="A45" s="342" t="s">
        <v>206</v>
      </c>
      <c r="B45" s="432"/>
    </row>
    <row r="46" spans="1:23" s="333" customFormat="1" x14ac:dyDescent="0.2">
      <c r="A46" s="290" t="s">
        <v>191</v>
      </c>
      <c r="B46" s="433"/>
      <c r="C46" s="344">
        <f>Assumptions!$L$17</f>
        <v>0</v>
      </c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7"/>
      <c r="S46" s="347"/>
      <c r="T46" s="347"/>
      <c r="U46" s="347"/>
      <c r="V46" s="347"/>
      <c r="W46" s="347"/>
    </row>
    <row r="47" spans="1:23" s="333" customFormat="1" x14ac:dyDescent="0.2">
      <c r="A47" s="290" t="s">
        <v>192</v>
      </c>
      <c r="B47" s="433"/>
      <c r="C47" s="436">
        <f>+C30*C46</f>
        <v>0</v>
      </c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7"/>
      <c r="S47" s="347"/>
      <c r="T47" s="347"/>
      <c r="U47" s="347"/>
      <c r="V47" s="347"/>
      <c r="W47" s="347"/>
    </row>
    <row r="48" spans="1:23" s="333" customFormat="1" x14ac:dyDescent="0.2">
      <c r="A48" s="290" t="s">
        <v>202</v>
      </c>
      <c r="B48" s="433"/>
      <c r="C48" s="414">
        <f>Assumptions!$L$18</f>
        <v>15</v>
      </c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</row>
    <row r="49" spans="1:23" s="333" customFormat="1" x14ac:dyDescent="0.2">
      <c r="A49" s="290" t="s">
        <v>193</v>
      </c>
      <c r="B49" s="433"/>
      <c r="C49" s="436">
        <f>C47/C48</f>
        <v>0</v>
      </c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47"/>
      <c r="S49" s="347"/>
      <c r="T49" s="347"/>
      <c r="U49" s="347"/>
      <c r="V49" s="347"/>
      <c r="W49" s="347"/>
    </row>
    <row r="50" spans="1:23" s="333" customFormat="1" x14ac:dyDescent="0.2">
      <c r="A50" s="290" t="s">
        <v>194</v>
      </c>
      <c r="B50" s="433"/>
      <c r="C50" s="344">
        <f>Assumptions!L19</f>
        <v>8.7499999999999994E-2</v>
      </c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  <c r="W50" s="347"/>
    </row>
    <row r="51" spans="1:23" s="333" customFormat="1" x14ac:dyDescent="0.2">
      <c r="A51" s="290"/>
      <c r="B51" s="433"/>
      <c r="C51" s="347"/>
      <c r="D51" s="442">
        <f t="shared" ref="D51:W51" si="21">D6</f>
        <v>2001</v>
      </c>
      <c r="E51" s="442">
        <f t="shared" si="21"/>
        <v>2002</v>
      </c>
      <c r="F51" s="442">
        <f t="shared" si="21"/>
        <v>2003</v>
      </c>
      <c r="G51" s="442">
        <f t="shared" si="21"/>
        <v>2004</v>
      </c>
      <c r="H51" s="442">
        <f t="shared" si="21"/>
        <v>2005</v>
      </c>
      <c r="I51" s="442">
        <f t="shared" si="21"/>
        <v>2006</v>
      </c>
      <c r="J51" s="442">
        <f t="shared" si="21"/>
        <v>2007</v>
      </c>
      <c r="K51" s="442">
        <f t="shared" si="21"/>
        <v>2008</v>
      </c>
      <c r="L51" s="442">
        <f t="shared" si="21"/>
        <v>2009</v>
      </c>
      <c r="M51" s="442">
        <f t="shared" si="21"/>
        <v>2010</v>
      </c>
      <c r="N51" s="442">
        <f t="shared" si="21"/>
        <v>2011</v>
      </c>
      <c r="O51" s="442">
        <f t="shared" si="21"/>
        <v>2012</v>
      </c>
      <c r="P51" s="442">
        <f t="shared" si="21"/>
        <v>2013</v>
      </c>
      <c r="Q51" s="442">
        <f t="shared" si="21"/>
        <v>2014</v>
      </c>
      <c r="R51" s="442">
        <f t="shared" si="21"/>
        <v>2015</v>
      </c>
      <c r="S51" s="442">
        <f t="shared" si="21"/>
        <v>2016</v>
      </c>
      <c r="T51" s="442">
        <f t="shared" si="21"/>
        <v>2017</v>
      </c>
      <c r="U51" s="442">
        <f t="shared" si="21"/>
        <v>2018</v>
      </c>
      <c r="V51" s="442">
        <f t="shared" si="21"/>
        <v>2019</v>
      </c>
      <c r="W51" s="442" t="str">
        <f t="shared" si="21"/>
        <v>TV</v>
      </c>
    </row>
    <row r="52" spans="1:23" s="333" customFormat="1" x14ac:dyDescent="0.2">
      <c r="A52" s="290" t="s">
        <v>195</v>
      </c>
      <c r="B52" s="433"/>
      <c r="C52" s="347"/>
      <c r="D52" s="347">
        <f>+C47</f>
        <v>0</v>
      </c>
      <c r="E52" s="347">
        <f t="shared" ref="E52:R52" si="22">+D56</f>
        <v>0</v>
      </c>
      <c r="F52" s="347">
        <f t="shared" si="22"/>
        <v>0</v>
      </c>
      <c r="G52" s="347">
        <f t="shared" si="22"/>
        <v>0</v>
      </c>
      <c r="H52" s="347">
        <f t="shared" si="22"/>
        <v>0</v>
      </c>
      <c r="I52" s="347">
        <f t="shared" si="22"/>
        <v>0</v>
      </c>
      <c r="J52" s="347">
        <f t="shared" si="22"/>
        <v>0</v>
      </c>
      <c r="K52" s="347">
        <f t="shared" si="22"/>
        <v>0</v>
      </c>
      <c r="L52" s="347">
        <f t="shared" si="22"/>
        <v>0</v>
      </c>
      <c r="M52" s="347">
        <f t="shared" si="22"/>
        <v>0</v>
      </c>
      <c r="N52" s="347">
        <f t="shared" si="22"/>
        <v>0</v>
      </c>
      <c r="O52" s="347">
        <f t="shared" si="22"/>
        <v>0</v>
      </c>
      <c r="P52" s="347">
        <f t="shared" si="22"/>
        <v>0</v>
      </c>
      <c r="Q52" s="347">
        <f t="shared" si="22"/>
        <v>0</v>
      </c>
      <c r="R52" s="347">
        <f t="shared" si="22"/>
        <v>0</v>
      </c>
      <c r="S52" s="347">
        <f>+R56</f>
        <v>0</v>
      </c>
      <c r="T52" s="347">
        <f>+S56</f>
        <v>0</v>
      </c>
      <c r="U52" s="347">
        <f>+T56</f>
        <v>0</v>
      </c>
      <c r="V52" s="347">
        <f>+U56</f>
        <v>0</v>
      </c>
      <c r="W52" s="347">
        <f>+V56</f>
        <v>0</v>
      </c>
    </row>
    <row r="53" spans="1:23" s="333" customFormat="1" x14ac:dyDescent="0.2">
      <c r="A53" s="290" t="s">
        <v>196</v>
      </c>
      <c r="B53" s="433"/>
      <c r="C53" s="347"/>
      <c r="D53" s="347">
        <f t="shared" ref="D53:W53" si="23">+D52*$C$50</f>
        <v>0</v>
      </c>
      <c r="E53" s="347">
        <f t="shared" si="23"/>
        <v>0</v>
      </c>
      <c r="F53" s="347">
        <f t="shared" si="23"/>
        <v>0</v>
      </c>
      <c r="G53" s="347">
        <f t="shared" si="23"/>
        <v>0</v>
      </c>
      <c r="H53" s="347">
        <f t="shared" si="23"/>
        <v>0</v>
      </c>
      <c r="I53" s="347">
        <f t="shared" si="23"/>
        <v>0</v>
      </c>
      <c r="J53" s="347">
        <f t="shared" si="23"/>
        <v>0</v>
      </c>
      <c r="K53" s="347">
        <f t="shared" si="23"/>
        <v>0</v>
      </c>
      <c r="L53" s="347">
        <f t="shared" si="23"/>
        <v>0</v>
      </c>
      <c r="M53" s="347">
        <f t="shared" si="23"/>
        <v>0</v>
      </c>
      <c r="N53" s="347">
        <f t="shared" si="23"/>
        <v>0</v>
      </c>
      <c r="O53" s="347">
        <f t="shared" si="23"/>
        <v>0</v>
      </c>
      <c r="P53" s="347">
        <f t="shared" si="23"/>
        <v>0</v>
      </c>
      <c r="Q53" s="347">
        <f t="shared" si="23"/>
        <v>0</v>
      </c>
      <c r="R53" s="347">
        <f t="shared" si="23"/>
        <v>0</v>
      </c>
      <c r="S53" s="347">
        <f t="shared" si="23"/>
        <v>0</v>
      </c>
      <c r="T53" s="347">
        <f t="shared" si="23"/>
        <v>0</v>
      </c>
      <c r="U53" s="347">
        <f t="shared" si="23"/>
        <v>0</v>
      </c>
      <c r="V53" s="347">
        <f t="shared" si="23"/>
        <v>0</v>
      </c>
      <c r="W53" s="347">
        <f t="shared" si="23"/>
        <v>0</v>
      </c>
    </row>
    <row r="54" spans="1:23" s="333" customFormat="1" x14ac:dyDescent="0.2">
      <c r="A54" s="290" t="s">
        <v>197</v>
      </c>
      <c r="B54" s="433"/>
      <c r="C54" s="347"/>
      <c r="D54" s="347">
        <f t="shared" ref="D54:R54" si="24">IF((D51-$D$51)&gt;=$C$48,0,$C$49)</f>
        <v>0</v>
      </c>
      <c r="E54" s="347">
        <f t="shared" si="24"/>
        <v>0</v>
      </c>
      <c r="F54" s="347">
        <f t="shared" si="24"/>
        <v>0</v>
      </c>
      <c r="G54" s="347">
        <f t="shared" si="24"/>
        <v>0</v>
      </c>
      <c r="H54" s="347">
        <f t="shared" si="24"/>
        <v>0</v>
      </c>
      <c r="I54" s="347">
        <f t="shared" si="24"/>
        <v>0</v>
      </c>
      <c r="J54" s="347">
        <f t="shared" si="24"/>
        <v>0</v>
      </c>
      <c r="K54" s="347">
        <f t="shared" si="24"/>
        <v>0</v>
      </c>
      <c r="L54" s="347">
        <f t="shared" si="24"/>
        <v>0</v>
      </c>
      <c r="M54" s="347">
        <f t="shared" si="24"/>
        <v>0</v>
      </c>
      <c r="N54" s="347">
        <f t="shared" si="24"/>
        <v>0</v>
      </c>
      <c r="O54" s="347">
        <f t="shared" si="24"/>
        <v>0</v>
      </c>
      <c r="P54" s="347">
        <f t="shared" si="24"/>
        <v>0</v>
      </c>
      <c r="Q54" s="347">
        <f t="shared" si="24"/>
        <v>0</v>
      </c>
      <c r="R54" s="347">
        <f t="shared" si="24"/>
        <v>0</v>
      </c>
      <c r="S54" s="347">
        <f>IF((S51-$D$51)&gt;=$C$48,0,$C$49)</f>
        <v>0</v>
      </c>
      <c r="T54" s="347">
        <f>IF((T51-$D$51)&gt;=$C$48,0,$C$49)</f>
        <v>0</v>
      </c>
      <c r="U54" s="347">
        <f>IF((U51-$D$51)&gt;=$C$48,0,$C$49)</f>
        <v>0</v>
      </c>
      <c r="V54" s="347">
        <f>IF((V51-$D$51)&gt;=$C$48,0,$C$49)</f>
        <v>0</v>
      </c>
      <c r="W54" s="347">
        <f>V54</f>
        <v>0</v>
      </c>
    </row>
    <row r="55" spans="1:23" s="333" customFormat="1" x14ac:dyDescent="0.2">
      <c r="A55" s="290" t="s">
        <v>198</v>
      </c>
      <c r="B55" s="433"/>
      <c r="C55" s="347"/>
      <c r="D55" s="348">
        <f t="shared" ref="D55:R55" si="25">SUM(D53:D54)</f>
        <v>0</v>
      </c>
      <c r="E55" s="348">
        <f t="shared" si="25"/>
        <v>0</v>
      </c>
      <c r="F55" s="348">
        <f t="shared" si="25"/>
        <v>0</v>
      </c>
      <c r="G55" s="348">
        <f t="shared" si="25"/>
        <v>0</v>
      </c>
      <c r="H55" s="348">
        <f t="shared" si="25"/>
        <v>0</v>
      </c>
      <c r="I55" s="348">
        <f t="shared" si="25"/>
        <v>0</v>
      </c>
      <c r="J55" s="348">
        <f t="shared" si="25"/>
        <v>0</v>
      </c>
      <c r="K55" s="348">
        <f t="shared" si="25"/>
        <v>0</v>
      </c>
      <c r="L55" s="348">
        <f t="shared" si="25"/>
        <v>0</v>
      </c>
      <c r="M55" s="348">
        <f t="shared" si="25"/>
        <v>0</v>
      </c>
      <c r="N55" s="348">
        <f t="shared" si="25"/>
        <v>0</v>
      </c>
      <c r="O55" s="348">
        <f t="shared" si="25"/>
        <v>0</v>
      </c>
      <c r="P55" s="348">
        <f t="shared" si="25"/>
        <v>0</v>
      </c>
      <c r="Q55" s="348">
        <f t="shared" si="25"/>
        <v>0</v>
      </c>
      <c r="R55" s="348">
        <f t="shared" si="25"/>
        <v>0</v>
      </c>
      <c r="S55" s="348">
        <f>SUM(S53:S54)</f>
        <v>0</v>
      </c>
      <c r="T55" s="348">
        <f>SUM(T53:T54)</f>
        <v>0</v>
      </c>
      <c r="U55" s="348">
        <f>SUM(U53:U54)</f>
        <v>0</v>
      </c>
      <c r="V55" s="348">
        <f>SUM(V53:V54)</f>
        <v>0</v>
      </c>
      <c r="W55" s="348">
        <f>SUM(W53:W54)</f>
        <v>0</v>
      </c>
    </row>
    <row r="56" spans="1:23" s="333" customFormat="1" ht="13.5" thickBot="1" x14ac:dyDescent="0.25">
      <c r="A56" s="290" t="s">
        <v>199</v>
      </c>
      <c r="B56" s="433"/>
      <c r="C56" s="347"/>
      <c r="D56" s="349">
        <f t="shared" ref="D56:R56" si="26">+D52-D54</f>
        <v>0</v>
      </c>
      <c r="E56" s="349">
        <f t="shared" si="26"/>
        <v>0</v>
      </c>
      <c r="F56" s="349">
        <f t="shared" si="26"/>
        <v>0</v>
      </c>
      <c r="G56" s="349">
        <f t="shared" si="26"/>
        <v>0</v>
      </c>
      <c r="H56" s="349">
        <f t="shared" si="26"/>
        <v>0</v>
      </c>
      <c r="I56" s="349">
        <f t="shared" si="26"/>
        <v>0</v>
      </c>
      <c r="J56" s="349">
        <f t="shared" si="26"/>
        <v>0</v>
      </c>
      <c r="K56" s="349">
        <f t="shared" si="26"/>
        <v>0</v>
      </c>
      <c r="L56" s="349">
        <f t="shared" si="26"/>
        <v>0</v>
      </c>
      <c r="M56" s="349">
        <f t="shared" si="26"/>
        <v>0</v>
      </c>
      <c r="N56" s="349">
        <f t="shared" si="26"/>
        <v>0</v>
      </c>
      <c r="O56" s="349">
        <f t="shared" si="26"/>
        <v>0</v>
      </c>
      <c r="P56" s="349">
        <f t="shared" si="26"/>
        <v>0</v>
      </c>
      <c r="Q56" s="349">
        <f t="shared" si="26"/>
        <v>0</v>
      </c>
      <c r="R56" s="349">
        <f t="shared" si="26"/>
        <v>0</v>
      </c>
      <c r="S56" s="349">
        <f>+S52-S54</f>
        <v>0</v>
      </c>
      <c r="T56" s="349">
        <f>+T52-T54</f>
        <v>0</v>
      </c>
      <c r="U56" s="349">
        <f>+U52-U54</f>
        <v>0</v>
      </c>
      <c r="V56" s="349">
        <f>+V52-V54</f>
        <v>0</v>
      </c>
      <c r="W56" s="349">
        <f>+W52-W54</f>
        <v>0</v>
      </c>
    </row>
    <row r="57" spans="1:23" s="333" customFormat="1" ht="13.5" thickTop="1" x14ac:dyDescent="0.2">
      <c r="A57" s="290"/>
      <c r="B57" s="433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V57" s="347"/>
      <c r="W57" s="347"/>
    </row>
    <row r="58" spans="1:23" s="333" customFormat="1" x14ac:dyDescent="0.2">
      <c r="A58" s="290" t="s">
        <v>200</v>
      </c>
      <c r="B58" s="433"/>
      <c r="C58" s="347"/>
      <c r="D58" s="347">
        <f t="shared" ref="D58:R58" si="27">+D53*0.4</f>
        <v>0</v>
      </c>
      <c r="E58" s="347">
        <f t="shared" si="27"/>
        <v>0</v>
      </c>
      <c r="F58" s="347">
        <f t="shared" si="27"/>
        <v>0</v>
      </c>
      <c r="G58" s="347">
        <f t="shared" si="27"/>
        <v>0</v>
      </c>
      <c r="H58" s="347">
        <f t="shared" si="27"/>
        <v>0</v>
      </c>
      <c r="I58" s="347">
        <f t="shared" si="27"/>
        <v>0</v>
      </c>
      <c r="J58" s="347">
        <f t="shared" si="27"/>
        <v>0</v>
      </c>
      <c r="K58" s="347">
        <f t="shared" si="27"/>
        <v>0</v>
      </c>
      <c r="L58" s="347">
        <f t="shared" si="27"/>
        <v>0</v>
      </c>
      <c r="M58" s="347">
        <f t="shared" si="27"/>
        <v>0</v>
      </c>
      <c r="N58" s="347">
        <f t="shared" si="27"/>
        <v>0</v>
      </c>
      <c r="O58" s="347">
        <f t="shared" si="27"/>
        <v>0</v>
      </c>
      <c r="P58" s="347">
        <f t="shared" si="27"/>
        <v>0</v>
      </c>
      <c r="Q58" s="347">
        <f t="shared" si="27"/>
        <v>0</v>
      </c>
      <c r="R58" s="347">
        <f t="shared" si="27"/>
        <v>0</v>
      </c>
      <c r="S58" s="347">
        <f>+S53*0.4</f>
        <v>0</v>
      </c>
      <c r="T58" s="347">
        <f>+T53*0.4</f>
        <v>0</v>
      </c>
      <c r="U58" s="347">
        <f>+U53*0.4</f>
        <v>0</v>
      </c>
      <c r="V58" s="347">
        <f>+V53*0.4</f>
        <v>0</v>
      </c>
      <c r="W58" s="347">
        <f>+W53*0.4</f>
        <v>0</v>
      </c>
    </row>
    <row r="59" spans="1:23" s="333" customFormat="1" x14ac:dyDescent="0.2">
      <c r="A59" s="290"/>
      <c r="B59" s="433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</row>
    <row r="60" spans="1:23" s="333" customFormat="1" x14ac:dyDescent="0.2">
      <c r="A60" s="290" t="s">
        <v>201</v>
      </c>
      <c r="B60" s="433"/>
      <c r="C60" s="347"/>
      <c r="D60" s="347">
        <f t="shared" ref="D60:R60" si="28">+D55-D58</f>
        <v>0</v>
      </c>
      <c r="E60" s="347">
        <f t="shared" si="28"/>
        <v>0</v>
      </c>
      <c r="F60" s="347">
        <f t="shared" si="28"/>
        <v>0</v>
      </c>
      <c r="G60" s="347">
        <f t="shared" si="28"/>
        <v>0</v>
      </c>
      <c r="H60" s="347">
        <f t="shared" si="28"/>
        <v>0</v>
      </c>
      <c r="I60" s="347">
        <f t="shared" si="28"/>
        <v>0</v>
      </c>
      <c r="J60" s="347">
        <f t="shared" si="28"/>
        <v>0</v>
      </c>
      <c r="K60" s="347">
        <f t="shared" si="28"/>
        <v>0</v>
      </c>
      <c r="L60" s="347">
        <f t="shared" si="28"/>
        <v>0</v>
      </c>
      <c r="M60" s="347">
        <f t="shared" si="28"/>
        <v>0</v>
      </c>
      <c r="N60" s="347">
        <f t="shared" si="28"/>
        <v>0</v>
      </c>
      <c r="O60" s="347">
        <f t="shared" si="28"/>
        <v>0</v>
      </c>
      <c r="P60" s="347">
        <f t="shared" si="28"/>
        <v>0</v>
      </c>
      <c r="Q60" s="347">
        <f t="shared" si="28"/>
        <v>0</v>
      </c>
      <c r="R60" s="347">
        <f t="shared" si="28"/>
        <v>0</v>
      </c>
      <c r="S60" s="347">
        <f>+S55-S58</f>
        <v>0</v>
      </c>
      <c r="T60" s="347">
        <f>+T55-T58</f>
        <v>0</v>
      </c>
      <c r="U60" s="347">
        <f>+U55-U58</f>
        <v>0</v>
      </c>
      <c r="V60" s="347">
        <f>+V55-V58</f>
        <v>0</v>
      </c>
      <c r="W60" s="347">
        <f>+W55-W58</f>
        <v>0</v>
      </c>
    </row>
    <row r="61" spans="1:23" s="333" customFormat="1" x14ac:dyDescent="0.2">
      <c r="A61" s="283"/>
      <c r="B61" s="433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47"/>
      <c r="S61" s="347"/>
      <c r="T61" s="347"/>
      <c r="U61" s="347"/>
      <c r="V61" s="347"/>
      <c r="W61" s="347"/>
    </row>
    <row r="62" spans="1:23" s="333" customFormat="1" x14ac:dyDescent="0.2">
      <c r="A62" s="283"/>
      <c r="B62" s="433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47"/>
      <c r="S62" s="347"/>
      <c r="T62" s="347"/>
      <c r="U62" s="347"/>
      <c r="V62" s="347"/>
      <c r="W62" s="347"/>
    </row>
    <row r="63" spans="1:23" s="437" customFormat="1" x14ac:dyDescent="0.2">
      <c r="A63" s="290" t="s">
        <v>203</v>
      </c>
      <c r="B63" s="434"/>
      <c r="C63" s="435"/>
      <c r="D63" s="441">
        <f t="shared" ref="D63:W63" si="29">+D25-D60</f>
        <v>394569272.71520263</v>
      </c>
      <c r="E63" s="441">
        <f t="shared" si="29"/>
        <v>392574029.9160496</v>
      </c>
      <c r="F63" s="441">
        <f t="shared" si="29"/>
        <v>434145715.3105073</v>
      </c>
      <c r="G63" s="441">
        <f t="shared" si="29"/>
        <v>436536658.10719997</v>
      </c>
      <c r="H63" s="441">
        <f t="shared" si="29"/>
        <v>391669549.48657519</v>
      </c>
      <c r="I63" s="441">
        <f t="shared" si="29"/>
        <v>409166582.70322126</v>
      </c>
      <c r="J63" s="441">
        <f t="shared" si="29"/>
        <v>445323186.0567382</v>
      </c>
      <c r="K63" s="441">
        <f t="shared" si="29"/>
        <v>466096754.44881517</v>
      </c>
      <c r="L63" s="441">
        <f t="shared" si="29"/>
        <v>472382789.36917895</v>
      </c>
      <c r="M63" s="441">
        <f t="shared" si="29"/>
        <v>469092453.55334127</v>
      </c>
      <c r="N63" s="441">
        <f t="shared" si="29"/>
        <v>470734231.63792413</v>
      </c>
      <c r="O63" s="441">
        <f t="shared" si="29"/>
        <v>473220423.08525378</v>
      </c>
      <c r="P63" s="441">
        <f t="shared" si="29"/>
        <v>475121792.85974115</v>
      </c>
      <c r="Q63" s="441">
        <f t="shared" si="29"/>
        <v>502671551.41422814</v>
      </c>
      <c r="R63" s="441">
        <f t="shared" si="29"/>
        <v>543681774.56012976</v>
      </c>
      <c r="S63" s="441">
        <f t="shared" si="29"/>
        <v>520398610.6054039</v>
      </c>
      <c r="T63" s="441">
        <f t="shared" si="29"/>
        <v>529239167.15496653</v>
      </c>
      <c r="U63" s="441">
        <f t="shared" si="29"/>
        <v>571144053.44175029</v>
      </c>
      <c r="V63" s="441">
        <f t="shared" si="29"/>
        <v>598197441.80358446</v>
      </c>
      <c r="W63" s="441">
        <f t="shared" si="29"/>
        <v>3166603579.6814528</v>
      </c>
    </row>
    <row r="64" spans="1:23" s="470" customFormat="1" ht="16.5" thickBot="1" x14ac:dyDescent="0.3">
      <c r="A64" s="467"/>
      <c r="B64" s="468"/>
      <c r="C64" s="469"/>
      <c r="D64" s="469"/>
      <c r="E64" s="469"/>
      <c r="F64" s="469"/>
      <c r="G64" s="469"/>
      <c r="H64" s="469"/>
      <c r="I64" s="469"/>
      <c r="J64" s="469"/>
      <c r="K64" s="469"/>
      <c r="L64" s="469"/>
      <c r="M64" s="469"/>
      <c r="N64" s="469"/>
      <c r="O64" s="469"/>
      <c r="P64" s="469"/>
      <c r="Q64" s="469"/>
      <c r="R64" s="469"/>
      <c r="S64" s="469"/>
      <c r="T64" s="469"/>
      <c r="U64" s="469"/>
      <c r="V64" s="469"/>
      <c r="W64" s="469"/>
    </row>
    <row r="65" spans="1:23" x14ac:dyDescent="0.2">
      <c r="A65" s="45"/>
      <c r="B65" s="366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</row>
    <row r="66" spans="1:23" ht="15.75" x14ac:dyDescent="0.25">
      <c r="A66" s="308" t="s">
        <v>29</v>
      </c>
      <c r="B66" s="311" t="s">
        <v>55</v>
      </c>
      <c r="C66" s="312">
        <v>2000</v>
      </c>
      <c r="D66" s="312">
        <v>2001</v>
      </c>
      <c r="E66" s="312">
        <v>2002</v>
      </c>
      <c r="F66" s="312">
        <v>2003</v>
      </c>
      <c r="G66" s="312">
        <v>2004</v>
      </c>
      <c r="H66" s="312">
        <v>2005</v>
      </c>
      <c r="I66" s="312">
        <v>2006</v>
      </c>
      <c r="J66" s="312">
        <v>2007</v>
      </c>
      <c r="K66" s="312">
        <v>2008</v>
      </c>
      <c r="L66" s="312">
        <v>2009</v>
      </c>
      <c r="M66" s="312">
        <v>2010</v>
      </c>
      <c r="N66" s="312">
        <v>2011</v>
      </c>
      <c r="O66" s="312">
        <v>2012</v>
      </c>
      <c r="P66" s="312">
        <v>2013</v>
      </c>
      <c r="Q66" s="312">
        <v>2014</v>
      </c>
      <c r="R66" s="312">
        <v>2015</v>
      </c>
      <c r="S66" s="312">
        <v>2016</v>
      </c>
      <c r="T66" s="312">
        <v>2017</v>
      </c>
      <c r="U66" s="312">
        <v>2018</v>
      </c>
      <c r="V66" s="312">
        <v>2019</v>
      </c>
      <c r="W66" s="312" t="s">
        <v>154</v>
      </c>
    </row>
    <row r="67" spans="1:23" x14ac:dyDescent="0.2">
      <c r="A67" s="308" t="s">
        <v>26</v>
      </c>
      <c r="B67" s="309">
        <v>312</v>
      </c>
      <c r="C67" s="314"/>
      <c r="D67" s="314"/>
      <c r="E67" s="314"/>
      <c r="F67" s="314"/>
      <c r="G67" s="314"/>
      <c r="H67" s="314"/>
      <c r="I67" s="314"/>
      <c r="J67" s="314"/>
      <c r="K67" s="314"/>
      <c r="L67" s="314"/>
      <c r="M67" s="314"/>
      <c r="N67" s="314"/>
      <c r="O67" s="314"/>
      <c r="P67" s="314"/>
      <c r="Q67" s="314"/>
      <c r="R67" s="314"/>
      <c r="S67" s="314"/>
      <c r="T67" s="314"/>
      <c r="U67" s="314"/>
      <c r="V67" s="314"/>
      <c r="W67" s="314"/>
    </row>
    <row r="68" spans="1:23" x14ac:dyDescent="0.2">
      <c r="A68" s="9"/>
      <c r="B68" s="315" t="s">
        <v>27</v>
      </c>
      <c r="C68" s="449">
        <v>0</v>
      </c>
      <c r="D68" s="410">
        <v>83553345.423057586</v>
      </c>
      <c r="E68" s="410">
        <v>81455293.239360765</v>
      </c>
      <c r="F68" s="410">
        <v>81604215.393844426</v>
      </c>
      <c r="G68" s="410">
        <v>79490240.869969279</v>
      </c>
      <c r="H68" s="410">
        <v>78769564.942997307</v>
      </c>
      <c r="I68" s="410">
        <v>83162142.739634067</v>
      </c>
      <c r="J68" s="410">
        <v>89448484.441775069</v>
      </c>
      <c r="K68" s="410">
        <v>91857512.598750517</v>
      </c>
      <c r="L68" s="410">
        <v>93754319.407489449</v>
      </c>
      <c r="M68" s="410">
        <v>94090638.822079167</v>
      </c>
      <c r="N68" s="410">
        <v>96147458.275171414</v>
      </c>
      <c r="O68" s="410">
        <v>97187649.637464851</v>
      </c>
      <c r="P68" s="410">
        <v>98357144.577067524</v>
      </c>
      <c r="Q68" s="410">
        <v>101872254.67747612</v>
      </c>
      <c r="R68" s="410">
        <v>109058475.75389129</v>
      </c>
      <c r="S68" s="410">
        <v>108497313.61131331</v>
      </c>
      <c r="T68" s="410">
        <v>109970463.20199102</v>
      </c>
      <c r="U68" s="410">
        <v>115220611.65315066</v>
      </c>
      <c r="V68" s="410">
        <v>118673460.61548896</v>
      </c>
      <c r="W68" s="333"/>
    </row>
    <row r="69" spans="1:23" x14ac:dyDescent="0.2">
      <c r="A69" s="9"/>
      <c r="B69" s="315" t="s">
        <v>20</v>
      </c>
      <c r="C69" s="449">
        <v>0</v>
      </c>
      <c r="D69" s="410">
        <v>-22088859.019783523</v>
      </c>
      <c r="E69" s="410">
        <v>-21739048.588334706</v>
      </c>
      <c r="F69" s="410">
        <v>-21226939.271200512</v>
      </c>
      <c r="G69" s="410">
        <v>-20829291.016944539</v>
      </c>
      <c r="H69" s="410">
        <v>-20379838.867658511</v>
      </c>
      <c r="I69" s="410">
        <v>-20559664.478852704</v>
      </c>
      <c r="J69" s="410">
        <v>-21200283.028426737</v>
      </c>
      <c r="K69" s="410">
        <v>-21787017.774765581</v>
      </c>
      <c r="L69" s="410">
        <v>-22451584.681333032</v>
      </c>
      <c r="M69" s="410">
        <v>-22774887.500744235</v>
      </c>
      <c r="N69" s="410">
        <v>-23158061.212638985</v>
      </c>
      <c r="O69" s="410">
        <v>-23285785.783270556</v>
      </c>
      <c r="P69" s="410">
        <v>-23279798.69402222</v>
      </c>
      <c r="Q69" s="410">
        <v>-23449432.889392287</v>
      </c>
      <c r="R69" s="410">
        <v>-23551213.40661433</v>
      </c>
      <c r="S69" s="410">
        <v>-23736813.173313346</v>
      </c>
      <c r="T69" s="410">
        <v>-23934387.118509073</v>
      </c>
      <c r="U69" s="410">
        <v>-24094042.83179855</v>
      </c>
      <c r="V69" s="410">
        <v>-24219771.706014011</v>
      </c>
      <c r="W69" s="333"/>
    </row>
    <row r="70" spans="1:23" x14ac:dyDescent="0.2">
      <c r="A70" s="9"/>
      <c r="B70" s="315" t="s">
        <v>31</v>
      </c>
      <c r="C70" s="449">
        <v>0</v>
      </c>
      <c r="D70" s="410">
        <v>-1909121.8326310592</v>
      </c>
      <c r="E70" s="410">
        <v>-1921266.3996641547</v>
      </c>
      <c r="F70" s="410">
        <v>-1932584.9855271252</v>
      </c>
      <c r="G70" s="410">
        <v>-1943017.4440056582</v>
      </c>
      <c r="H70" s="410">
        <v>-1952500.6503354358</v>
      </c>
      <c r="I70" s="410">
        <v>-1973205.870061053</v>
      </c>
      <c r="J70" s="410">
        <v>-2013033.7591751928</v>
      </c>
      <c r="K70" s="410">
        <v>-2053665.5485692557</v>
      </c>
      <c r="L70" s="410">
        <v>-2095117.4644524243</v>
      </c>
      <c r="M70" s="410">
        <v>-2137406.0605494585</v>
      </c>
      <c r="N70" s="410">
        <v>-2180548.224711386</v>
      </c>
      <c r="O70" s="410">
        <v>-2224561.1856596284</v>
      </c>
      <c r="P70" s="410">
        <v>-2269462.5198662449</v>
      </c>
      <c r="Q70" s="410">
        <v>-2315270.1585730626</v>
      </c>
      <c r="R70" s="410">
        <v>-2362002.3949524676</v>
      </c>
      <c r="S70" s="410">
        <v>-2409677.8914127471</v>
      </c>
      <c r="T70" s="410">
        <v>-2458315.6870508734</v>
      </c>
      <c r="U70" s="410">
        <v>-2507935.205255724</v>
      </c>
      <c r="V70" s="410">
        <v>-2558556.2614647653</v>
      </c>
      <c r="W70" s="333"/>
    </row>
    <row r="71" spans="1:23" x14ac:dyDescent="0.2">
      <c r="A71" s="9"/>
      <c r="B71" s="315" t="s">
        <v>32</v>
      </c>
      <c r="C71" s="449">
        <v>0</v>
      </c>
      <c r="D71" s="410">
        <v>0</v>
      </c>
      <c r="E71" s="410">
        <v>0</v>
      </c>
      <c r="F71" s="410">
        <v>0</v>
      </c>
      <c r="G71" s="410">
        <v>0</v>
      </c>
      <c r="H71" s="410">
        <v>0</v>
      </c>
      <c r="I71" s="410">
        <v>-5125526.941979195</v>
      </c>
      <c r="J71" s="410">
        <v>-5681237.1678170143</v>
      </c>
      <c r="K71" s="410">
        <v>-6626852.8650779603</v>
      </c>
      <c r="L71" s="410">
        <v>-6885515.7634915747</v>
      </c>
      <c r="M71" s="410">
        <v>-7657752.1804011166</v>
      </c>
      <c r="N71" s="410">
        <v>-8435593.1347321328</v>
      </c>
      <c r="O71" s="410">
        <v>-9346384.2865533531</v>
      </c>
      <c r="P71" s="410">
        <v>-10479755.442534316</v>
      </c>
      <c r="Q71" s="410">
        <v>-11665603.1421296</v>
      </c>
      <c r="R71" s="410">
        <v>-12921924.645865124</v>
      </c>
      <c r="S71" s="410">
        <v>-14188257.370286416</v>
      </c>
      <c r="T71" s="410">
        <v>-13939271.155415896</v>
      </c>
      <c r="U71" s="410">
        <v>-11925800.414014496</v>
      </c>
      <c r="V71" s="410">
        <v>-12364854.760452336</v>
      </c>
      <c r="W71" s="333"/>
    </row>
    <row r="72" spans="1:23" ht="13.5" thickBot="1" x14ac:dyDescent="0.25">
      <c r="A72" s="9"/>
      <c r="B72" s="316" t="s">
        <v>33</v>
      </c>
      <c r="C72" s="450">
        <v>0</v>
      </c>
      <c r="D72" s="412">
        <v>0</v>
      </c>
      <c r="E72" s="412">
        <v>0</v>
      </c>
      <c r="F72" s="412">
        <v>-1330680.0396221192</v>
      </c>
      <c r="G72" s="412">
        <v>-1117389.6051952583</v>
      </c>
      <c r="H72" s="412">
        <v>-1142601.9637262186</v>
      </c>
      <c r="I72" s="412">
        <v>-1175549.2762626898</v>
      </c>
      <c r="J72" s="412">
        <v>-1542983.8140441023</v>
      </c>
      <c r="K72" s="412">
        <v>-1347391.4264844002</v>
      </c>
      <c r="L72" s="412">
        <v>-1426528.9162584736</v>
      </c>
      <c r="M72" s="412">
        <v>-1357396.8983938277</v>
      </c>
      <c r="N72" s="412">
        <v>-1396273.8643005183</v>
      </c>
      <c r="O72" s="412">
        <v>-1432480.4631010399</v>
      </c>
      <c r="P72" s="412">
        <v>-1279505.5979669364</v>
      </c>
      <c r="Q72" s="412">
        <v>-1325253.9092989026</v>
      </c>
      <c r="R72" s="412">
        <v>-1352640.7865235198</v>
      </c>
      <c r="S72" s="412">
        <v>-1436409.4811158192</v>
      </c>
      <c r="T72" s="412">
        <v>-1350373.8917779289</v>
      </c>
      <c r="U72" s="412">
        <v>-1487270.8014858414</v>
      </c>
      <c r="V72" s="412">
        <v>-809745.41239320685</v>
      </c>
      <c r="W72" s="333"/>
    </row>
    <row r="73" spans="1:23" ht="13.5" thickTop="1" x14ac:dyDescent="0.2">
      <c r="A73" s="9"/>
      <c r="B73" s="317" t="s">
        <v>38</v>
      </c>
      <c r="C73" s="451">
        <v>0</v>
      </c>
      <c r="D73" s="414">
        <v>59555364.570643</v>
      </c>
      <c r="E73" s="414">
        <v>57794978.251361899</v>
      </c>
      <c r="F73" s="414">
        <v>57114011.097494669</v>
      </c>
      <c r="G73" s="414">
        <v>55600542.803823814</v>
      </c>
      <c r="H73" s="414">
        <v>55294623.461277142</v>
      </c>
      <c r="I73" s="414">
        <v>54328196.172478423</v>
      </c>
      <c r="J73" s="414">
        <v>59010946.672312021</v>
      </c>
      <c r="K73" s="414">
        <v>60042584.983853318</v>
      </c>
      <c r="L73" s="414">
        <v>60895572.581953935</v>
      </c>
      <c r="M73" s="414">
        <v>60163196.181990534</v>
      </c>
      <c r="N73" s="414">
        <v>60976981.838788383</v>
      </c>
      <c r="O73" s="414">
        <v>60898437.918880276</v>
      </c>
      <c r="P73" s="414">
        <v>61048622.322677806</v>
      </c>
      <c r="Q73" s="414">
        <v>63116694.578082271</v>
      </c>
      <c r="R73" s="414">
        <v>68870694.519935846</v>
      </c>
      <c r="S73" s="414">
        <v>66726155.695184976</v>
      </c>
      <c r="T73" s="414">
        <v>68288115.349237248</v>
      </c>
      <c r="U73" s="414">
        <v>75205562.400596052</v>
      </c>
      <c r="V73" s="414">
        <v>78720532.475164652</v>
      </c>
      <c r="W73" s="333"/>
    </row>
    <row r="74" spans="1:23" x14ac:dyDescent="0.2">
      <c r="A74" s="9"/>
      <c r="B74" s="315" t="s">
        <v>34</v>
      </c>
      <c r="C74" s="449">
        <v>0</v>
      </c>
      <c r="D74" s="410">
        <v>-4215278.3681715792</v>
      </c>
      <c r="E74" s="410">
        <v>-4299583.9355350109</v>
      </c>
      <c r="F74" s="410">
        <v>-4428651.6142457109</v>
      </c>
      <c r="G74" s="410">
        <v>-4517440.0265306253</v>
      </c>
      <c r="H74" s="410">
        <v>-4608009.5915612374</v>
      </c>
      <c r="I74" s="410">
        <v>-4700396.0670049619</v>
      </c>
      <c r="J74" s="410">
        <v>-4794635.9290478742</v>
      </c>
      <c r="K74" s="410">
        <v>-4890766.3868492143</v>
      </c>
      <c r="L74" s="410">
        <v>-4988825.3972870912</v>
      </c>
      <c r="M74" s="410">
        <v>-5088851.6800012477</v>
      </c>
      <c r="N74" s="410">
        <v>-5190884.7327388972</v>
      </c>
      <c r="O74" s="410">
        <v>-5294964.8470097408</v>
      </c>
      <c r="P74" s="410">
        <v>-5401133.1240564026</v>
      </c>
      <c r="Q74" s="410">
        <v>-5509431.4911466595</v>
      </c>
      <c r="R74" s="410">
        <v>-5619902.7181939501</v>
      </c>
      <c r="S74" s="410">
        <v>-5732590.4347127946</v>
      </c>
      <c r="T74" s="410">
        <v>-5847539.1471158909</v>
      </c>
      <c r="U74" s="410">
        <v>-5964794.25635977</v>
      </c>
      <c r="V74" s="410">
        <v>-6084402.0759460665</v>
      </c>
      <c r="W74" s="333"/>
    </row>
    <row r="75" spans="1:23" x14ac:dyDescent="0.2">
      <c r="A75" s="9"/>
      <c r="B75" s="315" t="s">
        <v>35</v>
      </c>
      <c r="C75" s="449">
        <v>0</v>
      </c>
      <c r="D75" s="410">
        <v>-381835.51400375203</v>
      </c>
      <c r="E75" s="410">
        <v>-446848.79068212525</v>
      </c>
      <c r="F75" s="410">
        <v>-457081.35811975488</v>
      </c>
      <c r="G75" s="410">
        <v>-467545.18158147484</v>
      </c>
      <c r="H75" s="410">
        <v>-478258.04404158378</v>
      </c>
      <c r="I75" s="410">
        <v>-489735.03644411458</v>
      </c>
      <c r="J75" s="410">
        <v>-500988.73183821165</v>
      </c>
      <c r="K75" s="410">
        <v>-512527.28151932993</v>
      </c>
      <c r="L75" s="410">
        <v>-524350.83337757189</v>
      </c>
      <c r="M75" s="410">
        <v>-536475.88580819895</v>
      </c>
      <c r="N75" s="410">
        <v>-548894.36450764723</v>
      </c>
      <c r="O75" s="410">
        <v>-561625.78887032159</v>
      </c>
      <c r="P75" s="410">
        <v>-574680.59141180781</v>
      </c>
      <c r="Q75" s="410">
        <v>-588061.76401683118</v>
      </c>
      <c r="R75" s="410">
        <v>-601778.8040542407</v>
      </c>
      <c r="S75" s="410">
        <v>-615838.77009258547</v>
      </c>
      <c r="T75" s="410">
        <v>-630247.4232886812</v>
      </c>
      <c r="U75" s="410">
        <v>-645017.7336799989</v>
      </c>
      <c r="V75" s="410">
        <v>-660158.77886213863</v>
      </c>
      <c r="W75" s="333"/>
    </row>
    <row r="76" spans="1:23" ht="13.5" thickBot="1" x14ac:dyDescent="0.25">
      <c r="A76" s="9"/>
      <c r="B76" s="316" t="s">
        <v>36</v>
      </c>
      <c r="C76" s="450">
        <v>0</v>
      </c>
      <c r="D76" s="412">
        <v>-526501.97323171305</v>
      </c>
      <c r="E76" s="412">
        <v>-537611.16486690496</v>
      </c>
      <c r="F76" s="412">
        <v>-549384.84937749105</v>
      </c>
      <c r="G76" s="412">
        <v>-561800.946973418</v>
      </c>
      <c r="H76" s="412">
        <v>-575171.80951138702</v>
      </c>
      <c r="I76" s="412">
        <v>-589585.672880798</v>
      </c>
      <c r="J76" s="412">
        <v>-604209.04007825395</v>
      </c>
      <c r="K76" s="412">
        <v>-619502.81952545105</v>
      </c>
      <c r="L76" s="412">
        <v>-634804.53916773095</v>
      </c>
      <c r="M76" s="412">
        <v>-650992.054916505</v>
      </c>
      <c r="N76" s="412">
        <v>-666746.06264548795</v>
      </c>
      <c r="O76" s="412">
        <v>-683548.06342415197</v>
      </c>
      <c r="P76" s="412">
        <v>-700910.18423512403</v>
      </c>
      <c r="Q76" s="412">
        <v>-718432.93884100195</v>
      </c>
      <c r="R76" s="412">
        <v>-736465.605605911</v>
      </c>
      <c r="S76" s="412">
        <v>-754877.24574606004</v>
      </c>
      <c r="T76" s="412">
        <v>-773598.20144056203</v>
      </c>
      <c r="U76" s="412">
        <v>-793015.51629672095</v>
      </c>
      <c r="V76" s="412">
        <v>-812920.20575576904</v>
      </c>
      <c r="W76" s="333"/>
    </row>
    <row r="77" spans="1:23" ht="13.5" thickTop="1" x14ac:dyDescent="0.2">
      <c r="A77" s="9"/>
      <c r="B77" s="317" t="s">
        <v>221</v>
      </c>
      <c r="C77" s="452">
        <v>0</v>
      </c>
      <c r="D77" s="416">
        <v>54431748.715235956</v>
      </c>
      <c r="E77" s="416">
        <v>52510934.360277861</v>
      </c>
      <c r="F77" s="416">
        <v>51678893.27575171</v>
      </c>
      <c r="G77" s="416">
        <v>50053756.648738295</v>
      </c>
      <c r="H77" s="416">
        <v>49633184.016162939</v>
      </c>
      <c r="I77" s="416">
        <v>48548479.396148548</v>
      </c>
      <c r="J77" s="416">
        <v>53111112.971347682</v>
      </c>
      <c r="K77" s="416">
        <v>54019788.495959319</v>
      </c>
      <c r="L77" s="416">
        <v>54747591.81212154</v>
      </c>
      <c r="M77" s="416">
        <v>53886876.561264582</v>
      </c>
      <c r="N77" s="416">
        <v>54570456.678896353</v>
      </c>
      <c r="O77" s="416">
        <v>54358299.219576061</v>
      </c>
      <c r="P77" s="416">
        <v>54371898.422974475</v>
      </c>
      <c r="Q77" s="416">
        <v>56300768.38407778</v>
      </c>
      <c r="R77" s="416">
        <v>61912547.392081752</v>
      </c>
      <c r="S77" s="416">
        <v>59622849.244633533</v>
      </c>
      <c r="T77" s="416">
        <v>61036730.577392109</v>
      </c>
      <c r="U77" s="416">
        <v>67802734.894259572</v>
      </c>
      <c r="V77" s="416">
        <v>71163051.414600685</v>
      </c>
      <c r="W77" s="333"/>
    </row>
    <row r="78" spans="1:23" x14ac:dyDescent="0.2">
      <c r="A78" s="9"/>
      <c r="B78" s="315" t="s">
        <v>37</v>
      </c>
      <c r="C78" s="449">
        <v>0</v>
      </c>
      <c r="D78" s="410">
        <v>-1434872.2601740002</v>
      </c>
      <c r="E78" s="410">
        <v>-3155929.5261579999</v>
      </c>
      <c r="F78" s="410">
        <v>-4939391.063348501</v>
      </c>
      <c r="G78" s="410">
        <v>-5108167.5928593995</v>
      </c>
      <c r="H78" s="410">
        <v>-5062073.5215890007</v>
      </c>
      <c r="I78" s="410">
        <v>-4941076.9650851702</v>
      </c>
      <c r="J78" s="410">
        <v>-3557780.8992803944</v>
      </c>
      <c r="K78" s="410">
        <v>-1786747.972144224</v>
      </c>
      <c r="L78" s="410">
        <v>-1294028.9634054825</v>
      </c>
      <c r="M78" s="410">
        <v>-1310279.0760656982</v>
      </c>
      <c r="N78" s="410">
        <v>-1190373.2136408901</v>
      </c>
      <c r="O78" s="410">
        <v>-1071222.9967528018</v>
      </c>
      <c r="P78" s="410">
        <v>-1099507.6173198787</v>
      </c>
      <c r="Q78" s="410">
        <v>-1128510.8565039681</v>
      </c>
      <c r="R78" s="410">
        <v>-1048759.1128635802</v>
      </c>
      <c r="S78" s="410">
        <v>-969829.54691398051</v>
      </c>
      <c r="T78" s="410">
        <v>-1001607.103985893</v>
      </c>
      <c r="U78" s="410">
        <v>-1034307.5377699627</v>
      </c>
      <c r="V78" s="410">
        <v>-1034621.4345675546</v>
      </c>
      <c r="W78" s="333"/>
    </row>
    <row r="79" spans="1:23" ht="13.5" thickBot="1" x14ac:dyDescent="0.25">
      <c r="A79" s="9"/>
      <c r="B79" s="316" t="s">
        <v>222</v>
      </c>
      <c r="C79" s="450">
        <v>0</v>
      </c>
      <c r="D79" s="412">
        <v>-21198750.582024783</v>
      </c>
      <c r="E79" s="412">
        <v>-19742001.933647946</v>
      </c>
      <c r="F79" s="412">
        <v>-18695800.884961285</v>
      </c>
      <c r="G79" s="412">
        <v>-17978235.622351557</v>
      </c>
      <c r="H79" s="412">
        <v>-17828444.197829574</v>
      </c>
      <c r="I79" s="412">
        <v>-17442960.972425353</v>
      </c>
      <c r="J79" s="412">
        <v>-19821332.828826915</v>
      </c>
      <c r="K79" s="412">
        <v>-20893216.20952604</v>
      </c>
      <c r="L79" s="412">
        <v>-21381425.139486425</v>
      </c>
      <c r="M79" s="412">
        <v>-21030638.994079556</v>
      </c>
      <c r="N79" s="412">
        <v>-21352033.386102185</v>
      </c>
      <c r="O79" s="412">
        <v>-21314830.489129305</v>
      </c>
      <c r="P79" s="412">
        <v>-21308956.32226184</v>
      </c>
      <c r="Q79" s="412">
        <v>-22068903.011029527</v>
      </c>
      <c r="R79" s="412">
        <v>-24345515.311687272</v>
      </c>
      <c r="S79" s="412">
        <v>-23461207.879087821</v>
      </c>
      <c r="T79" s="412">
        <v>-24014049.389362488</v>
      </c>
      <c r="U79" s="412">
        <v>-26707370.942595843</v>
      </c>
      <c r="V79" s="412">
        <v>-28051371.992013253</v>
      </c>
      <c r="W79" s="333"/>
    </row>
    <row r="80" spans="1:23" ht="13.5" thickTop="1" x14ac:dyDescent="0.2">
      <c r="A80" s="9"/>
      <c r="B80" s="317" t="s">
        <v>183</v>
      </c>
      <c r="C80" s="452">
        <v>0</v>
      </c>
      <c r="D80" s="416">
        <v>31798125.873037174</v>
      </c>
      <c r="E80" s="416">
        <v>29613002.900471918</v>
      </c>
      <c r="F80" s="416">
        <v>28043701.327441923</v>
      </c>
      <c r="G80" s="416">
        <v>26967353.433527336</v>
      </c>
      <c r="H80" s="416">
        <v>26742666.296744362</v>
      </c>
      <c r="I80" s="416">
        <v>26164441.458638024</v>
      </c>
      <c r="J80" s="416">
        <v>29731999.243240375</v>
      </c>
      <c r="K80" s="416">
        <v>31339824.314289056</v>
      </c>
      <c r="L80" s="416">
        <v>32072137.709229633</v>
      </c>
      <c r="M80" s="416">
        <v>31545958.491119329</v>
      </c>
      <c r="N80" s="416">
        <v>32028050.079153277</v>
      </c>
      <c r="O80" s="416">
        <v>31972245.733693957</v>
      </c>
      <c r="P80" s="416">
        <v>31963434.483392753</v>
      </c>
      <c r="Q80" s="416">
        <v>33103354.516544282</v>
      </c>
      <c r="R80" s="416">
        <v>36518272.967530906</v>
      </c>
      <c r="S80" s="416">
        <v>35191811.818631731</v>
      </c>
      <c r="T80" s="416">
        <v>36021074.084043726</v>
      </c>
      <c r="U80" s="416">
        <v>40061056.413893759</v>
      </c>
      <c r="V80" s="416">
        <v>42077057.988019876</v>
      </c>
      <c r="W80" s="333"/>
    </row>
    <row r="81" spans="1:23" x14ac:dyDescent="0.2">
      <c r="A81" s="9"/>
      <c r="B81" s="315" t="s">
        <v>37</v>
      </c>
      <c r="C81" s="449">
        <v>0</v>
      </c>
      <c r="D81" s="410">
        <v>1434872.2601740002</v>
      </c>
      <c r="E81" s="410">
        <v>3155929.5261579999</v>
      </c>
      <c r="F81" s="410">
        <v>4939391.063348501</v>
      </c>
      <c r="G81" s="410">
        <v>5108167.5928593995</v>
      </c>
      <c r="H81" s="410">
        <v>5062073.5215890007</v>
      </c>
      <c r="I81" s="410">
        <v>4941076.9650851702</v>
      </c>
      <c r="J81" s="410">
        <v>3557780.8992803944</v>
      </c>
      <c r="K81" s="410">
        <v>1786747.972144224</v>
      </c>
      <c r="L81" s="410">
        <v>1294028.9634054825</v>
      </c>
      <c r="M81" s="410">
        <v>1310279.0760656982</v>
      </c>
      <c r="N81" s="410">
        <v>1190373.2136408901</v>
      </c>
      <c r="O81" s="410">
        <v>1071222.9967528018</v>
      </c>
      <c r="P81" s="410">
        <v>1099507.6173198787</v>
      </c>
      <c r="Q81" s="410">
        <v>1128510.8565039681</v>
      </c>
      <c r="R81" s="410">
        <v>1048759.1128635802</v>
      </c>
      <c r="S81" s="410">
        <v>969829.54691398051</v>
      </c>
      <c r="T81" s="410">
        <v>1001607.103985893</v>
      </c>
      <c r="U81" s="410">
        <v>1034307.5377699627</v>
      </c>
      <c r="V81" s="410">
        <v>1034621.4345675546</v>
      </c>
      <c r="W81" s="333"/>
    </row>
    <row r="82" spans="1:23" x14ac:dyDescent="0.2">
      <c r="A82" s="9"/>
      <c r="B82" s="315" t="s">
        <v>39</v>
      </c>
      <c r="C82" s="449">
        <v>0</v>
      </c>
      <c r="D82" s="410">
        <v>-1242599.8999999999</v>
      </c>
      <c r="E82" s="410">
        <v>-239999.94999999925</v>
      </c>
      <c r="F82" s="410">
        <v>-399999.96</v>
      </c>
      <c r="G82" s="410">
        <v>-239999.88</v>
      </c>
      <c r="H82" s="410">
        <v>-474999.93799999991</v>
      </c>
      <c r="I82" s="410">
        <v>-489249.93613999989</v>
      </c>
      <c r="J82" s="410">
        <v>-503927.43422419991</v>
      </c>
      <c r="K82" s="410">
        <v>-519045.25725092593</v>
      </c>
      <c r="L82" s="410">
        <v>-534616.61496845377</v>
      </c>
      <c r="M82" s="410">
        <v>-550655.11341750738</v>
      </c>
      <c r="N82" s="410">
        <v>-567174.76682003262</v>
      </c>
      <c r="O82" s="410">
        <v>-584190.0098246336</v>
      </c>
      <c r="P82" s="410">
        <v>-601715.71011937258</v>
      </c>
      <c r="Q82" s="410">
        <v>-619767.18142295373</v>
      </c>
      <c r="R82" s="410">
        <v>-638360.19686564233</v>
      </c>
      <c r="S82" s="410">
        <v>-657511.00277161156</v>
      </c>
      <c r="T82" s="410">
        <v>-677236.33285475988</v>
      </c>
      <c r="U82" s="410">
        <v>-697553.42284040269</v>
      </c>
      <c r="V82" s="410">
        <v>-718480.02552561474</v>
      </c>
      <c r="W82" s="333"/>
    </row>
    <row r="83" spans="1:23" ht="13.5" thickBot="1" x14ac:dyDescent="0.25">
      <c r="A83" s="9"/>
      <c r="B83" s="316" t="s">
        <v>40</v>
      </c>
      <c r="C83" s="450">
        <v>0</v>
      </c>
      <c r="D83" s="412">
        <v>-1471963.2</v>
      </c>
      <c r="E83" s="412">
        <v>-21211947.960000001</v>
      </c>
      <c r="F83" s="412">
        <v>-2835914.52</v>
      </c>
      <c r="G83" s="412">
        <v>0</v>
      </c>
      <c r="H83" s="412">
        <v>0</v>
      </c>
      <c r="I83" s="412">
        <v>0</v>
      </c>
      <c r="J83" s="412">
        <v>0</v>
      </c>
      <c r="K83" s="412">
        <v>0</v>
      </c>
      <c r="L83" s="412">
        <v>0</v>
      </c>
      <c r="M83" s="412">
        <v>0</v>
      </c>
      <c r="N83" s="412">
        <v>0</v>
      </c>
      <c r="O83" s="412">
        <v>0</v>
      </c>
      <c r="P83" s="412">
        <v>0</v>
      </c>
      <c r="Q83" s="412">
        <v>0</v>
      </c>
      <c r="R83" s="412">
        <v>0</v>
      </c>
      <c r="S83" s="412">
        <v>0</v>
      </c>
      <c r="T83" s="412">
        <v>0</v>
      </c>
      <c r="U83" s="412">
        <v>0</v>
      </c>
      <c r="V83" s="412">
        <v>0</v>
      </c>
      <c r="W83" s="333"/>
    </row>
    <row r="84" spans="1:23" ht="13.5" thickTop="1" x14ac:dyDescent="0.2">
      <c r="A84" s="9"/>
      <c r="B84" s="315"/>
      <c r="C84" s="453"/>
      <c r="D84" s="333"/>
      <c r="E84" s="333"/>
      <c r="F84" s="333"/>
      <c r="G84" s="333"/>
      <c r="H84" s="333"/>
      <c r="I84" s="333"/>
      <c r="J84" s="333"/>
      <c r="K84" s="333"/>
      <c r="L84" s="333"/>
      <c r="M84" s="333"/>
      <c r="N84" s="333"/>
      <c r="O84" s="333"/>
      <c r="P84" s="333"/>
      <c r="Q84" s="333"/>
      <c r="R84" s="333"/>
      <c r="S84" s="333"/>
      <c r="T84" s="333"/>
      <c r="U84" s="333"/>
      <c r="V84" s="333"/>
      <c r="W84" s="333"/>
    </row>
    <row r="85" spans="1:23" x14ac:dyDescent="0.2">
      <c r="A85" s="9"/>
      <c r="B85" s="317" t="s">
        <v>234</v>
      </c>
      <c r="C85" s="452">
        <v>0</v>
      </c>
      <c r="D85" s="416">
        <v>30518435.033211175</v>
      </c>
      <c r="E85" s="416">
        <v>11316984.516629919</v>
      </c>
      <c r="F85" s="416">
        <v>29747177.910790425</v>
      </c>
      <c r="G85" s="416">
        <v>31835521.146386735</v>
      </c>
      <c r="H85" s="416">
        <v>31329739.88033336</v>
      </c>
      <c r="I85" s="416">
        <v>30616268.487583194</v>
      </c>
      <c r="J85" s="416">
        <v>32785852.708296571</v>
      </c>
      <c r="K85" s="416">
        <v>32607527.029182352</v>
      </c>
      <c r="L85" s="416">
        <v>32831550.057666663</v>
      </c>
      <c r="M85" s="416">
        <v>32305582.453767519</v>
      </c>
      <c r="N85" s="416">
        <v>32651248.525974136</v>
      </c>
      <c r="O85" s="416">
        <v>32459278.720622126</v>
      </c>
      <c r="P85" s="416">
        <v>32461226.390593257</v>
      </c>
      <c r="Q85" s="416">
        <v>33612098.191625297</v>
      </c>
      <c r="R85" s="416">
        <v>36928671.883528844</v>
      </c>
      <c r="S85" s="416">
        <v>35504130.362774104</v>
      </c>
      <c r="T85" s="416">
        <v>36345444.855174854</v>
      </c>
      <c r="U85" s="416">
        <v>40397810.528823324</v>
      </c>
      <c r="V85" s="416">
        <v>42393199.397061817</v>
      </c>
      <c r="W85" s="414">
        <v>218168195.52176437</v>
      </c>
    </row>
    <row r="86" spans="1:23" x14ac:dyDescent="0.2">
      <c r="A86" s="9"/>
      <c r="B86" s="29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x14ac:dyDescent="0.2">
      <c r="A87" s="308" t="s">
        <v>219</v>
      </c>
      <c r="B87" s="306" t="s">
        <v>170</v>
      </c>
      <c r="C87" s="439">
        <v>105556107.43194699</v>
      </c>
      <c r="D87" s="9"/>
      <c r="E87" s="137" t="s">
        <v>220</v>
      </c>
      <c r="F87" s="319" t="s">
        <v>170</v>
      </c>
      <c r="G87" s="443">
        <v>105556107.43194699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x14ac:dyDescent="0.2">
      <c r="A88" s="9"/>
      <c r="B88" s="306" t="s">
        <v>180</v>
      </c>
      <c r="C88" s="439">
        <v>161194638.9784508</v>
      </c>
      <c r="D88" s="9"/>
      <c r="E88" s="321"/>
      <c r="F88" s="319" t="s">
        <v>180</v>
      </c>
      <c r="G88" s="443">
        <v>161194638.9784508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ht="13.5" thickBot="1" x14ac:dyDescent="0.25">
      <c r="A89" s="9"/>
      <c r="B89" s="322" t="s">
        <v>137</v>
      </c>
      <c r="C89" s="440">
        <v>34012149.472476713</v>
      </c>
      <c r="D89" s="323"/>
      <c r="E89" s="321"/>
      <c r="F89" s="319" t="s">
        <v>137</v>
      </c>
      <c r="G89" s="443">
        <v>34012149.472476713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ht="14.25" thickTop="1" thickBot="1" x14ac:dyDescent="0.25">
      <c r="A90" s="9"/>
      <c r="B90" s="306" t="s">
        <v>28</v>
      </c>
      <c r="C90" s="438">
        <v>300762895.88287449</v>
      </c>
      <c r="D90" s="305"/>
      <c r="E90" s="321"/>
      <c r="F90" s="324" t="s">
        <v>204</v>
      </c>
      <c r="G90" s="325"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ht="13.5" thickTop="1" x14ac:dyDescent="0.2">
      <c r="A91" s="9"/>
      <c r="B91" s="292"/>
      <c r="C91" s="326"/>
      <c r="D91" s="9"/>
      <c r="E91" s="327"/>
      <c r="F91" s="319" t="s">
        <v>28</v>
      </c>
      <c r="G91" s="368">
        <v>300762895.88287449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x14ac:dyDescent="0.2">
      <c r="A92" s="9"/>
      <c r="B92" s="292"/>
      <c r="C92" s="326"/>
      <c r="D92" s="9"/>
      <c r="E92" s="327"/>
      <c r="F92" s="319"/>
      <c r="G92" s="32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x14ac:dyDescent="0.2">
      <c r="A93" s="9"/>
      <c r="B93" s="292"/>
      <c r="C93" s="326"/>
      <c r="D93" s="9"/>
      <c r="E93" s="327"/>
      <c r="F93" s="319"/>
      <c r="G93" s="32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x14ac:dyDescent="0.2">
      <c r="A94" s="9"/>
      <c r="B94" s="329" t="s">
        <v>223</v>
      </c>
      <c r="C94" s="326"/>
      <c r="D94" s="9"/>
      <c r="E94" s="327"/>
      <c r="F94" s="319"/>
      <c r="G94" s="32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x14ac:dyDescent="0.2">
      <c r="A95" s="330" t="s">
        <v>225</v>
      </c>
      <c r="B95" s="329" t="s">
        <v>224</v>
      </c>
      <c r="C95" s="331"/>
      <c r="D95" s="332">
        <v>31798125.873037174</v>
      </c>
      <c r="E95" s="332">
        <v>29613002.900471918</v>
      </c>
      <c r="F95" s="332">
        <v>28043701.327441923</v>
      </c>
      <c r="G95" s="332">
        <v>26967353.433527336</v>
      </c>
      <c r="H95" s="332">
        <v>26742666.296744362</v>
      </c>
      <c r="I95" s="332">
        <v>26164441.458638024</v>
      </c>
      <c r="J95" s="332">
        <v>29731999.243240375</v>
      </c>
      <c r="K95" s="332">
        <v>31339824.314289056</v>
      </c>
      <c r="L95" s="332">
        <v>32072137.709229633</v>
      </c>
      <c r="M95" s="332">
        <v>31545958.491119329</v>
      </c>
      <c r="N95" s="332">
        <v>32028050.079153277</v>
      </c>
      <c r="O95" s="332">
        <v>31972245.733693957</v>
      </c>
      <c r="P95" s="332">
        <v>31963434.483392753</v>
      </c>
      <c r="Q95" s="332">
        <v>33103354.516544282</v>
      </c>
      <c r="R95" s="332">
        <v>36518272.967530906</v>
      </c>
      <c r="S95" s="332">
        <v>35191811.818631731</v>
      </c>
      <c r="T95" s="332">
        <v>36021074.084043726</v>
      </c>
      <c r="U95" s="332">
        <v>40061056.413893759</v>
      </c>
      <c r="V95" s="332">
        <v>42077057.988019876</v>
      </c>
      <c r="W95" s="9"/>
    </row>
    <row r="96" spans="1:23" x14ac:dyDescent="0.2">
      <c r="A96" s="9"/>
      <c r="B96" s="292" t="s">
        <v>226</v>
      </c>
      <c r="C96" s="326"/>
      <c r="D96" s="333">
        <v>21198750.582024783</v>
      </c>
      <c r="E96" s="333">
        <v>19742001.933647946</v>
      </c>
      <c r="F96" s="333">
        <v>18695800.884961285</v>
      </c>
      <c r="G96" s="333">
        <v>17978235.622351557</v>
      </c>
      <c r="H96" s="333">
        <v>17828444.197829574</v>
      </c>
      <c r="I96" s="333">
        <v>17442960.972425353</v>
      </c>
      <c r="J96" s="333">
        <v>19821332.828826915</v>
      </c>
      <c r="K96" s="333">
        <v>20893216.20952604</v>
      </c>
      <c r="L96" s="333">
        <v>21381425.139486425</v>
      </c>
      <c r="M96" s="333">
        <v>21030638.994079556</v>
      </c>
      <c r="N96" s="333">
        <v>21352033.386102185</v>
      </c>
      <c r="O96" s="333">
        <v>21314830.489129305</v>
      </c>
      <c r="P96" s="333">
        <v>21308956.32226184</v>
      </c>
      <c r="Q96" s="333">
        <v>22068903.011029527</v>
      </c>
      <c r="R96" s="333">
        <v>24345515.311687272</v>
      </c>
      <c r="S96" s="333">
        <v>23461207.879087821</v>
      </c>
      <c r="T96" s="333">
        <v>24014049.389362488</v>
      </c>
      <c r="U96" s="333">
        <v>26707370.942595843</v>
      </c>
      <c r="V96" s="333">
        <v>28051371.992013253</v>
      </c>
      <c r="W96" s="9"/>
    </row>
    <row r="97" spans="1:23" x14ac:dyDescent="0.2">
      <c r="A97" s="9"/>
      <c r="B97" s="334" t="s">
        <v>227</v>
      </c>
      <c r="C97" s="335"/>
      <c r="D97" s="333">
        <v>1434872.2601740002</v>
      </c>
      <c r="E97" s="333">
        <v>3155929.5261579999</v>
      </c>
      <c r="F97" s="333">
        <v>4939391.063348501</v>
      </c>
      <c r="G97" s="333">
        <v>5108167.5928593995</v>
      </c>
      <c r="H97" s="333">
        <v>5062073.5215890007</v>
      </c>
      <c r="I97" s="333">
        <v>4941076.9650851702</v>
      </c>
      <c r="J97" s="333">
        <v>3557780.8992803944</v>
      </c>
      <c r="K97" s="333">
        <v>1786747.972144224</v>
      </c>
      <c r="L97" s="333">
        <v>1294028.9634054825</v>
      </c>
      <c r="M97" s="333">
        <v>1310279.0760656982</v>
      </c>
      <c r="N97" s="333">
        <v>1190373.2136408901</v>
      </c>
      <c r="O97" s="333">
        <v>1071222.9967528018</v>
      </c>
      <c r="P97" s="333">
        <v>1099507.6173198787</v>
      </c>
      <c r="Q97" s="333">
        <v>1128510.8565039681</v>
      </c>
      <c r="R97" s="333">
        <v>1048759.1128635802</v>
      </c>
      <c r="S97" s="333">
        <v>969829.54691398051</v>
      </c>
      <c r="T97" s="333">
        <v>1001607.103985893</v>
      </c>
      <c r="U97" s="333">
        <v>1034307.5377699627</v>
      </c>
      <c r="V97" s="333">
        <v>1034621.4345675546</v>
      </c>
      <c r="W97" s="9"/>
    </row>
    <row r="98" spans="1:23" ht="13.5" thickBot="1" x14ac:dyDescent="0.25">
      <c r="A98" s="9"/>
      <c r="B98" s="336" t="s">
        <v>228</v>
      </c>
      <c r="C98" s="337"/>
      <c r="D98" s="338">
        <v>54431748.715235956</v>
      </c>
      <c r="E98" s="338">
        <v>52510934.360277861</v>
      </c>
      <c r="F98" s="338">
        <v>51678893.27575171</v>
      </c>
      <c r="G98" s="338">
        <v>50053756.648738295</v>
      </c>
      <c r="H98" s="338">
        <v>49633184.016162939</v>
      </c>
      <c r="I98" s="338">
        <v>48548479.396148548</v>
      </c>
      <c r="J98" s="338">
        <v>53111112.971347682</v>
      </c>
      <c r="K98" s="338">
        <v>54019788.495959319</v>
      </c>
      <c r="L98" s="338">
        <v>54747591.81212154</v>
      </c>
      <c r="M98" s="338">
        <v>53886876.561264582</v>
      </c>
      <c r="N98" s="338">
        <v>54570456.678896353</v>
      </c>
      <c r="O98" s="338">
        <v>54358299.219576061</v>
      </c>
      <c r="P98" s="338">
        <v>54371898.422974475</v>
      </c>
      <c r="Q98" s="338">
        <v>56300768.38407778</v>
      </c>
      <c r="R98" s="338">
        <v>61912547.39208176</v>
      </c>
      <c r="S98" s="338">
        <v>59622849.244633533</v>
      </c>
      <c r="T98" s="338">
        <v>61036730.577392101</v>
      </c>
      <c r="U98" s="338">
        <v>67802734.894259557</v>
      </c>
      <c r="V98" s="338">
        <v>71163051.414600685</v>
      </c>
      <c r="W98" s="9"/>
    </row>
    <row r="99" spans="1:23" ht="13.5" thickTop="1" x14ac:dyDescent="0.2">
      <c r="A99" s="330" t="s">
        <v>229</v>
      </c>
      <c r="B99" s="292" t="s">
        <v>230</v>
      </c>
      <c r="C99" s="326"/>
      <c r="D99" s="333">
        <v>-2592003.1630730298</v>
      </c>
      <c r="E99" s="333">
        <v>-3664600.5585730299</v>
      </c>
      <c r="F99" s="333">
        <v>-3684600.5565730296</v>
      </c>
      <c r="G99" s="333">
        <v>-3696600.5505730296</v>
      </c>
      <c r="H99" s="333">
        <v>-3720350.5474730302</v>
      </c>
      <c r="I99" s="333">
        <v>-3744813.0442800298</v>
      </c>
      <c r="J99" s="333">
        <v>-3770009.4159912402</v>
      </c>
      <c r="K99" s="333">
        <v>-3795961.6788537866</v>
      </c>
      <c r="L99" s="333">
        <v>-3822692.5096022086</v>
      </c>
      <c r="M99" s="333">
        <v>-3850225.2652730839</v>
      </c>
      <c r="N99" s="333">
        <v>-3878584.0036140857</v>
      </c>
      <c r="O99" s="333">
        <v>-3907793.5041053174</v>
      </c>
      <c r="P99" s="333">
        <v>-3935067.559611286</v>
      </c>
      <c r="Q99" s="333">
        <v>-1979920.4086824309</v>
      </c>
      <c r="R99" s="333">
        <v>-1644004.4585257159</v>
      </c>
      <c r="S99" s="333">
        <v>-1676880.0086642965</v>
      </c>
      <c r="T99" s="333">
        <v>-1710741.8253070344</v>
      </c>
      <c r="U99" s="333">
        <v>-1745619.4964490547</v>
      </c>
      <c r="V99" s="333">
        <v>-1781543.4977253354</v>
      </c>
      <c r="W99" s="9"/>
    </row>
    <row r="100" spans="1:23" x14ac:dyDescent="0.2">
      <c r="A100" s="9"/>
      <c r="B100" s="292" t="s">
        <v>231</v>
      </c>
      <c r="C100" s="326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  <c r="O100" s="333">
        <v>0</v>
      </c>
      <c r="P100" s="333">
        <v>0</v>
      </c>
      <c r="Q100" s="333">
        <v>0</v>
      </c>
      <c r="R100" s="333">
        <v>0</v>
      </c>
      <c r="S100" s="333">
        <v>0</v>
      </c>
      <c r="T100" s="333">
        <v>0</v>
      </c>
      <c r="U100" s="333">
        <v>0</v>
      </c>
      <c r="V100" s="333">
        <v>0</v>
      </c>
      <c r="W100" s="9"/>
    </row>
    <row r="101" spans="1:23" x14ac:dyDescent="0.2">
      <c r="A101" s="9"/>
      <c r="B101" s="329" t="s">
        <v>232</v>
      </c>
      <c r="C101" s="331"/>
      <c r="D101" s="332">
        <v>51839745.552162923</v>
      </c>
      <c r="E101" s="332">
        <v>48846333.801704831</v>
      </c>
      <c r="F101" s="332">
        <v>47994292.719178677</v>
      </c>
      <c r="G101" s="332">
        <v>46357156.098165266</v>
      </c>
      <c r="H101" s="332">
        <v>45912833.468689911</v>
      </c>
      <c r="I101" s="332">
        <v>44803666.351868518</v>
      </c>
      <c r="J101" s="332">
        <v>49341103.555356443</v>
      </c>
      <c r="K101" s="332">
        <v>50223826.817105532</v>
      </c>
      <c r="L101" s="332">
        <v>50924899.302519329</v>
      </c>
      <c r="M101" s="332">
        <v>50036651.295991495</v>
      </c>
      <c r="N101" s="332">
        <v>50691872.67528227</v>
      </c>
      <c r="O101" s="332">
        <v>50450505.715470746</v>
      </c>
      <c r="P101" s="332">
        <v>50436830.863363191</v>
      </c>
      <c r="Q101" s="332">
        <v>54320847.975395352</v>
      </c>
      <c r="R101" s="332">
        <v>60268542.933556043</v>
      </c>
      <c r="S101" s="332">
        <v>57945969.235969238</v>
      </c>
      <c r="T101" s="332">
        <v>59325988.752085067</v>
      </c>
      <c r="U101" s="332">
        <v>66057115.397810504</v>
      </c>
      <c r="V101" s="332">
        <v>69381507.916875347</v>
      </c>
      <c r="W101" s="9"/>
    </row>
    <row r="102" spans="1:23" ht="13.5" thickBot="1" x14ac:dyDescent="0.25">
      <c r="A102" s="9"/>
      <c r="B102" s="339" t="s">
        <v>238</v>
      </c>
      <c r="C102" s="340"/>
      <c r="D102" s="341">
        <v>-20735898.220865171</v>
      </c>
      <c r="E102" s="341">
        <v>-19538533.520681933</v>
      </c>
      <c r="F102" s="341">
        <v>-19197717.08767147</v>
      </c>
      <c r="G102" s="341">
        <v>-18542862.439266108</v>
      </c>
      <c r="H102" s="341">
        <v>-18365133.387475964</v>
      </c>
      <c r="I102" s="341">
        <v>-17921466.540747408</v>
      </c>
      <c r="J102" s="341">
        <v>-19736441.422142576</v>
      </c>
      <c r="K102" s="341">
        <v>-20089530.726842213</v>
      </c>
      <c r="L102" s="341">
        <v>-20369959.721007735</v>
      </c>
      <c r="M102" s="341">
        <v>-20014660.518396597</v>
      </c>
      <c r="N102" s="341">
        <v>-20276749.07011291</v>
      </c>
      <c r="O102" s="341">
        <v>-20180202.286188301</v>
      </c>
      <c r="P102" s="341">
        <v>-20174732.345345277</v>
      </c>
      <c r="Q102" s="341">
        <v>-21728339.190158144</v>
      </c>
      <c r="R102" s="341">
        <v>-24107417.173422419</v>
      </c>
      <c r="S102" s="341">
        <v>-23178387.694387697</v>
      </c>
      <c r="T102" s="341">
        <v>-23730395.500834029</v>
      </c>
      <c r="U102" s="341">
        <v>-26422846.159124203</v>
      </c>
      <c r="V102" s="341">
        <v>-27752603.16675014</v>
      </c>
      <c r="W102" s="9"/>
    </row>
    <row r="103" spans="1:23" ht="13.5" thickTop="1" x14ac:dyDescent="0.2">
      <c r="A103" s="9"/>
      <c r="B103" s="329" t="s">
        <v>233</v>
      </c>
      <c r="C103" s="331"/>
      <c r="D103" s="332">
        <v>31103847.331297752</v>
      </c>
      <c r="E103" s="332">
        <v>29307800.281022899</v>
      </c>
      <c r="F103" s="332">
        <v>28796575.631507207</v>
      </c>
      <c r="G103" s="332">
        <v>27814293.658899158</v>
      </c>
      <c r="H103" s="332">
        <v>27547700.081213947</v>
      </c>
      <c r="I103" s="332">
        <v>26882199.81112111</v>
      </c>
      <c r="J103" s="332">
        <v>29604662.133213867</v>
      </c>
      <c r="K103" s="332">
        <v>30134296.090263318</v>
      </c>
      <c r="L103" s="332">
        <v>30554939.581511594</v>
      </c>
      <c r="M103" s="332">
        <v>30021990.777594898</v>
      </c>
      <c r="N103" s="332">
        <v>30415123.60516936</v>
      </c>
      <c r="O103" s="332">
        <v>30270303.429282445</v>
      </c>
      <c r="P103" s="332">
        <v>30262098.518017914</v>
      </c>
      <c r="Q103" s="332">
        <v>32592508.785237208</v>
      </c>
      <c r="R103" s="332">
        <v>36161125.760133624</v>
      </c>
      <c r="S103" s="332">
        <v>34767581.541581541</v>
      </c>
      <c r="T103" s="332">
        <v>35595593.251251042</v>
      </c>
      <c r="U103" s="332">
        <v>39634269.238686301</v>
      </c>
      <c r="V103" s="332">
        <v>41628904.750125207</v>
      </c>
      <c r="W103" s="9"/>
    </row>
    <row r="104" spans="1:23" x14ac:dyDescent="0.2">
      <c r="A104" s="9"/>
      <c r="B104" s="9"/>
      <c r="C104" s="326"/>
      <c r="D104" s="9"/>
      <c r="E104" s="327"/>
      <c r="F104" s="319"/>
      <c r="G104" s="32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ht="15.75" x14ac:dyDescent="0.25">
      <c r="A105" s="342" t="s">
        <v>206</v>
      </c>
      <c r="B105" s="343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x14ac:dyDescent="0.2">
      <c r="A106" s="290" t="s">
        <v>191</v>
      </c>
      <c r="B106" s="309"/>
      <c r="C106" s="344">
        <v>0</v>
      </c>
      <c r="D106" s="283"/>
      <c r="E106" s="283"/>
      <c r="F106" s="283"/>
      <c r="G106" s="283"/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</row>
    <row r="107" spans="1:23" x14ac:dyDescent="0.2">
      <c r="A107" s="290" t="s">
        <v>192</v>
      </c>
      <c r="B107" s="309"/>
      <c r="C107" s="345">
        <v>0</v>
      </c>
      <c r="D107" s="283"/>
      <c r="E107" s="283"/>
      <c r="F107" s="283"/>
      <c r="G107" s="283"/>
      <c r="H107" s="283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  <c r="T107" s="283"/>
      <c r="U107" s="283"/>
      <c r="V107" s="283"/>
      <c r="W107" s="283"/>
    </row>
    <row r="108" spans="1:23" x14ac:dyDescent="0.2">
      <c r="A108" s="290" t="s">
        <v>202</v>
      </c>
      <c r="B108" s="309"/>
      <c r="C108" s="290">
        <v>15</v>
      </c>
      <c r="D108" s="283"/>
      <c r="E108" s="283"/>
      <c r="F108" s="283"/>
      <c r="G108" s="283"/>
      <c r="H108" s="283"/>
      <c r="I108" s="283"/>
      <c r="J108" s="283"/>
      <c r="K108" s="283"/>
      <c r="L108" s="283"/>
      <c r="M108" s="283"/>
      <c r="N108" s="283"/>
      <c r="O108" s="283"/>
      <c r="P108" s="283"/>
      <c r="Q108" s="283"/>
      <c r="R108" s="283"/>
      <c r="S108" s="283"/>
      <c r="T108" s="283"/>
      <c r="U108" s="283"/>
      <c r="V108" s="283"/>
      <c r="W108" s="283"/>
    </row>
    <row r="109" spans="1:23" x14ac:dyDescent="0.2">
      <c r="A109" s="290" t="s">
        <v>193</v>
      </c>
      <c r="B109" s="309"/>
      <c r="C109" s="345">
        <v>0</v>
      </c>
      <c r="D109" s="283"/>
      <c r="E109" s="283"/>
      <c r="F109" s="283"/>
      <c r="G109" s="283"/>
      <c r="H109" s="283"/>
      <c r="I109" s="283"/>
      <c r="J109" s="283"/>
      <c r="K109" s="283"/>
      <c r="L109" s="283"/>
      <c r="M109" s="283"/>
      <c r="N109" s="283"/>
      <c r="O109" s="283"/>
      <c r="P109" s="283"/>
      <c r="Q109" s="283"/>
      <c r="R109" s="283"/>
      <c r="S109" s="283"/>
      <c r="T109" s="283"/>
      <c r="U109" s="283"/>
      <c r="V109" s="283"/>
      <c r="W109" s="283"/>
    </row>
    <row r="110" spans="1:23" x14ac:dyDescent="0.2">
      <c r="A110" s="290" t="s">
        <v>194</v>
      </c>
      <c r="B110" s="309"/>
      <c r="C110" s="346">
        <v>8.7499999999999994E-2</v>
      </c>
      <c r="D110" s="283"/>
      <c r="E110" s="283"/>
      <c r="F110" s="283"/>
      <c r="G110" s="283"/>
      <c r="H110" s="283"/>
      <c r="I110" s="283"/>
      <c r="J110" s="283"/>
      <c r="K110" s="283"/>
      <c r="L110" s="283"/>
      <c r="M110" s="283"/>
      <c r="N110" s="283"/>
      <c r="O110" s="283"/>
      <c r="P110" s="283"/>
      <c r="Q110" s="283"/>
      <c r="R110" s="283"/>
      <c r="S110" s="283"/>
      <c r="T110" s="283"/>
      <c r="U110" s="283"/>
      <c r="V110" s="283"/>
      <c r="W110" s="283"/>
    </row>
    <row r="111" spans="1:23" x14ac:dyDescent="0.2">
      <c r="A111" s="290"/>
      <c r="B111" s="309"/>
      <c r="C111" s="283"/>
      <c r="D111" s="312">
        <v>2001</v>
      </c>
      <c r="E111" s="312">
        <v>2002</v>
      </c>
      <c r="F111" s="312">
        <v>2003</v>
      </c>
      <c r="G111" s="312">
        <v>2004</v>
      </c>
      <c r="H111" s="312">
        <v>2005</v>
      </c>
      <c r="I111" s="312">
        <v>2006</v>
      </c>
      <c r="J111" s="312">
        <v>2007</v>
      </c>
      <c r="K111" s="312">
        <v>2008</v>
      </c>
      <c r="L111" s="312">
        <v>2009</v>
      </c>
      <c r="M111" s="312">
        <v>2010</v>
      </c>
      <c r="N111" s="312">
        <v>2011</v>
      </c>
      <c r="O111" s="312">
        <v>2012</v>
      </c>
      <c r="P111" s="312">
        <v>2013</v>
      </c>
      <c r="Q111" s="312">
        <v>2014</v>
      </c>
      <c r="R111" s="312">
        <v>2015</v>
      </c>
      <c r="S111" s="312">
        <v>2016</v>
      </c>
      <c r="T111" s="312">
        <v>2017</v>
      </c>
      <c r="U111" s="312">
        <v>2018</v>
      </c>
      <c r="V111" s="312">
        <v>2019</v>
      </c>
      <c r="W111" s="312" t="s">
        <v>154</v>
      </c>
    </row>
    <row r="112" spans="1:23" x14ac:dyDescent="0.2">
      <c r="A112" s="290" t="s">
        <v>195</v>
      </c>
      <c r="B112" s="309"/>
      <c r="C112" s="283"/>
      <c r="D112" s="347">
        <v>0</v>
      </c>
      <c r="E112" s="347">
        <v>0</v>
      </c>
      <c r="F112" s="347">
        <v>0</v>
      </c>
      <c r="G112" s="347">
        <v>0</v>
      </c>
      <c r="H112" s="347">
        <v>0</v>
      </c>
      <c r="I112" s="347">
        <v>0</v>
      </c>
      <c r="J112" s="347">
        <v>0</v>
      </c>
      <c r="K112" s="347">
        <v>0</v>
      </c>
      <c r="L112" s="347">
        <v>0</v>
      </c>
      <c r="M112" s="347">
        <v>0</v>
      </c>
      <c r="N112" s="347">
        <v>0</v>
      </c>
      <c r="O112" s="347">
        <v>0</v>
      </c>
      <c r="P112" s="347">
        <v>0</v>
      </c>
      <c r="Q112" s="347">
        <v>0</v>
      </c>
      <c r="R112" s="347">
        <v>0</v>
      </c>
      <c r="S112" s="347">
        <v>0</v>
      </c>
      <c r="T112" s="347">
        <v>0</v>
      </c>
      <c r="U112" s="347">
        <v>0</v>
      </c>
      <c r="V112" s="347">
        <v>0</v>
      </c>
      <c r="W112" s="347">
        <v>0</v>
      </c>
    </row>
    <row r="113" spans="1:23" x14ac:dyDescent="0.2">
      <c r="A113" s="290" t="s">
        <v>196</v>
      </c>
      <c r="B113" s="309"/>
      <c r="C113" s="283"/>
      <c r="D113" s="347">
        <v>0</v>
      </c>
      <c r="E113" s="347">
        <v>0</v>
      </c>
      <c r="F113" s="347">
        <v>0</v>
      </c>
      <c r="G113" s="347">
        <v>0</v>
      </c>
      <c r="H113" s="347">
        <v>0</v>
      </c>
      <c r="I113" s="347">
        <v>0</v>
      </c>
      <c r="J113" s="347">
        <v>0</v>
      </c>
      <c r="K113" s="347">
        <v>0</v>
      </c>
      <c r="L113" s="347">
        <v>0</v>
      </c>
      <c r="M113" s="347">
        <v>0</v>
      </c>
      <c r="N113" s="347">
        <v>0</v>
      </c>
      <c r="O113" s="347">
        <v>0</v>
      </c>
      <c r="P113" s="347">
        <v>0</v>
      </c>
      <c r="Q113" s="347">
        <v>0</v>
      </c>
      <c r="R113" s="347">
        <v>0</v>
      </c>
      <c r="S113" s="347">
        <v>0</v>
      </c>
      <c r="T113" s="347">
        <v>0</v>
      </c>
      <c r="U113" s="347">
        <v>0</v>
      </c>
      <c r="V113" s="347">
        <v>0</v>
      </c>
      <c r="W113" s="347">
        <v>0</v>
      </c>
    </row>
    <row r="114" spans="1:23" x14ac:dyDescent="0.2">
      <c r="A114" s="290" t="s">
        <v>197</v>
      </c>
      <c r="B114" s="309"/>
      <c r="C114" s="283"/>
      <c r="D114" s="347">
        <v>0</v>
      </c>
      <c r="E114" s="347">
        <v>0</v>
      </c>
      <c r="F114" s="347">
        <v>0</v>
      </c>
      <c r="G114" s="347">
        <v>0</v>
      </c>
      <c r="H114" s="347">
        <v>0</v>
      </c>
      <c r="I114" s="347">
        <v>0</v>
      </c>
      <c r="J114" s="347">
        <v>0</v>
      </c>
      <c r="K114" s="347">
        <v>0</v>
      </c>
      <c r="L114" s="347">
        <v>0</v>
      </c>
      <c r="M114" s="347">
        <v>0</v>
      </c>
      <c r="N114" s="347">
        <v>0</v>
      </c>
      <c r="O114" s="347">
        <v>0</v>
      </c>
      <c r="P114" s="347">
        <v>0</v>
      </c>
      <c r="Q114" s="347">
        <v>0</v>
      </c>
      <c r="R114" s="347">
        <v>0</v>
      </c>
      <c r="S114" s="347">
        <v>0</v>
      </c>
      <c r="T114" s="347">
        <v>0</v>
      </c>
      <c r="U114" s="347">
        <v>0</v>
      </c>
      <c r="V114" s="347">
        <v>0</v>
      </c>
      <c r="W114" s="347">
        <v>0</v>
      </c>
    </row>
    <row r="115" spans="1:23" x14ac:dyDescent="0.2">
      <c r="A115" s="290" t="s">
        <v>198</v>
      </c>
      <c r="B115" s="309"/>
      <c r="C115" s="283"/>
      <c r="D115" s="348">
        <v>0</v>
      </c>
      <c r="E115" s="348">
        <v>0</v>
      </c>
      <c r="F115" s="348">
        <v>0</v>
      </c>
      <c r="G115" s="348">
        <v>0</v>
      </c>
      <c r="H115" s="348">
        <v>0</v>
      </c>
      <c r="I115" s="348">
        <v>0</v>
      </c>
      <c r="J115" s="348">
        <v>0</v>
      </c>
      <c r="K115" s="348">
        <v>0</v>
      </c>
      <c r="L115" s="348">
        <v>0</v>
      </c>
      <c r="M115" s="348">
        <v>0</v>
      </c>
      <c r="N115" s="348">
        <v>0</v>
      </c>
      <c r="O115" s="348">
        <v>0</v>
      </c>
      <c r="P115" s="348">
        <v>0</v>
      </c>
      <c r="Q115" s="348">
        <v>0</v>
      </c>
      <c r="R115" s="348">
        <v>0</v>
      </c>
      <c r="S115" s="348">
        <v>0</v>
      </c>
      <c r="T115" s="348">
        <v>0</v>
      </c>
      <c r="U115" s="348">
        <v>0</v>
      </c>
      <c r="V115" s="348">
        <v>0</v>
      </c>
      <c r="W115" s="348">
        <v>0</v>
      </c>
    </row>
    <row r="116" spans="1:23" ht="13.5" thickBot="1" x14ac:dyDescent="0.25">
      <c r="A116" s="290" t="s">
        <v>199</v>
      </c>
      <c r="B116" s="309"/>
      <c r="C116" s="283"/>
      <c r="D116" s="349">
        <v>0</v>
      </c>
      <c r="E116" s="349">
        <v>0</v>
      </c>
      <c r="F116" s="349">
        <v>0</v>
      </c>
      <c r="G116" s="349">
        <v>0</v>
      </c>
      <c r="H116" s="349">
        <v>0</v>
      </c>
      <c r="I116" s="349">
        <v>0</v>
      </c>
      <c r="J116" s="349">
        <v>0</v>
      </c>
      <c r="K116" s="349">
        <v>0</v>
      </c>
      <c r="L116" s="349">
        <v>0</v>
      </c>
      <c r="M116" s="349">
        <v>0</v>
      </c>
      <c r="N116" s="349">
        <v>0</v>
      </c>
      <c r="O116" s="349">
        <v>0</v>
      </c>
      <c r="P116" s="349">
        <v>0</v>
      </c>
      <c r="Q116" s="349">
        <v>0</v>
      </c>
      <c r="R116" s="349">
        <v>0</v>
      </c>
      <c r="S116" s="349">
        <v>0</v>
      </c>
      <c r="T116" s="349">
        <v>0</v>
      </c>
      <c r="U116" s="349">
        <v>0</v>
      </c>
      <c r="V116" s="349">
        <v>0</v>
      </c>
      <c r="W116" s="349">
        <v>0</v>
      </c>
    </row>
    <row r="117" spans="1:23" ht="13.5" thickTop="1" x14ac:dyDescent="0.2">
      <c r="A117" s="290"/>
      <c r="B117" s="309"/>
      <c r="C117" s="283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7"/>
      <c r="P117" s="347"/>
      <c r="Q117" s="347"/>
      <c r="R117" s="347"/>
      <c r="S117" s="347"/>
      <c r="T117" s="347"/>
      <c r="U117" s="347"/>
      <c r="V117" s="347"/>
      <c r="W117" s="347"/>
    </row>
    <row r="118" spans="1:23" x14ac:dyDescent="0.2">
      <c r="A118" s="290" t="s">
        <v>200</v>
      </c>
      <c r="B118" s="309"/>
      <c r="C118" s="283"/>
      <c r="D118" s="347">
        <v>0</v>
      </c>
      <c r="E118" s="347">
        <v>0</v>
      </c>
      <c r="F118" s="347">
        <v>0</v>
      </c>
      <c r="G118" s="347">
        <v>0</v>
      </c>
      <c r="H118" s="347">
        <v>0</v>
      </c>
      <c r="I118" s="347">
        <v>0</v>
      </c>
      <c r="J118" s="347">
        <v>0</v>
      </c>
      <c r="K118" s="347">
        <v>0</v>
      </c>
      <c r="L118" s="347">
        <v>0</v>
      </c>
      <c r="M118" s="347">
        <v>0</v>
      </c>
      <c r="N118" s="347">
        <v>0</v>
      </c>
      <c r="O118" s="347">
        <v>0</v>
      </c>
      <c r="P118" s="347">
        <v>0</v>
      </c>
      <c r="Q118" s="347">
        <v>0</v>
      </c>
      <c r="R118" s="347">
        <v>0</v>
      </c>
      <c r="S118" s="347">
        <v>0</v>
      </c>
      <c r="T118" s="347">
        <v>0</v>
      </c>
      <c r="U118" s="347">
        <v>0</v>
      </c>
      <c r="V118" s="347">
        <v>0</v>
      </c>
      <c r="W118" s="347">
        <v>0</v>
      </c>
    </row>
    <row r="119" spans="1:23" x14ac:dyDescent="0.2">
      <c r="A119" s="290"/>
      <c r="B119" s="309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</row>
    <row r="120" spans="1:23" x14ac:dyDescent="0.2">
      <c r="A120" s="290" t="s">
        <v>201</v>
      </c>
      <c r="B120" s="309"/>
      <c r="C120" s="283"/>
      <c r="D120" s="347">
        <v>0</v>
      </c>
      <c r="E120" s="347">
        <v>0</v>
      </c>
      <c r="F120" s="347">
        <v>0</v>
      </c>
      <c r="G120" s="347">
        <v>0</v>
      </c>
      <c r="H120" s="347">
        <v>0</v>
      </c>
      <c r="I120" s="347">
        <v>0</v>
      </c>
      <c r="J120" s="347">
        <v>0</v>
      </c>
      <c r="K120" s="347">
        <v>0</v>
      </c>
      <c r="L120" s="347">
        <v>0</v>
      </c>
      <c r="M120" s="347">
        <v>0</v>
      </c>
      <c r="N120" s="347">
        <v>0</v>
      </c>
      <c r="O120" s="347">
        <v>0</v>
      </c>
      <c r="P120" s="347">
        <v>0</v>
      </c>
      <c r="Q120" s="347">
        <v>0</v>
      </c>
      <c r="R120" s="347">
        <v>0</v>
      </c>
      <c r="S120" s="347">
        <v>0</v>
      </c>
      <c r="T120" s="347">
        <v>0</v>
      </c>
      <c r="U120" s="347">
        <v>0</v>
      </c>
      <c r="V120" s="347">
        <v>0</v>
      </c>
      <c r="W120" s="347">
        <v>0</v>
      </c>
    </row>
    <row r="121" spans="1:23" x14ac:dyDescent="0.2">
      <c r="A121" s="283"/>
      <c r="B121" s="309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</row>
    <row r="122" spans="1:23" x14ac:dyDescent="0.2">
      <c r="A122" s="283"/>
      <c r="B122" s="309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</row>
    <row r="123" spans="1:23" x14ac:dyDescent="0.2">
      <c r="A123" s="290" t="s">
        <v>203</v>
      </c>
      <c r="B123" s="285"/>
      <c r="C123" s="284"/>
      <c r="D123" s="441">
        <v>30518435.033211175</v>
      </c>
      <c r="E123" s="441">
        <v>11316984.516629919</v>
      </c>
      <c r="F123" s="441">
        <v>29747177.910790425</v>
      </c>
      <c r="G123" s="441">
        <v>31835521.146386735</v>
      </c>
      <c r="H123" s="441">
        <v>31329739.88033336</v>
      </c>
      <c r="I123" s="441">
        <v>30616268.487583194</v>
      </c>
      <c r="J123" s="441">
        <v>32785852.708296571</v>
      </c>
      <c r="K123" s="441">
        <v>32607527.029182352</v>
      </c>
      <c r="L123" s="441">
        <v>32831550.057666663</v>
      </c>
      <c r="M123" s="441">
        <v>32305582.453767519</v>
      </c>
      <c r="N123" s="441">
        <v>32651248.525974136</v>
      </c>
      <c r="O123" s="441">
        <v>32459278.720622126</v>
      </c>
      <c r="P123" s="441">
        <v>32461226.390593257</v>
      </c>
      <c r="Q123" s="441">
        <v>33612098.191625297</v>
      </c>
      <c r="R123" s="441">
        <v>36928671.883528844</v>
      </c>
      <c r="S123" s="441">
        <v>35504130.362774104</v>
      </c>
      <c r="T123" s="441">
        <v>36345444.855174854</v>
      </c>
      <c r="U123" s="441">
        <v>40397810.528823324</v>
      </c>
      <c r="V123" s="441">
        <v>42393199.397061817</v>
      </c>
      <c r="W123" s="441">
        <v>218168195.52176437</v>
      </c>
    </row>
    <row r="124" spans="1:23" x14ac:dyDescent="0.2">
      <c r="A124" s="9"/>
      <c r="B124" s="6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x14ac:dyDescent="0.2">
      <c r="A125" s="45"/>
      <c r="B125" s="366"/>
      <c r="C125" s="300"/>
      <c r="D125" s="300"/>
      <c r="E125" s="300"/>
      <c r="F125" s="300"/>
      <c r="G125" s="300"/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</row>
    <row r="126" spans="1:23" x14ac:dyDescent="0.2">
      <c r="B126" s="354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5"/>
      <c r="P126" s="355"/>
      <c r="Q126" s="355"/>
      <c r="R126" s="355"/>
      <c r="S126" s="355"/>
      <c r="T126" s="355"/>
      <c r="U126" s="355"/>
      <c r="V126" s="355"/>
      <c r="W126" s="300"/>
    </row>
    <row r="127" spans="1:23" x14ac:dyDescent="0.2">
      <c r="B127" s="354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5"/>
      <c r="N127" s="355"/>
      <c r="O127" s="355"/>
      <c r="P127" s="355"/>
      <c r="Q127" s="355"/>
      <c r="R127" s="355"/>
      <c r="S127" s="355"/>
      <c r="T127" s="355"/>
      <c r="U127" s="355"/>
      <c r="V127" s="355"/>
      <c r="W127" s="300"/>
    </row>
    <row r="128" spans="1:23" ht="15.75" x14ac:dyDescent="0.25">
      <c r="A128" s="45"/>
      <c r="B128" s="352"/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</row>
    <row r="129" spans="1:23" x14ac:dyDescent="0.2">
      <c r="A129" s="45"/>
      <c r="B129" s="366"/>
      <c r="C129" s="300"/>
      <c r="D129" s="300"/>
      <c r="E129" s="300"/>
      <c r="F129" s="300"/>
      <c r="G129" s="300"/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</row>
    <row r="130" spans="1:23" x14ac:dyDescent="0.2">
      <c r="B130" s="354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5"/>
      <c r="N130" s="355"/>
      <c r="O130" s="355"/>
      <c r="P130" s="355"/>
      <c r="Q130" s="355"/>
      <c r="R130" s="355"/>
      <c r="S130" s="355"/>
      <c r="T130" s="355"/>
      <c r="U130" s="355"/>
      <c r="V130" s="355"/>
      <c r="W130" s="300"/>
    </row>
    <row r="131" spans="1:23" x14ac:dyDescent="0.2">
      <c r="B131" s="354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00"/>
    </row>
    <row r="132" spans="1:23" ht="15.75" x14ac:dyDescent="0.25">
      <c r="A132" s="308" t="s">
        <v>29</v>
      </c>
      <c r="B132" s="311" t="s">
        <v>56</v>
      </c>
      <c r="C132" s="312">
        <v>2000</v>
      </c>
      <c r="D132" s="312">
        <v>2001</v>
      </c>
      <c r="E132" s="312">
        <v>2002</v>
      </c>
      <c r="F132" s="312">
        <v>2003</v>
      </c>
      <c r="G132" s="312">
        <v>2004</v>
      </c>
      <c r="H132" s="312">
        <v>2005</v>
      </c>
      <c r="I132" s="312">
        <v>2006</v>
      </c>
      <c r="J132" s="312">
        <v>2007</v>
      </c>
      <c r="K132" s="312">
        <v>2008</v>
      </c>
      <c r="L132" s="312">
        <v>2009</v>
      </c>
      <c r="M132" s="312">
        <v>2010</v>
      </c>
      <c r="N132" s="312">
        <v>2011</v>
      </c>
      <c r="O132" s="312">
        <v>2012</v>
      </c>
      <c r="P132" s="312">
        <v>2013</v>
      </c>
      <c r="Q132" s="312">
        <v>2014</v>
      </c>
      <c r="R132" s="312">
        <v>2015</v>
      </c>
      <c r="S132" s="312">
        <v>2016</v>
      </c>
      <c r="T132" s="312">
        <v>2017</v>
      </c>
      <c r="U132" s="312">
        <v>2018</v>
      </c>
      <c r="V132" s="312">
        <v>2019</v>
      </c>
      <c r="W132" s="312" t="s">
        <v>154</v>
      </c>
    </row>
    <row r="133" spans="1:23" x14ac:dyDescent="0.2">
      <c r="A133" s="308" t="s">
        <v>26</v>
      </c>
      <c r="B133" s="309">
        <v>414</v>
      </c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</row>
    <row r="134" spans="1:23" x14ac:dyDescent="0.2">
      <c r="A134" s="9"/>
      <c r="B134" s="315" t="s">
        <v>27</v>
      </c>
      <c r="C134" s="449">
        <v>0</v>
      </c>
      <c r="D134" s="410">
        <v>118773286.48841481</v>
      </c>
      <c r="E134" s="410">
        <v>115790849.91666386</v>
      </c>
      <c r="F134" s="410">
        <v>116002546.69109459</v>
      </c>
      <c r="G134" s="410">
        <v>112997476.09239964</v>
      </c>
      <c r="H134" s="410">
        <v>111973016.23497397</v>
      </c>
      <c r="I134" s="410">
        <v>118217181.54542258</v>
      </c>
      <c r="J134" s="410">
        <v>127153382.24656668</v>
      </c>
      <c r="K134" s="410">
        <v>130577879.374699</v>
      </c>
      <c r="L134" s="410">
        <v>133274240.33268109</v>
      </c>
      <c r="M134" s="410">
        <v>133752327.26000187</v>
      </c>
      <c r="N134" s="410">
        <v>136676150.41657472</v>
      </c>
      <c r="O134" s="410">
        <v>138154809.90113387</v>
      </c>
      <c r="P134" s="410">
        <v>139817277.83470222</v>
      </c>
      <c r="Q134" s="410">
        <v>144814099.64812189</v>
      </c>
      <c r="R134" s="410">
        <v>155029502.63834885</v>
      </c>
      <c r="S134" s="410">
        <v>154231795.83691078</v>
      </c>
      <c r="T134" s="410">
        <v>156325916.87405071</v>
      </c>
      <c r="U134" s="410">
        <v>163789141.51142377</v>
      </c>
      <c r="V134" s="410">
        <v>168697457.47326255</v>
      </c>
      <c r="W134" s="333"/>
    </row>
    <row r="135" spans="1:23" x14ac:dyDescent="0.2">
      <c r="A135" s="9"/>
      <c r="B135" s="315" t="s">
        <v>20</v>
      </c>
      <c r="C135" s="449">
        <v>0</v>
      </c>
      <c r="D135" s="410">
        <v>-28649061.088382944</v>
      </c>
      <c r="E135" s="410">
        <v>-28159849.647423323</v>
      </c>
      <c r="F135" s="410">
        <v>-27825692.683376495</v>
      </c>
      <c r="G135" s="410">
        <v>-27755583.595281333</v>
      </c>
      <c r="H135" s="410">
        <v>-27852018.113497261</v>
      </c>
      <c r="I135" s="410">
        <v>-28533866.02127834</v>
      </c>
      <c r="J135" s="410">
        <v>-29671737.382452413</v>
      </c>
      <c r="K135" s="410">
        <v>-30591903.76381002</v>
      </c>
      <c r="L135" s="410">
        <v>-31517875.611296069</v>
      </c>
      <c r="M135" s="410">
        <v>-32623816.908763696</v>
      </c>
      <c r="N135" s="410">
        <v>-33703633.608653389</v>
      </c>
      <c r="O135" s="410">
        <v>-34388678.611809209</v>
      </c>
      <c r="P135" s="410">
        <v>-34858921.368212782</v>
      </c>
      <c r="Q135" s="410">
        <v>-35549771.837497033</v>
      </c>
      <c r="R135" s="410">
        <v>-36237719.573717065</v>
      </c>
      <c r="S135" s="410">
        <v>-36948889.174450859</v>
      </c>
      <c r="T135" s="410">
        <v>-37668766.974377319</v>
      </c>
      <c r="U135" s="410">
        <v>-38406061.172689088</v>
      </c>
      <c r="V135" s="410">
        <v>-39152063.570193522</v>
      </c>
      <c r="W135" s="333"/>
    </row>
    <row r="136" spans="1:23" x14ac:dyDescent="0.2">
      <c r="A136" s="9"/>
      <c r="B136" s="315" t="s">
        <v>31</v>
      </c>
      <c r="C136" s="449">
        <v>0</v>
      </c>
      <c r="D136" s="410">
        <v>-6406964.5723195923</v>
      </c>
      <c r="E136" s="410">
        <v>-6447721.4320428763</v>
      </c>
      <c r="F136" s="410">
        <v>-8022770.9633699767</v>
      </c>
      <c r="G136" s="410">
        <v>-8073374.0705783963</v>
      </c>
      <c r="H136" s="410">
        <v>-8120142.3394121574</v>
      </c>
      <c r="I136" s="410">
        <v>-8213730.1975746769</v>
      </c>
      <c r="J136" s="410">
        <v>-8387184.1162761953</v>
      </c>
      <c r="K136" s="410">
        <v>-8564330.7172401771</v>
      </c>
      <c r="L136" s="410">
        <v>-8745249.3255456556</v>
      </c>
      <c r="M136" s="410">
        <v>-8930020.9871639423</v>
      </c>
      <c r="N136" s="410">
        <v>-9118728.5066878963</v>
      </c>
      <c r="O136" s="410">
        <v>-9311456.4858975913</v>
      </c>
      <c r="P136" s="410">
        <v>-9508291.3631811198</v>
      </c>
      <c r="Q136" s="410">
        <v>-9709321.4538297504</v>
      </c>
      <c r="R136" s="410">
        <v>-9914636.9912269879</v>
      </c>
      <c r="S136" s="410">
        <v>-10124330.168951668</v>
      </c>
      <c r="T136" s="410">
        <v>-10338495.183815546</v>
      </c>
      <c r="U136" s="410">
        <v>-10557228.279856393</v>
      </c>
      <c r="V136" s="410">
        <v>-10780627.793308022</v>
      </c>
      <c r="W136" s="333"/>
    </row>
    <row r="137" spans="1:23" x14ac:dyDescent="0.2">
      <c r="A137" s="9"/>
      <c r="B137" s="315" t="s">
        <v>32</v>
      </c>
      <c r="C137" s="449">
        <v>0</v>
      </c>
      <c r="D137" s="410">
        <v>0</v>
      </c>
      <c r="E137" s="410">
        <v>0</v>
      </c>
      <c r="F137" s="410">
        <v>0</v>
      </c>
      <c r="G137" s="410">
        <v>0</v>
      </c>
      <c r="H137" s="410">
        <v>0</v>
      </c>
      <c r="I137" s="410">
        <v>2696613.748396608</v>
      </c>
      <c r="J137" s="410">
        <v>2988980.9239245551</v>
      </c>
      <c r="K137" s="410">
        <v>3234221.3059905125</v>
      </c>
      <c r="L137" s="410">
        <v>3622569.2856202573</v>
      </c>
      <c r="M137" s="410">
        <v>4028854.0173997935</v>
      </c>
      <c r="N137" s="410">
        <v>4438087.3772589825</v>
      </c>
      <c r="O137" s="410">
        <v>4917267.7561198343</v>
      </c>
      <c r="P137" s="410">
        <v>5513550.6897286605</v>
      </c>
      <c r="Q137" s="410">
        <v>6137442.2908131555</v>
      </c>
      <c r="R137" s="410">
        <v>6798411.1780572291</v>
      </c>
      <c r="S137" s="410">
        <v>7464647.1130887978</v>
      </c>
      <c r="T137" s="410">
        <v>7333651.8695203681</v>
      </c>
      <c r="U137" s="410">
        <v>6274335.8333899025</v>
      </c>
      <c r="V137" s="410">
        <v>6505328.6659903266</v>
      </c>
      <c r="W137" s="333"/>
    </row>
    <row r="138" spans="1:23" ht="13.5" thickBot="1" x14ac:dyDescent="0.25">
      <c r="A138" s="9"/>
      <c r="B138" s="316" t="s">
        <v>33</v>
      </c>
      <c r="C138" s="450">
        <v>0</v>
      </c>
      <c r="D138" s="412">
        <v>0</v>
      </c>
      <c r="E138" s="412">
        <v>0</v>
      </c>
      <c r="F138" s="412">
        <v>-1451601.9011125455</v>
      </c>
      <c r="G138" s="412">
        <v>-1218929.2894522138</v>
      </c>
      <c r="H138" s="412">
        <v>-1246432.7512050977</v>
      </c>
      <c r="I138" s="412">
        <v>-1282374.059476373</v>
      </c>
      <c r="J138" s="412">
        <v>-1683198.1927739384</v>
      </c>
      <c r="K138" s="412">
        <v>-1469831.8889512466</v>
      </c>
      <c r="L138" s="412">
        <v>-1556160.7788306961</v>
      </c>
      <c r="M138" s="412">
        <v>-1480746.5803968164</v>
      </c>
      <c r="N138" s="412">
        <v>-1523156.382858169</v>
      </c>
      <c r="O138" s="412">
        <v>-1562653.1560017576</v>
      </c>
      <c r="P138" s="412">
        <v>-1395777.1238684738</v>
      </c>
      <c r="Q138" s="412">
        <v>-1445682.686231181</v>
      </c>
      <c r="R138" s="412">
        <v>-1475558.2700387498</v>
      </c>
      <c r="S138" s="412">
        <v>-1566939.2126419239</v>
      </c>
      <c r="T138" s="412">
        <v>-1473085.3775143714</v>
      </c>
      <c r="U138" s="412">
        <v>-1622422.4145716566</v>
      </c>
      <c r="V138" s="412">
        <v>-883328.78306413477</v>
      </c>
      <c r="W138" s="333"/>
    </row>
    <row r="139" spans="1:23" ht="13.5" thickTop="1" x14ac:dyDescent="0.2">
      <c r="A139" s="9"/>
      <c r="B139" s="317" t="s">
        <v>38</v>
      </c>
      <c r="C139" s="451">
        <v>0</v>
      </c>
      <c r="D139" s="414">
        <v>83717260.827712268</v>
      </c>
      <c r="E139" s="414">
        <v>81183278.837197646</v>
      </c>
      <c r="F139" s="414">
        <v>78702481.143235579</v>
      </c>
      <c r="G139" s="414">
        <v>75949589.137087703</v>
      </c>
      <c r="H139" s="414">
        <v>74754423.030859455</v>
      </c>
      <c r="I139" s="414">
        <v>82883825.015489802</v>
      </c>
      <c r="J139" s="414">
        <v>90400243.478988692</v>
      </c>
      <c r="K139" s="414">
        <v>93186034.310688078</v>
      </c>
      <c r="L139" s="414">
        <v>95077523.902628928</v>
      </c>
      <c r="M139" s="414">
        <v>94746596.801077202</v>
      </c>
      <c r="N139" s="414">
        <v>96768719.29563424</v>
      </c>
      <c r="O139" s="414">
        <v>97809289.403545141</v>
      </c>
      <c r="P139" s="414">
        <v>99567838.669168502</v>
      </c>
      <c r="Q139" s="414">
        <v>104246765.9613771</v>
      </c>
      <c r="R139" s="414">
        <v>114199998.98142327</v>
      </c>
      <c r="S139" s="414">
        <v>113056284.39395513</v>
      </c>
      <c r="T139" s="414">
        <v>114179221.20786382</v>
      </c>
      <c r="U139" s="414">
        <v>119477765.47769654</v>
      </c>
      <c r="V139" s="414">
        <v>124386765.99268718</v>
      </c>
      <c r="W139" s="333"/>
    </row>
    <row r="140" spans="1:23" x14ac:dyDescent="0.2">
      <c r="A140" s="9"/>
      <c r="B140" s="315" t="s">
        <v>34</v>
      </c>
      <c r="C140" s="449">
        <v>0</v>
      </c>
      <c r="D140" s="410">
        <v>-2407054.286188236</v>
      </c>
      <c r="E140" s="410">
        <v>-2455195.3719120007</v>
      </c>
      <c r="F140" s="410">
        <v>-2578604.2793502407</v>
      </c>
      <c r="G140" s="410">
        <v>-2630547.8899372458</v>
      </c>
      <c r="H140" s="410">
        <v>-2683539.6608609906</v>
      </c>
      <c r="I140" s="410">
        <v>-2737600.7875313358</v>
      </c>
      <c r="J140" s="410">
        <v>-2792752.8950714157</v>
      </c>
      <c r="K140" s="410">
        <v>-2849018.0470570335</v>
      </c>
      <c r="L140" s="410">
        <v>-2906418.7544344682</v>
      </c>
      <c r="M140" s="410">
        <v>-2964977.9846203593</v>
      </c>
      <c r="N140" s="410">
        <v>-3024719.1707873982</v>
      </c>
      <c r="O140" s="410">
        <v>-3085666.2213396439</v>
      </c>
      <c r="P140" s="410">
        <v>-3147843.5295813465</v>
      </c>
      <c r="Q140" s="410">
        <v>-3211275.9835832561</v>
      </c>
      <c r="R140" s="410">
        <v>-3275988.9762504613</v>
      </c>
      <c r="S140" s="410">
        <v>-3342008.4155958984</v>
      </c>
      <c r="T140" s="410">
        <v>-3409360.7352237557</v>
      </c>
      <c r="U140" s="410">
        <v>-3478072.9050270678</v>
      </c>
      <c r="V140" s="410">
        <v>-3548172.4421039172</v>
      </c>
      <c r="W140" s="333"/>
    </row>
    <row r="141" spans="1:23" x14ac:dyDescent="0.2">
      <c r="A141" s="9"/>
      <c r="B141" s="315" t="s">
        <v>35</v>
      </c>
      <c r="C141" s="449">
        <v>0</v>
      </c>
      <c r="D141" s="410">
        <v>-597318.54938779096</v>
      </c>
      <c r="E141" s="410">
        <v>-613373.92846706556</v>
      </c>
      <c r="F141" s="410">
        <v>-629780.92034817627</v>
      </c>
      <c r="G141" s="410">
        <v>-646558.71024579997</v>
      </c>
      <c r="H141" s="410">
        <v>-663735.81154298712</v>
      </c>
      <c r="I141" s="410">
        <v>-681343.37272552669</v>
      </c>
      <c r="J141" s="410">
        <v>-699387.65047779877</v>
      </c>
      <c r="K141" s="410">
        <v>-717888.66618981981</v>
      </c>
      <c r="L141" s="410">
        <v>-736846.65698992775</v>
      </c>
      <c r="M141" s="410">
        <v>-756288.07655543846</v>
      </c>
      <c r="N141" s="410">
        <v>-776199.97847443458</v>
      </c>
      <c r="O141" s="410">
        <v>-796613.66032178933</v>
      </c>
      <c r="P141" s="410">
        <v>-817545.84968806687</v>
      </c>
      <c r="Q141" s="410">
        <v>-839001.34378850134</v>
      </c>
      <c r="R141" s="410">
        <v>-860995.37079085666</v>
      </c>
      <c r="S141" s="410">
        <v>-883539.24846827099</v>
      </c>
      <c r="T141" s="410">
        <v>-906642.21431208507</v>
      </c>
      <c r="U141" s="410">
        <v>-930325.06459857896</v>
      </c>
      <c r="V141" s="410">
        <v>-954602.35442726384</v>
      </c>
      <c r="W141" s="333"/>
    </row>
    <row r="142" spans="1:23" ht="13.5" thickBot="1" x14ac:dyDescent="0.25">
      <c r="A142" s="9"/>
      <c r="B142" s="316" t="s">
        <v>36</v>
      </c>
      <c r="C142" s="450">
        <v>0</v>
      </c>
      <c r="D142" s="412">
        <v>-972786.00031529705</v>
      </c>
      <c r="E142" s="412">
        <v>-993311.78492195602</v>
      </c>
      <c r="F142" s="412">
        <v>-1015065.31301175</v>
      </c>
      <c r="G142" s="412">
        <v>-1038005.78908581</v>
      </c>
      <c r="H142" s="412">
        <v>-1062710.32686605</v>
      </c>
      <c r="I142" s="412">
        <v>-1089341.95449349</v>
      </c>
      <c r="J142" s="412">
        <v>-1116360.6697318</v>
      </c>
      <c r="K142" s="412">
        <v>-1144618.0653248799</v>
      </c>
      <c r="L142" s="412">
        <v>-1172890.1315384</v>
      </c>
      <c r="M142" s="412">
        <v>-1202798.82989263</v>
      </c>
      <c r="N142" s="412">
        <v>-1231906.56157603</v>
      </c>
      <c r="O142" s="412">
        <v>-1262950.6069277499</v>
      </c>
      <c r="P142" s="412">
        <v>-1295029.5523437101</v>
      </c>
      <c r="Q142" s="412">
        <v>-1327405.2911523001</v>
      </c>
      <c r="R142" s="412">
        <v>-1360723.1639602201</v>
      </c>
      <c r="S142" s="412">
        <v>-1394741.24305923</v>
      </c>
      <c r="T142" s="412">
        <v>-1429330.8258871001</v>
      </c>
      <c r="U142" s="412">
        <v>-1465207.02961687</v>
      </c>
      <c r="V142" s="412">
        <v>-1501983.7260602501</v>
      </c>
      <c r="W142" s="333"/>
    </row>
    <row r="143" spans="1:23" ht="13.5" thickTop="1" x14ac:dyDescent="0.2">
      <c r="A143" s="9"/>
      <c r="B143" s="317" t="s">
        <v>221</v>
      </c>
      <c r="C143" s="452">
        <v>0</v>
      </c>
      <c r="D143" s="416">
        <v>79740101.991820946</v>
      </c>
      <c r="E143" s="416">
        <v>77121397.75189662</v>
      </c>
      <c r="F143" s="416">
        <v>74479030.63052541</v>
      </c>
      <c r="G143" s="416">
        <v>71634476.747818843</v>
      </c>
      <c r="H143" s="416">
        <v>70344437.231589437</v>
      </c>
      <c r="I143" s="416">
        <v>78375538.900739446</v>
      </c>
      <c r="J143" s="416">
        <v>85791742.263707682</v>
      </c>
      <c r="K143" s="416">
        <v>88474509.532116354</v>
      </c>
      <c r="L143" s="416">
        <v>90261368.359666124</v>
      </c>
      <c r="M143" s="416">
        <v>89822531.910008758</v>
      </c>
      <c r="N143" s="416">
        <v>91735893.584796384</v>
      </c>
      <c r="O143" s="416">
        <v>92664058.914955959</v>
      </c>
      <c r="P143" s="416">
        <v>94307419.73755537</v>
      </c>
      <c r="Q143" s="416">
        <v>98869083.34285304</v>
      </c>
      <c r="R143" s="416">
        <v>108702291.47042175</v>
      </c>
      <c r="S143" s="416">
        <v>107435995.48683172</v>
      </c>
      <c r="T143" s="416">
        <v>108433887.43244088</v>
      </c>
      <c r="U143" s="416">
        <v>113604160.47845402</v>
      </c>
      <c r="V143" s="416">
        <v>118382007.47009574</v>
      </c>
      <c r="W143" s="333"/>
    </row>
    <row r="144" spans="1:23" x14ac:dyDescent="0.2">
      <c r="A144" s="9"/>
      <c r="B144" s="315" t="s">
        <v>37</v>
      </c>
      <c r="C144" s="449">
        <v>0</v>
      </c>
      <c r="D144" s="410">
        <v>-4174403.4215759998</v>
      </c>
      <c r="E144" s="410">
        <v>-5849582.9851517994</v>
      </c>
      <c r="F144" s="410">
        <v>-6167306.2830158994</v>
      </c>
      <c r="G144" s="410">
        <v>-6508233.2379046995</v>
      </c>
      <c r="H144" s="410">
        <v>-6249775.3503995994</v>
      </c>
      <c r="I144" s="410">
        <v>-4937861.47714864</v>
      </c>
      <c r="J144" s="410">
        <v>-4072087.3069966584</v>
      </c>
      <c r="K144" s="410">
        <v>-4336067.0614501163</v>
      </c>
      <c r="L144" s="410">
        <v>-4634929.1990443524</v>
      </c>
      <c r="M144" s="410">
        <v>-4946409.9988576751</v>
      </c>
      <c r="N144" s="410">
        <v>-5011399.3327241922</v>
      </c>
      <c r="O144" s="410">
        <v>-5083722.1119775157</v>
      </c>
      <c r="P144" s="410">
        <v>-5431112.3449527193</v>
      </c>
      <c r="Q144" s="410">
        <v>-5606434.4549171804</v>
      </c>
      <c r="R144" s="410">
        <v>-5792288.2181805735</v>
      </c>
      <c r="S144" s="410">
        <v>-6172099.7943418678</v>
      </c>
      <c r="T144" s="410">
        <v>-6563190.0077880016</v>
      </c>
      <c r="U144" s="410">
        <v>-6827935.6376375202</v>
      </c>
      <c r="V144" s="410">
        <v>-7094544.7163825231</v>
      </c>
      <c r="W144" s="333"/>
    </row>
    <row r="145" spans="1:23" ht="13.5" thickBot="1" x14ac:dyDescent="0.25">
      <c r="A145" s="9"/>
      <c r="B145" s="316" t="s">
        <v>222</v>
      </c>
      <c r="C145" s="450">
        <v>0</v>
      </c>
      <c r="D145" s="412">
        <v>-30226279.428097982</v>
      </c>
      <c r="E145" s="412">
        <v>-28508725.906697929</v>
      </c>
      <c r="F145" s="412">
        <v>-27324689.739003804</v>
      </c>
      <c r="G145" s="412">
        <v>-26050497.403965659</v>
      </c>
      <c r="H145" s="412">
        <v>-25637864.752475936</v>
      </c>
      <c r="I145" s="412">
        <v>-29375070.969436325</v>
      </c>
      <c r="J145" s="412">
        <v>-32687861.982684411</v>
      </c>
      <c r="K145" s="412">
        <v>-33655376.98826649</v>
      </c>
      <c r="L145" s="412">
        <v>-34250575.664248712</v>
      </c>
      <c r="M145" s="412">
        <v>-33950448.764460437</v>
      </c>
      <c r="N145" s="412">
        <v>-34689797.700828873</v>
      </c>
      <c r="O145" s="412">
        <v>-35032134.721191376</v>
      </c>
      <c r="P145" s="412">
        <v>-35550522.957041062</v>
      </c>
      <c r="Q145" s="412">
        <v>-37305059.555174343</v>
      </c>
      <c r="R145" s="412">
        <v>-41164001.300896473</v>
      </c>
      <c r="S145" s="412">
        <v>-40505558.276995949</v>
      </c>
      <c r="T145" s="412">
        <v>-40748278.96986115</v>
      </c>
      <c r="U145" s="412">
        <v>-42710489.936326601</v>
      </c>
      <c r="V145" s="412">
        <v>-44514985.10148529</v>
      </c>
      <c r="W145" s="333"/>
    </row>
    <row r="146" spans="1:23" ht="13.5" thickTop="1" x14ac:dyDescent="0.2">
      <c r="A146" s="9"/>
      <c r="B146" s="317" t="s">
        <v>183</v>
      </c>
      <c r="C146" s="452">
        <v>0</v>
      </c>
      <c r="D146" s="416">
        <v>45339419.142146975</v>
      </c>
      <c r="E146" s="416">
        <v>42763088.860046893</v>
      </c>
      <c r="F146" s="416">
        <v>40987034.608505696</v>
      </c>
      <c r="G146" s="416">
        <v>39075746.105948485</v>
      </c>
      <c r="H146" s="416">
        <v>38456797.128713906</v>
      </c>
      <c r="I146" s="416">
        <v>44062606.454154484</v>
      </c>
      <c r="J146" s="416">
        <v>49031792.974026613</v>
      </c>
      <c r="K146" s="416">
        <v>50483065.482399739</v>
      </c>
      <c r="L146" s="416">
        <v>51375863.496373065</v>
      </c>
      <c r="M146" s="416">
        <v>50925673.146690644</v>
      </c>
      <c r="N146" s="416">
        <v>52034696.551243313</v>
      </c>
      <c r="O146" s="416">
        <v>52548202.081787065</v>
      </c>
      <c r="P146" s="416">
        <v>53325784.43556159</v>
      </c>
      <c r="Q146" s="416">
        <v>55957589.332761519</v>
      </c>
      <c r="R146" s="416">
        <v>61746001.951344706</v>
      </c>
      <c r="S146" s="416">
        <v>60758337.415493913</v>
      </c>
      <c r="T146" s="416">
        <v>61122418.454791725</v>
      </c>
      <c r="U146" s="416">
        <v>64065734.904489897</v>
      </c>
      <c r="V146" s="416">
        <v>66772477.652227931</v>
      </c>
      <c r="W146" s="333"/>
    </row>
    <row r="147" spans="1:23" x14ac:dyDescent="0.2">
      <c r="A147" s="9"/>
      <c r="B147" s="315" t="s">
        <v>37</v>
      </c>
      <c r="C147" s="449">
        <v>0</v>
      </c>
      <c r="D147" s="410">
        <v>4174403.4215759998</v>
      </c>
      <c r="E147" s="410">
        <v>5849582.9851517994</v>
      </c>
      <c r="F147" s="410">
        <v>6167306.2830158994</v>
      </c>
      <c r="G147" s="410">
        <v>6508233.2379046995</v>
      </c>
      <c r="H147" s="410">
        <v>6249775.3503995994</v>
      </c>
      <c r="I147" s="410">
        <v>4937861.47714864</v>
      </c>
      <c r="J147" s="410">
        <v>4072087.3069966584</v>
      </c>
      <c r="K147" s="410">
        <v>4336067.0614501163</v>
      </c>
      <c r="L147" s="410">
        <v>4634929.1990443524</v>
      </c>
      <c r="M147" s="410">
        <v>4946409.9988576751</v>
      </c>
      <c r="N147" s="410">
        <v>5011399.3327241922</v>
      </c>
      <c r="O147" s="410">
        <v>5083722.1119775157</v>
      </c>
      <c r="P147" s="410">
        <v>5431112.3449527193</v>
      </c>
      <c r="Q147" s="410">
        <v>5606434.4549171804</v>
      </c>
      <c r="R147" s="410">
        <v>5792288.2181805735</v>
      </c>
      <c r="S147" s="410">
        <v>6172099.7943418678</v>
      </c>
      <c r="T147" s="410">
        <v>6563190.0077880016</v>
      </c>
      <c r="U147" s="410">
        <v>6827935.6376375202</v>
      </c>
      <c r="V147" s="410">
        <v>7094544.7163825231</v>
      </c>
      <c r="W147" s="333"/>
    </row>
    <row r="148" spans="1:23" x14ac:dyDescent="0.2">
      <c r="A148" s="9"/>
      <c r="B148" s="315" t="s">
        <v>39</v>
      </c>
      <c r="C148" s="449">
        <v>0</v>
      </c>
      <c r="D148" s="410">
        <v>-6476152.9199999981</v>
      </c>
      <c r="E148" s="410">
        <v>-4148462.07</v>
      </c>
      <c r="F148" s="410">
        <v>-9273526.5500000007</v>
      </c>
      <c r="G148" s="410">
        <v>-4044029</v>
      </c>
      <c r="H148" s="410">
        <v>-5849494.4759999998</v>
      </c>
      <c r="I148" s="410">
        <v>-6024979.3102799999</v>
      </c>
      <c r="J148" s="410">
        <v>-6205728.6895883996</v>
      </c>
      <c r="K148" s="410">
        <v>-6391900.5502760522</v>
      </c>
      <c r="L148" s="410">
        <v>-6583657.5667843344</v>
      </c>
      <c r="M148" s="410">
        <v>-6781167.293787865</v>
      </c>
      <c r="N148" s="410">
        <v>-6984602.3126015011</v>
      </c>
      <c r="O148" s="410">
        <v>-7194140.3819795465</v>
      </c>
      <c r="P148" s="410">
        <v>-7409964.5934389327</v>
      </c>
      <c r="Q148" s="410">
        <v>-7632263.5312421005</v>
      </c>
      <c r="R148" s="410">
        <v>-7861231.4371793633</v>
      </c>
      <c r="S148" s="410">
        <v>-8097068.3802947449</v>
      </c>
      <c r="T148" s="410">
        <v>-8339980.4317035871</v>
      </c>
      <c r="U148" s="410">
        <v>-8590179.8446546942</v>
      </c>
      <c r="V148" s="410">
        <v>-8847885.2399943359</v>
      </c>
      <c r="W148" s="333"/>
    </row>
    <row r="149" spans="1:23" ht="13.5" thickBot="1" x14ac:dyDescent="0.25">
      <c r="A149" s="9"/>
      <c r="B149" s="316" t="s">
        <v>40</v>
      </c>
      <c r="C149" s="450">
        <v>0</v>
      </c>
      <c r="D149" s="412">
        <v>-18826276.359999999</v>
      </c>
      <c r="E149" s="412">
        <v>0</v>
      </c>
      <c r="F149" s="412">
        <v>0</v>
      </c>
      <c r="G149" s="412">
        <v>0</v>
      </c>
      <c r="H149" s="412">
        <v>0</v>
      </c>
      <c r="I149" s="412">
        <v>0</v>
      </c>
      <c r="J149" s="412">
        <v>0</v>
      </c>
      <c r="K149" s="412">
        <v>0</v>
      </c>
      <c r="L149" s="412">
        <v>0</v>
      </c>
      <c r="M149" s="412">
        <v>0</v>
      </c>
      <c r="N149" s="412">
        <v>0</v>
      </c>
      <c r="O149" s="412">
        <v>0</v>
      </c>
      <c r="P149" s="412">
        <v>0</v>
      </c>
      <c r="Q149" s="412">
        <v>0</v>
      </c>
      <c r="R149" s="412">
        <v>0</v>
      </c>
      <c r="S149" s="412">
        <v>0</v>
      </c>
      <c r="T149" s="412">
        <v>0</v>
      </c>
      <c r="U149" s="412">
        <v>0</v>
      </c>
      <c r="V149" s="412">
        <v>0</v>
      </c>
      <c r="W149" s="333"/>
    </row>
    <row r="150" spans="1:23" ht="13.5" thickTop="1" x14ac:dyDescent="0.2">
      <c r="A150" s="9"/>
      <c r="B150" s="315"/>
      <c r="C150" s="453"/>
      <c r="D150" s="333"/>
      <c r="E150" s="333"/>
      <c r="F150" s="333"/>
      <c r="G150" s="333"/>
      <c r="H150" s="333"/>
      <c r="I150" s="333"/>
      <c r="J150" s="333"/>
      <c r="K150" s="333"/>
      <c r="L150" s="333"/>
      <c r="M150" s="333"/>
      <c r="N150" s="333"/>
      <c r="O150" s="333"/>
      <c r="P150" s="333"/>
      <c r="Q150" s="333"/>
      <c r="R150" s="333"/>
      <c r="S150" s="333"/>
      <c r="T150" s="333"/>
      <c r="U150" s="333"/>
      <c r="V150" s="333"/>
      <c r="W150" s="333"/>
    </row>
    <row r="151" spans="1:23" x14ac:dyDescent="0.2">
      <c r="A151" s="9"/>
      <c r="B151" s="317" t="s">
        <v>234</v>
      </c>
      <c r="C151" s="452">
        <v>0</v>
      </c>
      <c r="D151" s="416">
        <v>24211393.283722982</v>
      </c>
      <c r="E151" s="416">
        <v>44464209.775198691</v>
      </c>
      <c r="F151" s="416">
        <v>37880814.341521591</v>
      </c>
      <c r="G151" s="416">
        <v>41539950.343853183</v>
      </c>
      <c r="H151" s="416">
        <v>38857078.003113508</v>
      </c>
      <c r="I151" s="416">
        <v>42975488.621023118</v>
      </c>
      <c r="J151" s="416">
        <v>46898151.591434874</v>
      </c>
      <c r="K151" s="416">
        <v>48427231.9935738</v>
      </c>
      <c r="L151" s="416">
        <v>49427135.128633082</v>
      </c>
      <c r="M151" s="416">
        <v>49090915.851760454</v>
      </c>
      <c r="N151" s="416">
        <v>50061493.571366005</v>
      </c>
      <c r="O151" s="416">
        <v>50437783.811785035</v>
      </c>
      <c r="P151" s="416">
        <v>51346932.187075377</v>
      </c>
      <c r="Q151" s="416">
        <v>53931760.256436594</v>
      </c>
      <c r="R151" s="416">
        <v>59677058.732345916</v>
      </c>
      <c r="S151" s="416">
        <v>58833368.829541035</v>
      </c>
      <c r="T151" s="416">
        <v>59345628.030876137</v>
      </c>
      <c r="U151" s="416">
        <v>62303490.697472721</v>
      </c>
      <c r="V151" s="416">
        <v>65019137.128616124</v>
      </c>
      <c r="W151" s="414">
        <v>344124987.070499</v>
      </c>
    </row>
    <row r="152" spans="1:23" x14ac:dyDescent="0.2">
      <c r="A152" s="9"/>
      <c r="B152" s="29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x14ac:dyDescent="0.2">
      <c r="A153" s="308" t="s">
        <v>219</v>
      </c>
      <c r="B153" s="306" t="s">
        <v>170</v>
      </c>
      <c r="C153" s="439">
        <v>146537042.6710709</v>
      </c>
      <c r="D153" s="9"/>
      <c r="E153" s="137" t="s">
        <v>220</v>
      </c>
      <c r="F153" s="319" t="s">
        <v>170</v>
      </c>
      <c r="G153" s="443">
        <v>146537042.6710709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x14ac:dyDescent="0.2">
      <c r="A154" s="9"/>
      <c r="B154" s="306" t="s">
        <v>180</v>
      </c>
      <c r="C154" s="439">
        <v>245595177.83248764</v>
      </c>
      <c r="D154" s="9"/>
      <c r="E154" s="321"/>
      <c r="F154" s="319" t="s">
        <v>180</v>
      </c>
      <c r="G154" s="443">
        <v>245595177.83248764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ht="13.5" thickBot="1" x14ac:dyDescent="0.25">
      <c r="A155" s="9"/>
      <c r="B155" s="322" t="s">
        <v>137</v>
      </c>
      <c r="C155" s="440">
        <v>53648656.11811094</v>
      </c>
      <c r="D155" s="323"/>
      <c r="E155" s="321"/>
      <c r="F155" s="319" t="s">
        <v>137</v>
      </c>
      <c r="G155" s="443">
        <v>53648656.11811094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ht="14.25" thickTop="1" thickBot="1" x14ac:dyDescent="0.25">
      <c r="A156" s="9"/>
      <c r="B156" s="306" t="s">
        <v>28</v>
      </c>
      <c r="C156" s="438">
        <v>445780876.62166959</v>
      </c>
      <c r="D156" s="305"/>
      <c r="E156" s="321"/>
      <c r="F156" s="324" t="s">
        <v>204</v>
      </c>
      <c r="G156" s="325"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ht="13.5" thickTop="1" x14ac:dyDescent="0.2">
      <c r="A157" s="9"/>
      <c r="B157" s="292"/>
      <c r="C157" s="326"/>
      <c r="D157" s="9"/>
      <c r="E157" s="327"/>
      <c r="F157" s="319" t="s">
        <v>28</v>
      </c>
      <c r="G157" s="368">
        <v>445780876.62166959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x14ac:dyDescent="0.2">
      <c r="A158" s="9"/>
      <c r="B158" s="292"/>
      <c r="C158" s="326"/>
      <c r="D158" s="9"/>
      <c r="E158" s="327"/>
      <c r="F158" s="319"/>
      <c r="G158" s="32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x14ac:dyDescent="0.2">
      <c r="A159" s="9"/>
      <c r="B159" s="292"/>
      <c r="C159" s="326"/>
      <c r="D159" s="9"/>
      <c r="E159" s="327"/>
      <c r="F159" s="319"/>
      <c r="G159" s="32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x14ac:dyDescent="0.2">
      <c r="A160" s="9"/>
      <c r="B160" s="329" t="s">
        <v>223</v>
      </c>
      <c r="C160" s="326"/>
      <c r="D160" s="9"/>
      <c r="E160" s="327"/>
      <c r="F160" s="319"/>
      <c r="G160" s="32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x14ac:dyDescent="0.2">
      <c r="A161" s="330" t="s">
        <v>225</v>
      </c>
      <c r="B161" s="329" t="s">
        <v>224</v>
      </c>
      <c r="C161" s="331"/>
      <c r="D161" s="332">
        <v>45339419.142146975</v>
      </c>
      <c r="E161" s="332">
        <v>42763088.860046893</v>
      </c>
      <c r="F161" s="332">
        <v>40987034.608505696</v>
      </c>
      <c r="G161" s="332">
        <v>39075746.105948485</v>
      </c>
      <c r="H161" s="332">
        <v>38456797.128713906</v>
      </c>
      <c r="I161" s="332">
        <v>44062606.454154484</v>
      </c>
      <c r="J161" s="332">
        <v>49031792.974026613</v>
      </c>
      <c r="K161" s="332">
        <v>50483065.482399739</v>
      </c>
      <c r="L161" s="332">
        <v>51375863.496373065</v>
      </c>
      <c r="M161" s="332">
        <v>50925673.146690644</v>
      </c>
      <c r="N161" s="332">
        <v>52034696.551243313</v>
      </c>
      <c r="O161" s="332">
        <v>52548202.081787065</v>
      </c>
      <c r="P161" s="332">
        <v>53325784.43556159</v>
      </c>
      <c r="Q161" s="332">
        <v>55957589.332761519</v>
      </c>
      <c r="R161" s="332">
        <v>61746001.951344706</v>
      </c>
      <c r="S161" s="332">
        <v>60758337.415493913</v>
      </c>
      <c r="T161" s="332">
        <v>61122418.454791725</v>
      </c>
      <c r="U161" s="332">
        <v>64065734.904489897</v>
      </c>
      <c r="V161" s="332">
        <v>66772477.652227931</v>
      </c>
      <c r="W161" s="9"/>
    </row>
    <row r="162" spans="1:23" x14ac:dyDescent="0.2">
      <c r="A162" s="9"/>
      <c r="B162" s="292" t="s">
        <v>226</v>
      </c>
      <c r="C162" s="326"/>
      <c r="D162" s="333">
        <v>30226279.428097982</v>
      </c>
      <c r="E162" s="333">
        <v>28508725.906697929</v>
      </c>
      <c r="F162" s="333">
        <v>27324689.739003804</v>
      </c>
      <c r="G162" s="333">
        <v>26050497.403965659</v>
      </c>
      <c r="H162" s="333">
        <v>25637864.752475936</v>
      </c>
      <c r="I162" s="333">
        <v>29375070.969436325</v>
      </c>
      <c r="J162" s="333">
        <v>32687861.982684411</v>
      </c>
      <c r="K162" s="333">
        <v>33655376.98826649</v>
      </c>
      <c r="L162" s="333">
        <v>34250575.664248712</v>
      </c>
      <c r="M162" s="333">
        <v>33950448.764460437</v>
      </c>
      <c r="N162" s="333">
        <v>34689797.700828873</v>
      </c>
      <c r="O162" s="333">
        <v>35032134.721191376</v>
      </c>
      <c r="P162" s="333">
        <v>35550522.957041062</v>
      </c>
      <c r="Q162" s="333">
        <v>37305059.555174343</v>
      </c>
      <c r="R162" s="333">
        <v>41164001.300896473</v>
      </c>
      <c r="S162" s="333">
        <v>40505558.276995949</v>
      </c>
      <c r="T162" s="333">
        <v>40748278.96986115</v>
      </c>
      <c r="U162" s="333">
        <v>42710489.936326601</v>
      </c>
      <c r="V162" s="333">
        <v>44514985.10148529</v>
      </c>
      <c r="W162" s="9"/>
    </row>
    <row r="163" spans="1:23" x14ac:dyDescent="0.2">
      <c r="A163" s="9"/>
      <c r="B163" s="334" t="s">
        <v>227</v>
      </c>
      <c r="C163" s="335"/>
      <c r="D163" s="333">
        <v>4174403.4215759998</v>
      </c>
      <c r="E163" s="333">
        <v>5849582.9851517994</v>
      </c>
      <c r="F163" s="333">
        <v>6167306.2830158994</v>
      </c>
      <c r="G163" s="333">
        <v>6508233.2379046995</v>
      </c>
      <c r="H163" s="333">
        <v>6249775.3503995994</v>
      </c>
      <c r="I163" s="333">
        <v>4937861.47714864</v>
      </c>
      <c r="J163" s="333">
        <v>4072087.3069966584</v>
      </c>
      <c r="K163" s="333">
        <v>4336067.0614501163</v>
      </c>
      <c r="L163" s="333">
        <v>4634929.1990443524</v>
      </c>
      <c r="M163" s="333">
        <v>4946409.9988576751</v>
      </c>
      <c r="N163" s="333">
        <v>5011399.3327241922</v>
      </c>
      <c r="O163" s="333">
        <v>5083722.1119775157</v>
      </c>
      <c r="P163" s="333">
        <v>5431112.3449527193</v>
      </c>
      <c r="Q163" s="333">
        <v>5606434.4549171804</v>
      </c>
      <c r="R163" s="333">
        <v>5792288.2181805735</v>
      </c>
      <c r="S163" s="333">
        <v>6172099.7943418678</v>
      </c>
      <c r="T163" s="333">
        <v>6563190.0077880016</v>
      </c>
      <c r="U163" s="333">
        <v>6827935.6376375202</v>
      </c>
      <c r="V163" s="333">
        <v>7094544.7163825231</v>
      </c>
      <c r="W163" s="9"/>
    </row>
    <row r="164" spans="1:23" ht="13.5" thickBot="1" x14ac:dyDescent="0.25">
      <c r="A164" s="9"/>
      <c r="B164" s="336" t="s">
        <v>228</v>
      </c>
      <c r="C164" s="337"/>
      <c r="D164" s="338">
        <v>79740101.991820946</v>
      </c>
      <c r="E164" s="338">
        <v>77121397.75189662</v>
      </c>
      <c r="F164" s="338">
        <v>74479030.63052541</v>
      </c>
      <c r="G164" s="338">
        <v>71634476.747818843</v>
      </c>
      <c r="H164" s="338">
        <v>70344437.231589437</v>
      </c>
      <c r="I164" s="338">
        <v>78375538.900739446</v>
      </c>
      <c r="J164" s="338">
        <v>85791742.263707682</v>
      </c>
      <c r="K164" s="338">
        <v>88474509.532116354</v>
      </c>
      <c r="L164" s="338">
        <v>90261368.359666124</v>
      </c>
      <c r="M164" s="338">
        <v>89822531.910008758</v>
      </c>
      <c r="N164" s="338">
        <v>91735893.584796384</v>
      </c>
      <c r="O164" s="338">
        <v>92664058.914955959</v>
      </c>
      <c r="P164" s="338">
        <v>94307419.73755537</v>
      </c>
      <c r="Q164" s="338">
        <v>98869083.34285304</v>
      </c>
      <c r="R164" s="338">
        <v>108702291.47042175</v>
      </c>
      <c r="S164" s="338">
        <v>107435995.48683172</v>
      </c>
      <c r="T164" s="338">
        <v>108433887.43244088</v>
      </c>
      <c r="U164" s="338">
        <v>113604160.47845402</v>
      </c>
      <c r="V164" s="338">
        <v>118382007.47009574</v>
      </c>
      <c r="W164" s="9"/>
    </row>
    <row r="165" spans="1:23" ht="13.5" thickTop="1" x14ac:dyDescent="0.2">
      <c r="A165" s="330" t="s">
        <v>229</v>
      </c>
      <c r="B165" s="292" t="s">
        <v>230</v>
      </c>
      <c r="C165" s="326"/>
      <c r="D165" s="333">
        <v>-11246222.150725979</v>
      </c>
      <c r="E165" s="333">
        <v>-11453645.25422598</v>
      </c>
      <c r="F165" s="333">
        <v>-11917321.581725979</v>
      </c>
      <c r="G165" s="333">
        <v>-12119523.03172598</v>
      </c>
      <c r="H165" s="333">
        <v>-12411997.75552598</v>
      </c>
      <c r="I165" s="333">
        <v>-12713246.721039981</v>
      </c>
      <c r="J165" s="333">
        <v>-13023533.1555194</v>
      </c>
      <c r="K165" s="333">
        <v>-13343128.183033202</v>
      </c>
      <c r="L165" s="333">
        <v>-13672311.061372418</v>
      </c>
      <c r="M165" s="333">
        <v>-14011369.426061813</v>
      </c>
      <c r="N165" s="333">
        <v>-14360599.541691888</v>
      </c>
      <c r="O165" s="333">
        <v>-14720306.560790865</v>
      </c>
      <c r="P165" s="333">
        <v>-15090804.790462811</v>
      </c>
      <c r="Q165" s="333">
        <v>-15472417.967024917</v>
      </c>
      <c r="R165" s="333">
        <v>-15865479.538883885</v>
      </c>
      <c r="S165" s="333">
        <v>-11638557.347898467</v>
      </c>
      <c r="T165" s="333">
        <v>-7487617.019483801</v>
      </c>
      <c r="U165" s="333">
        <v>-7917126.0117165353</v>
      </c>
      <c r="V165" s="333">
        <v>-8359520.2737162523</v>
      </c>
      <c r="W165" s="9"/>
    </row>
    <row r="166" spans="1:23" x14ac:dyDescent="0.2">
      <c r="A166" s="9"/>
      <c r="B166" s="292" t="s">
        <v>231</v>
      </c>
      <c r="C166" s="326"/>
      <c r="D166" s="333">
        <v>0</v>
      </c>
      <c r="E166" s="333">
        <v>0</v>
      </c>
      <c r="F166" s="333">
        <v>0</v>
      </c>
      <c r="G166" s="333">
        <v>0</v>
      </c>
      <c r="H166" s="333">
        <v>0</v>
      </c>
      <c r="I166" s="333">
        <v>0</v>
      </c>
      <c r="J166" s="333">
        <v>0</v>
      </c>
      <c r="K166" s="333">
        <v>0</v>
      </c>
      <c r="L166" s="333">
        <v>0</v>
      </c>
      <c r="M166" s="333">
        <v>0</v>
      </c>
      <c r="N166" s="333">
        <v>0</v>
      </c>
      <c r="O166" s="333">
        <v>0</v>
      </c>
      <c r="P166" s="333">
        <v>0</v>
      </c>
      <c r="Q166" s="333">
        <v>0</v>
      </c>
      <c r="R166" s="333">
        <v>0</v>
      </c>
      <c r="S166" s="333">
        <v>0</v>
      </c>
      <c r="T166" s="333">
        <v>0</v>
      </c>
      <c r="U166" s="333">
        <v>0</v>
      </c>
      <c r="V166" s="333">
        <v>0</v>
      </c>
      <c r="W166" s="9"/>
    </row>
    <row r="167" spans="1:23" x14ac:dyDescent="0.2">
      <c r="A167" s="9"/>
      <c r="B167" s="329" t="s">
        <v>232</v>
      </c>
      <c r="C167" s="331"/>
      <c r="D167" s="332">
        <v>68493879.841094971</v>
      </c>
      <c r="E167" s="332">
        <v>65667752.497670636</v>
      </c>
      <c r="F167" s="332">
        <v>62561709.048799433</v>
      </c>
      <c r="G167" s="332">
        <v>59514953.716092862</v>
      </c>
      <c r="H167" s="332">
        <v>57932439.47606346</v>
      </c>
      <c r="I167" s="332">
        <v>65662292.179699466</v>
      </c>
      <c r="J167" s="332">
        <v>72768209.108188286</v>
      </c>
      <c r="K167" s="332">
        <v>75131381.349083155</v>
      </c>
      <c r="L167" s="332">
        <v>76589057.29829371</v>
      </c>
      <c r="M167" s="332">
        <v>75811162.483946949</v>
      </c>
      <c r="N167" s="332">
        <v>77375294.0431045</v>
      </c>
      <c r="O167" s="332">
        <v>77943752.354165092</v>
      </c>
      <c r="P167" s="332">
        <v>79216614.947092563</v>
      </c>
      <c r="Q167" s="332">
        <v>83396665.375828117</v>
      </c>
      <c r="R167" s="332">
        <v>92836811.931537867</v>
      </c>
      <c r="S167" s="332">
        <v>95797438.138933256</v>
      </c>
      <c r="T167" s="332">
        <v>100946270.41295707</v>
      </c>
      <c r="U167" s="332">
        <v>105687034.46673749</v>
      </c>
      <c r="V167" s="332">
        <v>110022487.19637948</v>
      </c>
      <c r="W167" s="9"/>
    </row>
    <row r="168" spans="1:23" ht="13.5" thickBot="1" x14ac:dyDescent="0.25">
      <c r="A168" s="9"/>
      <c r="B168" s="339" t="s">
        <v>238</v>
      </c>
      <c r="C168" s="340"/>
      <c r="D168" s="341">
        <v>-27397551.936437991</v>
      </c>
      <c r="E168" s="341">
        <v>-26267100.999068256</v>
      </c>
      <c r="F168" s="341">
        <v>-25024683.619519774</v>
      </c>
      <c r="G168" s="341">
        <v>-23805981.486437146</v>
      </c>
      <c r="H168" s="341">
        <v>-23172975.790425386</v>
      </c>
      <c r="I168" s="341">
        <v>-26264916.871879786</v>
      </c>
      <c r="J168" s="341">
        <v>-29107283.643275317</v>
      </c>
      <c r="K168" s="341">
        <v>-30052552.539633263</v>
      </c>
      <c r="L168" s="341">
        <v>-30635622.919317484</v>
      </c>
      <c r="M168" s="341">
        <v>-30324464.99357878</v>
      </c>
      <c r="N168" s="341">
        <v>-30950117.6172418</v>
      </c>
      <c r="O168" s="341">
        <v>-31177500.941666037</v>
      </c>
      <c r="P168" s="341">
        <v>-31686645.978837028</v>
      </c>
      <c r="Q168" s="341">
        <v>-33358666.150331248</v>
      </c>
      <c r="R168" s="341">
        <v>-37134724.77261515</v>
      </c>
      <c r="S168" s="341">
        <v>-38318975.255573303</v>
      </c>
      <c r="T168" s="341">
        <v>-40378508.165182829</v>
      </c>
      <c r="U168" s="341">
        <v>-42274813.786695004</v>
      </c>
      <c r="V168" s="341">
        <v>-44008994.878551796</v>
      </c>
      <c r="W168" s="9"/>
    </row>
    <row r="169" spans="1:23" ht="13.5" thickTop="1" x14ac:dyDescent="0.2">
      <c r="A169" s="9"/>
      <c r="B169" s="329" t="s">
        <v>233</v>
      </c>
      <c r="C169" s="331"/>
      <c r="D169" s="332">
        <v>41096327.904656976</v>
      </c>
      <c r="E169" s="332">
        <v>39400651.498602375</v>
      </c>
      <c r="F169" s="332">
        <v>37537025.429279655</v>
      </c>
      <c r="G169" s="332">
        <v>35708972.229655713</v>
      </c>
      <c r="H169" s="332">
        <v>34759463.68563807</v>
      </c>
      <c r="I169" s="332">
        <v>39397375.307819679</v>
      </c>
      <c r="J169" s="332">
        <v>43660925.464912966</v>
      </c>
      <c r="K169" s="332">
        <v>45078828.809449896</v>
      </c>
      <c r="L169" s="332">
        <v>45953434.378976226</v>
      </c>
      <c r="M169" s="332">
        <v>45486697.490368173</v>
      </c>
      <c r="N169" s="332">
        <v>46425176.4258627</v>
      </c>
      <c r="O169" s="332">
        <v>46766251.412499055</v>
      </c>
      <c r="P169" s="332">
        <v>47529968.968255535</v>
      </c>
      <c r="Q169" s="332">
        <v>50037999.225496873</v>
      </c>
      <c r="R169" s="332">
        <v>55702087.158922717</v>
      </c>
      <c r="S169" s="332">
        <v>57478462.883359954</v>
      </c>
      <c r="T169" s="332">
        <v>60567762.247774243</v>
      </c>
      <c r="U169" s="332">
        <v>63412220.68004249</v>
      </c>
      <c r="V169" s="332">
        <v>66013492.317827687</v>
      </c>
      <c r="W169" s="9"/>
    </row>
    <row r="170" spans="1:23" x14ac:dyDescent="0.2">
      <c r="A170" s="9"/>
      <c r="B170" s="9"/>
      <c r="C170" s="326"/>
      <c r="D170" s="9"/>
      <c r="E170" s="327"/>
      <c r="F170" s="319"/>
      <c r="G170" s="32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ht="15.75" x14ac:dyDescent="0.25">
      <c r="A171" s="342" t="s">
        <v>206</v>
      </c>
      <c r="B171" s="343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x14ac:dyDescent="0.2">
      <c r="A172" s="290" t="s">
        <v>191</v>
      </c>
      <c r="B172" s="309"/>
      <c r="C172" s="344">
        <v>0</v>
      </c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</row>
    <row r="173" spans="1:23" x14ac:dyDescent="0.2">
      <c r="A173" s="290" t="s">
        <v>192</v>
      </c>
      <c r="B173" s="309"/>
      <c r="C173" s="345">
        <v>0</v>
      </c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3"/>
      <c r="P173" s="283"/>
      <c r="Q173" s="283"/>
      <c r="R173" s="283"/>
      <c r="S173" s="283"/>
      <c r="T173" s="283"/>
      <c r="U173" s="283"/>
      <c r="V173" s="283"/>
      <c r="W173" s="283"/>
    </row>
    <row r="174" spans="1:23" x14ac:dyDescent="0.2">
      <c r="A174" s="290" t="s">
        <v>202</v>
      </c>
      <c r="B174" s="309"/>
      <c r="C174" s="290">
        <v>15</v>
      </c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</row>
    <row r="175" spans="1:23" x14ac:dyDescent="0.2">
      <c r="A175" s="290" t="s">
        <v>193</v>
      </c>
      <c r="B175" s="309"/>
      <c r="C175" s="345">
        <v>0</v>
      </c>
      <c r="D175" s="283"/>
      <c r="E175" s="283"/>
      <c r="F175" s="283"/>
      <c r="G175" s="283"/>
      <c r="H175" s="283"/>
      <c r="I175" s="283"/>
      <c r="J175" s="283"/>
      <c r="K175" s="283"/>
      <c r="L175" s="283"/>
      <c r="M175" s="283"/>
      <c r="N175" s="283"/>
      <c r="O175" s="283"/>
      <c r="P175" s="283"/>
      <c r="Q175" s="283"/>
      <c r="R175" s="283"/>
      <c r="S175" s="283"/>
      <c r="T175" s="283"/>
      <c r="U175" s="283"/>
      <c r="V175" s="283"/>
      <c r="W175" s="283"/>
    </row>
    <row r="176" spans="1:23" x14ac:dyDescent="0.2">
      <c r="A176" s="290" t="s">
        <v>194</v>
      </c>
      <c r="B176" s="309"/>
      <c r="C176" s="346">
        <v>8.7499999999999994E-2</v>
      </c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3"/>
      <c r="P176" s="283"/>
      <c r="Q176" s="283"/>
      <c r="R176" s="283"/>
      <c r="S176" s="283"/>
      <c r="T176" s="283"/>
      <c r="U176" s="283"/>
      <c r="V176" s="283"/>
      <c r="W176" s="283"/>
    </row>
    <row r="177" spans="1:23" x14ac:dyDescent="0.2">
      <c r="A177" s="290"/>
      <c r="B177" s="309"/>
      <c r="C177" s="283"/>
      <c r="D177" s="312">
        <v>2001</v>
      </c>
      <c r="E177" s="312">
        <v>2002</v>
      </c>
      <c r="F177" s="312">
        <v>2003</v>
      </c>
      <c r="G177" s="312">
        <v>2004</v>
      </c>
      <c r="H177" s="312">
        <v>2005</v>
      </c>
      <c r="I177" s="312">
        <v>2006</v>
      </c>
      <c r="J177" s="312">
        <v>2007</v>
      </c>
      <c r="K177" s="312">
        <v>2008</v>
      </c>
      <c r="L177" s="312">
        <v>2009</v>
      </c>
      <c r="M177" s="312">
        <v>2010</v>
      </c>
      <c r="N177" s="312">
        <v>2011</v>
      </c>
      <c r="O177" s="312">
        <v>2012</v>
      </c>
      <c r="P177" s="312">
        <v>2013</v>
      </c>
      <c r="Q177" s="312">
        <v>2014</v>
      </c>
      <c r="R177" s="312">
        <v>2015</v>
      </c>
      <c r="S177" s="312">
        <v>2016</v>
      </c>
      <c r="T177" s="312">
        <v>2017</v>
      </c>
      <c r="U177" s="312">
        <v>2018</v>
      </c>
      <c r="V177" s="312">
        <v>2019</v>
      </c>
      <c r="W177" s="312" t="s">
        <v>154</v>
      </c>
    </row>
    <row r="178" spans="1:23" x14ac:dyDescent="0.2">
      <c r="A178" s="290" t="s">
        <v>195</v>
      </c>
      <c r="B178" s="309"/>
      <c r="C178" s="283"/>
      <c r="D178" s="347">
        <v>0</v>
      </c>
      <c r="E178" s="347">
        <v>0</v>
      </c>
      <c r="F178" s="347">
        <v>0</v>
      </c>
      <c r="G178" s="347">
        <v>0</v>
      </c>
      <c r="H178" s="347">
        <v>0</v>
      </c>
      <c r="I178" s="347">
        <v>0</v>
      </c>
      <c r="J178" s="347">
        <v>0</v>
      </c>
      <c r="K178" s="347">
        <v>0</v>
      </c>
      <c r="L178" s="347">
        <v>0</v>
      </c>
      <c r="M178" s="347">
        <v>0</v>
      </c>
      <c r="N178" s="347">
        <v>0</v>
      </c>
      <c r="O178" s="347">
        <v>0</v>
      </c>
      <c r="P178" s="347">
        <v>0</v>
      </c>
      <c r="Q178" s="347">
        <v>0</v>
      </c>
      <c r="R178" s="347">
        <v>0</v>
      </c>
      <c r="S178" s="347">
        <v>0</v>
      </c>
      <c r="T178" s="347">
        <v>0</v>
      </c>
      <c r="U178" s="347">
        <v>0</v>
      </c>
      <c r="V178" s="347">
        <v>0</v>
      </c>
      <c r="W178" s="347">
        <v>0</v>
      </c>
    </row>
    <row r="179" spans="1:23" x14ac:dyDescent="0.2">
      <c r="A179" s="290" t="s">
        <v>196</v>
      </c>
      <c r="B179" s="309"/>
      <c r="C179" s="283"/>
      <c r="D179" s="347">
        <v>0</v>
      </c>
      <c r="E179" s="347">
        <v>0</v>
      </c>
      <c r="F179" s="347">
        <v>0</v>
      </c>
      <c r="G179" s="347">
        <v>0</v>
      </c>
      <c r="H179" s="347">
        <v>0</v>
      </c>
      <c r="I179" s="347">
        <v>0</v>
      </c>
      <c r="J179" s="347">
        <v>0</v>
      </c>
      <c r="K179" s="347">
        <v>0</v>
      </c>
      <c r="L179" s="347">
        <v>0</v>
      </c>
      <c r="M179" s="347">
        <v>0</v>
      </c>
      <c r="N179" s="347">
        <v>0</v>
      </c>
      <c r="O179" s="347">
        <v>0</v>
      </c>
      <c r="P179" s="347">
        <v>0</v>
      </c>
      <c r="Q179" s="347">
        <v>0</v>
      </c>
      <c r="R179" s="347">
        <v>0</v>
      </c>
      <c r="S179" s="347">
        <v>0</v>
      </c>
      <c r="T179" s="347">
        <v>0</v>
      </c>
      <c r="U179" s="347">
        <v>0</v>
      </c>
      <c r="V179" s="347">
        <v>0</v>
      </c>
      <c r="W179" s="347">
        <v>0</v>
      </c>
    </row>
    <row r="180" spans="1:23" x14ac:dyDescent="0.2">
      <c r="A180" s="290" t="s">
        <v>197</v>
      </c>
      <c r="B180" s="309"/>
      <c r="C180" s="283"/>
      <c r="D180" s="347">
        <v>0</v>
      </c>
      <c r="E180" s="347">
        <v>0</v>
      </c>
      <c r="F180" s="347">
        <v>0</v>
      </c>
      <c r="G180" s="347">
        <v>0</v>
      </c>
      <c r="H180" s="347">
        <v>0</v>
      </c>
      <c r="I180" s="347">
        <v>0</v>
      </c>
      <c r="J180" s="347">
        <v>0</v>
      </c>
      <c r="K180" s="347">
        <v>0</v>
      </c>
      <c r="L180" s="347">
        <v>0</v>
      </c>
      <c r="M180" s="347">
        <v>0</v>
      </c>
      <c r="N180" s="347">
        <v>0</v>
      </c>
      <c r="O180" s="347">
        <v>0</v>
      </c>
      <c r="P180" s="347">
        <v>0</v>
      </c>
      <c r="Q180" s="347">
        <v>0</v>
      </c>
      <c r="R180" s="347">
        <v>0</v>
      </c>
      <c r="S180" s="347">
        <v>0</v>
      </c>
      <c r="T180" s="347">
        <v>0</v>
      </c>
      <c r="U180" s="347">
        <v>0</v>
      </c>
      <c r="V180" s="347">
        <v>0</v>
      </c>
      <c r="W180" s="347">
        <v>0</v>
      </c>
    </row>
    <row r="181" spans="1:23" x14ac:dyDescent="0.2">
      <c r="A181" s="290" t="s">
        <v>198</v>
      </c>
      <c r="B181" s="309"/>
      <c r="C181" s="283"/>
      <c r="D181" s="348">
        <v>0</v>
      </c>
      <c r="E181" s="348">
        <v>0</v>
      </c>
      <c r="F181" s="348">
        <v>0</v>
      </c>
      <c r="G181" s="348">
        <v>0</v>
      </c>
      <c r="H181" s="348">
        <v>0</v>
      </c>
      <c r="I181" s="348">
        <v>0</v>
      </c>
      <c r="J181" s="348">
        <v>0</v>
      </c>
      <c r="K181" s="348">
        <v>0</v>
      </c>
      <c r="L181" s="348">
        <v>0</v>
      </c>
      <c r="M181" s="348">
        <v>0</v>
      </c>
      <c r="N181" s="348">
        <v>0</v>
      </c>
      <c r="O181" s="348">
        <v>0</v>
      </c>
      <c r="P181" s="348">
        <v>0</v>
      </c>
      <c r="Q181" s="348">
        <v>0</v>
      </c>
      <c r="R181" s="348">
        <v>0</v>
      </c>
      <c r="S181" s="348">
        <v>0</v>
      </c>
      <c r="T181" s="348">
        <v>0</v>
      </c>
      <c r="U181" s="348">
        <v>0</v>
      </c>
      <c r="V181" s="348">
        <v>0</v>
      </c>
      <c r="W181" s="348">
        <v>0</v>
      </c>
    </row>
    <row r="182" spans="1:23" ht="13.5" thickBot="1" x14ac:dyDescent="0.25">
      <c r="A182" s="290" t="s">
        <v>199</v>
      </c>
      <c r="B182" s="309"/>
      <c r="C182" s="283"/>
      <c r="D182" s="349">
        <v>0</v>
      </c>
      <c r="E182" s="349">
        <v>0</v>
      </c>
      <c r="F182" s="349">
        <v>0</v>
      </c>
      <c r="G182" s="349">
        <v>0</v>
      </c>
      <c r="H182" s="349">
        <v>0</v>
      </c>
      <c r="I182" s="349">
        <v>0</v>
      </c>
      <c r="J182" s="349">
        <v>0</v>
      </c>
      <c r="K182" s="349">
        <v>0</v>
      </c>
      <c r="L182" s="349">
        <v>0</v>
      </c>
      <c r="M182" s="349">
        <v>0</v>
      </c>
      <c r="N182" s="349">
        <v>0</v>
      </c>
      <c r="O182" s="349">
        <v>0</v>
      </c>
      <c r="P182" s="349">
        <v>0</v>
      </c>
      <c r="Q182" s="349">
        <v>0</v>
      </c>
      <c r="R182" s="349">
        <v>0</v>
      </c>
      <c r="S182" s="349">
        <v>0</v>
      </c>
      <c r="T182" s="349">
        <v>0</v>
      </c>
      <c r="U182" s="349">
        <v>0</v>
      </c>
      <c r="V182" s="349">
        <v>0</v>
      </c>
      <c r="W182" s="349">
        <v>0</v>
      </c>
    </row>
    <row r="183" spans="1:23" ht="13.5" thickTop="1" x14ac:dyDescent="0.2">
      <c r="A183" s="290"/>
      <c r="B183" s="309"/>
      <c r="C183" s="283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</row>
    <row r="184" spans="1:23" x14ac:dyDescent="0.2">
      <c r="A184" s="290" t="s">
        <v>200</v>
      </c>
      <c r="B184" s="309"/>
      <c r="C184" s="283"/>
      <c r="D184" s="347">
        <v>0</v>
      </c>
      <c r="E184" s="347">
        <v>0</v>
      </c>
      <c r="F184" s="347">
        <v>0</v>
      </c>
      <c r="G184" s="347">
        <v>0</v>
      </c>
      <c r="H184" s="347">
        <v>0</v>
      </c>
      <c r="I184" s="347">
        <v>0</v>
      </c>
      <c r="J184" s="347">
        <v>0</v>
      </c>
      <c r="K184" s="347">
        <v>0</v>
      </c>
      <c r="L184" s="347">
        <v>0</v>
      </c>
      <c r="M184" s="347">
        <v>0</v>
      </c>
      <c r="N184" s="347">
        <v>0</v>
      </c>
      <c r="O184" s="347">
        <v>0</v>
      </c>
      <c r="P184" s="347">
        <v>0</v>
      </c>
      <c r="Q184" s="347">
        <v>0</v>
      </c>
      <c r="R184" s="347">
        <v>0</v>
      </c>
      <c r="S184" s="347">
        <v>0</v>
      </c>
      <c r="T184" s="347">
        <v>0</v>
      </c>
      <c r="U184" s="347">
        <v>0</v>
      </c>
      <c r="V184" s="347">
        <v>0</v>
      </c>
      <c r="W184" s="347">
        <v>0</v>
      </c>
    </row>
    <row r="185" spans="1:23" x14ac:dyDescent="0.2">
      <c r="A185" s="290"/>
      <c r="B185" s="309"/>
      <c r="C185" s="283"/>
      <c r="D185" s="283"/>
      <c r="E185" s="283"/>
      <c r="F185" s="283"/>
      <c r="G185" s="283"/>
      <c r="H185" s="283"/>
      <c r="I185" s="283"/>
      <c r="J185" s="283"/>
      <c r="K185" s="283"/>
      <c r="L185" s="283"/>
      <c r="M185" s="283"/>
      <c r="N185" s="283"/>
      <c r="O185" s="283"/>
      <c r="P185" s="283"/>
      <c r="Q185" s="283"/>
      <c r="R185" s="283"/>
      <c r="S185" s="283"/>
      <c r="T185" s="283"/>
      <c r="U185" s="283"/>
      <c r="V185" s="283"/>
      <c r="W185" s="283"/>
    </row>
    <row r="186" spans="1:23" x14ac:dyDescent="0.2">
      <c r="A186" s="290" t="s">
        <v>201</v>
      </c>
      <c r="B186" s="309"/>
      <c r="C186" s="283"/>
      <c r="D186" s="347">
        <v>0</v>
      </c>
      <c r="E186" s="347">
        <v>0</v>
      </c>
      <c r="F186" s="347">
        <v>0</v>
      </c>
      <c r="G186" s="347">
        <v>0</v>
      </c>
      <c r="H186" s="347">
        <v>0</v>
      </c>
      <c r="I186" s="347">
        <v>0</v>
      </c>
      <c r="J186" s="347">
        <v>0</v>
      </c>
      <c r="K186" s="347">
        <v>0</v>
      </c>
      <c r="L186" s="347">
        <v>0</v>
      </c>
      <c r="M186" s="347">
        <v>0</v>
      </c>
      <c r="N186" s="347">
        <v>0</v>
      </c>
      <c r="O186" s="347">
        <v>0</v>
      </c>
      <c r="P186" s="347">
        <v>0</v>
      </c>
      <c r="Q186" s="347">
        <v>0</v>
      </c>
      <c r="R186" s="347">
        <v>0</v>
      </c>
      <c r="S186" s="347">
        <v>0</v>
      </c>
      <c r="T186" s="347">
        <v>0</v>
      </c>
      <c r="U186" s="347">
        <v>0</v>
      </c>
      <c r="V186" s="347">
        <v>0</v>
      </c>
      <c r="W186" s="347">
        <v>0</v>
      </c>
    </row>
    <row r="187" spans="1:23" x14ac:dyDescent="0.2">
      <c r="A187" s="283"/>
      <c r="B187" s="309"/>
      <c r="C187" s="283"/>
      <c r="D187" s="283"/>
      <c r="E187" s="283"/>
      <c r="F187" s="283"/>
      <c r="G187" s="283"/>
      <c r="H187" s="283"/>
      <c r="I187" s="283"/>
      <c r="J187" s="283"/>
      <c r="K187" s="283"/>
      <c r="L187" s="283"/>
      <c r="M187" s="283"/>
      <c r="N187" s="283"/>
      <c r="O187" s="283"/>
      <c r="P187" s="283"/>
      <c r="Q187" s="283"/>
      <c r="R187" s="283"/>
      <c r="S187" s="283"/>
      <c r="T187" s="283"/>
      <c r="U187" s="283"/>
      <c r="V187" s="283"/>
      <c r="W187" s="283"/>
    </row>
    <row r="188" spans="1:23" x14ac:dyDescent="0.2">
      <c r="A188" s="283"/>
      <c r="B188" s="309"/>
      <c r="C188" s="283"/>
      <c r="D188" s="283"/>
      <c r="E188" s="283"/>
      <c r="F188" s="283"/>
      <c r="G188" s="283"/>
      <c r="H188" s="283"/>
      <c r="I188" s="283"/>
      <c r="J188" s="283"/>
      <c r="K188" s="283"/>
      <c r="L188" s="283"/>
      <c r="M188" s="283"/>
      <c r="N188" s="283"/>
      <c r="O188" s="283"/>
      <c r="P188" s="283"/>
      <c r="Q188" s="283"/>
      <c r="R188" s="283"/>
      <c r="S188" s="283"/>
      <c r="T188" s="283"/>
      <c r="U188" s="283"/>
      <c r="V188" s="283"/>
      <c r="W188" s="283"/>
    </row>
    <row r="189" spans="1:23" x14ac:dyDescent="0.2">
      <c r="A189" s="290" t="s">
        <v>203</v>
      </c>
      <c r="B189" s="285"/>
      <c r="C189" s="284"/>
      <c r="D189" s="441">
        <v>24211393.283722982</v>
      </c>
      <c r="E189" s="441">
        <v>44464209.775198691</v>
      </c>
      <c r="F189" s="441">
        <v>37880814.341521591</v>
      </c>
      <c r="G189" s="441">
        <v>41539950.343853183</v>
      </c>
      <c r="H189" s="441">
        <v>38857078.003113508</v>
      </c>
      <c r="I189" s="441">
        <v>42975488.621023118</v>
      </c>
      <c r="J189" s="441">
        <v>46898151.591434874</v>
      </c>
      <c r="K189" s="441">
        <v>48427231.9935738</v>
      </c>
      <c r="L189" s="441">
        <v>49427135.128633082</v>
      </c>
      <c r="M189" s="441">
        <v>49090915.851760454</v>
      </c>
      <c r="N189" s="441">
        <v>50061493.571366005</v>
      </c>
      <c r="O189" s="441">
        <v>50437783.811785035</v>
      </c>
      <c r="P189" s="441">
        <v>51346932.187075377</v>
      </c>
      <c r="Q189" s="441">
        <v>53931760.256436594</v>
      </c>
      <c r="R189" s="441">
        <v>59677058.732345916</v>
      </c>
      <c r="S189" s="441">
        <v>58833368.829541035</v>
      </c>
      <c r="T189" s="441">
        <v>59345628.030876137</v>
      </c>
      <c r="U189" s="441">
        <v>62303490.697472721</v>
      </c>
      <c r="V189" s="441">
        <v>65019137.128616124</v>
      </c>
      <c r="W189" s="441">
        <v>344124987.070499</v>
      </c>
    </row>
    <row r="190" spans="1:23" x14ac:dyDescent="0.2">
      <c r="A190" s="9"/>
      <c r="B190" s="6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x14ac:dyDescent="0.2">
      <c r="B191" s="354"/>
      <c r="C191" s="355"/>
      <c r="D191" s="355"/>
      <c r="E191" s="355"/>
      <c r="F191" s="355"/>
      <c r="G191" s="355"/>
      <c r="H191" s="355"/>
      <c r="I191" s="355"/>
      <c r="J191" s="355"/>
      <c r="K191" s="355"/>
      <c r="L191" s="355"/>
      <c r="M191" s="355"/>
      <c r="N191" s="355"/>
      <c r="O191" s="355"/>
      <c r="P191" s="355"/>
      <c r="Q191" s="355"/>
      <c r="R191" s="355"/>
      <c r="S191" s="355"/>
      <c r="T191" s="355"/>
      <c r="U191" s="355"/>
      <c r="V191" s="355"/>
      <c r="W191" s="300"/>
    </row>
    <row r="192" spans="1:23" ht="15.75" x14ac:dyDescent="0.25">
      <c r="A192" s="45"/>
      <c r="B192" s="352"/>
      <c r="C192" s="353"/>
      <c r="D192" s="353"/>
      <c r="E192" s="353"/>
      <c r="F192" s="353"/>
      <c r="G192" s="353"/>
      <c r="H192" s="353"/>
      <c r="I192" s="353"/>
      <c r="J192" s="353"/>
      <c r="K192" s="353"/>
      <c r="L192" s="353"/>
      <c r="M192" s="353"/>
      <c r="N192" s="353"/>
      <c r="O192" s="353"/>
      <c r="P192" s="353"/>
      <c r="Q192" s="353"/>
      <c r="R192" s="353"/>
      <c r="S192" s="353"/>
      <c r="T192" s="353"/>
      <c r="U192" s="353"/>
      <c r="V192" s="353"/>
      <c r="W192" s="353"/>
    </row>
    <row r="193" spans="1:23" x14ac:dyDescent="0.2">
      <c r="A193" s="45"/>
      <c r="B193" s="366"/>
      <c r="C193" s="300"/>
      <c r="D193" s="300"/>
      <c r="E193" s="300"/>
      <c r="F193" s="300"/>
      <c r="G193" s="300"/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</row>
    <row r="194" spans="1:23" x14ac:dyDescent="0.2">
      <c r="B194" s="354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00"/>
    </row>
    <row r="195" spans="1:23" x14ac:dyDescent="0.2">
      <c r="B195" s="354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55"/>
      <c r="P195" s="355"/>
      <c r="Q195" s="355"/>
      <c r="R195" s="355"/>
      <c r="S195" s="355"/>
      <c r="T195" s="355"/>
      <c r="U195" s="355"/>
      <c r="V195" s="355"/>
      <c r="W195" s="300"/>
    </row>
    <row r="196" spans="1:23" x14ac:dyDescent="0.2">
      <c r="B196" s="354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5"/>
      <c r="N196" s="355"/>
      <c r="O196" s="355"/>
      <c r="P196" s="355"/>
      <c r="Q196" s="355"/>
      <c r="R196" s="355"/>
      <c r="S196" s="355"/>
      <c r="T196" s="355"/>
      <c r="U196" s="355"/>
      <c r="V196" s="355"/>
      <c r="W196" s="300"/>
    </row>
    <row r="197" spans="1:23" x14ac:dyDescent="0.2">
      <c r="B197" s="354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5"/>
      <c r="N197" s="355"/>
      <c r="O197" s="355"/>
      <c r="P197" s="355"/>
      <c r="Q197" s="355"/>
      <c r="R197" s="355"/>
      <c r="S197" s="355"/>
      <c r="T197" s="355"/>
      <c r="U197" s="355"/>
      <c r="V197" s="355"/>
      <c r="W197" s="300"/>
    </row>
    <row r="198" spans="1:23" ht="15.75" x14ac:dyDescent="0.25">
      <c r="A198" s="308" t="s">
        <v>29</v>
      </c>
      <c r="B198" s="311" t="s">
        <v>57</v>
      </c>
      <c r="C198" s="312">
        <v>2000</v>
      </c>
      <c r="D198" s="312">
        <v>2001</v>
      </c>
      <c r="E198" s="312">
        <v>2002</v>
      </c>
      <c r="F198" s="312">
        <v>2003</v>
      </c>
      <c r="G198" s="312">
        <v>2004</v>
      </c>
      <c r="H198" s="312">
        <v>2005</v>
      </c>
      <c r="I198" s="312">
        <v>2006</v>
      </c>
      <c r="J198" s="312">
        <v>2007</v>
      </c>
      <c r="K198" s="312">
        <v>2008</v>
      </c>
      <c r="L198" s="312">
        <v>2009</v>
      </c>
      <c r="M198" s="312">
        <v>2010</v>
      </c>
      <c r="N198" s="312">
        <v>2011</v>
      </c>
      <c r="O198" s="312">
        <v>2012</v>
      </c>
      <c r="P198" s="312">
        <v>2013</v>
      </c>
      <c r="Q198" s="312">
        <v>2014</v>
      </c>
      <c r="R198" s="312">
        <v>2015</v>
      </c>
      <c r="S198" s="312">
        <v>2016</v>
      </c>
      <c r="T198" s="312">
        <v>2017</v>
      </c>
      <c r="U198" s="312">
        <v>2018</v>
      </c>
      <c r="V198" s="312">
        <v>2019</v>
      </c>
      <c r="W198" s="312" t="s">
        <v>154</v>
      </c>
    </row>
    <row r="199" spans="1:23" x14ac:dyDescent="0.2">
      <c r="A199" s="308" t="s">
        <v>26</v>
      </c>
      <c r="B199" s="309">
        <v>228.15</v>
      </c>
      <c r="C199" s="314"/>
      <c r="D199" s="314"/>
      <c r="E199" s="314"/>
      <c r="F199" s="314"/>
      <c r="G199" s="314"/>
      <c r="H199" s="314"/>
      <c r="I199" s="314"/>
      <c r="J199" s="314"/>
      <c r="K199" s="314"/>
      <c r="L199" s="314"/>
      <c r="M199" s="314"/>
      <c r="N199" s="314"/>
      <c r="O199" s="314"/>
      <c r="P199" s="314"/>
      <c r="Q199" s="314"/>
      <c r="R199" s="314"/>
      <c r="S199" s="314"/>
      <c r="T199" s="314"/>
      <c r="U199" s="314"/>
      <c r="V199" s="314"/>
      <c r="W199" s="314"/>
    </row>
    <row r="200" spans="1:23" x14ac:dyDescent="0.2">
      <c r="A200" s="9"/>
      <c r="B200" s="315" t="s">
        <v>27</v>
      </c>
      <c r="C200" s="449">
        <v>0</v>
      </c>
      <c r="D200" s="410">
        <v>62374022.61234837</v>
      </c>
      <c r="E200" s="410">
        <v>60807790.240859397</v>
      </c>
      <c r="F200" s="410">
        <v>60918963.21405647</v>
      </c>
      <c r="G200" s="410">
        <v>59340844.539256766</v>
      </c>
      <c r="H200" s="410">
        <v>58802847.450839549</v>
      </c>
      <c r="I200" s="410">
        <v>62081983.0189806</v>
      </c>
      <c r="J200" s="410">
        <v>66774846.213062659</v>
      </c>
      <c r="K200" s="410">
        <v>68573227.546283305</v>
      </c>
      <c r="L200" s="410">
        <v>69989226.752305493</v>
      </c>
      <c r="M200" s="410">
        <v>70240295.032867715</v>
      </c>
      <c r="N200" s="410">
        <v>71775746.455274656</v>
      </c>
      <c r="O200" s="410">
        <v>72552267.362059951</v>
      </c>
      <c r="P200" s="410">
        <v>73425315.633657664</v>
      </c>
      <c r="Q200" s="410">
        <v>76049406.336161956</v>
      </c>
      <c r="R200" s="410">
        <v>81414045.102546677</v>
      </c>
      <c r="S200" s="410">
        <v>80995127.822895721</v>
      </c>
      <c r="T200" s="410">
        <v>82094859.562122285</v>
      </c>
      <c r="U200" s="410">
        <v>86014186.508909687</v>
      </c>
      <c r="V200" s="410">
        <v>88591798.191163972</v>
      </c>
      <c r="W200" s="333"/>
    </row>
    <row r="201" spans="1:23" x14ac:dyDescent="0.2">
      <c r="A201" s="9"/>
      <c r="B201" s="315" t="s">
        <v>20</v>
      </c>
      <c r="C201" s="449">
        <v>0</v>
      </c>
      <c r="D201" s="410">
        <v>-18564330.895815454</v>
      </c>
      <c r="E201" s="410">
        <v>-18575149.465798244</v>
      </c>
      <c r="F201" s="410">
        <v>-18632583.241705146</v>
      </c>
      <c r="G201" s="410">
        <v>-18890282.758235846</v>
      </c>
      <c r="H201" s="410">
        <v>-19257440.968309179</v>
      </c>
      <c r="I201" s="410">
        <v>-19814126.939879585</v>
      </c>
      <c r="J201" s="410">
        <v>-20270894.861406803</v>
      </c>
      <c r="K201" s="410">
        <v>-20707297.3342035</v>
      </c>
      <c r="L201" s="410">
        <v>-21044781.913166288</v>
      </c>
      <c r="M201" s="410">
        <v>-21207705.503010388</v>
      </c>
      <c r="N201" s="410">
        <v>-21492821.785237566</v>
      </c>
      <c r="O201" s="410">
        <v>-21958317.756220717</v>
      </c>
      <c r="P201" s="410">
        <v>-22457271.250118274</v>
      </c>
      <c r="Q201" s="410">
        <v>-22932949.945466679</v>
      </c>
      <c r="R201" s="410">
        <v>-23254433.100426923</v>
      </c>
      <c r="S201" s="410">
        <v>-23730111.795775324</v>
      </c>
      <c r="T201" s="410">
        <v>-24271250.862043232</v>
      </c>
      <c r="U201" s="410">
        <v>-24867667.574865386</v>
      </c>
      <c r="V201" s="410">
        <v>-25481540.386599418</v>
      </c>
      <c r="W201" s="333"/>
    </row>
    <row r="202" spans="1:23" x14ac:dyDescent="0.2">
      <c r="A202" s="9"/>
      <c r="B202" s="315" t="s">
        <v>31</v>
      </c>
      <c r="C202" s="449">
        <v>0</v>
      </c>
      <c r="D202" s="410">
        <v>-1395807.1709861474</v>
      </c>
      <c r="E202" s="410">
        <v>-1404686.3705550691</v>
      </c>
      <c r="F202" s="410">
        <v>-2298189.9684601063</v>
      </c>
      <c r="G202" s="410">
        <v>-2314797.1907299687</v>
      </c>
      <c r="H202" s="410">
        <v>-2330336.5186924534</v>
      </c>
      <c r="I202" s="410">
        <v>-2359355.2899810458</v>
      </c>
      <c r="J202" s="410">
        <v>-2411391.8317706166</v>
      </c>
      <c r="K202" s="410">
        <v>-2464589.0595140415</v>
      </c>
      <c r="L202" s="410">
        <v>-2518973.1599565973</v>
      </c>
      <c r="M202" s="410">
        <v>-2574570.917382319</v>
      </c>
      <c r="N202" s="410">
        <v>-2631409.7273993408</v>
      </c>
      <c r="O202" s="410">
        <v>-2689517.6110465918</v>
      </c>
      <c r="P202" s="410">
        <v>-2748923.22922942</v>
      </c>
      <c r="Q202" s="410">
        <v>-2809655.8974918756</v>
      </c>
      <c r="R202" s="410">
        <v>-2871745.6011335896</v>
      </c>
      <c r="S202" s="410">
        <v>-2935223.0106793698</v>
      </c>
      <c r="T202" s="410">
        <v>-3000119.4977098065</v>
      </c>
      <c r="U202" s="410">
        <v>-3066467.1510614036</v>
      </c>
      <c r="V202" s="410">
        <v>-3134298.7934049531</v>
      </c>
      <c r="W202" s="333"/>
    </row>
    <row r="203" spans="1:23" x14ac:dyDescent="0.2">
      <c r="A203" s="9"/>
      <c r="B203" s="315" t="s">
        <v>32</v>
      </c>
      <c r="C203" s="449">
        <v>0</v>
      </c>
      <c r="D203" s="410">
        <v>0</v>
      </c>
      <c r="E203" s="410">
        <v>0</v>
      </c>
      <c r="F203" s="410">
        <v>0</v>
      </c>
      <c r="G203" s="410">
        <v>0</v>
      </c>
      <c r="H203" s="410">
        <v>0</v>
      </c>
      <c r="I203" s="410">
        <v>-224140.43560775556</v>
      </c>
      <c r="J203" s="410">
        <v>-248441.76764657861</v>
      </c>
      <c r="K203" s="410">
        <v>-398863.41259755194</v>
      </c>
      <c r="L203" s="410">
        <v>-301105.13905856432</v>
      </c>
      <c r="M203" s="410">
        <v>-334875.20969474362</v>
      </c>
      <c r="N203" s="410">
        <v>-368890.36800156534</v>
      </c>
      <c r="O203" s="410">
        <v>-408719.46807806846</v>
      </c>
      <c r="P203" s="410">
        <v>-458282.04134760704</v>
      </c>
      <c r="Q203" s="410">
        <v>-510139.42556596175</v>
      </c>
      <c r="R203" s="410">
        <v>-565078.6449473612</v>
      </c>
      <c r="S203" s="410">
        <v>-620455.65724076424</v>
      </c>
      <c r="T203" s="410">
        <v>-609567.43456763215</v>
      </c>
      <c r="U203" s="410">
        <v>-521517.9102611756</v>
      </c>
      <c r="V203" s="410">
        <v>-540717.85469226632</v>
      </c>
      <c r="W203" s="333"/>
    </row>
    <row r="204" spans="1:23" ht="13.5" thickBot="1" x14ac:dyDescent="0.25">
      <c r="A204" s="9"/>
      <c r="B204" s="316" t="s">
        <v>33</v>
      </c>
      <c r="C204" s="450">
        <v>0</v>
      </c>
      <c r="D204" s="412">
        <v>0</v>
      </c>
      <c r="E204" s="412">
        <v>0</v>
      </c>
      <c r="F204" s="412">
        <v>-1374082.4362440757</v>
      </c>
      <c r="G204" s="412">
        <v>-1153835.1709074394</v>
      </c>
      <c r="H204" s="412">
        <v>-1179869.8734671318</v>
      </c>
      <c r="I204" s="412">
        <v>-1213891.8187355567</v>
      </c>
      <c r="J204" s="412">
        <v>-1593310.8599787641</v>
      </c>
      <c r="K204" s="412">
        <v>-1391338.8934606884</v>
      </c>
      <c r="L204" s="412">
        <v>-1473057.5872932638</v>
      </c>
      <c r="M204" s="412">
        <v>-1401670.7108831415</v>
      </c>
      <c r="N204" s="412">
        <v>-1441815.7152690284</v>
      </c>
      <c r="O204" s="412">
        <v>-1479203.2539759751</v>
      </c>
      <c r="P204" s="412">
        <v>-1321238.8529864857</v>
      </c>
      <c r="Q204" s="412">
        <v>-1368479.3234356644</v>
      </c>
      <c r="R204" s="412">
        <v>-1396759.4703210162</v>
      </c>
      <c r="S204" s="412">
        <v>-1483260.4236073222</v>
      </c>
      <c r="T204" s="412">
        <v>-1394418.636941104</v>
      </c>
      <c r="U204" s="412">
        <v>-1535780.6725955589</v>
      </c>
      <c r="V204" s="412">
        <v>-836156.63861215592</v>
      </c>
      <c r="W204" s="333"/>
    </row>
    <row r="205" spans="1:23" ht="13.5" thickTop="1" x14ac:dyDescent="0.2">
      <c r="A205" s="9"/>
      <c r="B205" s="317" t="s">
        <v>38</v>
      </c>
      <c r="C205" s="451">
        <v>0</v>
      </c>
      <c r="D205" s="414">
        <v>42413884.54554677</v>
      </c>
      <c r="E205" s="414">
        <v>40827954.404506087</v>
      </c>
      <c r="F205" s="414">
        <v>38614107.567647144</v>
      </c>
      <c r="G205" s="414">
        <v>36981929.419383518</v>
      </c>
      <c r="H205" s="414">
        <v>36035200.090370782</v>
      </c>
      <c r="I205" s="414">
        <v>38470468.534776658</v>
      </c>
      <c r="J205" s="414">
        <v>42250806.892259896</v>
      </c>
      <c r="K205" s="414">
        <v>43611138.846507527</v>
      </c>
      <c r="L205" s="414">
        <v>44651308.952830777</v>
      </c>
      <c r="M205" s="414">
        <v>44721472.691897117</v>
      </c>
      <c r="N205" s="414">
        <v>45840808.859367155</v>
      </c>
      <c r="O205" s="414">
        <v>46016509.272738606</v>
      </c>
      <c r="P205" s="414">
        <v>46439600.25997588</v>
      </c>
      <c r="Q205" s="414">
        <v>48428181.744201779</v>
      </c>
      <c r="R205" s="414">
        <v>53326028.285717785</v>
      </c>
      <c r="S205" s="414">
        <v>52226076.935592942</v>
      </c>
      <c r="T205" s="414">
        <v>52819503.130860515</v>
      </c>
      <c r="U205" s="414">
        <v>56022753.200126164</v>
      </c>
      <c r="V205" s="414">
        <v>58599084.517855175</v>
      </c>
      <c r="W205" s="333"/>
    </row>
    <row r="206" spans="1:23" x14ac:dyDescent="0.2">
      <c r="A206" s="9"/>
      <c r="B206" s="315" t="s">
        <v>34</v>
      </c>
      <c r="C206" s="449">
        <v>0</v>
      </c>
      <c r="D206" s="410">
        <v>-2764657.7517132028</v>
      </c>
      <c r="E206" s="410">
        <v>-2819950.9067474669</v>
      </c>
      <c r="F206" s="410">
        <v>-2918348.9248824161</v>
      </c>
      <c r="G206" s="410">
        <v>-2976925.8983800644</v>
      </c>
      <c r="H206" s="410">
        <v>-3036679.6612226656</v>
      </c>
      <c r="I206" s="410">
        <v>-3097633.880443994</v>
      </c>
      <c r="J206" s="410">
        <v>-3159812.699699671</v>
      </c>
      <c r="K206" s="410">
        <v>-3223240.7488816311</v>
      </c>
      <c r="L206" s="410">
        <v>-3287943.1539269299</v>
      </c>
      <c r="M206" s="410">
        <v>-3353945.5468248259</v>
      </c>
      <c r="N206" s="410">
        <v>-3421274.0758261639</v>
      </c>
      <c r="O206" s="410">
        <v>-3489955.4158591498</v>
      </c>
      <c r="P206" s="410">
        <v>-3560016.779155707</v>
      </c>
      <c r="Q206" s="410">
        <v>-3631485.9260926801</v>
      </c>
      <c r="R206" s="410">
        <v>-3704391.1762522385</v>
      </c>
      <c r="S206" s="410">
        <v>-3778761.4197059306</v>
      </c>
      <c r="T206" s="410">
        <v>-3854626.1285269135</v>
      </c>
      <c r="U206" s="410">
        <v>-3932015.3685349869</v>
      </c>
      <c r="V206" s="410">
        <v>-4010959.8112791609</v>
      </c>
      <c r="W206" s="333"/>
    </row>
    <row r="207" spans="1:23" x14ac:dyDescent="0.2">
      <c r="A207" s="9"/>
      <c r="B207" s="315" t="s">
        <v>35</v>
      </c>
      <c r="C207" s="449">
        <v>0</v>
      </c>
      <c r="D207" s="410">
        <v>-388299.7921559058</v>
      </c>
      <c r="E207" s="410">
        <v>-397276.51828614395</v>
      </c>
      <c r="F207" s="410">
        <v>-406449.83471863432</v>
      </c>
      <c r="G207" s="410">
        <v>-415830.46810249891</v>
      </c>
      <c r="H207" s="410">
        <v>-425434.36056089948</v>
      </c>
      <c r="I207" s="410">
        <v>-435680.84021321853</v>
      </c>
      <c r="J207" s="410">
        <v>-445769.5798686521</v>
      </c>
      <c r="K207" s="410">
        <v>-456535.8470507703</v>
      </c>
      <c r="L207" s="410">
        <v>-467135.4529866915</v>
      </c>
      <c r="M207" s="410">
        <v>-478005.34887397866</v>
      </c>
      <c r="N207" s="410">
        <v>-489138.29624173819</v>
      </c>
      <c r="O207" s="410">
        <v>-500551.79388316523</v>
      </c>
      <c r="P207" s="410">
        <v>-512255.19436468452</v>
      </c>
      <c r="Q207" s="410">
        <v>-524251.17985824175</v>
      </c>
      <c r="R207" s="410">
        <v>-536548.26458768733</v>
      </c>
      <c r="S207" s="410">
        <v>-549152.77643536904</v>
      </c>
      <c r="T207" s="410">
        <v>-562069.88017687318</v>
      </c>
      <c r="U207" s="410">
        <v>-575311.2032222891</v>
      </c>
      <c r="V207" s="410">
        <v>-588884.88347614498</v>
      </c>
      <c r="W207" s="333"/>
    </row>
    <row r="208" spans="1:23" ht="13.5" thickBot="1" x14ac:dyDescent="0.25">
      <c r="A208" s="9"/>
      <c r="B208" s="316" t="s">
        <v>36</v>
      </c>
      <c r="C208" s="450">
        <v>0</v>
      </c>
      <c r="D208" s="412">
        <v>-535405.353751207</v>
      </c>
      <c r="E208" s="412">
        <v>-546702.40671536105</v>
      </c>
      <c r="F208" s="412">
        <v>-558675.18942242803</v>
      </c>
      <c r="G208" s="412">
        <v>-571301.24870336999</v>
      </c>
      <c r="H208" s="412">
        <v>-584898.21842251206</v>
      </c>
      <c r="I208" s="412">
        <v>-599555.82657704898</v>
      </c>
      <c r="J208" s="412">
        <v>-614426.48136174004</v>
      </c>
      <c r="K208" s="412">
        <v>-629978.88536292303</v>
      </c>
      <c r="L208" s="412">
        <v>-645539.36383138795</v>
      </c>
      <c r="M208" s="412">
        <v>-662000.61760908598</v>
      </c>
      <c r="N208" s="412">
        <v>-678021.03255522903</v>
      </c>
      <c r="O208" s="412">
        <v>-695107.16257561895</v>
      </c>
      <c r="P208" s="412">
        <v>-712762.88450503803</v>
      </c>
      <c r="Q208" s="412">
        <v>-730581.95661766396</v>
      </c>
      <c r="R208" s="412">
        <v>-748919.56372876698</v>
      </c>
      <c r="S208" s="412">
        <v>-767642.55282198801</v>
      </c>
      <c r="T208" s="412">
        <v>-786680.08813197201</v>
      </c>
      <c r="U208" s="412">
        <v>-806425.758344086</v>
      </c>
      <c r="V208" s="412">
        <v>-826667.04487852298</v>
      </c>
      <c r="W208" s="333"/>
    </row>
    <row r="209" spans="1:23" ht="13.5" thickTop="1" x14ac:dyDescent="0.2">
      <c r="A209" s="9"/>
      <c r="B209" s="317" t="s">
        <v>221</v>
      </c>
      <c r="C209" s="452">
        <v>0</v>
      </c>
      <c r="D209" s="416">
        <v>38725521.647926457</v>
      </c>
      <c r="E209" s="416">
        <v>37064024.57275711</v>
      </c>
      <c r="F209" s="416">
        <v>34730633.618623659</v>
      </c>
      <c r="G209" s="416">
        <v>33017871.804197583</v>
      </c>
      <c r="H209" s="416">
        <v>31988187.850164704</v>
      </c>
      <c r="I209" s="416">
        <v>34337597.987542398</v>
      </c>
      <c r="J209" s="416">
        <v>38030798.131329834</v>
      </c>
      <c r="K209" s="416">
        <v>39301383.365212202</v>
      </c>
      <c r="L209" s="416">
        <v>40250690.982085764</v>
      </c>
      <c r="M209" s="416">
        <v>40227521.178589225</v>
      </c>
      <c r="N209" s="416">
        <v>41252375.454744026</v>
      </c>
      <c r="O209" s="416">
        <v>41330894.900420673</v>
      </c>
      <c r="P209" s="416">
        <v>41654565.401950449</v>
      </c>
      <c r="Q209" s="416">
        <v>43541862.681633197</v>
      </c>
      <c r="R209" s="416">
        <v>48336169.281149097</v>
      </c>
      <c r="S209" s="416">
        <v>47130520.18662966</v>
      </c>
      <c r="T209" s="416">
        <v>47616127.03402476</v>
      </c>
      <c r="U209" s="416">
        <v>50709000.8700248</v>
      </c>
      <c r="V209" s="416">
        <v>53172572.778221346</v>
      </c>
      <c r="W209" s="333"/>
    </row>
    <row r="210" spans="1:23" x14ac:dyDescent="0.2">
      <c r="A210" s="9"/>
      <c r="B210" s="315" t="s">
        <v>37</v>
      </c>
      <c r="C210" s="449">
        <v>0</v>
      </c>
      <c r="D210" s="410">
        <v>-2062980.3674999999</v>
      </c>
      <c r="E210" s="410">
        <v>-2822411.9035799997</v>
      </c>
      <c r="F210" s="410">
        <v>-3154240.7992297998</v>
      </c>
      <c r="G210" s="410">
        <v>-3254999.0104907001</v>
      </c>
      <c r="H210" s="410">
        <v>-3219881.2151525002</v>
      </c>
      <c r="I210" s="410">
        <v>-2867391.13094432</v>
      </c>
      <c r="J210" s="410">
        <v>-2289319.4916417915</v>
      </c>
      <c r="K210" s="410">
        <v>-1952719.0274509522</v>
      </c>
      <c r="L210" s="410">
        <v>-1735110.7564936141</v>
      </c>
      <c r="M210" s="410">
        <v>-1655481.6627015104</v>
      </c>
      <c r="N210" s="410">
        <v>-1740136.2645852189</v>
      </c>
      <c r="O210" s="410">
        <v>-1708880.6718354053</v>
      </c>
      <c r="P210" s="410">
        <v>-1679547.7604339353</v>
      </c>
      <c r="Q210" s="410">
        <v>-1701928.7566904216</v>
      </c>
      <c r="R210" s="410">
        <v>-1726919.7803346021</v>
      </c>
      <c r="S210" s="410">
        <v>-1704232.582188108</v>
      </c>
      <c r="T210" s="410">
        <v>-1684408.3655972192</v>
      </c>
      <c r="U210" s="410">
        <v>-1786630.6100086044</v>
      </c>
      <c r="V210" s="410">
        <v>-1864013.89675233</v>
      </c>
      <c r="W210" s="333"/>
    </row>
    <row r="211" spans="1:23" ht="13.5" thickBot="1" x14ac:dyDescent="0.25">
      <c r="A211" s="9"/>
      <c r="B211" s="316" t="s">
        <v>222</v>
      </c>
      <c r="C211" s="450">
        <v>0</v>
      </c>
      <c r="D211" s="412">
        <v>-14665016.512170583</v>
      </c>
      <c r="E211" s="412">
        <v>-13696645.067670844</v>
      </c>
      <c r="F211" s="412">
        <v>-12630557.127757544</v>
      </c>
      <c r="G211" s="412">
        <v>-11905149.117482753</v>
      </c>
      <c r="H211" s="412">
        <v>-11507322.654004881</v>
      </c>
      <c r="I211" s="412">
        <v>-12588082.742639232</v>
      </c>
      <c r="J211" s="412">
        <v>-14296591.455875218</v>
      </c>
      <c r="K211" s="412">
        <v>-14939465.735104501</v>
      </c>
      <c r="L211" s="412">
        <v>-15406232.090236861</v>
      </c>
      <c r="M211" s="412">
        <v>-15428815.806355087</v>
      </c>
      <c r="N211" s="412">
        <v>-15804895.676063523</v>
      </c>
      <c r="O211" s="412">
        <v>-15848805.691434108</v>
      </c>
      <c r="P211" s="412">
        <v>-15990007.056606606</v>
      </c>
      <c r="Q211" s="412">
        <v>-16735973.569977112</v>
      </c>
      <c r="R211" s="412">
        <v>-18643699.8003258</v>
      </c>
      <c r="S211" s="412">
        <v>-18170515.041776624</v>
      </c>
      <c r="T211" s="412">
        <v>-18372687.467371017</v>
      </c>
      <c r="U211" s="412">
        <v>-19568948.10400648</v>
      </c>
      <c r="V211" s="412">
        <v>-20523423.55258761</v>
      </c>
      <c r="W211" s="333"/>
    </row>
    <row r="212" spans="1:23" ht="13.5" thickTop="1" x14ac:dyDescent="0.2">
      <c r="A212" s="9"/>
      <c r="B212" s="317" t="s">
        <v>183</v>
      </c>
      <c r="C212" s="452">
        <v>0</v>
      </c>
      <c r="D212" s="416">
        <v>21997524.768255875</v>
      </c>
      <c r="E212" s="416">
        <v>20544967.601506263</v>
      </c>
      <c r="F212" s="416">
        <v>18945835.691636316</v>
      </c>
      <c r="G212" s="416">
        <v>17857723.676224127</v>
      </c>
      <c r="H212" s="416">
        <v>17260983.981007323</v>
      </c>
      <c r="I212" s="416">
        <v>18882124.113958847</v>
      </c>
      <c r="J212" s="416">
        <v>21444887.183812827</v>
      </c>
      <c r="K212" s="416">
        <v>22409198.602656752</v>
      </c>
      <c r="L212" s="416">
        <v>23109348.13535529</v>
      </c>
      <c r="M212" s="416">
        <v>23143223.709532626</v>
      </c>
      <c r="N212" s="416">
        <v>23707343.514095284</v>
      </c>
      <c r="O212" s="416">
        <v>23773208.537151158</v>
      </c>
      <c r="P212" s="416">
        <v>23985010.584909908</v>
      </c>
      <c r="Q212" s="416">
        <v>25103960.354965664</v>
      </c>
      <c r="R212" s="416">
        <v>27965549.700488698</v>
      </c>
      <c r="S212" s="416">
        <v>27255772.56266493</v>
      </c>
      <c r="T212" s="416">
        <v>27559031.201056525</v>
      </c>
      <c r="U212" s="416">
        <v>29353422.156009715</v>
      </c>
      <c r="V212" s="416">
        <v>30785135.328881409</v>
      </c>
      <c r="W212" s="333"/>
    </row>
    <row r="213" spans="1:23" x14ac:dyDescent="0.2">
      <c r="A213" s="9"/>
      <c r="B213" s="315" t="s">
        <v>37</v>
      </c>
      <c r="C213" s="449">
        <v>0</v>
      </c>
      <c r="D213" s="410">
        <v>2062980.3674999999</v>
      </c>
      <c r="E213" s="410">
        <v>2822411.9035799997</v>
      </c>
      <c r="F213" s="410">
        <v>3154240.7992297998</v>
      </c>
      <c r="G213" s="410">
        <v>3254999.0104907001</v>
      </c>
      <c r="H213" s="410">
        <v>3219881.2151525002</v>
      </c>
      <c r="I213" s="410">
        <v>2867391.13094432</v>
      </c>
      <c r="J213" s="410">
        <v>2289319.4916417915</v>
      </c>
      <c r="K213" s="410">
        <v>1952719.0274509522</v>
      </c>
      <c r="L213" s="410">
        <v>1735110.7564936141</v>
      </c>
      <c r="M213" s="410">
        <v>1655481.6627015104</v>
      </c>
      <c r="N213" s="410">
        <v>1740136.2645852189</v>
      </c>
      <c r="O213" s="410">
        <v>1708880.6718354053</v>
      </c>
      <c r="P213" s="410">
        <v>1679547.7604339353</v>
      </c>
      <c r="Q213" s="410">
        <v>1701928.7566904216</v>
      </c>
      <c r="R213" s="410">
        <v>1726919.7803346021</v>
      </c>
      <c r="S213" s="410">
        <v>1704232.582188108</v>
      </c>
      <c r="T213" s="410">
        <v>1684408.3655972192</v>
      </c>
      <c r="U213" s="410">
        <v>1786630.6100086044</v>
      </c>
      <c r="V213" s="410">
        <v>1864013.89675233</v>
      </c>
      <c r="W213" s="333"/>
    </row>
    <row r="214" spans="1:23" x14ac:dyDescent="0.2">
      <c r="A214" s="9"/>
      <c r="B214" s="315" t="s">
        <v>39</v>
      </c>
      <c r="C214" s="449">
        <v>0</v>
      </c>
      <c r="D214" s="410">
        <v>-1392192</v>
      </c>
      <c r="E214" s="410">
        <v>-288695.92</v>
      </c>
      <c r="F214" s="410">
        <v>-1959781.09</v>
      </c>
      <c r="G214" s="410">
        <v>-716258.43</v>
      </c>
      <c r="H214" s="410">
        <v>-1484360.4879999999</v>
      </c>
      <c r="I214" s="410">
        <v>-1528891.3026399999</v>
      </c>
      <c r="J214" s="410">
        <v>-1574758.0417191999</v>
      </c>
      <c r="K214" s="410">
        <v>-1622000.7829707759</v>
      </c>
      <c r="L214" s="410">
        <v>-1670660.8064598991</v>
      </c>
      <c r="M214" s="410">
        <v>-1720780.6306536961</v>
      </c>
      <c r="N214" s="410">
        <v>-1772404.0495733072</v>
      </c>
      <c r="O214" s="410">
        <v>-1825576.1710605065</v>
      </c>
      <c r="P214" s="410">
        <v>-1880343.4561923218</v>
      </c>
      <c r="Q214" s="410">
        <v>-1936753.7598780915</v>
      </c>
      <c r="R214" s="410">
        <v>-1994856.3726744342</v>
      </c>
      <c r="S214" s="410">
        <v>-2054702.0638546674</v>
      </c>
      <c r="T214" s="410">
        <v>-2116343.1257703076</v>
      </c>
      <c r="U214" s="410">
        <v>-2179833.4195434167</v>
      </c>
      <c r="V214" s="410">
        <v>-2245228.4221297191</v>
      </c>
      <c r="W214" s="333"/>
    </row>
    <row r="215" spans="1:23" ht="13.5" thickBot="1" x14ac:dyDescent="0.25">
      <c r="A215" s="9"/>
      <c r="B215" s="316" t="s">
        <v>40</v>
      </c>
      <c r="C215" s="450">
        <v>0</v>
      </c>
      <c r="D215" s="412">
        <v>-6225024</v>
      </c>
      <c r="E215" s="412">
        <v>-4058147.2</v>
      </c>
      <c r="F215" s="412">
        <v>-2200091.69</v>
      </c>
      <c r="G215" s="412">
        <v>0</v>
      </c>
      <c r="H215" s="412">
        <v>0</v>
      </c>
      <c r="I215" s="412">
        <v>0</v>
      </c>
      <c r="J215" s="412">
        <v>0</v>
      </c>
      <c r="K215" s="412">
        <v>0</v>
      </c>
      <c r="L215" s="412">
        <v>0</v>
      </c>
      <c r="M215" s="412">
        <v>0</v>
      </c>
      <c r="N215" s="412">
        <v>0</v>
      </c>
      <c r="O215" s="412">
        <v>0</v>
      </c>
      <c r="P215" s="412">
        <v>0</v>
      </c>
      <c r="Q215" s="412">
        <v>0</v>
      </c>
      <c r="R215" s="412">
        <v>0</v>
      </c>
      <c r="S215" s="412">
        <v>0</v>
      </c>
      <c r="T215" s="412">
        <v>0</v>
      </c>
      <c r="U215" s="412">
        <v>0</v>
      </c>
      <c r="V215" s="412">
        <v>0</v>
      </c>
      <c r="W215" s="333"/>
    </row>
    <row r="216" spans="1:23" ht="13.5" thickTop="1" x14ac:dyDescent="0.2">
      <c r="A216" s="9"/>
      <c r="B216" s="315"/>
      <c r="C216" s="453"/>
      <c r="D216" s="333"/>
      <c r="E216" s="333"/>
      <c r="F216" s="333"/>
      <c r="G216" s="333"/>
      <c r="H216" s="333"/>
      <c r="I216" s="333"/>
      <c r="J216" s="333"/>
      <c r="K216" s="333"/>
      <c r="L216" s="333"/>
      <c r="M216" s="333"/>
      <c r="N216" s="333"/>
      <c r="O216" s="333"/>
      <c r="P216" s="333"/>
      <c r="Q216" s="333"/>
      <c r="R216" s="333"/>
      <c r="S216" s="333"/>
      <c r="T216" s="333"/>
      <c r="U216" s="333"/>
      <c r="V216" s="333"/>
      <c r="W216" s="333"/>
    </row>
    <row r="217" spans="1:23" x14ac:dyDescent="0.2">
      <c r="A217" s="9"/>
      <c r="B217" s="317" t="s">
        <v>234</v>
      </c>
      <c r="C217" s="452">
        <v>0</v>
      </c>
      <c r="D217" s="416">
        <v>16443289.135755874</v>
      </c>
      <c r="E217" s="416">
        <v>19020536.385086261</v>
      </c>
      <c r="F217" s="416">
        <v>17940203.710866116</v>
      </c>
      <c r="G217" s="416">
        <v>20396464.256714828</v>
      </c>
      <c r="H217" s="416">
        <v>18996504.708159827</v>
      </c>
      <c r="I217" s="416">
        <v>20220623.942263167</v>
      </c>
      <c r="J217" s="416">
        <v>22159448.633735418</v>
      </c>
      <c r="K217" s="416">
        <v>22739916.84713693</v>
      </c>
      <c r="L217" s="416">
        <v>23173798.085389003</v>
      </c>
      <c r="M217" s="416">
        <v>23077924.741580442</v>
      </c>
      <c r="N217" s="416">
        <v>23675075.729107197</v>
      </c>
      <c r="O217" s="416">
        <v>23656513.037926055</v>
      </c>
      <c r="P217" s="416">
        <v>23784214.889151521</v>
      </c>
      <c r="Q217" s="416">
        <v>24869135.351777993</v>
      </c>
      <c r="R217" s="416">
        <v>27697613.108148865</v>
      </c>
      <c r="S217" s="416">
        <v>26905303.080998369</v>
      </c>
      <c r="T217" s="416">
        <v>27127096.440883435</v>
      </c>
      <c r="U217" s="416">
        <v>28960219.346474905</v>
      </c>
      <c r="V217" s="416">
        <v>30403920.80350402</v>
      </c>
      <c r="W217" s="414">
        <v>159855224.60857603</v>
      </c>
    </row>
    <row r="218" spans="1:23" x14ac:dyDescent="0.2">
      <c r="A218" s="9"/>
      <c r="B218" s="29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x14ac:dyDescent="0.2">
      <c r="A219" s="308" t="s">
        <v>219</v>
      </c>
      <c r="B219" s="306" t="s">
        <v>170</v>
      </c>
      <c r="C219" s="439">
        <v>73283453.341718674</v>
      </c>
      <c r="D219" s="9"/>
      <c r="E219" s="137" t="s">
        <v>220</v>
      </c>
      <c r="F219" s="319" t="s">
        <v>170</v>
      </c>
      <c r="G219" s="443">
        <v>73283453.341718674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x14ac:dyDescent="0.2">
      <c r="A220" s="9"/>
      <c r="B220" s="306" t="s">
        <v>180</v>
      </c>
      <c r="C220" s="439">
        <v>114766980.58472964</v>
      </c>
      <c r="D220" s="9"/>
      <c r="E220" s="321"/>
      <c r="F220" s="319" t="s">
        <v>180</v>
      </c>
      <c r="G220" s="443">
        <v>114766980.58472964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ht="13.5" thickBot="1" x14ac:dyDescent="0.25">
      <c r="A221" s="9"/>
      <c r="B221" s="322" t="s">
        <v>137</v>
      </c>
      <c r="C221" s="440">
        <v>24921230.064447366</v>
      </c>
      <c r="D221" s="323"/>
      <c r="E221" s="321"/>
      <c r="F221" s="319" t="s">
        <v>137</v>
      </c>
      <c r="G221" s="443">
        <v>24921230.064447366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ht="14.25" thickTop="1" thickBot="1" x14ac:dyDescent="0.25">
      <c r="A222" s="9"/>
      <c r="B222" s="306" t="s">
        <v>28</v>
      </c>
      <c r="C222" s="438">
        <v>212971663.9908956</v>
      </c>
      <c r="D222" s="305"/>
      <c r="E222" s="321"/>
      <c r="F222" s="324" t="s">
        <v>204</v>
      </c>
      <c r="G222" s="325"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ht="13.5" thickTop="1" x14ac:dyDescent="0.2">
      <c r="A223" s="9"/>
      <c r="B223" s="292"/>
      <c r="C223" s="326"/>
      <c r="D223" s="9"/>
      <c r="E223" s="327"/>
      <c r="F223" s="319" t="s">
        <v>28</v>
      </c>
      <c r="G223" s="368">
        <v>212971663.9908956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x14ac:dyDescent="0.2">
      <c r="A224" s="9"/>
      <c r="B224" s="292"/>
      <c r="C224" s="326"/>
      <c r="D224" s="9"/>
      <c r="E224" s="327"/>
      <c r="F224" s="319"/>
      <c r="G224" s="32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x14ac:dyDescent="0.2">
      <c r="A225" s="9"/>
      <c r="B225" s="292"/>
      <c r="C225" s="326"/>
      <c r="D225" s="9"/>
      <c r="E225" s="327"/>
      <c r="F225" s="319"/>
      <c r="G225" s="32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x14ac:dyDescent="0.2">
      <c r="A226" s="9"/>
      <c r="B226" s="329" t="s">
        <v>223</v>
      </c>
      <c r="C226" s="326"/>
      <c r="D226" s="9"/>
      <c r="E226" s="327"/>
      <c r="F226" s="319"/>
      <c r="G226" s="32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x14ac:dyDescent="0.2">
      <c r="A227" s="330" t="s">
        <v>225</v>
      </c>
      <c r="B227" s="329" t="s">
        <v>224</v>
      </c>
      <c r="C227" s="331"/>
      <c r="D227" s="332">
        <v>21997524.768255875</v>
      </c>
      <c r="E227" s="332">
        <v>20544967.601506263</v>
      </c>
      <c r="F227" s="332">
        <v>18945835.691636316</v>
      </c>
      <c r="G227" s="332">
        <v>17857723.676224127</v>
      </c>
      <c r="H227" s="332">
        <v>17260983.981007323</v>
      </c>
      <c r="I227" s="332">
        <v>18882124.113958847</v>
      </c>
      <c r="J227" s="332">
        <v>21444887.183812827</v>
      </c>
      <c r="K227" s="332">
        <v>22409198.602656752</v>
      </c>
      <c r="L227" s="332">
        <v>23109348.13535529</v>
      </c>
      <c r="M227" s="332">
        <v>23143223.709532626</v>
      </c>
      <c r="N227" s="332">
        <v>23707343.514095284</v>
      </c>
      <c r="O227" s="332">
        <v>23773208.537151158</v>
      </c>
      <c r="P227" s="332">
        <v>23985010.584909908</v>
      </c>
      <c r="Q227" s="332">
        <v>25103960.354965664</v>
      </c>
      <c r="R227" s="332">
        <v>27965549.700488698</v>
      </c>
      <c r="S227" s="332">
        <v>27255772.56266493</v>
      </c>
      <c r="T227" s="332">
        <v>27559031.201056525</v>
      </c>
      <c r="U227" s="332">
        <v>29353422.156009715</v>
      </c>
      <c r="V227" s="332">
        <v>30785135.328881409</v>
      </c>
      <c r="W227" s="9"/>
    </row>
    <row r="228" spans="1:23" x14ac:dyDescent="0.2">
      <c r="A228" s="9"/>
      <c r="B228" s="292" t="s">
        <v>226</v>
      </c>
      <c r="C228" s="326"/>
      <c r="D228" s="333">
        <v>14665016.512170583</v>
      </c>
      <c r="E228" s="333">
        <v>13696645.067670844</v>
      </c>
      <c r="F228" s="333">
        <v>12630557.127757544</v>
      </c>
      <c r="G228" s="333">
        <v>11905149.117482753</v>
      </c>
      <c r="H228" s="333">
        <v>11507322.654004881</v>
      </c>
      <c r="I228" s="333">
        <v>12588082.742639232</v>
      </c>
      <c r="J228" s="333">
        <v>14296591.455875218</v>
      </c>
      <c r="K228" s="333">
        <v>14939465.735104501</v>
      </c>
      <c r="L228" s="333">
        <v>15406232.090236861</v>
      </c>
      <c r="M228" s="333">
        <v>15428815.806355087</v>
      </c>
      <c r="N228" s="333">
        <v>15804895.676063523</v>
      </c>
      <c r="O228" s="333">
        <v>15848805.691434108</v>
      </c>
      <c r="P228" s="333">
        <v>15990007.056606606</v>
      </c>
      <c r="Q228" s="333">
        <v>16735973.569977112</v>
      </c>
      <c r="R228" s="333">
        <v>18643699.8003258</v>
      </c>
      <c r="S228" s="333">
        <v>18170515.041776624</v>
      </c>
      <c r="T228" s="333">
        <v>18372687.467371017</v>
      </c>
      <c r="U228" s="333">
        <v>19568948.10400648</v>
      </c>
      <c r="V228" s="333">
        <v>20523423.55258761</v>
      </c>
      <c r="W228" s="9"/>
    </row>
    <row r="229" spans="1:23" x14ac:dyDescent="0.2">
      <c r="A229" s="9"/>
      <c r="B229" s="334" t="s">
        <v>227</v>
      </c>
      <c r="C229" s="335"/>
      <c r="D229" s="333">
        <v>2062980.3674999999</v>
      </c>
      <c r="E229" s="333">
        <v>2822411.9035799997</v>
      </c>
      <c r="F229" s="333">
        <v>3154240.7992297998</v>
      </c>
      <c r="G229" s="333">
        <v>3254999.0104907001</v>
      </c>
      <c r="H229" s="333">
        <v>3219881.2151525002</v>
      </c>
      <c r="I229" s="333">
        <v>2867391.13094432</v>
      </c>
      <c r="J229" s="333">
        <v>2289319.4916417915</v>
      </c>
      <c r="K229" s="333">
        <v>1952719.0274509522</v>
      </c>
      <c r="L229" s="333">
        <v>1735110.7564936141</v>
      </c>
      <c r="M229" s="333">
        <v>1655481.6627015104</v>
      </c>
      <c r="N229" s="333">
        <v>1740136.2645852189</v>
      </c>
      <c r="O229" s="333">
        <v>1708880.6718354053</v>
      </c>
      <c r="P229" s="333">
        <v>1679547.7604339353</v>
      </c>
      <c r="Q229" s="333">
        <v>1701928.7566904216</v>
      </c>
      <c r="R229" s="333">
        <v>1726919.7803346021</v>
      </c>
      <c r="S229" s="333">
        <v>1704232.582188108</v>
      </c>
      <c r="T229" s="333">
        <v>1684408.3655972192</v>
      </c>
      <c r="U229" s="333">
        <v>1786630.6100086044</v>
      </c>
      <c r="V229" s="333">
        <v>1864013.89675233</v>
      </c>
      <c r="W229" s="9"/>
    </row>
    <row r="230" spans="1:23" ht="13.5" thickBot="1" x14ac:dyDescent="0.25">
      <c r="A230" s="9"/>
      <c r="B230" s="336" t="s">
        <v>228</v>
      </c>
      <c r="C230" s="337"/>
      <c r="D230" s="338">
        <v>38725521.647926457</v>
      </c>
      <c r="E230" s="338">
        <v>37064024.57275711</v>
      </c>
      <c r="F230" s="338">
        <v>34730633.618623659</v>
      </c>
      <c r="G230" s="338">
        <v>33017871.80419758</v>
      </c>
      <c r="H230" s="338">
        <v>31988187.850164704</v>
      </c>
      <c r="I230" s="338">
        <v>34337597.987542398</v>
      </c>
      <c r="J230" s="338">
        <v>38030798.131329834</v>
      </c>
      <c r="K230" s="338">
        <v>39301383.365212202</v>
      </c>
      <c r="L230" s="338">
        <v>40250690.982085764</v>
      </c>
      <c r="M230" s="338">
        <v>40227521.178589225</v>
      </c>
      <c r="N230" s="338">
        <v>41252375.454744026</v>
      </c>
      <c r="O230" s="338">
        <v>41330894.900420673</v>
      </c>
      <c r="P230" s="338">
        <v>41654565.401950449</v>
      </c>
      <c r="Q230" s="338">
        <v>43541862.681633197</v>
      </c>
      <c r="R230" s="338">
        <v>48336169.281149097</v>
      </c>
      <c r="S230" s="338">
        <v>47130520.18662966</v>
      </c>
      <c r="T230" s="338">
        <v>47616127.03402476</v>
      </c>
      <c r="U230" s="338">
        <v>50709000.8700248</v>
      </c>
      <c r="V230" s="338">
        <v>53172572.778221346</v>
      </c>
      <c r="W230" s="9"/>
    </row>
    <row r="231" spans="1:23" ht="13.5" thickTop="1" x14ac:dyDescent="0.2">
      <c r="A231" s="330" t="s">
        <v>229</v>
      </c>
      <c r="B231" s="292" t="s">
        <v>230</v>
      </c>
      <c r="C231" s="326"/>
      <c r="D231" s="333">
        <v>-2761556.1055343803</v>
      </c>
      <c r="E231" s="333">
        <v>-2978898.2615343803</v>
      </c>
      <c r="F231" s="333">
        <v>-3076887.3160343799</v>
      </c>
      <c r="G231" s="333">
        <v>-3112700.2375343801</v>
      </c>
      <c r="H231" s="333">
        <v>-3186918.26193438</v>
      </c>
      <c r="I231" s="333">
        <v>-3263362.8270663801</v>
      </c>
      <c r="J231" s="333">
        <v>-3342100.72915234</v>
      </c>
      <c r="K231" s="333">
        <v>-3423200.7683008788</v>
      </c>
      <c r="L231" s="333">
        <v>-3506733.8086238741</v>
      </c>
      <c r="M231" s="333">
        <v>-3592772.8401565584</v>
      </c>
      <c r="N231" s="333">
        <v>-3681393.0426352243</v>
      </c>
      <c r="O231" s="333">
        <v>-3772671.8511882494</v>
      </c>
      <c r="P231" s="333">
        <v>-3866689.0239978656</v>
      </c>
      <c r="Q231" s="333">
        <v>-3963526.7119917702</v>
      </c>
      <c r="R231" s="333">
        <v>-3133862.6931255106</v>
      </c>
      <c r="S231" s="333">
        <v>-1905925.4713182251</v>
      </c>
      <c r="T231" s="333">
        <v>-2010538.3551067405</v>
      </c>
      <c r="U231" s="333">
        <v>-2119530.0260839113</v>
      </c>
      <c r="V231" s="333">
        <v>-2231791.4471903974</v>
      </c>
      <c r="W231" s="9"/>
    </row>
    <row r="232" spans="1:23" x14ac:dyDescent="0.2">
      <c r="A232" s="9"/>
      <c r="B232" s="292" t="s">
        <v>231</v>
      </c>
      <c r="C232" s="326"/>
      <c r="D232" s="333">
        <v>0</v>
      </c>
      <c r="E232" s="333">
        <v>0</v>
      </c>
      <c r="F232" s="333">
        <v>0</v>
      </c>
      <c r="G232" s="333">
        <v>0</v>
      </c>
      <c r="H232" s="333">
        <v>0</v>
      </c>
      <c r="I232" s="333">
        <v>0</v>
      </c>
      <c r="J232" s="333">
        <v>0</v>
      </c>
      <c r="K232" s="333">
        <v>0</v>
      </c>
      <c r="L232" s="333">
        <v>0</v>
      </c>
      <c r="M232" s="333">
        <v>0</v>
      </c>
      <c r="N232" s="333">
        <v>0</v>
      </c>
      <c r="O232" s="333">
        <v>0</v>
      </c>
      <c r="P232" s="333">
        <v>0</v>
      </c>
      <c r="Q232" s="333">
        <v>0</v>
      </c>
      <c r="R232" s="333">
        <v>0</v>
      </c>
      <c r="S232" s="333">
        <v>0</v>
      </c>
      <c r="T232" s="333">
        <v>0</v>
      </c>
      <c r="U232" s="333">
        <v>0</v>
      </c>
      <c r="V232" s="333">
        <v>0</v>
      </c>
      <c r="W232" s="9"/>
    </row>
    <row r="233" spans="1:23" x14ac:dyDescent="0.2">
      <c r="A233" s="9"/>
      <c r="B233" s="329" t="s">
        <v>232</v>
      </c>
      <c r="C233" s="331"/>
      <c r="D233" s="332">
        <v>35963965.542392075</v>
      </c>
      <c r="E233" s="332">
        <v>34085126.311222732</v>
      </c>
      <c r="F233" s="332">
        <v>31653746.302589279</v>
      </c>
      <c r="G233" s="332">
        <v>29905171.566663198</v>
      </c>
      <c r="H233" s="332">
        <v>28801269.588230323</v>
      </c>
      <c r="I233" s="332">
        <v>31074235.160476018</v>
      </c>
      <c r="J233" s="332">
        <v>34688697.402177498</v>
      </c>
      <c r="K233" s="332">
        <v>35878182.596911326</v>
      </c>
      <c r="L233" s="332">
        <v>36743957.173461892</v>
      </c>
      <c r="M233" s="332">
        <v>36634748.33843267</v>
      </c>
      <c r="N233" s="332">
        <v>37570982.412108801</v>
      </c>
      <c r="O233" s="332">
        <v>37558223.049232423</v>
      </c>
      <c r="P233" s="332">
        <v>37787876.377952583</v>
      </c>
      <c r="Q233" s="332">
        <v>39578335.969641425</v>
      </c>
      <c r="R233" s="332">
        <v>45202306.588023588</v>
      </c>
      <c r="S233" s="332">
        <v>45224594.715311438</v>
      </c>
      <c r="T233" s="332">
        <v>45605588.678918019</v>
      </c>
      <c r="U233" s="332">
        <v>48589470.843940891</v>
      </c>
      <c r="V233" s="332">
        <v>50940781.33103095</v>
      </c>
      <c r="W233" s="9"/>
    </row>
    <row r="234" spans="1:23" ht="13.5" thickBot="1" x14ac:dyDescent="0.25">
      <c r="A234" s="9"/>
      <c r="B234" s="339" t="s">
        <v>238</v>
      </c>
      <c r="C234" s="340"/>
      <c r="D234" s="341">
        <v>-14385586.216956832</v>
      </c>
      <c r="E234" s="341">
        <v>-13634050.524489094</v>
      </c>
      <c r="F234" s="341">
        <v>-12661498.521035712</v>
      </c>
      <c r="G234" s="341">
        <v>-11962068.626665279</v>
      </c>
      <c r="H234" s="341">
        <v>-11520507.835292131</v>
      </c>
      <c r="I234" s="341">
        <v>-12429694.064190408</v>
      </c>
      <c r="J234" s="341">
        <v>-13875478.960871</v>
      </c>
      <c r="K234" s="341">
        <v>-14351273.038764531</v>
      </c>
      <c r="L234" s="341">
        <v>-14697582.869384758</v>
      </c>
      <c r="M234" s="341">
        <v>-14653899.335373068</v>
      </c>
      <c r="N234" s="341">
        <v>-15028392.964843521</v>
      </c>
      <c r="O234" s="341">
        <v>-15023289.21969297</v>
      </c>
      <c r="P234" s="341">
        <v>-15115150.551181033</v>
      </c>
      <c r="Q234" s="341">
        <v>-15831334.387856571</v>
      </c>
      <c r="R234" s="341">
        <v>-18080922.635209437</v>
      </c>
      <c r="S234" s="341">
        <v>-18089837.886124577</v>
      </c>
      <c r="T234" s="341">
        <v>-18242235.47156721</v>
      </c>
      <c r="U234" s="341">
        <v>-19435788.337576356</v>
      </c>
      <c r="V234" s="341">
        <v>-20376312.53241238</v>
      </c>
      <c r="W234" s="9"/>
    </row>
    <row r="235" spans="1:23" ht="13.5" thickTop="1" x14ac:dyDescent="0.2">
      <c r="A235" s="9"/>
      <c r="B235" s="329" t="s">
        <v>233</v>
      </c>
      <c r="C235" s="331"/>
      <c r="D235" s="332">
        <v>21578379.325435244</v>
      </c>
      <c r="E235" s="332">
        <v>20451075.786733638</v>
      </c>
      <c r="F235" s="332">
        <v>18992247.781553566</v>
      </c>
      <c r="G235" s="332">
        <v>17943102.939997919</v>
      </c>
      <c r="H235" s="332">
        <v>17280761.752938192</v>
      </c>
      <c r="I235" s="332">
        <v>18644541.096285611</v>
      </c>
      <c r="J235" s="332">
        <v>20813218.441306498</v>
      </c>
      <c r="K235" s="332">
        <v>21526909.558146797</v>
      </c>
      <c r="L235" s="332">
        <v>22046374.304077134</v>
      </c>
      <c r="M235" s="332">
        <v>21980849.003059603</v>
      </c>
      <c r="N235" s="332">
        <v>22542589.447265282</v>
      </c>
      <c r="O235" s="332">
        <v>22534933.829539455</v>
      </c>
      <c r="P235" s="332">
        <v>22672725.82677155</v>
      </c>
      <c r="Q235" s="332">
        <v>23747001.581784852</v>
      </c>
      <c r="R235" s="332">
        <v>27121383.952814151</v>
      </c>
      <c r="S235" s="332">
        <v>27134756.82918686</v>
      </c>
      <c r="T235" s="332">
        <v>27363353.207350809</v>
      </c>
      <c r="U235" s="332">
        <v>29153682.506364536</v>
      </c>
      <c r="V235" s="332">
        <v>30564468.79861857</v>
      </c>
      <c r="W235" s="9"/>
    </row>
    <row r="236" spans="1:23" x14ac:dyDescent="0.2">
      <c r="A236" s="9"/>
      <c r="B236" s="9"/>
      <c r="C236" s="326"/>
      <c r="D236" s="9"/>
      <c r="E236" s="327"/>
      <c r="F236" s="319"/>
      <c r="G236" s="32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ht="15.75" x14ac:dyDescent="0.25">
      <c r="A237" s="342" t="s">
        <v>206</v>
      </c>
      <c r="B237" s="343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x14ac:dyDescent="0.2">
      <c r="A238" s="290" t="s">
        <v>191</v>
      </c>
      <c r="B238" s="309"/>
      <c r="C238" s="344">
        <v>0</v>
      </c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</row>
    <row r="239" spans="1:23" x14ac:dyDescent="0.2">
      <c r="A239" s="290" t="s">
        <v>192</v>
      </c>
      <c r="B239" s="309"/>
      <c r="C239" s="345">
        <v>0</v>
      </c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3"/>
      <c r="P239" s="283"/>
      <c r="Q239" s="283"/>
      <c r="R239" s="283"/>
      <c r="S239" s="283"/>
      <c r="T239" s="283"/>
      <c r="U239" s="283"/>
      <c r="V239" s="283"/>
      <c r="W239" s="283"/>
    </row>
    <row r="240" spans="1:23" x14ac:dyDescent="0.2">
      <c r="A240" s="290" t="s">
        <v>202</v>
      </c>
      <c r="B240" s="309"/>
      <c r="C240" s="290">
        <v>15</v>
      </c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</row>
    <row r="241" spans="1:23" x14ac:dyDescent="0.2">
      <c r="A241" s="290" t="s">
        <v>193</v>
      </c>
      <c r="B241" s="309"/>
      <c r="C241" s="345">
        <v>0</v>
      </c>
      <c r="D241" s="283"/>
      <c r="E241" s="283"/>
      <c r="F241" s="283"/>
      <c r="G241" s="283"/>
      <c r="H241" s="283"/>
      <c r="I241" s="283"/>
      <c r="J241" s="283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3"/>
      <c r="V241" s="283"/>
      <c r="W241" s="283"/>
    </row>
    <row r="242" spans="1:23" x14ac:dyDescent="0.2">
      <c r="A242" s="290" t="s">
        <v>194</v>
      </c>
      <c r="B242" s="309"/>
      <c r="C242" s="346">
        <v>8.7499999999999994E-2</v>
      </c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3"/>
      <c r="P242" s="283"/>
      <c r="Q242" s="283"/>
      <c r="R242" s="283"/>
      <c r="S242" s="283"/>
      <c r="T242" s="283"/>
      <c r="U242" s="283"/>
      <c r="V242" s="283"/>
      <c r="W242" s="283"/>
    </row>
    <row r="243" spans="1:23" x14ac:dyDescent="0.2">
      <c r="A243" s="290"/>
      <c r="B243" s="309"/>
      <c r="C243" s="283"/>
      <c r="D243" s="312">
        <v>2001</v>
      </c>
      <c r="E243" s="312">
        <v>2002</v>
      </c>
      <c r="F243" s="312">
        <v>2003</v>
      </c>
      <c r="G243" s="312">
        <v>2004</v>
      </c>
      <c r="H243" s="312">
        <v>2005</v>
      </c>
      <c r="I243" s="312">
        <v>2006</v>
      </c>
      <c r="J243" s="312">
        <v>2007</v>
      </c>
      <c r="K243" s="312">
        <v>2008</v>
      </c>
      <c r="L243" s="312">
        <v>2009</v>
      </c>
      <c r="M243" s="312">
        <v>2010</v>
      </c>
      <c r="N243" s="312">
        <v>2011</v>
      </c>
      <c r="O243" s="312">
        <v>2012</v>
      </c>
      <c r="P243" s="312">
        <v>2013</v>
      </c>
      <c r="Q243" s="312">
        <v>2014</v>
      </c>
      <c r="R243" s="312">
        <v>2015</v>
      </c>
      <c r="S243" s="312">
        <v>2016</v>
      </c>
      <c r="T243" s="312">
        <v>2017</v>
      </c>
      <c r="U243" s="312">
        <v>2018</v>
      </c>
      <c r="V243" s="312">
        <v>2019</v>
      </c>
      <c r="W243" s="312" t="s">
        <v>154</v>
      </c>
    </row>
    <row r="244" spans="1:23" x14ac:dyDescent="0.2">
      <c r="A244" s="290" t="s">
        <v>195</v>
      </c>
      <c r="B244" s="309"/>
      <c r="C244" s="283"/>
      <c r="D244" s="347">
        <v>0</v>
      </c>
      <c r="E244" s="347">
        <v>0</v>
      </c>
      <c r="F244" s="347">
        <v>0</v>
      </c>
      <c r="G244" s="347">
        <v>0</v>
      </c>
      <c r="H244" s="347">
        <v>0</v>
      </c>
      <c r="I244" s="347">
        <v>0</v>
      </c>
      <c r="J244" s="347">
        <v>0</v>
      </c>
      <c r="K244" s="347">
        <v>0</v>
      </c>
      <c r="L244" s="347">
        <v>0</v>
      </c>
      <c r="M244" s="347">
        <v>0</v>
      </c>
      <c r="N244" s="347">
        <v>0</v>
      </c>
      <c r="O244" s="347">
        <v>0</v>
      </c>
      <c r="P244" s="347">
        <v>0</v>
      </c>
      <c r="Q244" s="347">
        <v>0</v>
      </c>
      <c r="R244" s="347">
        <v>0</v>
      </c>
      <c r="S244" s="347">
        <v>0</v>
      </c>
      <c r="T244" s="347">
        <v>0</v>
      </c>
      <c r="U244" s="347">
        <v>0</v>
      </c>
      <c r="V244" s="347">
        <v>0</v>
      </c>
      <c r="W244" s="347">
        <v>0</v>
      </c>
    </row>
    <row r="245" spans="1:23" x14ac:dyDescent="0.2">
      <c r="A245" s="290" t="s">
        <v>196</v>
      </c>
      <c r="B245" s="309"/>
      <c r="C245" s="283"/>
      <c r="D245" s="347">
        <v>0</v>
      </c>
      <c r="E245" s="347">
        <v>0</v>
      </c>
      <c r="F245" s="347">
        <v>0</v>
      </c>
      <c r="G245" s="347">
        <v>0</v>
      </c>
      <c r="H245" s="347">
        <v>0</v>
      </c>
      <c r="I245" s="347">
        <v>0</v>
      </c>
      <c r="J245" s="347">
        <v>0</v>
      </c>
      <c r="K245" s="347">
        <v>0</v>
      </c>
      <c r="L245" s="347">
        <v>0</v>
      </c>
      <c r="M245" s="347">
        <v>0</v>
      </c>
      <c r="N245" s="347">
        <v>0</v>
      </c>
      <c r="O245" s="347">
        <v>0</v>
      </c>
      <c r="P245" s="347">
        <v>0</v>
      </c>
      <c r="Q245" s="347">
        <v>0</v>
      </c>
      <c r="R245" s="347">
        <v>0</v>
      </c>
      <c r="S245" s="347">
        <v>0</v>
      </c>
      <c r="T245" s="347">
        <v>0</v>
      </c>
      <c r="U245" s="347">
        <v>0</v>
      </c>
      <c r="V245" s="347">
        <v>0</v>
      </c>
      <c r="W245" s="347">
        <v>0</v>
      </c>
    </row>
    <row r="246" spans="1:23" x14ac:dyDescent="0.2">
      <c r="A246" s="290" t="s">
        <v>197</v>
      </c>
      <c r="B246" s="309"/>
      <c r="C246" s="283"/>
      <c r="D246" s="347">
        <v>0</v>
      </c>
      <c r="E246" s="347">
        <v>0</v>
      </c>
      <c r="F246" s="347">
        <v>0</v>
      </c>
      <c r="G246" s="347">
        <v>0</v>
      </c>
      <c r="H246" s="347">
        <v>0</v>
      </c>
      <c r="I246" s="347">
        <v>0</v>
      </c>
      <c r="J246" s="347">
        <v>0</v>
      </c>
      <c r="K246" s="347">
        <v>0</v>
      </c>
      <c r="L246" s="347">
        <v>0</v>
      </c>
      <c r="M246" s="347">
        <v>0</v>
      </c>
      <c r="N246" s="347">
        <v>0</v>
      </c>
      <c r="O246" s="347">
        <v>0</v>
      </c>
      <c r="P246" s="347">
        <v>0</v>
      </c>
      <c r="Q246" s="347">
        <v>0</v>
      </c>
      <c r="R246" s="347">
        <v>0</v>
      </c>
      <c r="S246" s="347">
        <v>0</v>
      </c>
      <c r="T246" s="347">
        <v>0</v>
      </c>
      <c r="U246" s="347">
        <v>0</v>
      </c>
      <c r="V246" s="347">
        <v>0</v>
      </c>
      <c r="W246" s="347">
        <v>0</v>
      </c>
    </row>
    <row r="247" spans="1:23" x14ac:dyDescent="0.2">
      <c r="A247" s="290" t="s">
        <v>198</v>
      </c>
      <c r="B247" s="309"/>
      <c r="C247" s="283"/>
      <c r="D247" s="348">
        <v>0</v>
      </c>
      <c r="E247" s="348">
        <v>0</v>
      </c>
      <c r="F247" s="348">
        <v>0</v>
      </c>
      <c r="G247" s="348">
        <v>0</v>
      </c>
      <c r="H247" s="348">
        <v>0</v>
      </c>
      <c r="I247" s="348">
        <v>0</v>
      </c>
      <c r="J247" s="348">
        <v>0</v>
      </c>
      <c r="K247" s="348">
        <v>0</v>
      </c>
      <c r="L247" s="348">
        <v>0</v>
      </c>
      <c r="M247" s="348">
        <v>0</v>
      </c>
      <c r="N247" s="348">
        <v>0</v>
      </c>
      <c r="O247" s="348">
        <v>0</v>
      </c>
      <c r="P247" s="348">
        <v>0</v>
      </c>
      <c r="Q247" s="348">
        <v>0</v>
      </c>
      <c r="R247" s="348">
        <v>0</v>
      </c>
      <c r="S247" s="348">
        <v>0</v>
      </c>
      <c r="T247" s="348">
        <v>0</v>
      </c>
      <c r="U247" s="348">
        <v>0</v>
      </c>
      <c r="V247" s="348">
        <v>0</v>
      </c>
      <c r="W247" s="348">
        <v>0</v>
      </c>
    </row>
    <row r="248" spans="1:23" ht="13.5" thickBot="1" x14ac:dyDescent="0.25">
      <c r="A248" s="290" t="s">
        <v>199</v>
      </c>
      <c r="B248" s="309"/>
      <c r="C248" s="283"/>
      <c r="D248" s="349">
        <v>0</v>
      </c>
      <c r="E248" s="349">
        <v>0</v>
      </c>
      <c r="F248" s="349">
        <v>0</v>
      </c>
      <c r="G248" s="349">
        <v>0</v>
      </c>
      <c r="H248" s="349">
        <v>0</v>
      </c>
      <c r="I248" s="349">
        <v>0</v>
      </c>
      <c r="J248" s="349">
        <v>0</v>
      </c>
      <c r="K248" s="349">
        <v>0</v>
      </c>
      <c r="L248" s="349">
        <v>0</v>
      </c>
      <c r="M248" s="349">
        <v>0</v>
      </c>
      <c r="N248" s="349">
        <v>0</v>
      </c>
      <c r="O248" s="349">
        <v>0</v>
      </c>
      <c r="P248" s="349">
        <v>0</v>
      </c>
      <c r="Q248" s="349">
        <v>0</v>
      </c>
      <c r="R248" s="349">
        <v>0</v>
      </c>
      <c r="S248" s="349">
        <v>0</v>
      </c>
      <c r="T248" s="349">
        <v>0</v>
      </c>
      <c r="U248" s="349">
        <v>0</v>
      </c>
      <c r="V248" s="349">
        <v>0</v>
      </c>
      <c r="W248" s="349">
        <v>0</v>
      </c>
    </row>
    <row r="249" spans="1:23" ht="13.5" thickTop="1" x14ac:dyDescent="0.2">
      <c r="A249" s="290"/>
      <c r="B249" s="309"/>
      <c r="C249" s="283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47"/>
      <c r="P249" s="347"/>
      <c r="Q249" s="347"/>
      <c r="R249" s="347"/>
      <c r="S249" s="347"/>
      <c r="T249" s="347"/>
      <c r="U249" s="347"/>
      <c r="V249" s="347"/>
      <c r="W249" s="347"/>
    </row>
    <row r="250" spans="1:23" x14ac:dyDescent="0.2">
      <c r="A250" s="290" t="s">
        <v>200</v>
      </c>
      <c r="B250" s="309"/>
      <c r="C250" s="283"/>
      <c r="D250" s="347">
        <v>0</v>
      </c>
      <c r="E250" s="347">
        <v>0</v>
      </c>
      <c r="F250" s="347">
        <v>0</v>
      </c>
      <c r="G250" s="347">
        <v>0</v>
      </c>
      <c r="H250" s="347">
        <v>0</v>
      </c>
      <c r="I250" s="347">
        <v>0</v>
      </c>
      <c r="J250" s="347">
        <v>0</v>
      </c>
      <c r="K250" s="347">
        <v>0</v>
      </c>
      <c r="L250" s="347">
        <v>0</v>
      </c>
      <c r="M250" s="347">
        <v>0</v>
      </c>
      <c r="N250" s="347">
        <v>0</v>
      </c>
      <c r="O250" s="347">
        <v>0</v>
      </c>
      <c r="P250" s="347">
        <v>0</v>
      </c>
      <c r="Q250" s="347">
        <v>0</v>
      </c>
      <c r="R250" s="347">
        <v>0</v>
      </c>
      <c r="S250" s="347">
        <v>0</v>
      </c>
      <c r="T250" s="347">
        <v>0</v>
      </c>
      <c r="U250" s="347">
        <v>0</v>
      </c>
      <c r="V250" s="347">
        <v>0</v>
      </c>
      <c r="W250" s="347">
        <v>0</v>
      </c>
    </row>
    <row r="251" spans="1:23" x14ac:dyDescent="0.2">
      <c r="A251" s="290"/>
      <c r="B251" s="309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3"/>
      <c r="P251" s="283"/>
      <c r="Q251" s="283"/>
      <c r="R251" s="283"/>
      <c r="S251" s="283"/>
      <c r="T251" s="283"/>
      <c r="U251" s="283"/>
      <c r="V251" s="283"/>
      <c r="W251" s="283"/>
    </row>
    <row r="252" spans="1:23" x14ac:dyDescent="0.2">
      <c r="A252" s="290" t="s">
        <v>201</v>
      </c>
      <c r="B252" s="309"/>
      <c r="C252" s="283"/>
      <c r="D252" s="347">
        <v>0</v>
      </c>
      <c r="E252" s="347">
        <v>0</v>
      </c>
      <c r="F252" s="347">
        <v>0</v>
      </c>
      <c r="G252" s="347">
        <v>0</v>
      </c>
      <c r="H252" s="347">
        <v>0</v>
      </c>
      <c r="I252" s="347">
        <v>0</v>
      </c>
      <c r="J252" s="347">
        <v>0</v>
      </c>
      <c r="K252" s="347">
        <v>0</v>
      </c>
      <c r="L252" s="347">
        <v>0</v>
      </c>
      <c r="M252" s="347">
        <v>0</v>
      </c>
      <c r="N252" s="347">
        <v>0</v>
      </c>
      <c r="O252" s="347">
        <v>0</v>
      </c>
      <c r="P252" s="347">
        <v>0</v>
      </c>
      <c r="Q252" s="347">
        <v>0</v>
      </c>
      <c r="R252" s="347">
        <v>0</v>
      </c>
      <c r="S252" s="347">
        <v>0</v>
      </c>
      <c r="T252" s="347">
        <v>0</v>
      </c>
      <c r="U252" s="347">
        <v>0</v>
      </c>
      <c r="V252" s="347">
        <v>0</v>
      </c>
      <c r="W252" s="347">
        <v>0</v>
      </c>
    </row>
    <row r="253" spans="1:23" x14ac:dyDescent="0.2">
      <c r="A253" s="283"/>
      <c r="B253" s="309"/>
      <c r="C253" s="283"/>
      <c r="D253" s="283"/>
      <c r="E253" s="283"/>
      <c r="F253" s="283"/>
      <c r="G253" s="283"/>
      <c r="H253" s="283"/>
      <c r="I253" s="283"/>
      <c r="J253" s="283"/>
      <c r="K253" s="283"/>
      <c r="L253" s="283"/>
      <c r="M253" s="283"/>
      <c r="N253" s="283"/>
      <c r="O253" s="283"/>
      <c r="P253" s="283"/>
      <c r="Q253" s="283"/>
      <c r="R253" s="283"/>
      <c r="S253" s="283"/>
      <c r="T253" s="283"/>
      <c r="U253" s="283"/>
      <c r="V253" s="283"/>
      <c r="W253" s="283"/>
    </row>
    <row r="254" spans="1:23" x14ac:dyDescent="0.2">
      <c r="A254" s="283"/>
      <c r="B254" s="309"/>
      <c r="C254" s="283"/>
      <c r="D254" s="283"/>
      <c r="E254" s="283"/>
      <c r="F254" s="283"/>
      <c r="G254" s="283"/>
      <c r="H254" s="283"/>
      <c r="I254" s="283"/>
      <c r="J254" s="283"/>
      <c r="K254" s="283"/>
      <c r="L254" s="283"/>
      <c r="M254" s="283"/>
      <c r="N254" s="283"/>
      <c r="O254" s="283"/>
      <c r="P254" s="283"/>
      <c r="Q254" s="283"/>
      <c r="R254" s="283"/>
      <c r="S254" s="283"/>
      <c r="T254" s="283"/>
      <c r="U254" s="283"/>
      <c r="V254" s="283"/>
      <c r="W254" s="283"/>
    </row>
    <row r="255" spans="1:23" x14ac:dyDescent="0.2">
      <c r="A255" s="290" t="s">
        <v>203</v>
      </c>
      <c r="B255" s="285"/>
      <c r="C255" s="284"/>
      <c r="D255" s="441">
        <v>16443289.135755874</v>
      </c>
      <c r="E255" s="441">
        <v>19020536.385086261</v>
      </c>
      <c r="F255" s="441">
        <v>17940203.710866116</v>
      </c>
      <c r="G255" s="441">
        <v>20396464.256714828</v>
      </c>
      <c r="H255" s="441">
        <v>18996504.708159827</v>
      </c>
      <c r="I255" s="441">
        <v>20220623.942263167</v>
      </c>
      <c r="J255" s="441">
        <v>22159448.633735418</v>
      </c>
      <c r="K255" s="441">
        <v>22739916.84713693</v>
      </c>
      <c r="L255" s="441">
        <v>23173798.085389003</v>
      </c>
      <c r="M255" s="441">
        <v>23077924.741580442</v>
      </c>
      <c r="N255" s="441">
        <v>23675075.729107197</v>
      </c>
      <c r="O255" s="441">
        <v>23656513.037926055</v>
      </c>
      <c r="P255" s="441">
        <v>23784214.889151521</v>
      </c>
      <c r="Q255" s="441">
        <v>24869135.351777993</v>
      </c>
      <c r="R255" s="441">
        <v>27697613.108148865</v>
      </c>
      <c r="S255" s="441">
        <v>26905303.080998369</v>
      </c>
      <c r="T255" s="441">
        <v>27127096.440883435</v>
      </c>
      <c r="U255" s="441">
        <v>28960219.346474905</v>
      </c>
      <c r="V255" s="441">
        <v>30403920.80350402</v>
      </c>
      <c r="W255" s="441">
        <v>159855224.60857603</v>
      </c>
    </row>
    <row r="256" spans="1:23" x14ac:dyDescent="0.2">
      <c r="A256" s="9"/>
      <c r="B256" s="6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x14ac:dyDescent="0.2">
      <c r="A257" s="45"/>
      <c r="B257" s="366"/>
      <c r="C257" s="300"/>
      <c r="D257" s="300"/>
      <c r="E257" s="300"/>
      <c r="F257" s="300"/>
      <c r="G257" s="300"/>
      <c r="H257" s="300"/>
      <c r="I257" s="300"/>
      <c r="J257" s="300"/>
      <c r="K257" s="300"/>
      <c r="L257" s="300"/>
      <c r="M257" s="300"/>
      <c r="N257" s="300"/>
      <c r="O257" s="300"/>
      <c r="P257" s="300"/>
      <c r="Q257" s="300"/>
      <c r="R257" s="300"/>
      <c r="S257" s="300"/>
      <c r="T257" s="300"/>
      <c r="U257" s="300"/>
      <c r="V257" s="300"/>
      <c r="W257" s="300"/>
    </row>
    <row r="258" spans="1:23" x14ac:dyDescent="0.2">
      <c r="B258" s="354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5"/>
      <c r="N258" s="355"/>
      <c r="O258" s="355"/>
      <c r="P258" s="355"/>
      <c r="Q258" s="355"/>
      <c r="R258" s="355"/>
      <c r="S258" s="355"/>
      <c r="T258" s="355"/>
      <c r="U258" s="355"/>
      <c r="V258" s="355"/>
      <c r="W258" s="300"/>
    </row>
    <row r="259" spans="1:23" x14ac:dyDescent="0.2">
      <c r="B259" s="354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55"/>
      <c r="P259" s="355"/>
      <c r="Q259" s="355"/>
      <c r="R259" s="355"/>
      <c r="S259" s="355"/>
      <c r="T259" s="355"/>
      <c r="U259" s="355"/>
      <c r="V259" s="355"/>
      <c r="W259" s="300"/>
    </row>
    <row r="260" spans="1:23" x14ac:dyDescent="0.2">
      <c r="B260" s="354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5"/>
      <c r="P260" s="355"/>
      <c r="Q260" s="355"/>
      <c r="R260" s="355"/>
      <c r="S260" s="355"/>
      <c r="T260" s="355"/>
      <c r="U260" s="355"/>
      <c r="V260" s="355"/>
      <c r="W260" s="300"/>
    </row>
    <row r="261" spans="1:23" x14ac:dyDescent="0.2">
      <c r="B261" s="354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5"/>
      <c r="N261" s="355"/>
      <c r="O261" s="355"/>
      <c r="P261" s="355"/>
      <c r="Q261" s="355"/>
      <c r="R261" s="355"/>
      <c r="S261" s="355"/>
      <c r="T261" s="355"/>
      <c r="U261" s="355"/>
      <c r="V261" s="355"/>
      <c r="W261" s="300"/>
    </row>
    <row r="262" spans="1:23" x14ac:dyDescent="0.2">
      <c r="B262" s="354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55"/>
      <c r="P262" s="355"/>
      <c r="Q262" s="355"/>
      <c r="R262" s="355"/>
      <c r="S262" s="355"/>
      <c r="T262" s="355"/>
      <c r="U262" s="355"/>
      <c r="V262" s="355"/>
      <c r="W262" s="300"/>
    </row>
    <row r="263" spans="1:23" x14ac:dyDescent="0.2">
      <c r="B263" s="356"/>
      <c r="C263" s="358"/>
      <c r="D263" s="358"/>
      <c r="E263" s="358"/>
      <c r="F263" s="358"/>
      <c r="G263" s="358"/>
      <c r="H263" s="358"/>
      <c r="I263" s="358"/>
      <c r="J263" s="358"/>
      <c r="K263" s="358"/>
      <c r="L263" s="358"/>
      <c r="M263" s="358"/>
      <c r="N263" s="358"/>
      <c r="O263" s="358"/>
      <c r="P263" s="358"/>
      <c r="Q263" s="358"/>
      <c r="R263" s="358"/>
      <c r="S263" s="358"/>
      <c r="T263" s="358"/>
      <c r="U263" s="358"/>
      <c r="V263" s="358"/>
      <c r="W263" s="300"/>
    </row>
    <row r="264" spans="1:23" ht="15.75" x14ac:dyDescent="0.25">
      <c r="A264" s="308" t="s">
        <v>29</v>
      </c>
      <c r="B264" s="311" t="s">
        <v>58</v>
      </c>
      <c r="C264" s="312">
        <v>2000</v>
      </c>
      <c r="D264" s="312">
        <v>2001</v>
      </c>
      <c r="E264" s="312">
        <v>2002</v>
      </c>
      <c r="F264" s="312">
        <v>2003</v>
      </c>
      <c r="G264" s="312">
        <v>2004</v>
      </c>
      <c r="H264" s="312">
        <v>2005</v>
      </c>
      <c r="I264" s="312">
        <v>2006</v>
      </c>
      <c r="J264" s="312">
        <v>2007</v>
      </c>
      <c r="K264" s="312">
        <v>2008</v>
      </c>
      <c r="L264" s="312">
        <v>2009</v>
      </c>
      <c r="M264" s="312">
        <v>2010</v>
      </c>
      <c r="N264" s="312">
        <v>2011</v>
      </c>
      <c r="O264" s="312">
        <v>2012</v>
      </c>
      <c r="P264" s="312">
        <v>2013</v>
      </c>
      <c r="Q264" s="312">
        <v>2014</v>
      </c>
      <c r="R264" s="312">
        <v>2015</v>
      </c>
      <c r="S264" s="312">
        <v>2016</v>
      </c>
      <c r="T264" s="312">
        <v>2017</v>
      </c>
      <c r="U264" s="312">
        <v>2018</v>
      </c>
      <c r="V264" s="312">
        <v>2019</v>
      </c>
      <c r="W264" s="312" t="s">
        <v>154</v>
      </c>
    </row>
    <row r="265" spans="1:23" x14ac:dyDescent="0.2">
      <c r="A265" s="308" t="s">
        <v>26</v>
      </c>
      <c r="B265" s="309">
        <v>228.15</v>
      </c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</row>
    <row r="266" spans="1:23" x14ac:dyDescent="0.2">
      <c r="A266" s="9"/>
      <c r="B266" s="315" t="s">
        <v>27</v>
      </c>
      <c r="C266" s="449">
        <v>0</v>
      </c>
      <c r="D266" s="410">
        <v>62374022.61234837</v>
      </c>
      <c r="E266" s="410">
        <v>60807790.240859397</v>
      </c>
      <c r="F266" s="410">
        <v>60918963.21405647</v>
      </c>
      <c r="G266" s="410">
        <v>59340844.539256766</v>
      </c>
      <c r="H266" s="410">
        <v>58802847.450839549</v>
      </c>
      <c r="I266" s="410">
        <v>62081983.0189806</v>
      </c>
      <c r="J266" s="410">
        <v>66774846.213062659</v>
      </c>
      <c r="K266" s="410">
        <v>68573227.546283305</v>
      </c>
      <c r="L266" s="410">
        <v>69989226.752305493</v>
      </c>
      <c r="M266" s="410">
        <v>70240295.032867715</v>
      </c>
      <c r="N266" s="410">
        <v>71775746.455274656</v>
      </c>
      <c r="O266" s="410">
        <v>72552267.362059951</v>
      </c>
      <c r="P266" s="410">
        <v>73425315.633657664</v>
      </c>
      <c r="Q266" s="410">
        <v>76049406.336161956</v>
      </c>
      <c r="R266" s="410">
        <v>81414045.102546677</v>
      </c>
      <c r="S266" s="410">
        <v>80995127.822895721</v>
      </c>
      <c r="T266" s="410">
        <v>82094859.562122285</v>
      </c>
      <c r="U266" s="410">
        <v>86014186.508909687</v>
      </c>
      <c r="V266" s="410">
        <v>88591798.191163972</v>
      </c>
      <c r="W266" s="333"/>
    </row>
    <row r="267" spans="1:23" x14ac:dyDescent="0.2">
      <c r="A267" s="9"/>
      <c r="B267" s="315" t="s">
        <v>20</v>
      </c>
      <c r="C267" s="449">
        <v>0</v>
      </c>
      <c r="D267" s="410">
        <v>-18255840.128559064</v>
      </c>
      <c r="E267" s="410">
        <v>-18266478.922121506</v>
      </c>
      <c r="F267" s="410">
        <v>-18322958.298449162</v>
      </c>
      <c r="G267" s="410">
        <v>-18576375.521046281</v>
      </c>
      <c r="H267" s="410">
        <v>-18937432.519146733</v>
      </c>
      <c r="I267" s="410">
        <v>-19484867.821600419</v>
      </c>
      <c r="J267" s="410">
        <v>-19934045.451435413</v>
      </c>
      <c r="K267" s="410">
        <v>-20363196.053188603</v>
      </c>
      <c r="L267" s="410">
        <v>-20695072.518544395</v>
      </c>
      <c r="M267" s="410">
        <v>-20855288.743198916</v>
      </c>
      <c r="N267" s="410">
        <v>-21135667.136344329</v>
      </c>
      <c r="O267" s="410">
        <v>-21593427.778214395</v>
      </c>
      <c r="P267" s="410">
        <v>-22084089.966218863</v>
      </c>
      <c r="Q267" s="410">
        <v>-22551864.122129831</v>
      </c>
      <c r="R267" s="410">
        <v>-22868005.065421347</v>
      </c>
      <c r="S267" s="410">
        <v>-23335779.221332315</v>
      </c>
      <c r="T267" s="410">
        <v>-23867925.967506271</v>
      </c>
      <c r="U267" s="410">
        <v>-24454431.789902288</v>
      </c>
      <c r="V267" s="410">
        <v>-25058103.636368435</v>
      </c>
      <c r="W267" s="333"/>
    </row>
    <row r="268" spans="1:23" x14ac:dyDescent="0.2">
      <c r="A268" s="9"/>
      <c r="B268" s="315" t="s">
        <v>31</v>
      </c>
      <c r="C268" s="449">
        <v>0</v>
      </c>
      <c r="D268" s="410">
        <v>-1351729.0497971112</v>
      </c>
      <c r="E268" s="410">
        <v>-1360327.8535901718</v>
      </c>
      <c r="F268" s="410">
        <v>-2253570.1261094585</v>
      </c>
      <c r="G268" s="410">
        <v>-2269936.4820494438</v>
      </c>
      <c r="H268" s="410">
        <v>-2285256.8601729395</v>
      </c>
      <c r="I268" s="410">
        <v>-2313797.5859179152</v>
      </c>
      <c r="J268" s="410">
        <v>-2364914.5748046422</v>
      </c>
      <c r="K268" s="410">
        <v>-2417173.6890623663</v>
      </c>
      <c r="L268" s="410">
        <v>-2470600.7408029558</v>
      </c>
      <c r="M268" s="410">
        <v>-2525222.1321153059</v>
      </c>
      <c r="N268" s="410">
        <v>-2581064.8686980479</v>
      </c>
      <c r="O268" s="410">
        <v>-2638156.5738105383</v>
      </c>
      <c r="P268" s="410">
        <v>-2696525.5025496231</v>
      </c>
      <c r="Q268" s="410">
        <v>-2756200.5564598711</v>
      </c>
      <c r="R268" s="410">
        <v>-2817211.2984851189</v>
      </c>
      <c r="S268" s="410">
        <v>-2879587.9682694008</v>
      </c>
      <c r="T268" s="410">
        <v>-2943361.4978154781</v>
      </c>
      <c r="U268" s="410">
        <v>-3008563.5275094379</v>
      </c>
      <c r="V268" s="410">
        <v>-3075226.422519966</v>
      </c>
      <c r="W268" s="333"/>
    </row>
    <row r="269" spans="1:23" x14ac:dyDescent="0.2">
      <c r="A269" s="9"/>
      <c r="B269" s="315" t="s">
        <v>32</v>
      </c>
      <c r="C269" s="449">
        <v>0</v>
      </c>
      <c r="D269" s="410">
        <v>0</v>
      </c>
      <c r="E269" s="410">
        <v>0</v>
      </c>
      <c r="F269" s="410">
        <v>0</v>
      </c>
      <c r="G269" s="410">
        <v>0</v>
      </c>
      <c r="H269" s="410">
        <v>0</v>
      </c>
      <c r="I269" s="410">
        <v>-307318.11481233221</v>
      </c>
      <c r="J269" s="410">
        <v>-340637.58048281539</v>
      </c>
      <c r="K269" s="410">
        <v>-498525.16885385383</v>
      </c>
      <c r="L269" s="410">
        <v>-412844.13249610877</v>
      </c>
      <c r="M269" s="410">
        <v>-459146.15032189479</v>
      </c>
      <c r="N269" s="410">
        <v>-505784.20693828026</v>
      </c>
      <c r="O269" s="410">
        <v>-560393.7374185482</v>
      </c>
      <c r="P269" s="410">
        <v>-628348.79667032138</v>
      </c>
      <c r="Q269" s="410">
        <v>-699450.26265021414</v>
      </c>
      <c r="R269" s="410">
        <v>-774777.22132133693</v>
      </c>
      <c r="S269" s="410">
        <v>-850704.43622034322</v>
      </c>
      <c r="T269" s="410">
        <v>-835775.63474598899</v>
      </c>
      <c r="U269" s="410">
        <v>-715051.26055348292</v>
      </c>
      <c r="V269" s="410">
        <v>-741376.23271240853</v>
      </c>
      <c r="W269" s="333"/>
    </row>
    <row r="270" spans="1:23" ht="13.5" thickBot="1" x14ac:dyDescent="0.25">
      <c r="A270" s="9"/>
      <c r="B270" s="316" t="s">
        <v>33</v>
      </c>
      <c r="C270" s="450">
        <v>0</v>
      </c>
      <c r="D270" s="412">
        <v>0</v>
      </c>
      <c r="E270" s="412">
        <v>0</v>
      </c>
      <c r="F270" s="412">
        <v>-1351248.7694984558</v>
      </c>
      <c r="G270" s="412">
        <v>-1134661.4393488795</v>
      </c>
      <c r="H270" s="412">
        <v>-1160263.5130455652</v>
      </c>
      <c r="I270" s="412">
        <v>-1193720.1023063695</v>
      </c>
      <c r="J270" s="412">
        <v>-1566834.1885365646</v>
      </c>
      <c r="K270" s="412">
        <v>-1368218.4693976757</v>
      </c>
      <c r="L270" s="412">
        <v>-1448579.2116455117</v>
      </c>
      <c r="M270" s="412">
        <v>-1378378.5989579756</v>
      </c>
      <c r="N270" s="412">
        <v>-1417856.4980614793</v>
      </c>
      <c r="O270" s="412">
        <v>-1454622.753374682</v>
      </c>
      <c r="P270" s="412">
        <v>-1299283.3087886265</v>
      </c>
      <c r="Q270" s="412">
        <v>-1345738.7658130715</v>
      </c>
      <c r="R270" s="412">
        <v>-1373548.9704064147</v>
      </c>
      <c r="S270" s="412">
        <v>-1458612.5034270799</v>
      </c>
      <c r="T270" s="412">
        <v>-1371247.0355728299</v>
      </c>
      <c r="U270" s="412">
        <v>-1510260.0028399182</v>
      </c>
      <c r="V270" s="412">
        <v>-822261.89581535838</v>
      </c>
      <c r="W270" s="333"/>
    </row>
    <row r="271" spans="1:23" ht="13.5" thickTop="1" x14ac:dyDescent="0.2">
      <c r="A271" s="9"/>
      <c r="B271" s="317" t="s">
        <v>38</v>
      </c>
      <c r="C271" s="451">
        <v>0</v>
      </c>
      <c r="D271" s="414">
        <v>42766453.4339922</v>
      </c>
      <c r="E271" s="414">
        <v>41180983.465147719</v>
      </c>
      <c r="F271" s="414">
        <v>38991186.019999392</v>
      </c>
      <c r="G271" s="414">
        <v>37359871.096812166</v>
      </c>
      <c r="H271" s="414">
        <v>36419894.55847431</v>
      </c>
      <c r="I271" s="414">
        <v>38782279.394343577</v>
      </c>
      <c r="J271" s="414">
        <v>42568414.41780322</v>
      </c>
      <c r="K271" s="414">
        <v>43926114.165780798</v>
      </c>
      <c r="L271" s="414">
        <v>44962130.148816518</v>
      </c>
      <c r="M271" s="414">
        <v>45022259.408273622</v>
      </c>
      <c r="N271" s="414">
        <v>46135373.745232522</v>
      </c>
      <c r="O271" s="414">
        <v>46305666.519241787</v>
      </c>
      <c r="P271" s="414">
        <v>46717068.059430227</v>
      </c>
      <c r="Q271" s="414">
        <v>48696152.629108965</v>
      </c>
      <c r="R271" s="414">
        <v>53580502.546912469</v>
      </c>
      <c r="S271" s="414">
        <v>52470443.693646587</v>
      </c>
      <c r="T271" s="414">
        <v>53076549.426481724</v>
      </c>
      <c r="U271" s="414">
        <v>56325879.928104572</v>
      </c>
      <c r="V271" s="414">
        <v>58894830.003747799</v>
      </c>
      <c r="W271" s="333"/>
    </row>
    <row r="272" spans="1:23" x14ac:dyDescent="0.2">
      <c r="A272" s="9"/>
      <c r="B272" s="315" t="s">
        <v>34</v>
      </c>
      <c r="C272" s="449">
        <v>0</v>
      </c>
      <c r="D272" s="410">
        <v>-2809776.2400405132</v>
      </c>
      <c r="E272" s="410">
        <v>-2865971.7648413237</v>
      </c>
      <c r="F272" s="410">
        <v>-2965290.2001381502</v>
      </c>
      <c r="G272" s="410">
        <v>-3024805.9991409136</v>
      </c>
      <c r="H272" s="410">
        <v>-3085517.3639987316</v>
      </c>
      <c r="I272" s="410">
        <v>-3147448.3372755814</v>
      </c>
      <c r="J272" s="410">
        <v>-3210623.4456678899</v>
      </c>
      <c r="K272" s="410">
        <v>-3275067.7097692145</v>
      </c>
      <c r="L272" s="410">
        <v>-3340806.6540322653</v>
      </c>
      <c r="M272" s="410">
        <v>-3407866.316932268</v>
      </c>
      <c r="N272" s="410">
        <v>-3476273.2613357548</v>
      </c>
      <c r="O272" s="410">
        <v>-3546054.5850789328</v>
      </c>
      <c r="P272" s="410">
        <v>-3617237.9317598855</v>
      </c>
      <c r="Q272" s="410">
        <v>-3689851.5017489418</v>
      </c>
      <c r="R272" s="410">
        <v>-3763924.0634216256</v>
      </c>
      <c r="S272" s="410">
        <v>-3839484.9646187057</v>
      </c>
      <c r="T272" s="410">
        <v>-3916564.1443379442</v>
      </c>
      <c r="U272" s="410">
        <v>-3995192.1446622382</v>
      </c>
      <c r="V272" s="410">
        <v>-4075400.1229289565</v>
      </c>
      <c r="W272" s="333"/>
    </row>
    <row r="273" spans="1:23" x14ac:dyDescent="0.2">
      <c r="A273" s="9"/>
      <c r="B273" s="315" t="s">
        <v>35</v>
      </c>
      <c r="C273" s="449">
        <v>0</v>
      </c>
      <c r="D273" s="410">
        <v>-388299.7921559058</v>
      </c>
      <c r="E273" s="410">
        <v>-397276.51828614395</v>
      </c>
      <c r="F273" s="410">
        <v>-406449.83471863432</v>
      </c>
      <c r="G273" s="410">
        <v>-415830.46810249891</v>
      </c>
      <c r="H273" s="410">
        <v>-425434.36056089948</v>
      </c>
      <c r="I273" s="410">
        <v>-435680.84021321853</v>
      </c>
      <c r="J273" s="410">
        <v>-445769.5798686521</v>
      </c>
      <c r="K273" s="410">
        <v>-456535.8470507703</v>
      </c>
      <c r="L273" s="410">
        <v>-467135.4529866915</v>
      </c>
      <c r="M273" s="410">
        <v>-478005.34887397866</v>
      </c>
      <c r="N273" s="410">
        <v>-489138.29624173819</v>
      </c>
      <c r="O273" s="410">
        <v>-500551.79388316523</v>
      </c>
      <c r="P273" s="410">
        <v>-512255.19436468452</v>
      </c>
      <c r="Q273" s="410">
        <v>-524251.17985824175</v>
      </c>
      <c r="R273" s="410">
        <v>-536548.26458768733</v>
      </c>
      <c r="S273" s="410">
        <v>-549152.77643536904</v>
      </c>
      <c r="T273" s="410">
        <v>-562069.88017687318</v>
      </c>
      <c r="U273" s="410">
        <v>-575311.2032222891</v>
      </c>
      <c r="V273" s="410">
        <v>-588884.88347614498</v>
      </c>
      <c r="W273" s="333"/>
    </row>
    <row r="274" spans="1:23" ht="13.5" thickBot="1" x14ac:dyDescent="0.25">
      <c r="A274" s="9"/>
      <c r="B274" s="316" t="s">
        <v>36</v>
      </c>
      <c r="C274" s="450">
        <v>0</v>
      </c>
      <c r="D274" s="412">
        <v>-535405.353751207</v>
      </c>
      <c r="E274" s="412">
        <v>-546702.40671536105</v>
      </c>
      <c r="F274" s="412">
        <v>-558675.18942242803</v>
      </c>
      <c r="G274" s="412">
        <v>-571301.24870336999</v>
      </c>
      <c r="H274" s="412">
        <v>-584898.21842251206</v>
      </c>
      <c r="I274" s="412">
        <v>-599555.82657704898</v>
      </c>
      <c r="J274" s="412">
        <v>-614426.48136174004</v>
      </c>
      <c r="K274" s="412">
        <v>-629978.88536292303</v>
      </c>
      <c r="L274" s="412">
        <v>-645539.36383138795</v>
      </c>
      <c r="M274" s="412">
        <v>-662000.61760908598</v>
      </c>
      <c r="N274" s="412">
        <v>-678021.03255522903</v>
      </c>
      <c r="O274" s="412">
        <v>-695107.16257561895</v>
      </c>
      <c r="P274" s="412">
        <v>-712762.88450503803</v>
      </c>
      <c r="Q274" s="412">
        <v>-730581.95661766396</v>
      </c>
      <c r="R274" s="412">
        <v>-748919.56372876698</v>
      </c>
      <c r="S274" s="412">
        <v>-767642.55282198801</v>
      </c>
      <c r="T274" s="412">
        <v>-786680.08813197201</v>
      </c>
      <c r="U274" s="412">
        <v>-806425.758344086</v>
      </c>
      <c r="V274" s="412">
        <v>-826667.04487852298</v>
      </c>
      <c r="W274" s="333"/>
    </row>
    <row r="275" spans="1:23" ht="13.5" thickTop="1" x14ac:dyDescent="0.2">
      <c r="A275" s="9"/>
      <c r="B275" s="317" t="s">
        <v>221</v>
      </c>
      <c r="C275" s="452">
        <v>0</v>
      </c>
      <c r="D275" s="416">
        <v>39032972.048044577</v>
      </c>
      <c r="E275" s="416">
        <v>37371032.775304884</v>
      </c>
      <c r="F275" s="416">
        <v>35060770.795720175</v>
      </c>
      <c r="G275" s="416">
        <v>33347933.380865384</v>
      </c>
      <c r="H275" s="416">
        <v>32324044.615492165</v>
      </c>
      <c r="I275" s="416">
        <v>34599594.390277728</v>
      </c>
      <c r="J275" s="416">
        <v>38297594.910904936</v>
      </c>
      <c r="K275" s="416">
        <v>39564531.723597892</v>
      </c>
      <c r="L275" s="416">
        <v>40508648.67796617</v>
      </c>
      <c r="M275" s="416">
        <v>40474387.12485829</v>
      </c>
      <c r="N275" s="416">
        <v>41491941.155099802</v>
      </c>
      <c r="O275" s="416">
        <v>41563952.977704071</v>
      </c>
      <c r="P275" s="416">
        <v>41874812.048800617</v>
      </c>
      <c r="Q275" s="416">
        <v>43751467.990884118</v>
      </c>
      <c r="R275" s="416">
        <v>48531110.655174389</v>
      </c>
      <c r="S275" s="416">
        <v>47314163.399770528</v>
      </c>
      <c r="T275" s="416">
        <v>47811235.313834935</v>
      </c>
      <c r="U275" s="416">
        <v>50948950.82187596</v>
      </c>
      <c r="V275" s="416">
        <v>53403877.952464178</v>
      </c>
      <c r="W275" s="333"/>
    </row>
    <row r="276" spans="1:23" x14ac:dyDescent="0.2">
      <c r="A276" s="9"/>
      <c r="B276" s="315" t="s">
        <v>37</v>
      </c>
      <c r="C276" s="449">
        <v>0</v>
      </c>
      <c r="D276" s="410">
        <v>-2201842.8675000002</v>
      </c>
      <c r="E276" s="410">
        <v>-3099968.97358</v>
      </c>
      <c r="F276" s="410">
        <v>-3423680.0092297997</v>
      </c>
      <c r="G276" s="410">
        <v>-3487841.8284907001</v>
      </c>
      <c r="H276" s="410">
        <v>-3442944.6221525003</v>
      </c>
      <c r="I276" s="410">
        <v>-3127579.6092443196</v>
      </c>
      <c r="J276" s="410">
        <v>-2585493.8548507914</v>
      </c>
      <c r="K276" s="410">
        <v>-2283829.3758962224</v>
      </c>
      <c r="L276" s="410">
        <v>-2110531.3144822419</v>
      </c>
      <c r="M276" s="410">
        <v>-2076529.3716097972</v>
      </c>
      <c r="N276" s="410">
        <v>-2205552.4727807543</v>
      </c>
      <c r="O276" s="410">
        <v>-2215851.2593068066</v>
      </c>
      <c r="P276" s="410">
        <v>-2228559.3544994793</v>
      </c>
      <c r="Q276" s="410">
        <v>-2294242.5875479314</v>
      </c>
      <c r="R276" s="410">
        <v>-2363834.9150878373</v>
      </c>
      <c r="S276" s="410">
        <v>-2387087.0599539406</v>
      </c>
      <c r="T276" s="410">
        <v>-2414580.3666660269</v>
      </c>
      <c r="U276" s="410">
        <v>-2565539.6600794755</v>
      </c>
      <c r="V276" s="410">
        <v>-2693122.1072953278</v>
      </c>
      <c r="W276" s="333"/>
    </row>
    <row r="277" spans="1:23" ht="13.5" thickBot="1" x14ac:dyDescent="0.25">
      <c r="A277" s="9"/>
      <c r="B277" s="316" t="s">
        <v>222</v>
      </c>
      <c r="C277" s="450">
        <v>0</v>
      </c>
      <c r="D277" s="412">
        <v>-14732451.672217831</v>
      </c>
      <c r="E277" s="412">
        <v>-13708425.520689953</v>
      </c>
      <c r="F277" s="412">
        <v>-12654836.31459615</v>
      </c>
      <c r="G277" s="412">
        <v>-11944036.620949874</v>
      </c>
      <c r="H277" s="412">
        <v>-11552439.997335866</v>
      </c>
      <c r="I277" s="412">
        <v>-12588805.912413364</v>
      </c>
      <c r="J277" s="412">
        <v>-14284840.422421658</v>
      </c>
      <c r="K277" s="412">
        <v>-14912280.939080669</v>
      </c>
      <c r="L277" s="412">
        <v>-15359246.945393572</v>
      </c>
      <c r="M277" s="412">
        <v>-15359143.101299398</v>
      </c>
      <c r="N277" s="412">
        <v>-15714555.472927619</v>
      </c>
      <c r="O277" s="412">
        <v>-15739240.687358908</v>
      </c>
      <c r="P277" s="412">
        <v>-15858501.077720456</v>
      </c>
      <c r="Q277" s="412">
        <v>-16582890.161334477</v>
      </c>
      <c r="R277" s="412">
        <v>-18466910.296034623</v>
      </c>
      <c r="S277" s="412">
        <v>-17970830.535926636</v>
      </c>
      <c r="T277" s="412">
        <v>-18158661.978867564</v>
      </c>
      <c r="U277" s="412">
        <v>-19353364.464718591</v>
      </c>
      <c r="V277" s="412">
        <v>-20284302.338067543</v>
      </c>
      <c r="W277" s="333"/>
    </row>
    <row r="278" spans="1:23" ht="13.5" thickTop="1" x14ac:dyDescent="0.2">
      <c r="A278" s="9"/>
      <c r="B278" s="317" t="s">
        <v>183</v>
      </c>
      <c r="C278" s="452">
        <v>0</v>
      </c>
      <c r="D278" s="416">
        <v>22098677.508326747</v>
      </c>
      <c r="E278" s="416">
        <v>20562638.281034928</v>
      </c>
      <c r="F278" s="416">
        <v>18982254.471894223</v>
      </c>
      <c r="G278" s="416">
        <v>17916054.931424811</v>
      </c>
      <c r="H278" s="416">
        <v>17328659.996003799</v>
      </c>
      <c r="I278" s="416">
        <v>18883208.868620045</v>
      </c>
      <c r="J278" s="416">
        <v>21427260.633632489</v>
      </c>
      <c r="K278" s="416">
        <v>22368421.408620998</v>
      </c>
      <c r="L278" s="416">
        <v>23038870.418090358</v>
      </c>
      <c r="M278" s="416">
        <v>23038714.651949093</v>
      </c>
      <c r="N278" s="416">
        <v>23571833.209391426</v>
      </c>
      <c r="O278" s="416">
        <v>23608861.031038359</v>
      </c>
      <c r="P278" s="416">
        <v>23787751.61658068</v>
      </c>
      <c r="Q278" s="416">
        <v>24874335.242001712</v>
      </c>
      <c r="R278" s="416">
        <v>27700365.444051933</v>
      </c>
      <c r="S278" s="416">
        <v>26956245.803889949</v>
      </c>
      <c r="T278" s="416">
        <v>27237992.968301345</v>
      </c>
      <c r="U278" s="416">
        <v>29030046.697077889</v>
      </c>
      <c r="V278" s="416">
        <v>30426453.507101309</v>
      </c>
      <c r="W278" s="333"/>
    </row>
    <row r="279" spans="1:23" x14ac:dyDescent="0.2">
      <c r="A279" s="9"/>
      <c r="B279" s="315" t="s">
        <v>37</v>
      </c>
      <c r="C279" s="449">
        <v>0</v>
      </c>
      <c r="D279" s="410">
        <v>2201842.8675000002</v>
      </c>
      <c r="E279" s="410">
        <v>3099968.97358</v>
      </c>
      <c r="F279" s="410">
        <v>3423680.0092297997</v>
      </c>
      <c r="G279" s="410">
        <v>3487841.8284907001</v>
      </c>
      <c r="H279" s="410">
        <v>3442944.6221525003</v>
      </c>
      <c r="I279" s="410">
        <v>3127579.6092443196</v>
      </c>
      <c r="J279" s="410">
        <v>2585493.8548507914</v>
      </c>
      <c r="K279" s="410">
        <v>2283829.3758962224</v>
      </c>
      <c r="L279" s="410">
        <v>2110531.3144822419</v>
      </c>
      <c r="M279" s="410">
        <v>2076529.3716097972</v>
      </c>
      <c r="N279" s="410">
        <v>2205552.4727807543</v>
      </c>
      <c r="O279" s="410">
        <v>2215851.2593068066</v>
      </c>
      <c r="P279" s="410">
        <v>2228559.3544994793</v>
      </c>
      <c r="Q279" s="410">
        <v>2294242.5875479314</v>
      </c>
      <c r="R279" s="410">
        <v>2363834.9150878373</v>
      </c>
      <c r="S279" s="410">
        <v>2387087.0599539406</v>
      </c>
      <c r="T279" s="410">
        <v>2414580.3666660269</v>
      </c>
      <c r="U279" s="410">
        <v>2565539.6600794755</v>
      </c>
      <c r="V279" s="410">
        <v>2693122.1072953278</v>
      </c>
      <c r="W279" s="333"/>
    </row>
    <row r="280" spans="1:23" x14ac:dyDescent="0.2">
      <c r="A280" s="9"/>
      <c r="B280" s="315" t="s">
        <v>39</v>
      </c>
      <c r="C280" s="449">
        <v>0</v>
      </c>
      <c r="D280" s="410">
        <v>-5095192</v>
      </c>
      <c r="E280" s="410">
        <v>-561695.92000000004</v>
      </c>
      <c r="F280" s="410">
        <v>-2024981.09</v>
      </c>
      <c r="G280" s="410">
        <v>-213158.43</v>
      </c>
      <c r="H280" s="410">
        <v>-2191980.4879999999</v>
      </c>
      <c r="I280" s="410">
        <v>-2257739.90264</v>
      </c>
      <c r="J280" s="410">
        <v>-2325472.0997191998</v>
      </c>
      <c r="K280" s="410">
        <v>-2395236.2627107757</v>
      </c>
      <c r="L280" s="410">
        <v>-2467093.3505920991</v>
      </c>
      <c r="M280" s="410">
        <v>-2541106.1511098621</v>
      </c>
      <c r="N280" s="410">
        <v>-2617339.3356431583</v>
      </c>
      <c r="O280" s="410">
        <v>-2695859.5157124531</v>
      </c>
      <c r="P280" s="410">
        <v>-2776735.3011838268</v>
      </c>
      <c r="Q280" s="410">
        <v>-2860037.3602193417</v>
      </c>
      <c r="R280" s="410">
        <v>-2945838.4810259221</v>
      </c>
      <c r="S280" s="410">
        <v>-3034213.6354566999</v>
      </c>
      <c r="T280" s="410">
        <v>-3125240.0445204009</v>
      </c>
      <c r="U280" s="410">
        <v>-3218997.2458560131</v>
      </c>
      <c r="V280" s="410">
        <v>-3315567.1632316937</v>
      </c>
      <c r="W280" s="333"/>
    </row>
    <row r="281" spans="1:23" ht="13.5" thickBot="1" x14ac:dyDescent="0.25">
      <c r="A281" s="9"/>
      <c r="B281" s="316" t="s">
        <v>40</v>
      </c>
      <c r="C281" s="450">
        <v>0</v>
      </c>
      <c r="D281" s="412">
        <v>-6225024</v>
      </c>
      <c r="E281" s="412">
        <v>-4058147.2</v>
      </c>
      <c r="F281" s="412">
        <v>-2200091.69</v>
      </c>
      <c r="G281" s="412">
        <v>0</v>
      </c>
      <c r="H281" s="412">
        <v>0</v>
      </c>
      <c r="I281" s="412">
        <v>0</v>
      </c>
      <c r="J281" s="412">
        <v>0</v>
      </c>
      <c r="K281" s="412">
        <v>0</v>
      </c>
      <c r="L281" s="412">
        <v>0</v>
      </c>
      <c r="M281" s="412">
        <v>0</v>
      </c>
      <c r="N281" s="412">
        <v>0</v>
      </c>
      <c r="O281" s="412">
        <v>0</v>
      </c>
      <c r="P281" s="412">
        <v>0</v>
      </c>
      <c r="Q281" s="412">
        <v>0</v>
      </c>
      <c r="R281" s="412">
        <v>0</v>
      </c>
      <c r="S281" s="412">
        <v>0</v>
      </c>
      <c r="T281" s="412">
        <v>0</v>
      </c>
      <c r="U281" s="412">
        <v>0</v>
      </c>
      <c r="V281" s="412">
        <v>0</v>
      </c>
      <c r="W281" s="333"/>
    </row>
    <row r="282" spans="1:23" ht="13.5" thickTop="1" x14ac:dyDescent="0.2">
      <c r="A282" s="9"/>
      <c r="B282" s="315"/>
      <c r="C282" s="45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3"/>
      <c r="N282" s="333"/>
      <c r="O282" s="333"/>
      <c r="P282" s="333"/>
      <c r="Q282" s="333"/>
      <c r="R282" s="333"/>
      <c r="S282" s="333"/>
      <c r="T282" s="333"/>
      <c r="U282" s="333"/>
      <c r="V282" s="333"/>
      <c r="W282" s="333"/>
    </row>
    <row r="283" spans="1:23" x14ac:dyDescent="0.2">
      <c r="A283" s="9"/>
      <c r="B283" s="317" t="s">
        <v>234</v>
      </c>
      <c r="C283" s="452">
        <v>0</v>
      </c>
      <c r="D283" s="416">
        <v>12980304.375826746</v>
      </c>
      <c r="E283" s="416">
        <v>19042764.134614926</v>
      </c>
      <c r="F283" s="416">
        <v>18180861.70112402</v>
      </c>
      <c r="G283" s="416">
        <v>21190738.329915512</v>
      </c>
      <c r="H283" s="416">
        <v>18579624.130156301</v>
      </c>
      <c r="I283" s="416">
        <v>19753048.575224366</v>
      </c>
      <c r="J283" s="416">
        <v>21687282.38876408</v>
      </c>
      <c r="K283" s="416">
        <v>22257014.521806445</v>
      </c>
      <c r="L283" s="416">
        <v>22682308.381980501</v>
      </c>
      <c r="M283" s="416">
        <v>22574137.872449026</v>
      </c>
      <c r="N283" s="416">
        <v>23160046.346529022</v>
      </c>
      <c r="O283" s="416">
        <v>23128852.774632715</v>
      </c>
      <c r="P283" s="416">
        <v>23239575.669896331</v>
      </c>
      <c r="Q283" s="416">
        <v>24308540.469330303</v>
      </c>
      <c r="R283" s="416">
        <v>27118361.878113847</v>
      </c>
      <c r="S283" s="416">
        <v>26309119.228387188</v>
      </c>
      <c r="T283" s="416">
        <v>26527333.290446971</v>
      </c>
      <c r="U283" s="416">
        <v>28376589.111301351</v>
      </c>
      <c r="V283" s="416">
        <v>29804008.451164942</v>
      </c>
      <c r="W283" s="414">
        <v>156407845.07359663</v>
      </c>
    </row>
    <row r="284" spans="1:23" x14ac:dyDescent="0.2">
      <c r="A284" s="9"/>
      <c r="B284" s="292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x14ac:dyDescent="0.2">
      <c r="A285" s="308" t="s">
        <v>219</v>
      </c>
      <c r="B285" s="306" t="s">
        <v>170</v>
      </c>
      <c r="C285" s="439">
        <v>70488023.082079455</v>
      </c>
      <c r="D285" s="9"/>
      <c r="E285" s="137" t="s">
        <v>220</v>
      </c>
      <c r="F285" s="319" t="s">
        <v>170</v>
      </c>
      <c r="G285" s="443">
        <v>70488023.082079455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x14ac:dyDescent="0.2">
      <c r="A286" s="9"/>
      <c r="B286" s="306" t="s">
        <v>180</v>
      </c>
      <c r="C286" s="439">
        <v>112272552.8080052</v>
      </c>
      <c r="D286" s="9"/>
      <c r="E286" s="321"/>
      <c r="F286" s="319" t="s">
        <v>180</v>
      </c>
      <c r="G286" s="443">
        <v>112272552.8080052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ht="13.5" thickBot="1" x14ac:dyDescent="0.25">
      <c r="A287" s="9"/>
      <c r="B287" s="322" t="s">
        <v>137</v>
      </c>
      <c r="C287" s="440">
        <v>24383787.896253884</v>
      </c>
      <c r="D287" s="323"/>
      <c r="E287" s="321"/>
      <c r="F287" s="319" t="s">
        <v>137</v>
      </c>
      <c r="G287" s="443">
        <v>24383787.896253884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ht="14.25" thickTop="1" thickBot="1" x14ac:dyDescent="0.25">
      <c r="A288" s="9"/>
      <c r="B288" s="306" t="s">
        <v>28</v>
      </c>
      <c r="C288" s="438">
        <v>207144363.78633851</v>
      </c>
      <c r="D288" s="305"/>
      <c r="E288" s="321"/>
      <c r="F288" s="324" t="s">
        <v>204</v>
      </c>
      <c r="G288" s="325"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ht="13.5" thickTop="1" x14ac:dyDescent="0.2">
      <c r="A289" s="9"/>
      <c r="B289" s="292"/>
      <c r="C289" s="326"/>
      <c r="D289" s="9"/>
      <c r="E289" s="327"/>
      <c r="F289" s="319" t="s">
        <v>28</v>
      </c>
      <c r="G289" s="368">
        <v>207144363.78633851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x14ac:dyDescent="0.2">
      <c r="A290" s="9"/>
      <c r="B290" s="292"/>
      <c r="C290" s="326"/>
      <c r="D290" s="9"/>
      <c r="E290" s="327"/>
      <c r="F290" s="319"/>
      <c r="G290" s="32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x14ac:dyDescent="0.2">
      <c r="A291" s="9"/>
      <c r="B291" s="292"/>
      <c r="C291" s="326"/>
      <c r="D291" s="9"/>
      <c r="E291" s="327"/>
      <c r="F291" s="319"/>
      <c r="G291" s="32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x14ac:dyDescent="0.2">
      <c r="A292" s="9"/>
      <c r="B292" s="329" t="s">
        <v>223</v>
      </c>
      <c r="C292" s="326"/>
      <c r="D292" s="9"/>
      <c r="E292" s="327"/>
      <c r="F292" s="319"/>
      <c r="G292" s="32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x14ac:dyDescent="0.2">
      <c r="A293" s="330" t="s">
        <v>225</v>
      </c>
      <c r="B293" s="329" t="s">
        <v>224</v>
      </c>
      <c r="C293" s="331"/>
      <c r="D293" s="332">
        <v>22098677.508326747</v>
      </c>
      <c r="E293" s="332">
        <v>20562638.281034928</v>
      </c>
      <c r="F293" s="332">
        <v>18982254.471894223</v>
      </c>
      <c r="G293" s="332">
        <v>17916054.931424811</v>
      </c>
      <c r="H293" s="332">
        <v>17328659.996003799</v>
      </c>
      <c r="I293" s="332">
        <v>18883208.868620045</v>
      </c>
      <c r="J293" s="332">
        <v>21427260.633632489</v>
      </c>
      <c r="K293" s="332">
        <v>22368421.408620998</v>
      </c>
      <c r="L293" s="332">
        <v>23038870.418090358</v>
      </c>
      <c r="M293" s="332">
        <v>23038714.651949093</v>
      </c>
      <c r="N293" s="332">
        <v>23571833.209391426</v>
      </c>
      <c r="O293" s="332">
        <v>23608861.031038359</v>
      </c>
      <c r="P293" s="332">
        <v>23787751.61658068</v>
      </c>
      <c r="Q293" s="332">
        <v>24874335.242001712</v>
      </c>
      <c r="R293" s="332">
        <v>27700365.444051933</v>
      </c>
      <c r="S293" s="332">
        <v>26956245.803889949</v>
      </c>
      <c r="T293" s="332">
        <v>27237992.968301345</v>
      </c>
      <c r="U293" s="332">
        <v>29030046.697077889</v>
      </c>
      <c r="V293" s="332">
        <v>30426453.507101309</v>
      </c>
      <c r="W293" s="9"/>
    </row>
    <row r="294" spans="1:23" x14ac:dyDescent="0.2">
      <c r="A294" s="9"/>
      <c r="B294" s="292" t="s">
        <v>226</v>
      </c>
      <c r="C294" s="326"/>
      <c r="D294" s="333">
        <v>14732451.672217831</v>
      </c>
      <c r="E294" s="333">
        <v>13708425.520689953</v>
      </c>
      <c r="F294" s="333">
        <v>12654836.31459615</v>
      </c>
      <c r="G294" s="333">
        <v>11944036.620949874</v>
      </c>
      <c r="H294" s="333">
        <v>11552439.997335866</v>
      </c>
      <c r="I294" s="333">
        <v>12588805.912413364</v>
      </c>
      <c r="J294" s="333">
        <v>14284840.422421658</v>
      </c>
      <c r="K294" s="333">
        <v>14912280.939080669</v>
      </c>
      <c r="L294" s="333">
        <v>15359246.945393572</v>
      </c>
      <c r="M294" s="333">
        <v>15359143.101299398</v>
      </c>
      <c r="N294" s="333">
        <v>15714555.472927619</v>
      </c>
      <c r="O294" s="333">
        <v>15739240.687358908</v>
      </c>
      <c r="P294" s="333">
        <v>15858501.077720456</v>
      </c>
      <c r="Q294" s="333">
        <v>16582890.161334477</v>
      </c>
      <c r="R294" s="333">
        <v>18466910.296034623</v>
      </c>
      <c r="S294" s="333">
        <v>17970830.535926636</v>
      </c>
      <c r="T294" s="333">
        <v>18158661.978867564</v>
      </c>
      <c r="U294" s="333">
        <v>19353364.464718591</v>
      </c>
      <c r="V294" s="333">
        <v>20284302.338067543</v>
      </c>
      <c r="W294" s="9"/>
    </row>
    <row r="295" spans="1:23" x14ac:dyDescent="0.2">
      <c r="A295" s="9"/>
      <c r="B295" s="334" t="s">
        <v>227</v>
      </c>
      <c r="C295" s="335"/>
      <c r="D295" s="333">
        <v>2201842.8675000002</v>
      </c>
      <c r="E295" s="333">
        <v>3099968.97358</v>
      </c>
      <c r="F295" s="333">
        <v>3423680.0092297997</v>
      </c>
      <c r="G295" s="333">
        <v>3487841.8284907001</v>
      </c>
      <c r="H295" s="333">
        <v>3442944.6221525003</v>
      </c>
      <c r="I295" s="333">
        <v>3127579.6092443196</v>
      </c>
      <c r="J295" s="333">
        <v>2585493.8548507914</v>
      </c>
      <c r="K295" s="333">
        <v>2283829.3758962224</v>
      </c>
      <c r="L295" s="333">
        <v>2110531.3144822419</v>
      </c>
      <c r="M295" s="333">
        <v>2076529.3716097972</v>
      </c>
      <c r="N295" s="333">
        <v>2205552.4727807543</v>
      </c>
      <c r="O295" s="333">
        <v>2215851.2593068066</v>
      </c>
      <c r="P295" s="333">
        <v>2228559.3544994793</v>
      </c>
      <c r="Q295" s="333">
        <v>2294242.5875479314</v>
      </c>
      <c r="R295" s="333">
        <v>2363834.9150878373</v>
      </c>
      <c r="S295" s="333">
        <v>2387087.0599539406</v>
      </c>
      <c r="T295" s="333">
        <v>2414580.3666660269</v>
      </c>
      <c r="U295" s="333">
        <v>2565539.6600794755</v>
      </c>
      <c r="V295" s="333">
        <v>2693122.1072953278</v>
      </c>
      <c r="W295" s="9"/>
    </row>
    <row r="296" spans="1:23" ht="13.5" thickBot="1" x14ac:dyDescent="0.25">
      <c r="A296" s="9"/>
      <c r="B296" s="336" t="s">
        <v>228</v>
      </c>
      <c r="C296" s="337"/>
      <c r="D296" s="338">
        <v>39032972.048044577</v>
      </c>
      <c r="E296" s="338">
        <v>37371032.775304884</v>
      </c>
      <c r="F296" s="338">
        <v>35060770.795720175</v>
      </c>
      <c r="G296" s="338">
        <v>33347933.380865384</v>
      </c>
      <c r="H296" s="338">
        <v>32324044.615492165</v>
      </c>
      <c r="I296" s="338">
        <v>34599594.390277728</v>
      </c>
      <c r="J296" s="338">
        <v>38297594.910904936</v>
      </c>
      <c r="K296" s="338">
        <v>39564531.723597892</v>
      </c>
      <c r="L296" s="338">
        <v>40508648.67796617</v>
      </c>
      <c r="M296" s="338">
        <v>40474387.12485829</v>
      </c>
      <c r="N296" s="338">
        <v>41491941.155099802</v>
      </c>
      <c r="O296" s="338">
        <v>41563952.977704071</v>
      </c>
      <c r="P296" s="338">
        <v>41874812.048800617</v>
      </c>
      <c r="Q296" s="338">
        <v>43751467.990884118</v>
      </c>
      <c r="R296" s="338">
        <v>48531110.655174389</v>
      </c>
      <c r="S296" s="338">
        <v>47314163.399770528</v>
      </c>
      <c r="T296" s="338">
        <v>47811235.313834935</v>
      </c>
      <c r="U296" s="338">
        <v>50948950.82187596</v>
      </c>
      <c r="V296" s="338">
        <v>53403877.952464178</v>
      </c>
      <c r="W296" s="9"/>
    </row>
    <row r="297" spans="1:23" ht="13.5" thickTop="1" x14ac:dyDescent="0.2">
      <c r="A297" s="330" t="s">
        <v>229</v>
      </c>
      <c r="B297" s="292" t="s">
        <v>230</v>
      </c>
      <c r="C297" s="326"/>
      <c r="D297" s="333">
        <v>-2946706.1055343803</v>
      </c>
      <c r="E297" s="333">
        <v>-3177698.2615343803</v>
      </c>
      <c r="F297" s="333">
        <v>-3278947.3160343799</v>
      </c>
      <c r="G297" s="333">
        <v>-3289605.2375343801</v>
      </c>
      <c r="H297" s="333">
        <v>-3399204.26193438</v>
      </c>
      <c r="I297" s="333">
        <v>-3512091.2570663802</v>
      </c>
      <c r="J297" s="333">
        <v>-3628364.8620523401</v>
      </c>
      <c r="K297" s="333">
        <v>-3748126.6751878788</v>
      </c>
      <c r="L297" s="333">
        <v>-3871481.3427174841</v>
      </c>
      <c r="M297" s="333">
        <v>-3998536.6502729771</v>
      </c>
      <c r="N297" s="333">
        <v>-4129403.6170551353</v>
      </c>
      <c r="O297" s="333">
        <v>-4264196.5928407572</v>
      </c>
      <c r="P297" s="333">
        <v>-4403033.357899949</v>
      </c>
      <c r="Q297" s="333">
        <v>-4546035.225910916</v>
      </c>
      <c r="R297" s="333">
        <v>-3763920.3124622307</v>
      </c>
      <c r="S297" s="333">
        <v>-2584958.669235047</v>
      </c>
      <c r="T297" s="333">
        <v>-2740016.3989610672</v>
      </c>
      <c r="U297" s="333">
        <v>-2900966.2612538678</v>
      </c>
      <c r="V297" s="333">
        <v>-3066744.6194154522</v>
      </c>
      <c r="W297" s="9"/>
    </row>
    <row r="298" spans="1:23" x14ac:dyDescent="0.2">
      <c r="A298" s="9"/>
      <c r="B298" s="292" t="s">
        <v>231</v>
      </c>
      <c r="C298" s="326"/>
      <c r="D298" s="333">
        <v>0</v>
      </c>
      <c r="E298" s="333">
        <v>0</v>
      </c>
      <c r="F298" s="333">
        <v>0</v>
      </c>
      <c r="G298" s="333">
        <v>0</v>
      </c>
      <c r="H298" s="333">
        <v>0</v>
      </c>
      <c r="I298" s="333">
        <v>0</v>
      </c>
      <c r="J298" s="333">
        <v>0</v>
      </c>
      <c r="K298" s="333">
        <v>0</v>
      </c>
      <c r="L298" s="333">
        <v>0</v>
      </c>
      <c r="M298" s="333">
        <v>0</v>
      </c>
      <c r="N298" s="333">
        <v>0</v>
      </c>
      <c r="O298" s="333">
        <v>0</v>
      </c>
      <c r="P298" s="333">
        <v>0</v>
      </c>
      <c r="Q298" s="333">
        <v>0</v>
      </c>
      <c r="R298" s="333">
        <v>0</v>
      </c>
      <c r="S298" s="333">
        <v>0</v>
      </c>
      <c r="T298" s="333">
        <v>0</v>
      </c>
      <c r="U298" s="333">
        <v>0</v>
      </c>
      <c r="V298" s="333">
        <v>0</v>
      </c>
      <c r="W298" s="9"/>
    </row>
    <row r="299" spans="1:23" x14ac:dyDescent="0.2">
      <c r="A299" s="9"/>
      <c r="B299" s="329" t="s">
        <v>232</v>
      </c>
      <c r="C299" s="331"/>
      <c r="D299" s="332">
        <v>36086265.942510195</v>
      </c>
      <c r="E299" s="332">
        <v>34193334.513770506</v>
      </c>
      <c r="F299" s="332">
        <v>31781823.479685795</v>
      </c>
      <c r="G299" s="332">
        <v>30058328.143331002</v>
      </c>
      <c r="H299" s="332">
        <v>28924840.353557784</v>
      </c>
      <c r="I299" s="332">
        <v>31087503.133211348</v>
      </c>
      <c r="J299" s="332">
        <v>34669230.048852593</v>
      </c>
      <c r="K299" s="332">
        <v>35816405.048410013</v>
      </c>
      <c r="L299" s="332">
        <v>36637167.335248686</v>
      </c>
      <c r="M299" s="332">
        <v>36475850.47458531</v>
      </c>
      <c r="N299" s="332">
        <v>37362537.538044669</v>
      </c>
      <c r="O299" s="332">
        <v>37299756.384863317</v>
      </c>
      <c r="P299" s="332">
        <v>37471778.690900669</v>
      </c>
      <c r="Q299" s="332">
        <v>39205432.764973201</v>
      </c>
      <c r="R299" s="332">
        <v>44767190.342712156</v>
      </c>
      <c r="S299" s="332">
        <v>44729204.730535477</v>
      </c>
      <c r="T299" s="332">
        <v>45071218.914873868</v>
      </c>
      <c r="U299" s="332">
        <v>48047984.560622089</v>
      </c>
      <c r="V299" s="332">
        <v>50337133.333048724</v>
      </c>
      <c r="W299" s="9"/>
    </row>
    <row r="300" spans="1:23" ht="13.5" thickBot="1" x14ac:dyDescent="0.25">
      <c r="A300" s="9"/>
      <c r="B300" s="339" t="s">
        <v>238</v>
      </c>
      <c r="C300" s="340"/>
      <c r="D300" s="341">
        <v>-14434506.37700408</v>
      </c>
      <c r="E300" s="341">
        <v>-13677333.805508204</v>
      </c>
      <c r="F300" s="341">
        <v>-12712729.391874319</v>
      </c>
      <c r="G300" s="341">
        <v>-12023331.257332401</v>
      </c>
      <c r="H300" s="341">
        <v>-11569936.141423114</v>
      </c>
      <c r="I300" s="341">
        <v>-12435001.25328454</v>
      </c>
      <c r="J300" s="341">
        <v>-13867692.019541038</v>
      </c>
      <c r="K300" s="341">
        <v>-14326562.019364007</v>
      </c>
      <c r="L300" s="341">
        <v>-14654866.934099475</v>
      </c>
      <c r="M300" s="341">
        <v>-14590340.189834125</v>
      </c>
      <c r="N300" s="341">
        <v>-14945015.015217869</v>
      </c>
      <c r="O300" s="341">
        <v>-14919902.553945327</v>
      </c>
      <c r="P300" s="341">
        <v>-14988711.476360269</v>
      </c>
      <c r="Q300" s="341">
        <v>-15682173.105989281</v>
      </c>
      <c r="R300" s="341">
        <v>-17906876.137084864</v>
      </c>
      <c r="S300" s="341">
        <v>-17891681.89221419</v>
      </c>
      <c r="T300" s="341">
        <v>-18028487.565949548</v>
      </c>
      <c r="U300" s="341">
        <v>-19219193.824248835</v>
      </c>
      <c r="V300" s="341">
        <v>-20134853.333219491</v>
      </c>
      <c r="W300" s="9"/>
    </row>
    <row r="301" spans="1:23" ht="13.5" thickTop="1" x14ac:dyDescent="0.2">
      <c r="A301" s="9"/>
      <c r="B301" s="329" t="s">
        <v>233</v>
      </c>
      <c r="C301" s="331"/>
      <c r="D301" s="332">
        <v>21651759.565506116</v>
      </c>
      <c r="E301" s="332">
        <v>20516000.708262302</v>
      </c>
      <c r="F301" s="332">
        <v>19069094.087811477</v>
      </c>
      <c r="G301" s="332">
        <v>18034996.885998599</v>
      </c>
      <c r="H301" s="332">
        <v>17354904.21213467</v>
      </c>
      <c r="I301" s="332">
        <v>18652501.879926808</v>
      </c>
      <c r="J301" s="332">
        <v>20801538.029311553</v>
      </c>
      <c r="K301" s="332">
        <v>21489843.029046007</v>
      </c>
      <c r="L301" s="332">
        <v>21982300.401149213</v>
      </c>
      <c r="M301" s="332">
        <v>21885510.284751184</v>
      </c>
      <c r="N301" s="332">
        <v>22417522.522826798</v>
      </c>
      <c r="O301" s="332">
        <v>22379853.830917992</v>
      </c>
      <c r="P301" s="332">
        <v>22483067.2145404</v>
      </c>
      <c r="Q301" s="332">
        <v>23523259.65898392</v>
      </c>
      <c r="R301" s="332">
        <v>26860314.205627292</v>
      </c>
      <c r="S301" s="332">
        <v>26837522.838321287</v>
      </c>
      <c r="T301" s="332">
        <v>27042731.34892432</v>
      </c>
      <c r="U301" s="332">
        <v>28828790.736373253</v>
      </c>
      <c r="V301" s="332">
        <v>30202279.999829233</v>
      </c>
      <c r="W301" s="9"/>
    </row>
    <row r="302" spans="1:23" x14ac:dyDescent="0.2">
      <c r="A302" s="9"/>
      <c r="B302" s="9"/>
      <c r="C302" s="326"/>
      <c r="D302" s="9"/>
      <c r="E302" s="327"/>
      <c r="F302" s="319"/>
      <c r="G302" s="32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ht="15.75" x14ac:dyDescent="0.25">
      <c r="A303" s="342" t="s">
        <v>206</v>
      </c>
      <c r="B303" s="343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x14ac:dyDescent="0.2">
      <c r="A304" s="290" t="s">
        <v>191</v>
      </c>
      <c r="B304" s="309"/>
      <c r="C304" s="344">
        <v>0</v>
      </c>
      <c r="D304" s="283"/>
      <c r="E304" s="283"/>
      <c r="F304" s="283"/>
      <c r="G304" s="283"/>
      <c r="H304" s="283"/>
      <c r="I304" s="283"/>
      <c r="J304" s="283"/>
      <c r="K304" s="283"/>
      <c r="L304" s="283"/>
      <c r="M304" s="283"/>
      <c r="N304" s="283"/>
      <c r="O304" s="283"/>
      <c r="P304" s="283"/>
      <c r="Q304" s="283"/>
      <c r="R304" s="283"/>
      <c r="S304" s="283"/>
      <c r="T304" s="283"/>
      <c r="U304" s="283"/>
      <c r="V304" s="283"/>
      <c r="W304" s="283"/>
    </row>
    <row r="305" spans="1:23" x14ac:dyDescent="0.2">
      <c r="A305" s="290" t="s">
        <v>192</v>
      </c>
      <c r="B305" s="309"/>
      <c r="C305" s="345">
        <v>0</v>
      </c>
      <c r="D305" s="283"/>
      <c r="E305" s="283"/>
      <c r="F305" s="283"/>
      <c r="G305" s="283"/>
      <c r="H305" s="283"/>
      <c r="I305" s="283"/>
      <c r="J305" s="283"/>
      <c r="K305" s="283"/>
      <c r="L305" s="283"/>
      <c r="M305" s="283"/>
      <c r="N305" s="283"/>
      <c r="O305" s="283"/>
      <c r="P305" s="283"/>
      <c r="Q305" s="283"/>
      <c r="R305" s="283"/>
      <c r="S305" s="283"/>
      <c r="T305" s="283"/>
      <c r="U305" s="283"/>
      <c r="V305" s="283"/>
      <c r="W305" s="283"/>
    </row>
    <row r="306" spans="1:23" x14ac:dyDescent="0.2">
      <c r="A306" s="290" t="s">
        <v>202</v>
      </c>
      <c r="B306" s="309"/>
      <c r="C306" s="290">
        <v>15</v>
      </c>
      <c r="D306" s="283"/>
      <c r="E306" s="283"/>
      <c r="F306" s="283"/>
      <c r="G306" s="283"/>
      <c r="H306" s="283"/>
      <c r="I306" s="283"/>
      <c r="J306" s="283"/>
      <c r="K306" s="283"/>
      <c r="L306" s="283"/>
      <c r="M306" s="283"/>
      <c r="N306" s="283"/>
      <c r="O306" s="283"/>
      <c r="P306" s="283"/>
      <c r="Q306" s="283"/>
      <c r="R306" s="283"/>
      <c r="S306" s="283"/>
      <c r="T306" s="283"/>
      <c r="U306" s="283"/>
      <c r="V306" s="283"/>
      <c r="W306" s="283"/>
    </row>
    <row r="307" spans="1:23" x14ac:dyDescent="0.2">
      <c r="A307" s="290" t="s">
        <v>193</v>
      </c>
      <c r="B307" s="309"/>
      <c r="C307" s="345">
        <v>0</v>
      </c>
      <c r="D307" s="283"/>
      <c r="E307" s="283"/>
      <c r="F307" s="283"/>
      <c r="G307" s="283"/>
      <c r="H307" s="283"/>
      <c r="I307" s="283"/>
      <c r="J307" s="283"/>
      <c r="K307" s="283"/>
      <c r="L307" s="283"/>
      <c r="M307" s="283"/>
      <c r="N307" s="283"/>
      <c r="O307" s="283"/>
      <c r="P307" s="283"/>
      <c r="Q307" s="283"/>
      <c r="R307" s="283"/>
      <c r="S307" s="283"/>
      <c r="T307" s="283"/>
      <c r="U307" s="283"/>
      <c r="V307" s="283"/>
      <c r="W307" s="283"/>
    </row>
    <row r="308" spans="1:23" x14ac:dyDescent="0.2">
      <c r="A308" s="290" t="s">
        <v>194</v>
      </c>
      <c r="B308" s="309"/>
      <c r="C308" s="346">
        <v>8.7499999999999994E-2</v>
      </c>
      <c r="D308" s="283"/>
      <c r="E308" s="283"/>
      <c r="F308" s="283"/>
      <c r="G308" s="283"/>
      <c r="H308" s="283"/>
      <c r="I308" s="283"/>
      <c r="J308" s="283"/>
      <c r="K308" s="283"/>
      <c r="L308" s="283"/>
      <c r="M308" s="283"/>
      <c r="N308" s="283"/>
      <c r="O308" s="283"/>
      <c r="P308" s="283"/>
      <c r="Q308" s="283"/>
      <c r="R308" s="283"/>
      <c r="S308" s="283"/>
      <c r="T308" s="283"/>
      <c r="U308" s="283"/>
      <c r="V308" s="283"/>
      <c r="W308" s="283"/>
    </row>
    <row r="309" spans="1:23" x14ac:dyDescent="0.2">
      <c r="A309" s="290"/>
      <c r="B309" s="309"/>
      <c r="C309" s="283"/>
      <c r="D309" s="312">
        <v>2001</v>
      </c>
      <c r="E309" s="312">
        <v>2002</v>
      </c>
      <c r="F309" s="312">
        <v>2003</v>
      </c>
      <c r="G309" s="312">
        <v>2004</v>
      </c>
      <c r="H309" s="312">
        <v>2005</v>
      </c>
      <c r="I309" s="312">
        <v>2006</v>
      </c>
      <c r="J309" s="312">
        <v>2007</v>
      </c>
      <c r="K309" s="312">
        <v>2008</v>
      </c>
      <c r="L309" s="312">
        <v>2009</v>
      </c>
      <c r="M309" s="312">
        <v>2010</v>
      </c>
      <c r="N309" s="312">
        <v>2011</v>
      </c>
      <c r="O309" s="312">
        <v>2012</v>
      </c>
      <c r="P309" s="312">
        <v>2013</v>
      </c>
      <c r="Q309" s="312">
        <v>2014</v>
      </c>
      <c r="R309" s="312">
        <v>2015</v>
      </c>
      <c r="S309" s="312">
        <v>2016</v>
      </c>
      <c r="T309" s="312">
        <v>2017</v>
      </c>
      <c r="U309" s="312">
        <v>2018</v>
      </c>
      <c r="V309" s="312">
        <v>2019</v>
      </c>
      <c r="W309" s="312" t="s">
        <v>154</v>
      </c>
    </row>
    <row r="310" spans="1:23" x14ac:dyDescent="0.2">
      <c r="A310" s="290" t="s">
        <v>195</v>
      </c>
      <c r="B310" s="309"/>
      <c r="C310" s="283"/>
      <c r="D310" s="347">
        <v>0</v>
      </c>
      <c r="E310" s="347">
        <v>0</v>
      </c>
      <c r="F310" s="347">
        <v>0</v>
      </c>
      <c r="G310" s="347">
        <v>0</v>
      </c>
      <c r="H310" s="347">
        <v>0</v>
      </c>
      <c r="I310" s="347">
        <v>0</v>
      </c>
      <c r="J310" s="347">
        <v>0</v>
      </c>
      <c r="K310" s="347">
        <v>0</v>
      </c>
      <c r="L310" s="347">
        <v>0</v>
      </c>
      <c r="M310" s="347">
        <v>0</v>
      </c>
      <c r="N310" s="347">
        <v>0</v>
      </c>
      <c r="O310" s="347">
        <v>0</v>
      </c>
      <c r="P310" s="347">
        <v>0</v>
      </c>
      <c r="Q310" s="347">
        <v>0</v>
      </c>
      <c r="R310" s="347">
        <v>0</v>
      </c>
      <c r="S310" s="347">
        <v>0</v>
      </c>
      <c r="T310" s="347">
        <v>0</v>
      </c>
      <c r="U310" s="347">
        <v>0</v>
      </c>
      <c r="V310" s="347">
        <v>0</v>
      </c>
      <c r="W310" s="347">
        <v>0</v>
      </c>
    </row>
    <row r="311" spans="1:23" x14ac:dyDescent="0.2">
      <c r="A311" s="290" t="s">
        <v>196</v>
      </c>
      <c r="B311" s="309"/>
      <c r="C311" s="283"/>
      <c r="D311" s="347">
        <v>0</v>
      </c>
      <c r="E311" s="347">
        <v>0</v>
      </c>
      <c r="F311" s="347">
        <v>0</v>
      </c>
      <c r="G311" s="347">
        <v>0</v>
      </c>
      <c r="H311" s="347">
        <v>0</v>
      </c>
      <c r="I311" s="347">
        <v>0</v>
      </c>
      <c r="J311" s="347">
        <v>0</v>
      </c>
      <c r="K311" s="347">
        <v>0</v>
      </c>
      <c r="L311" s="347">
        <v>0</v>
      </c>
      <c r="M311" s="347">
        <v>0</v>
      </c>
      <c r="N311" s="347">
        <v>0</v>
      </c>
      <c r="O311" s="347">
        <v>0</v>
      </c>
      <c r="P311" s="347">
        <v>0</v>
      </c>
      <c r="Q311" s="347">
        <v>0</v>
      </c>
      <c r="R311" s="347">
        <v>0</v>
      </c>
      <c r="S311" s="347">
        <v>0</v>
      </c>
      <c r="T311" s="347">
        <v>0</v>
      </c>
      <c r="U311" s="347">
        <v>0</v>
      </c>
      <c r="V311" s="347">
        <v>0</v>
      </c>
      <c r="W311" s="347">
        <v>0</v>
      </c>
    </row>
    <row r="312" spans="1:23" x14ac:dyDescent="0.2">
      <c r="A312" s="290" t="s">
        <v>197</v>
      </c>
      <c r="B312" s="309"/>
      <c r="C312" s="283"/>
      <c r="D312" s="347">
        <v>0</v>
      </c>
      <c r="E312" s="347">
        <v>0</v>
      </c>
      <c r="F312" s="347">
        <v>0</v>
      </c>
      <c r="G312" s="347">
        <v>0</v>
      </c>
      <c r="H312" s="347">
        <v>0</v>
      </c>
      <c r="I312" s="347">
        <v>0</v>
      </c>
      <c r="J312" s="347">
        <v>0</v>
      </c>
      <c r="K312" s="347">
        <v>0</v>
      </c>
      <c r="L312" s="347">
        <v>0</v>
      </c>
      <c r="M312" s="347">
        <v>0</v>
      </c>
      <c r="N312" s="347">
        <v>0</v>
      </c>
      <c r="O312" s="347">
        <v>0</v>
      </c>
      <c r="P312" s="347">
        <v>0</v>
      </c>
      <c r="Q312" s="347">
        <v>0</v>
      </c>
      <c r="R312" s="347">
        <v>0</v>
      </c>
      <c r="S312" s="347">
        <v>0</v>
      </c>
      <c r="T312" s="347">
        <v>0</v>
      </c>
      <c r="U312" s="347">
        <v>0</v>
      </c>
      <c r="V312" s="347">
        <v>0</v>
      </c>
      <c r="W312" s="347">
        <v>0</v>
      </c>
    </row>
    <row r="313" spans="1:23" x14ac:dyDescent="0.2">
      <c r="A313" s="290" t="s">
        <v>198</v>
      </c>
      <c r="B313" s="309"/>
      <c r="C313" s="283"/>
      <c r="D313" s="348">
        <v>0</v>
      </c>
      <c r="E313" s="348">
        <v>0</v>
      </c>
      <c r="F313" s="348">
        <v>0</v>
      </c>
      <c r="G313" s="348">
        <v>0</v>
      </c>
      <c r="H313" s="348">
        <v>0</v>
      </c>
      <c r="I313" s="348">
        <v>0</v>
      </c>
      <c r="J313" s="348">
        <v>0</v>
      </c>
      <c r="K313" s="348">
        <v>0</v>
      </c>
      <c r="L313" s="348">
        <v>0</v>
      </c>
      <c r="M313" s="348">
        <v>0</v>
      </c>
      <c r="N313" s="348">
        <v>0</v>
      </c>
      <c r="O313" s="348">
        <v>0</v>
      </c>
      <c r="P313" s="348">
        <v>0</v>
      </c>
      <c r="Q313" s="348">
        <v>0</v>
      </c>
      <c r="R313" s="348">
        <v>0</v>
      </c>
      <c r="S313" s="348">
        <v>0</v>
      </c>
      <c r="T313" s="348">
        <v>0</v>
      </c>
      <c r="U313" s="348">
        <v>0</v>
      </c>
      <c r="V313" s="348">
        <v>0</v>
      </c>
      <c r="W313" s="348">
        <v>0</v>
      </c>
    </row>
    <row r="314" spans="1:23" ht="13.5" thickBot="1" x14ac:dyDescent="0.25">
      <c r="A314" s="290" t="s">
        <v>199</v>
      </c>
      <c r="B314" s="309"/>
      <c r="C314" s="283"/>
      <c r="D314" s="349">
        <v>0</v>
      </c>
      <c r="E314" s="349">
        <v>0</v>
      </c>
      <c r="F314" s="349">
        <v>0</v>
      </c>
      <c r="G314" s="349">
        <v>0</v>
      </c>
      <c r="H314" s="349">
        <v>0</v>
      </c>
      <c r="I314" s="349">
        <v>0</v>
      </c>
      <c r="J314" s="349">
        <v>0</v>
      </c>
      <c r="K314" s="349">
        <v>0</v>
      </c>
      <c r="L314" s="349">
        <v>0</v>
      </c>
      <c r="M314" s="349">
        <v>0</v>
      </c>
      <c r="N314" s="349">
        <v>0</v>
      </c>
      <c r="O314" s="349">
        <v>0</v>
      </c>
      <c r="P314" s="349">
        <v>0</v>
      </c>
      <c r="Q314" s="349">
        <v>0</v>
      </c>
      <c r="R314" s="349">
        <v>0</v>
      </c>
      <c r="S314" s="349">
        <v>0</v>
      </c>
      <c r="T314" s="349">
        <v>0</v>
      </c>
      <c r="U314" s="349">
        <v>0</v>
      </c>
      <c r="V314" s="349">
        <v>0</v>
      </c>
      <c r="W314" s="349">
        <v>0</v>
      </c>
    </row>
    <row r="315" spans="1:23" ht="13.5" thickTop="1" x14ac:dyDescent="0.2">
      <c r="A315" s="290"/>
      <c r="B315" s="309"/>
      <c r="C315" s="283"/>
      <c r="D315" s="347"/>
      <c r="E315" s="347"/>
      <c r="F315" s="347"/>
      <c r="G315" s="347"/>
      <c r="H315" s="347"/>
      <c r="I315" s="347"/>
      <c r="J315" s="347"/>
      <c r="K315" s="347"/>
      <c r="L315" s="347"/>
      <c r="M315" s="347"/>
      <c r="N315" s="347"/>
      <c r="O315" s="347"/>
      <c r="P315" s="347"/>
      <c r="Q315" s="347"/>
      <c r="R315" s="347"/>
      <c r="S315" s="347"/>
      <c r="T315" s="347"/>
      <c r="U315" s="347"/>
      <c r="V315" s="347"/>
      <c r="W315" s="347"/>
    </row>
    <row r="316" spans="1:23" x14ac:dyDescent="0.2">
      <c r="A316" s="290" t="s">
        <v>200</v>
      </c>
      <c r="B316" s="309"/>
      <c r="C316" s="283"/>
      <c r="D316" s="347">
        <v>0</v>
      </c>
      <c r="E316" s="347">
        <v>0</v>
      </c>
      <c r="F316" s="347">
        <v>0</v>
      </c>
      <c r="G316" s="347">
        <v>0</v>
      </c>
      <c r="H316" s="347">
        <v>0</v>
      </c>
      <c r="I316" s="347">
        <v>0</v>
      </c>
      <c r="J316" s="347">
        <v>0</v>
      </c>
      <c r="K316" s="347">
        <v>0</v>
      </c>
      <c r="L316" s="347">
        <v>0</v>
      </c>
      <c r="M316" s="347">
        <v>0</v>
      </c>
      <c r="N316" s="347">
        <v>0</v>
      </c>
      <c r="O316" s="347">
        <v>0</v>
      </c>
      <c r="P316" s="347">
        <v>0</v>
      </c>
      <c r="Q316" s="347">
        <v>0</v>
      </c>
      <c r="R316" s="347">
        <v>0</v>
      </c>
      <c r="S316" s="347">
        <v>0</v>
      </c>
      <c r="T316" s="347">
        <v>0</v>
      </c>
      <c r="U316" s="347">
        <v>0</v>
      </c>
      <c r="V316" s="347">
        <v>0</v>
      </c>
      <c r="W316" s="347">
        <v>0</v>
      </c>
    </row>
    <row r="317" spans="1:23" x14ac:dyDescent="0.2">
      <c r="A317" s="290"/>
      <c r="B317" s="309"/>
      <c r="C317" s="283"/>
      <c r="D317" s="283"/>
      <c r="E317" s="283"/>
      <c r="F317" s="283"/>
      <c r="G317" s="283"/>
      <c r="H317" s="283"/>
      <c r="I317" s="283"/>
      <c r="J317" s="283"/>
      <c r="K317" s="283"/>
      <c r="L317" s="283"/>
      <c r="M317" s="283"/>
      <c r="N317" s="283"/>
      <c r="O317" s="283"/>
      <c r="P317" s="283"/>
      <c r="Q317" s="283"/>
      <c r="R317" s="283"/>
      <c r="S317" s="283"/>
      <c r="T317" s="283"/>
      <c r="U317" s="283"/>
      <c r="V317" s="283"/>
      <c r="W317" s="283"/>
    </row>
    <row r="318" spans="1:23" x14ac:dyDescent="0.2">
      <c r="A318" s="290" t="s">
        <v>201</v>
      </c>
      <c r="B318" s="309"/>
      <c r="C318" s="283"/>
      <c r="D318" s="347">
        <v>0</v>
      </c>
      <c r="E318" s="347">
        <v>0</v>
      </c>
      <c r="F318" s="347">
        <v>0</v>
      </c>
      <c r="G318" s="347">
        <v>0</v>
      </c>
      <c r="H318" s="347">
        <v>0</v>
      </c>
      <c r="I318" s="347">
        <v>0</v>
      </c>
      <c r="J318" s="347">
        <v>0</v>
      </c>
      <c r="K318" s="347">
        <v>0</v>
      </c>
      <c r="L318" s="347">
        <v>0</v>
      </c>
      <c r="M318" s="347">
        <v>0</v>
      </c>
      <c r="N318" s="347">
        <v>0</v>
      </c>
      <c r="O318" s="347">
        <v>0</v>
      </c>
      <c r="P318" s="347">
        <v>0</v>
      </c>
      <c r="Q318" s="347">
        <v>0</v>
      </c>
      <c r="R318" s="347">
        <v>0</v>
      </c>
      <c r="S318" s="347">
        <v>0</v>
      </c>
      <c r="T318" s="347">
        <v>0</v>
      </c>
      <c r="U318" s="347">
        <v>0</v>
      </c>
      <c r="V318" s="347">
        <v>0</v>
      </c>
      <c r="W318" s="347">
        <v>0</v>
      </c>
    </row>
    <row r="319" spans="1:23" x14ac:dyDescent="0.2">
      <c r="A319" s="283"/>
      <c r="B319" s="309"/>
      <c r="C319" s="283"/>
      <c r="D319" s="283"/>
      <c r="E319" s="283"/>
      <c r="F319" s="283"/>
      <c r="G319" s="283"/>
      <c r="H319" s="283"/>
      <c r="I319" s="283"/>
      <c r="J319" s="283"/>
      <c r="K319" s="283"/>
      <c r="L319" s="283"/>
      <c r="M319" s="283"/>
      <c r="N319" s="283"/>
      <c r="O319" s="283"/>
      <c r="P319" s="283"/>
      <c r="Q319" s="283"/>
      <c r="R319" s="283"/>
      <c r="S319" s="283"/>
      <c r="T319" s="283"/>
      <c r="U319" s="283"/>
      <c r="V319" s="283"/>
      <c r="W319" s="283"/>
    </row>
    <row r="320" spans="1:23" x14ac:dyDescent="0.2">
      <c r="A320" s="283"/>
      <c r="B320" s="309"/>
      <c r="C320" s="283"/>
      <c r="D320" s="283"/>
      <c r="E320" s="283"/>
      <c r="F320" s="283"/>
      <c r="G320" s="283"/>
      <c r="H320" s="283"/>
      <c r="I320" s="283"/>
      <c r="J320" s="283"/>
      <c r="K320" s="283"/>
      <c r="L320" s="283"/>
      <c r="M320" s="283"/>
      <c r="N320" s="283"/>
      <c r="O320" s="283"/>
      <c r="P320" s="283"/>
      <c r="Q320" s="283"/>
      <c r="R320" s="283"/>
      <c r="S320" s="283"/>
      <c r="T320" s="283"/>
      <c r="U320" s="283"/>
      <c r="V320" s="283"/>
      <c r="W320" s="283"/>
    </row>
    <row r="321" spans="1:23" x14ac:dyDescent="0.2">
      <c r="A321" s="290" t="s">
        <v>203</v>
      </c>
      <c r="B321" s="285"/>
      <c r="C321" s="284"/>
      <c r="D321" s="441">
        <v>12980304.375826746</v>
      </c>
      <c r="E321" s="441">
        <v>19042764.134614926</v>
      </c>
      <c r="F321" s="441">
        <v>18180861.70112402</v>
      </c>
      <c r="G321" s="441">
        <v>21190738.329915512</v>
      </c>
      <c r="H321" s="441">
        <v>18579624.130156301</v>
      </c>
      <c r="I321" s="441">
        <v>19753048.575224366</v>
      </c>
      <c r="J321" s="441">
        <v>21687282.38876408</v>
      </c>
      <c r="K321" s="441">
        <v>22257014.521806445</v>
      </c>
      <c r="L321" s="441">
        <v>22682308.381980501</v>
      </c>
      <c r="M321" s="441">
        <v>22574137.872449026</v>
      </c>
      <c r="N321" s="441">
        <v>23160046.346529022</v>
      </c>
      <c r="O321" s="441">
        <v>23128852.774632715</v>
      </c>
      <c r="P321" s="441">
        <v>23239575.669896331</v>
      </c>
      <c r="Q321" s="441">
        <v>24308540.469330303</v>
      </c>
      <c r="R321" s="441">
        <v>27118361.878113847</v>
      </c>
      <c r="S321" s="441">
        <v>26309119.228387188</v>
      </c>
      <c r="T321" s="441">
        <v>26527333.290446971</v>
      </c>
      <c r="U321" s="441">
        <v>28376589.111301351</v>
      </c>
      <c r="V321" s="441">
        <v>29804008.451164942</v>
      </c>
      <c r="W321" s="441">
        <v>156407845.07359663</v>
      </c>
    </row>
    <row r="322" spans="1:23" x14ac:dyDescent="0.2">
      <c r="A322" s="9"/>
      <c r="B322" s="6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x14ac:dyDescent="0.2">
      <c r="B323" s="354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00"/>
    </row>
    <row r="324" spans="1:23" x14ac:dyDescent="0.2">
      <c r="B324" s="354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00"/>
    </row>
    <row r="325" spans="1:23" x14ac:dyDescent="0.2">
      <c r="B325" s="354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00"/>
    </row>
    <row r="326" spans="1:23" x14ac:dyDescent="0.2">
      <c r="B326" s="354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55"/>
      <c r="N326" s="355"/>
      <c r="O326" s="355"/>
      <c r="P326" s="355"/>
      <c r="Q326" s="355"/>
      <c r="R326" s="355"/>
      <c r="S326" s="355"/>
      <c r="T326" s="355"/>
      <c r="U326" s="355"/>
      <c r="V326" s="355"/>
      <c r="W326" s="300"/>
    </row>
    <row r="327" spans="1:23" x14ac:dyDescent="0.2">
      <c r="B327" s="356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00"/>
    </row>
    <row r="328" spans="1:23" x14ac:dyDescent="0.2">
      <c r="B328" s="354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5"/>
      <c r="N328" s="355"/>
      <c r="O328" s="355"/>
      <c r="P328" s="355"/>
      <c r="Q328" s="355"/>
      <c r="R328" s="355"/>
      <c r="S328" s="355"/>
      <c r="T328" s="355"/>
      <c r="U328" s="355"/>
      <c r="V328" s="355"/>
      <c r="W328" s="300"/>
    </row>
    <row r="329" spans="1:23" x14ac:dyDescent="0.2">
      <c r="B329" s="354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5"/>
      <c r="N329" s="355"/>
      <c r="O329" s="355"/>
      <c r="P329" s="355"/>
      <c r="Q329" s="355"/>
      <c r="R329" s="355"/>
      <c r="S329" s="355"/>
      <c r="T329" s="355"/>
      <c r="U329" s="355"/>
      <c r="V329" s="355"/>
      <c r="W329" s="300"/>
    </row>
    <row r="330" spans="1:23" ht="15.75" x14ac:dyDescent="0.25">
      <c r="A330" s="308" t="s">
        <v>29</v>
      </c>
      <c r="B330" s="311" t="s">
        <v>59</v>
      </c>
      <c r="C330" s="312">
        <v>2000</v>
      </c>
      <c r="D330" s="312">
        <v>2001</v>
      </c>
      <c r="E330" s="312">
        <v>2002</v>
      </c>
      <c r="F330" s="312">
        <v>2003</v>
      </c>
      <c r="G330" s="312">
        <v>2004</v>
      </c>
      <c r="H330" s="312">
        <v>2005</v>
      </c>
      <c r="I330" s="312">
        <v>2006</v>
      </c>
      <c r="J330" s="312">
        <v>2007</v>
      </c>
      <c r="K330" s="312">
        <v>2008</v>
      </c>
      <c r="L330" s="312">
        <v>2009</v>
      </c>
      <c r="M330" s="312">
        <v>2010</v>
      </c>
      <c r="N330" s="312">
        <v>2011</v>
      </c>
      <c r="O330" s="312">
        <v>2012</v>
      </c>
      <c r="P330" s="312">
        <v>2013</v>
      </c>
      <c r="Q330" s="312">
        <v>2014</v>
      </c>
      <c r="R330" s="312">
        <v>2015</v>
      </c>
      <c r="S330" s="312">
        <v>2016</v>
      </c>
      <c r="T330" s="312">
        <v>2017</v>
      </c>
      <c r="U330" s="312">
        <v>2018</v>
      </c>
      <c r="V330" s="312">
        <v>2019</v>
      </c>
      <c r="W330" s="312" t="s">
        <v>154</v>
      </c>
    </row>
    <row r="331" spans="1:23" x14ac:dyDescent="0.2">
      <c r="A331" s="308" t="s">
        <v>26</v>
      </c>
      <c r="B331" s="309">
        <v>228.15</v>
      </c>
      <c r="C331" s="314"/>
      <c r="D331" s="314"/>
      <c r="E331" s="314"/>
      <c r="F331" s="314"/>
      <c r="G331" s="314"/>
      <c r="H331" s="314"/>
      <c r="I331" s="314"/>
      <c r="J331" s="314"/>
      <c r="K331" s="314"/>
      <c r="L331" s="314"/>
      <c r="M331" s="314"/>
      <c r="N331" s="314"/>
      <c r="O331" s="314"/>
      <c r="P331" s="314"/>
      <c r="Q331" s="314"/>
      <c r="R331" s="314"/>
      <c r="S331" s="314"/>
      <c r="T331" s="314"/>
      <c r="U331" s="314"/>
      <c r="V331" s="314"/>
      <c r="W331" s="314"/>
    </row>
    <row r="332" spans="1:23" x14ac:dyDescent="0.2">
      <c r="A332" s="9"/>
      <c r="B332" s="315" t="s">
        <v>27</v>
      </c>
      <c r="C332" s="449">
        <v>0</v>
      </c>
      <c r="D332" s="410">
        <v>62374022.61234837</v>
      </c>
      <c r="E332" s="410">
        <v>60807790.240859397</v>
      </c>
      <c r="F332" s="410">
        <v>60918963.21405647</v>
      </c>
      <c r="G332" s="410">
        <v>59340844.539256766</v>
      </c>
      <c r="H332" s="410">
        <v>58802847.450839549</v>
      </c>
      <c r="I332" s="410">
        <v>62081983.0189806</v>
      </c>
      <c r="J332" s="410">
        <v>66774846.213062659</v>
      </c>
      <c r="K332" s="410">
        <v>68573227.546283305</v>
      </c>
      <c r="L332" s="410">
        <v>69989226.752305493</v>
      </c>
      <c r="M332" s="410">
        <v>70240295.032867715</v>
      </c>
      <c r="N332" s="410">
        <v>71775746.455274656</v>
      </c>
      <c r="O332" s="410">
        <v>72552267.362059951</v>
      </c>
      <c r="P332" s="410">
        <v>73425315.633657664</v>
      </c>
      <c r="Q332" s="410">
        <v>76049406.336161956</v>
      </c>
      <c r="R332" s="410">
        <v>81414045.102546677</v>
      </c>
      <c r="S332" s="410">
        <v>80995127.822895721</v>
      </c>
      <c r="T332" s="410">
        <v>82094859.562122285</v>
      </c>
      <c r="U332" s="410">
        <v>86014186.508909687</v>
      </c>
      <c r="V332" s="410">
        <v>88591798.191163972</v>
      </c>
      <c r="W332" s="333"/>
    </row>
    <row r="333" spans="1:23" x14ac:dyDescent="0.2">
      <c r="A333" s="9"/>
      <c r="B333" s="315" t="s">
        <v>20</v>
      </c>
      <c r="C333" s="449">
        <v>0</v>
      </c>
      <c r="D333" s="410">
        <v>-18551082.826055977</v>
      </c>
      <c r="E333" s="410">
        <v>-18561893.675579</v>
      </c>
      <c r="F333" s="410">
        <v>-18619286.465000905</v>
      </c>
      <c r="G333" s="410">
        <v>-18876802.079338133</v>
      </c>
      <c r="H333" s="410">
        <v>-19243698.274173371</v>
      </c>
      <c r="I333" s="410">
        <v>-19799986.9777449</v>
      </c>
      <c r="J333" s="410">
        <v>-20256428.935825203</v>
      </c>
      <c r="K333" s="410">
        <v>-20692519.978577092</v>
      </c>
      <c r="L333" s="410">
        <v>-21029763.718305226</v>
      </c>
      <c r="M333" s="410">
        <v>-21192571.040932592</v>
      </c>
      <c r="N333" s="410">
        <v>-21477483.855530489</v>
      </c>
      <c r="O333" s="410">
        <v>-21942647.634465832</v>
      </c>
      <c r="P333" s="410">
        <v>-22441245.060012162</v>
      </c>
      <c r="Q333" s="410">
        <v>-22916584.296611723</v>
      </c>
      <c r="R333" s="410">
        <v>-23237838.031438947</v>
      </c>
      <c r="S333" s="410">
        <v>-23713177.2680385</v>
      </c>
      <c r="T333" s="410">
        <v>-24253930.161050852</v>
      </c>
      <c r="U333" s="410">
        <v>-24849921.25281176</v>
      </c>
      <c r="V333" s="410">
        <v>-25463355.986282762</v>
      </c>
      <c r="W333" s="333"/>
    </row>
    <row r="334" spans="1:23" x14ac:dyDescent="0.2">
      <c r="A334" s="9"/>
      <c r="B334" s="315" t="s">
        <v>31</v>
      </c>
      <c r="C334" s="449">
        <v>0</v>
      </c>
      <c r="D334" s="410">
        <v>-1366421.756860123</v>
      </c>
      <c r="E334" s="410">
        <v>-1375114.0259118036</v>
      </c>
      <c r="F334" s="410">
        <v>-2268443.406893007</v>
      </c>
      <c r="G334" s="410">
        <v>-2284890.0516096181</v>
      </c>
      <c r="H334" s="410">
        <v>-2300283.4130127765</v>
      </c>
      <c r="I334" s="410">
        <v>-2328983.4872722905</v>
      </c>
      <c r="J334" s="410">
        <v>-2380406.993793299</v>
      </c>
      <c r="K334" s="410">
        <v>-2432978.8125462565</v>
      </c>
      <c r="L334" s="410">
        <v>-2486724.8805208346</v>
      </c>
      <c r="M334" s="410">
        <v>-2541671.7272043088</v>
      </c>
      <c r="N334" s="410">
        <v>-2597846.4882651451</v>
      </c>
      <c r="O334" s="410">
        <v>-2655276.9195558876</v>
      </c>
      <c r="P334" s="410">
        <v>-2713991.411442887</v>
      </c>
      <c r="Q334" s="410">
        <v>-2774019.0034705373</v>
      </c>
      <c r="R334" s="410">
        <v>-2835389.3993679415</v>
      </c>
      <c r="S334" s="410">
        <v>-2898132.982406056</v>
      </c>
      <c r="T334" s="410">
        <v>-2962280.8311135871</v>
      </c>
      <c r="U334" s="410">
        <v>-3027864.7353600929</v>
      </c>
      <c r="V334" s="410">
        <v>-3094917.212814963</v>
      </c>
      <c r="W334" s="333"/>
    </row>
    <row r="335" spans="1:23" x14ac:dyDescent="0.2">
      <c r="A335" s="9"/>
      <c r="B335" s="315" t="s">
        <v>32</v>
      </c>
      <c r="C335" s="449">
        <v>0</v>
      </c>
      <c r="D335" s="410">
        <v>0</v>
      </c>
      <c r="E335" s="410">
        <v>0</v>
      </c>
      <c r="F335" s="410">
        <v>0</v>
      </c>
      <c r="G335" s="410">
        <v>0</v>
      </c>
      <c r="H335" s="410">
        <v>0</v>
      </c>
      <c r="I335" s="410">
        <v>-411278.62423670385</v>
      </c>
      <c r="J335" s="410">
        <v>-455869.50040300656</v>
      </c>
      <c r="K335" s="410">
        <v>-627662.2933011339</v>
      </c>
      <c r="L335" s="410">
        <v>-552502.30511429999</v>
      </c>
      <c r="M335" s="410">
        <v>-614467.51078530774</v>
      </c>
      <c r="N335" s="410">
        <v>-676882.43147416366</v>
      </c>
      <c r="O335" s="410">
        <v>-749965.44052441884</v>
      </c>
      <c r="P335" s="410">
        <v>-840908.54453265294</v>
      </c>
      <c r="Q335" s="410">
        <v>-936062.43133584317</v>
      </c>
      <c r="R335" s="410">
        <v>-1036871.2233887082</v>
      </c>
      <c r="S335" s="410">
        <v>-1138483.3281774484</v>
      </c>
      <c r="T335" s="410">
        <v>-1118504.3661965569</v>
      </c>
      <c r="U335" s="410">
        <v>-956940.98240432329</v>
      </c>
      <c r="V335" s="410">
        <v>-992171.24645564239</v>
      </c>
      <c r="W335" s="333"/>
    </row>
    <row r="336" spans="1:23" ht="13.5" thickBot="1" x14ac:dyDescent="0.25">
      <c r="A336" s="9"/>
      <c r="B336" s="316" t="s">
        <v>33</v>
      </c>
      <c r="C336" s="450">
        <v>0</v>
      </c>
      <c r="D336" s="412">
        <v>0</v>
      </c>
      <c r="E336" s="412">
        <v>0</v>
      </c>
      <c r="F336" s="412">
        <v>-1373101.8493286194</v>
      </c>
      <c r="G336" s="412">
        <v>-1153011.7591227158</v>
      </c>
      <c r="H336" s="412">
        <v>-1179027.8825287821</v>
      </c>
      <c r="I336" s="412">
        <v>-1213025.5487048551</v>
      </c>
      <c r="J336" s="412">
        <v>-1592173.825008854</v>
      </c>
      <c r="K336" s="412">
        <v>-1390345.9918138105</v>
      </c>
      <c r="L336" s="412">
        <v>-1472006.368707164</v>
      </c>
      <c r="M336" s="412">
        <v>-1400670.4361378893</v>
      </c>
      <c r="N336" s="412">
        <v>-1440786.7918306675</v>
      </c>
      <c r="O336" s="412">
        <v>-1478147.6496556737</v>
      </c>
      <c r="P336" s="412">
        <v>-1320295.976855289</v>
      </c>
      <c r="Q336" s="412">
        <v>-1367502.7350715038</v>
      </c>
      <c r="R336" s="412">
        <v>-1395762.7003860334</v>
      </c>
      <c r="S336" s="412">
        <v>-1482201.92396768</v>
      </c>
      <c r="T336" s="412">
        <v>-1393423.5374958406</v>
      </c>
      <c r="U336" s="412">
        <v>-1534684.6929128012</v>
      </c>
      <c r="V336" s="412">
        <v>-835559.93186628085</v>
      </c>
      <c r="W336" s="333"/>
    </row>
    <row r="337" spans="1:23" ht="13.5" thickTop="1" x14ac:dyDescent="0.2">
      <c r="A337" s="9"/>
      <c r="B337" s="317" t="s">
        <v>38</v>
      </c>
      <c r="C337" s="451">
        <v>0</v>
      </c>
      <c r="D337" s="414">
        <v>42456518.029432267</v>
      </c>
      <c r="E337" s="414">
        <v>40870782.539368592</v>
      </c>
      <c r="F337" s="414">
        <v>38658131.492833935</v>
      </c>
      <c r="G337" s="414">
        <v>37026140.649186298</v>
      </c>
      <c r="H337" s="414">
        <v>36079837.881124616</v>
      </c>
      <c r="I337" s="414">
        <v>38328708.38102185</v>
      </c>
      <c r="J337" s="414">
        <v>42089966.958032295</v>
      </c>
      <c r="K337" s="414">
        <v>43429720.470045015</v>
      </c>
      <c r="L337" s="414">
        <v>44448229.479657963</v>
      </c>
      <c r="M337" s="414">
        <v>44490914.317807607</v>
      </c>
      <c r="N337" s="414">
        <v>45582746.888174199</v>
      </c>
      <c r="O337" s="414">
        <v>45726229.717858136</v>
      </c>
      <c r="P337" s="414">
        <v>46108874.640814669</v>
      </c>
      <c r="Q337" s="414">
        <v>48055237.869672343</v>
      </c>
      <c r="R337" s="414">
        <v>52908183.747965045</v>
      </c>
      <c r="S337" s="414">
        <v>51763132.32030604</v>
      </c>
      <c r="T337" s="414">
        <v>52366720.666265443</v>
      </c>
      <c r="U337" s="414">
        <v>55644774.845420711</v>
      </c>
      <c r="V337" s="414">
        <v>58205793.813744321</v>
      </c>
      <c r="W337" s="333"/>
    </row>
    <row r="338" spans="1:23" x14ac:dyDescent="0.2">
      <c r="A338" s="9"/>
      <c r="B338" s="315" t="s">
        <v>34</v>
      </c>
      <c r="C338" s="449">
        <v>0</v>
      </c>
      <c r="D338" s="410">
        <v>-2794736.7439314071</v>
      </c>
      <c r="E338" s="410">
        <v>-2850631.4788100352</v>
      </c>
      <c r="F338" s="410">
        <v>-2949643.1083862358</v>
      </c>
      <c r="G338" s="410">
        <v>-3008845.9655539608</v>
      </c>
      <c r="H338" s="410">
        <v>-3069238.1297400398</v>
      </c>
      <c r="I338" s="410">
        <v>-3130843.5183317158</v>
      </c>
      <c r="J338" s="410">
        <v>-3193686.5303451475</v>
      </c>
      <c r="K338" s="410">
        <v>-3257792.0561400168</v>
      </c>
      <c r="L338" s="410">
        <v>-3323185.4873304833</v>
      </c>
      <c r="M338" s="410">
        <v>-3389892.7268964504</v>
      </c>
      <c r="N338" s="410">
        <v>-3457940.1994992211</v>
      </c>
      <c r="O338" s="410">
        <v>-3527354.8620056682</v>
      </c>
      <c r="P338" s="410">
        <v>-3598164.2142251558</v>
      </c>
      <c r="Q338" s="410">
        <v>-3670396.3098635175</v>
      </c>
      <c r="R338" s="410">
        <v>-3744079.7676984929</v>
      </c>
      <c r="S338" s="410">
        <v>-3819243.7829811103</v>
      </c>
      <c r="T338" s="410">
        <v>-3895918.1390675968</v>
      </c>
      <c r="U338" s="410">
        <v>-3974133.2192864837</v>
      </c>
      <c r="V338" s="410">
        <v>-4053920.0190456873</v>
      </c>
      <c r="W338" s="333"/>
    </row>
    <row r="339" spans="1:23" x14ac:dyDescent="0.2">
      <c r="A339" s="9"/>
      <c r="B339" s="315" t="s">
        <v>35</v>
      </c>
      <c r="C339" s="449">
        <v>0</v>
      </c>
      <c r="D339" s="410">
        <v>-388299.7921559058</v>
      </c>
      <c r="E339" s="410">
        <v>-397276.51828614395</v>
      </c>
      <c r="F339" s="410">
        <v>-406449.83471863432</v>
      </c>
      <c r="G339" s="410">
        <v>-415830.46810249891</v>
      </c>
      <c r="H339" s="410">
        <v>-425434.36056089948</v>
      </c>
      <c r="I339" s="410">
        <v>-435680.84021321853</v>
      </c>
      <c r="J339" s="410">
        <v>-445769.5798686521</v>
      </c>
      <c r="K339" s="410">
        <v>-456535.8470507703</v>
      </c>
      <c r="L339" s="410">
        <v>-467135.4529866915</v>
      </c>
      <c r="M339" s="410">
        <v>-478005.34887397866</v>
      </c>
      <c r="N339" s="410">
        <v>-489138.29624173819</v>
      </c>
      <c r="O339" s="410">
        <v>-500551.79388316523</v>
      </c>
      <c r="P339" s="410">
        <v>-512255.19436468452</v>
      </c>
      <c r="Q339" s="410">
        <v>-524251.17985824175</v>
      </c>
      <c r="R339" s="410">
        <v>-536548.26458768733</v>
      </c>
      <c r="S339" s="410">
        <v>-549152.77643536904</v>
      </c>
      <c r="T339" s="410">
        <v>-562069.88017687318</v>
      </c>
      <c r="U339" s="410">
        <v>-575311.2032222891</v>
      </c>
      <c r="V339" s="410">
        <v>-588884.88347614498</v>
      </c>
      <c r="W339" s="333"/>
    </row>
    <row r="340" spans="1:23" ht="13.5" thickBot="1" x14ac:dyDescent="0.25">
      <c r="A340" s="9"/>
      <c r="B340" s="316" t="s">
        <v>36</v>
      </c>
      <c r="C340" s="450">
        <v>0</v>
      </c>
      <c r="D340" s="412">
        <v>-535405.353751207</v>
      </c>
      <c r="E340" s="412">
        <v>-546702.40671536105</v>
      </c>
      <c r="F340" s="412">
        <v>-558675.18942242803</v>
      </c>
      <c r="G340" s="412">
        <v>-571301.24870336999</v>
      </c>
      <c r="H340" s="412">
        <v>-584898.21842251206</v>
      </c>
      <c r="I340" s="412">
        <v>-599555.82657704898</v>
      </c>
      <c r="J340" s="412">
        <v>-614426.48136174004</v>
      </c>
      <c r="K340" s="412">
        <v>-629978.88536292303</v>
      </c>
      <c r="L340" s="412">
        <v>-645539.36383138795</v>
      </c>
      <c r="M340" s="412">
        <v>-662000.61760908598</v>
      </c>
      <c r="N340" s="412">
        <v>-678021.03255522903</v>
      </c>
      <c r="O340" s="412">
        <v>-695107.16257561895</v>
      </c>
      <c r="P340" s="412">
        <v>-712762.88450503803</v>
      </c>
      <c r="Q340" s="412">
        <v>-730581.95661766396</v>
      </c>
      <c r="R340" s="412">
        <v>-748919.56372876698</v>
      </c>
      <c r="S340" s="412">
        <v>-767642.55282198801</v>
      </c>
      <c r="T340" s="412">
        <v>-786680.08813197201</v>
      </c>
      <c r="U340" s="412">
        <v>-806425.758344086</v>
      </c>
      <c r="V340" s="412">
        <v>-826667.04487852298</v>
      </c>
      <c r="W340" s="333"/>
    </row>
    <row r="341" spans="1:23" ht="13.5" thickTop="1" x14ac:dyDescent="0.2">
      <c r="A341" s="9"/>
      <c r="B341" s="317" t="s">
        <v>221</v>
      </c>
      <c r="C341" s="452">
        <v>0</v>
      </c>
      <c r="D341" s="416">
        <v>38738076.13959375</v>
      </c>
      <c r="E341" s="416">
        <v>37076172.135557048</v>
      </c>
      <c r="F341" s="416">
        <v>34743363.360306635</v>
      </c>
      <c r="G341" s="416">
        <v>33030162.966826465</v>
      </c>
      <c r="H341" s="416">
        <v>32000267.172401164</v>
      </c>
      <c r="I341" s="416">
        <v>34162628.195899867</v>
      </c>
      <c r="J341" s="416">
        <v>37836084.366456755</v>
      </c>
      <c r="K341" s="416">
        <v>39085413.6814913</v>
      </c>
      <c r="L341" s="416">
        <v>40012369.175509401</v>
      </c>
      <c r="M341" s="416">
        <v>39961015.624428093</v>
      </c>
      <c r="N341" s="416">
        <v>40957647.359878011</v>
      </c>
      <c r="O341" s="416">
        <v>41003215.899393685</v>
      </c>
      <c r="P341" s="416">
        <v>41285692.347719789</v>
      </c>
      <c r="Q341" s="416">
        <v>43130008.423332922</v>
      </c>
      <c r="R341" s="416">
        <v>47878636.151950106</v>
      </c>
      <c r="S341" s="416">
        <v>46627093.208067574</v>
      </c>
      <c r="T341" s="416">
        <v>47122052.558889002</v>
      </c>
      <c r="U341" s="416">
        <v>50288904.664567851</v>
      </c>
      <c r="V341" s="416">
        <v>52736321.866343968</v>
      </c>
      <c r="W341" s="333"/>
    </row>
    <row r="342" spans="1:23" x14ac:dyDescent="0.2">
      <c r="A342" s="9"/>
      <c r="B342" s="315" t="s">
        <v>37</v>
      </c>
      <c r="C342" s="449">
        <v>0</v>
      </c>
      <c r="D342" s="410">
        <v>-2037590.7675000001</v>
      </c>
      <c r="E342" s="410">
        <v>-2817695.2309399997</v>
      </c>
      <c r="F342" s="410">
        <v>-3132301.6935497997</v>
      </c>
      <c r="G342" s="410">
        <v>-3251586.7218106999</v>
      </c>
      <c r="H342" s="410">
        <v>-3320893.3127525002</v>
      </c>
      <c r="I342" s="410">
        <v>-3012676.9638563199</v>
      </c>
      <c r="J342" s="410">
        <v>-2477119.8849499514</v>
      </c>
      <c r="K342" s="410">
        <v>-2181469.2775243572</v>
      </c>
      <c r="L342" s="410">
        <v>-2001476.752635621</v>
      </c>
      <c r="M342" s="410">
        <v>-1961247.7609205777</v>
      </c>
      <c r="N342" s="410">
        <v>-2080194.0683056582</v>
      </c>
      <c r="O342" s="410">
        <v>-2087333.5482062576</v>
      </c>
      <c r="P342" s="410">
        <v>-2098464.1877387138</v>
      </c>
      <c r="Q342" s="410">
        <v>-2162522.6414571432</v>
      </c>
      <c r="R342" s="410">
        <v>-2230441.4462871253</v>
      </c>
      <c r="S342" s="410">
        <v>-2251969.8627620074</v>
      </c>
      <c r="T342" s="410">
        <v>-2277687.7292311355</v>
      </c>
      <c r="U342" s="410">
        <v>-2426818.3191943369</v>
      </c>
      <c r="V342" s="410">
        <v>-2552517.2018564353</v>
      </c>
      <c r="W342" s="333"/>
    </row>
    <row r="343" spans="1:23" ht="13.5" thickBot="1" x14ac:dyDescent="0.25">
      <c r="A343" s="9"/>
      <c r="B343" s="316" t="s">
        <v>222</v>
      </c>
      <c r="C343" s="450">
        <v>0</v>
      </c>
      <c r="D343" s="412">
        <v>-14680194.148837501</v>
      </c>
      <c r="E343" s="412">
        <v>-13703390.76184682</v>
      </c>
      <c r="F343" s="412">
        <v>-12644424.666702734</v>
      </c>
      <c r="G343" s="412">
        <v>-11911430.498006307</v>
      </c>
      <c r="H343" s="412">
        <v>-11471749.543859467</v>
      </c>
      <c r="I343" s="412">
        <v>-12459980.492817419</v>
      </c>
      <c r="J343" s="412">
        <v>-14143585.792602722</v>
      </c>
      <c r="K343" s="412">
        <v>-14761577.761586778</v>
      </c>
      <c r="L343" s="412">
        <v>-15204356.969149513</v>
      </c>
      <c r="M343" s="412">
        <v>-15199907.145403007</v>
      </c>
      <c r="N343" s="412">
        <v>-15550981.316628942</v>
      </c>
      <c r="O343" s="412">
        <v>-15566352.940474972</v>
      </c>
      <c r="P343" s="412">
        <v>-15674891.263992429</v>
      </c>
      <c r="Q343" s="412">
        <v>-16386994.312750313</v>
      </c>
      <c r="R343" s="412">
        <v>-18259277.882265192</v>
      </c>
      <c r="S343" s="412">
        <v>-17750049.33812223</v>
      </c>
      <c r="T343" s="412">
        <v>-17937745.931863148</v>
      </c>
      <c r="U343" s="412">
        <v>-19144834.538149405</v>
      </c>
      <c r="V343" s="412">
        <v>-20073521.865795013</v>
      </c>
      <c r="W343" s="333"/>
    </row>
    <row r="344" spans="1:23" ht="13.5" thickTop="1" x14ac:dyDescent="0.2">
      <c r="A344" s="9"/>
      <c r="B344" s="317" t="s">
        <v>183</v>
      </c>
      <c r="C344" s="452">
        <v>0</v>
      </c>
      <c r="D344" s="416">
        <v>22020291.223256253</v>
      </c>
      <c r="E344" s="416">
        <v>20555086.142770231</v>
      </c>
      <c r="F344" s="416">
        <v>18966637.000054099</v>
      </c>
      <c r="G344" s="416">
        <v>17867145.74700946</v>
      </c>
      <c r="H344" s="416">
        <v>17207624.315789197</v>
      </c>
      <c r="I344" s="416">
        <v>18689970.739226125</v>
      </c>
      <c r="J344" s="416">
        <v>21215378.688904081</v>
      </c>
      <c r="K344" s="416">
        <v>22142366.642380163</v>
      </c>
      <c r="L344" s="416">
        <v>22806535.453724265</v>
      </c>
      <c r="M344" s="416">
        <v>22799860.718104511</v>
      </c>
      <c r="N344" s="416">
        <v>23326471.974943414</v>
      </c>
      <c r="O344" s="416">
        <v>23349529.410712458</v>
      </c>
      <c r="P344" s="416">
        <v>23512336.895988643</v>
      </c>
      <c r="Q344" s="416">
        <v>24580491.469125468</v>
      </c>
      <c r="R344" s="416">
        <v>27388916.823397789</v>
      </c>
      <c r="S344" s="416">
        <v>26625074.007183339</v>
      </c>
      <c r="T344" s="416">
        <v>26906618.89779472</v>
      </c>
      <c r="U344" s="416">
        <v>28717251.807224106</v>
      </c>
      <c r="V344" s="416">
        <v>30110282.798692521</v>
      </c>
      <c r="W344" s="333"/>
    </row>
    <row r="345" spans="1:23" x14ac:dyDescent="0.2">
      <c r="A345" s="9"/>
      <c r="B345" s="315" t="s">
        <v>37</v>
      </c>
      <c r="C345" s="449">
        <v>0</v>
      </c>
      <c r="D345" s="410">
        <v>2037590.7675000001</v>
      </c>
      <c r="E345" s="410">
        <v>2817695.2309399997</v>
      </c>
      <c r="F345" s="410">
        <v>3132301.6935497997</v>
      </c>
      <c r="G345" s="410">
        <v>3251586.7218106999</v>
      </c>
      <c r="H345" s="410">
        <v>3320893.3127525002</v>
      </c>
      <c r="I345" s="410">
        <v>3012676.9638563199</v>
      </c>
      <c r="J345" s="410">
        <v>2477119.8849499514</v>
      </c>
      <c r="K345" s="410">
        <v>2181469.2775243572</v>
      </c>
      <c r="L345" s="410">
        <v>2001476.752635621</v>
      </c>
      <c r="M345" s="410">
        <v>1961247.7609205777</v>
      </c>
      <c r="N345" s="410">
        <v>2080194.0683056582</v>
      </c>
      <c r="O345" s="410">
        <v>2087333.5482062576</v>
      </c>
      <c r="P345" s="410">
        <v>2098464.1877387138</v>
      </c>
      <c r="Q345" s="410">
        <v>2162522.6414571432</v>
      </c>
      <c r="R345" s="410">
        <v>2230441.4462871253</v>
      </c>
      <c r="S345" s="410">
        <v>2251969.8627620074</v>
      </c>
      <c r="T345" s="410">
        <v>2277687.7292311355</v>
      </c>
      <c r="U345" s="410">
        <v>2426818.3191943369</v>
      </c>
      <c r="V345" s="410">
        <v>2552517.2018564353</v>
      </c>
      <c r="W345" s="333"/>
    </row>
    <row r="346" spans="1:23" x14ac:dyDescent="0.2">
      <c r="A346" s="9"/>
      <c r="B346" s="315" t="s">
        <v>39</v>
      </c>
      <c r="C346" s="449">
        <v>0</v>
      </c>
      <c r="D346" s="410">
        <v>-715136</v>
      </c>
      <c r="E346" s="410">
        <v>-1466295.92</v>
      </c>
      <c r="F346" s="410">
        <v>-313481.09000000003</v>
      </c>
      <c r="G346" s="410">
        <v>-2812858.43</v>
      </c>
      <c r="H346" s="410">
        <v>-2165429.2879999997</v>
      </c>
      <c r="I346" s="410">
        <v>-2230392.16664</v>
      </c>
      <c r="J346" s="410">
        <v>-2297303.9316392001</v>
      </c>
      <c r="K346" s="410">
        <v>-2366223.0495883762</v>
      </c>
      <c r="L346" s="410">
        <v>-2437209.7410760275</v>
      </c>
      <c r="M346" s="410">
        <v>-2510326.0333083086</v>
      </c>
      <c r="N346" s="410">
        <v>-2585635.8143075579</v>
      </c>
      <c r="O346" s="410">
        <v>-2663204.8887367845</v>
      </c>
      <c r="P346" s="410">
        <v>-2743101.0353988879</v>
      </c>
      <c r="Q346" s="410">
        <v>-2825394.0664608548</v>
      </c>
      <c r="R346" s="410">
        <v>-2910155.8884546803</v>
      </c>
      <c r="S346" s="410">
        <v>-2997460.5651083207</v>
      </c>
      <c r="T346" s="410">
        <v>-3087384.3820615704</v>
      </c>
      <c r="U346" s="410">
        <v>-3180005.9135234174</v>
      </c>
      <c r="V346" s="410">
        <v>-3275406.0909291198</v>
      </c>
      <c r="W346" s="333"/>
    </row>
    <row r="347" spans="1:23" ht="13.5" thickBot="1" x14ac:dyDescent="0.25">
      <c r="A347" s="9"/>
      <c r="B347" s="316" t="s">
        <v>40</v>
      </c>
      <c r="C347" s="450">
        <v>0</v>
      </c>
      <c r="D347" s="412">
        <v>-6225024</v>
      </c>
      <c r="E347" s="412">
        <v>-4058147.2</v>
      </c>
      <c r="F347" s="412">
        <v>-2200091.69</v>
      </c>
      <c r="G347" s="412">
        <v>0</v>
      </c>
      <c r="H347" s="412">
        <v>0</v>
      </c>
      <c r="I347" s="412">
        <v>0</v>
      </c>
      <c r="J347" s="412">
        <v>0</v>
      </c>
      <c r="K347" s="412">
        <v>0</v>
      </c>
      <c r="L347" s="412">
        <v>0</v>
      </c>
      <c r="M347" s="412">
        <v>0</v>
      </c>
      <c r="N347" s="412">
        <v>0</v>
      </c>
      <c r="O347" s="412">
        <v>0</v>
      </c>
      <c r="P347" s="412">
        <v>0</v>
      </c>
      <c r="Q347" s="412">
        <v>0</v>
      </c>
      <c r="R347" s="412">
        <v>0</v>
      </c>
      <c r="S347" s="412">
        <v>0</v>
      </c>
      <c r="T347" s="412">
        <v>0</v>
      </c>
      <c r="U347" s="412">
        <v>0</v>
      </c>
      <c r="V347" s="412">
        <v>0</v>
      </c>
      <c r="W347" s="333"/>
    </row>
    <row r="348" spans="1:23" ht="13.5" thickTop="1" x14ac:dyDescent="0.2">
      <c r="A348" s="9"/>
      <c r="B348" s="315"/>
      <c r="C348" s="453"/>
      <c r="D348" s="333"/>
      <c r="E348" s="333"/>
      <c r="F348" s="333"/>
      <c r="G348" s="333"/>
      <c r="H348" s="333"/>
      <c r="I348" s="333"/>
      <c r="J348" s="333"/>
      <c r="K348" s="333"/>
      <c r="L348" s="333"/>
      <c r="M348" s="333"/>
      <c r="N348" s="333"/>
      <c r="O348" s="333"/>
      <c r="P348" s="333"/>
      <c r="Q348" s="333"/>
      <c r="R348" s="333"/>
      <c r="S348" s="333"/>
      <c r="T348" s="333"/>
      <c r="U348" s="333"/>
      <c r="V348" s="333"/>
      <c r="W348" s="333"/>
    </row>
    <row r="349" spans="1:23" x14ac:dyDescent="0.2">
      <c r="A349" s="9"/>
      <c r="B349" s="317" t="s">
        <v>234</v>
      </c>
      <c r="C349" s="452">
        <v>0</v>
      </c>
      <c r="D349" s="416">
        <v>17117721.990756251</v>
      </c>
      <c r="E349" s="416">
        <v>17848338.253710229</v>
      </c>
      <c r="F349" s="416">
        <v>19585365.913603898</v>
      </c>
      <c r="G349" s="416">
        <v>18305874.038820159</v>
      </c>
      <c r="H349" s="416">
        <v>18363088.340541698</v>
      </c>
      <c r="I349" s="416">
        <v>19472255.536442447</v>
      </c>
      <c r="J349" s="416">
        <v>21395194.642214835</v>
      </c>
      <c r="K349" s="416">
        <v>21957612.870316144</v>
      </c>
      <c r="L349" s="416">
        <v>22370802.46528386</v>
      </c>
      <c r="M349" s="416">
        <v>22250782.44571678</v>
      </c>
      <c r="N349" s="416">
        <v>22821030.228941511</v>
      </c>
      <c r="O349" s="416">
        <v>22773658.070181932</v>
      </c>
      <c r="P349" s="416">
        <v>22867700.048328467</v>
      </c>
      <c r="Q349" s="416">
        <v>23917620.044121757</v>
      </c>
      <c r="R349" s="416">
        <v>26709202.381230235</v>
      </c>
      <c r="S349" s="416">
        <v>25879583.304837026</v>
      </c>
      <c r="T349" s="416">
        <v>26096922.244964283</v>
      </c>
      <c r="U349" s="416">
        <v>27964064.212895025</v>
      </c>
      <c r="V349" s="416">
        <v>29387393.909619834</v>
      </c>
      <c r="W349" s="414">
        <v>154024608.23656365</v>
      </c>
    </row>
    <row r="350" spans="1:23" x14ac:dyDescent="0.2">
      <c r="A350" s="9"/>
      <c r="B350" s="292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x14ac:dyDescent="0.2">
      <c r="A351" s="308" t="s">
        <v>219</v>
      </c>
      <c r="B351" s="306" t="s">
        <v>170</v>
      </c>
      <c r="C351" s="439">
        <v>72296727.397455677</v>
      </c>
      <c r="D351" s="9"/>
      <c r="E351" s="137" t="s">
        <v>220</v>
      </c>
      <c r="F351" s="319" t="s">
        <v>170</v>
      </c>
      <c r="G351" s="443">
        <v>72296727.397455677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x14ac:dyDescent="0.2">
      <c r="A352" s="9"/>
      <c r="B352" s="306" t="s">
        <v>180</v>
      </c>
      <c r="C352" s="439">
        <v>110629702.365208</v>
      </c>
      <c r="D352" s="9"/>
      <c r="E352" s="321"/>
      <c r="F352" s="319" t="s">
        <v>180</v>
      </c>
      <c r="G352" s="443">
        <v>110629702.365208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 ht="13.5" thickBot="1" x14ac:dyDescent="0.25">
      <c r="A353" s="9"/>
      <c r="B353" s="322" t="s">
        <v>137</v>
      </c>
      <c r="C353" s="440">
        <v>24012244.246934969</v>
      </c>
      <c r="D353" s="323"/>
      <c r="E353" s="321"/>
      <c r="F353" s="319" t="s">
        <v>137</v>
      </c>
      <c r="G353" s="443">
        <v>24012244.246934969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 ht="14.25" thickTop="1" thickBot="1" x14ac:dyDescent="0.25">
      <c r="A354" s="9"/>
      <c r="B354" s="306" t="s">
        <v>28</v>
      </c>
      <c r="C354" s="438">
        <v>206938674.00959864</v>
      </c>
      <c r="D354" s="305"/>
      <c r="E354" s="321"/>
      <c r="F354" s="324" t="s">
        <v>204</v>
      </c>
      <c r="G354" s="325"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 ht="13.5" thickTop="1" x14ac:dyDescent="0.2">
      <c r="A355" s="9"/>
      <c r="B355" s="292"/>
      <c r="C355" s="326"/>
      <c r="D355" s="9"/>
      <c r="E355" s="327"/>
      <c r="F355" s="319" t="s">
        <v>28</v>
      </c>
      <c r="G355" s="368">
        <v>206938674.00959864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 x14ac:dyDescent="0.2">
      <c r="A356" s="9"/>
      <c r="B356" s="292"/>
      <c r="C356" s="326"/>
      <c r="D356" s="9"/>
      <c r="E356" s="327"/>
      <c r="F356" s="319"/>
      <c r="G356" s="32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 x14ac:dyDescent="0.2">
      <c r="A357" s="9"/>
      <c r="B357" s="292"/>
      <c r="C357" s="326"/>
      <c r="D357" s="9"/>
      <c r="E357" s="327"/>
      <c r="F357" s="319"/>
      <c r="G357" s="32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 x14ac:dyDescent="0.2">
      <c r="A358" s="9"/>
      <c r="B358" s="329" t="s">
        <v>223</v>
      </c>
      <c r="C358" s="326"/>
      <c r="D358" s="9"/>
      <c r="E358" s="327"/>
      <c r="F358" s="319"/>
      <c r="G358" s="32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 x14ac:dyDescent="0.2">
      <c r="A359" s="330" t="s">
        <v>225</v>
      </c>
      <c r="B359" s="329" t="s">
        <v>224</v>
      </c>
      <c r="C359" s="331"/>
      <c r="D359" s="332">
        <v>22020291.223256253</v>
      </c>
      <c r="E359" s="332">
        <v>20555086.142770231</v>
      </c>
      <c r="F359" s="332">
        <v>18966637.000054099</v>
      </c>
      <c r="G359" s="332">
        <v>17867145.74700946</v>
      </c>
      <c r="H359" s="332">
        <v>17207624.315789197</v>
      </c>
      <c r="I359" s="332">
        <v>18689970.739226125</v>
      </c>
      <c r="J359" s="332">
        <v>21215378.688904081</v>
      </c>
      <c r="K359" s="332">
        <v>22142366.642380163</v>
      </c>
      <c r="L359" s="332">
        <v>22806535.453724265</v>
      </c>
      <c r="M359" s="332">
        <v>22799860.718104511</v>
      </c>
      <c r="N359" s="332">
        <v>23326471.974943414</v>
      </c>
      <c r="O359" s="332">
        <v>23349529.410712458</v>
      </c>
      <c r="P359" s="332">
        <v>23512336.895988643</v>
      </c>
      <c r="Q359" s="332">
        <v>24580491.469125468</v>
      </c>
      <c r="R359" s="332">
        <v>27388916.823397789</v>
      </c>
      <c r="S359" s="332">
        <v>26625074.007183339</v>
      </c>
      <c r="T359" s="332">
        <v>26906618.89779472</v>
      </c>
      <c r="U359" s="332">
        <v>28717251.807224106</v>
      </c>
      <c r="V359" s="332">
        <v>30110282.798692521</v>
      </c>
      <c r="W359" s="9"/>
    </row>
    <row r="360" spans="1:23" x14ac:dyDescent="0.2">
      <c r="A360" s="9"/>
      <c r="B360" s="292" t="s">
        <v>226</v>
      </c>
      <c r="C360" s="326"/>
      <c r="D360" s="333">
        <v>14680194.148837501</v>
      </c>
      <c r="E360" s="333">
        <v>13703390.76184682</v>
      </c>
      <c r="F360" s="333">
        <v>12644424.666702734</v>
      </c>
      <c r="G360" s="333">
        <v>11911430.498006307</v>
      </c>
      <c r="H360" s="333">
        <v>11471749.543859467</v>
      </c>
      <c r="I360" s="333">
        <v>12459980.492817419</v>
      </c>
      <c r="J360" s="333">
        <v>14143585.792602722</v>
      </c>
      <c r="K360" s="333">
        <v>14761577.761586778</v>
      </c>
      <c r="L360" s="333">
        <v>15204356.969149513</v>
      </c>
      <c r="M360" s="333">
        <v>15199907.145403007</v>
      </c>
      <c r="N360" s="333">
        <v>15550981.316628942</v>
      </c>
      <c r="O360" s="333">
        <v>15566352.940474972</v>
      </c>
      <c r="P360" s="333">
        <v>15674891.263992429</v>
      </c>
      <c r="Q360" s="333">
        <v>16386994.312750313</v>
      </c>
      <c r="R360" s="333">
        <v>18259277.882265192</v>
      </c>
      <c r="S360" s="333">
        <v>17750049.33812223</v>
      </c>
      <c r="T360" s="333">
        <v>17937745.931863148</v>
      </c>
      <c r="U360" s="333">
        <v>19144834.538149405</v>
      </c>
      <c r="V360" s="333">
        <v>20073521.865795013</v>
      </c>
      <c r="W360" s="9"/>
    </row>
    <row r="361" spans="1:23" x14ac:dyDescent="0.2">
      <c r="A361" s="9"/>
      <c r="B361" s="334" t="s">
        <v>227</v>
      </c>
      <c r="C361" s="335"/>
      <c r="D361" s="333">
        <v>2037590.7675000001</v>
      </c>
      <c r="E361" s="333">
        <v>2817695.2309399997</v>
      </c>
      <c r="F361" s="333">
        <v>3132301.6935497997</v>
      </c>
      <c r="G361" s="333">
        <v>3251586.7218106999</v>
      </c>
      <c r="H361" s="333">
        <v>3320893.3127525002</v>
      </c>
      <c r="I361" s="333">
        <v>3012676.9638563199</v>
      </c>
      <c r="J361" s="333">
        <v>2477119.8849499514</v>
      </c>
      <c r="K361" s="333">
        <v>2181469.2775243572</v>
      </c>
      <c r="L361" s="333">
        <v>2001476.752635621</v>
      </c>
      <c r="M361" s="333">
        <v>1961247.7609205777</v>
      </c>
      <c r="N361" s="333">
        <v>2080194.0683056582</v>
      </c>
      <c r="O361" s="333">
        <v>2087333.5482062576</v>
      </c>
      <c r="P361" s="333">
        <v>2098464.1877387138</v>
      </c>
      <c r="Q361" s="333">
        <v>2162522.6414571432</v>
      </c>
      <c r="R361" s="333">
        <v>2230441.4462871253</v>
      </c>
      <c r="S361" s="333">
        <v>2251969.8627620074</v>
      </c>
      <c r="T361" s="333">
        <v>2277687.7292311355</v>
      </c>
      <c r="U361" s="333">
        <v>2426818.3191943369</v>
      </c>
      <c r="V361" s="333">
        <v>2552517.2018564353</v>
      </c>
      <c r="W361" s="9"/>
    </row>
    <row r="362" spans="1:23" ht="13.5" thickBot="1" x14ac:dyDescent="0.25">
      <c r="A362" s="9"/>
      <c r="B362" s="336" t="s">
        <v>228</v>
      </c>
      <c r="C362" s="337"/>
      <c r="D362" s="338">
        <v>38738076.13959375</v>
      </c>
      <c r="E362" s="338">
        <v>37076172.135557048</v>
      </c>
      <c r="F362" s="338">
        <v>34743363.360306628</v>
      </c>
      <c r="G362" s="338">
        <v>33030162.966826465</v>
      </c>
      <c r="H362" s="338">
        <v>32000267.172401164</v>
      </c>
      <c r="I362" s="338">
        <v>34162628.195899859</v>
      </c>
      <c r="J362" s="338">
        <v>37836084.366456755</v>
      </c>
      <c r="K362" s="338">
        <v>39085413.6814913</v>
      </c>
      <c r="L362" s="338">
        <v>40012369.175509401</v>
      </c>
      <c r="M362" s="338">
        <v>39961015.624428093</v>
      </c>
      <c r="N362" s="338">
        <v>40957647.359878011</v>
      </c>
      <c r="O362" s="338">
        <v>41003215.899393685</v>
      </c>
      <c r="P362" s="338">
        <v>41285692.347719789</v>
      </c>
      <c r="Q362" s="338">
        <v>43130008.423332922</v>
      </c>
      <c r="R362" s="338">
        <v>47878636.151950106</v>
      </c>
      <c r="S362" s="338">
        <v>46627093.208067574</v>
      </c>
      <c r="T362" s="338">
        <v>47122052.558889002</v>
      </c>
      <c r="U362" s="338">
        <v>50288904.664567851</v>
      </c>
      <c r="V362" s="338">
        <v>52736321.866343968</v>
      </c>
      <c r="W362" s="9"/>
    </row>
    <row r="363" spans="1:23" ht="13.5" thickTop="1" x14ac:dyDescent="0.2">
      <c r="A363" s="330" t="s">
        <v>229</v>
      </c>
      <c r="B363" s="292" t="s">
        <v>230</v>
      </c>
      <c r="C363" s="326"/>
      <c r="D363" s="333">
        <v>-2727703.30553438</v>
      </c>
      <c r="E363" s="333">
        <v>-3003925.46153438</v>
      </c>
      <c r="F363" s="333">
        <v>-3019599.5160343801</v>
      </c>
      <c r="G363" s="333">
        <v>-3160242.4375343802</v>
      </c>
      <c r="H363" s="333">
        <v>-3268513.9019343802</v>
      </c>
      <c r="I363" s="333">
        <v>-3380033.5102663799</v>
      </c>
      <c r="J363" s="333">
        <v>-3494898.7068483401</v>
      </c>
      <c r="K363" s="333">
        <v>-3613209.8593277587</v>
      </c>
      <c r="L363" s="333">
        <v>-3735070.3463815604</v>
      </c>
      <c r="M363" s="333">
        <v>-3860586.6480469755</v>
      </c>
      <c r="N363" s="333">
        <v>-3989868.4387623533</v>
      </c>
      <c r="O363" s="333">
        <v>-4123028.6831991929</v>
      </c>
      <c r="P363" s="333">
        <v>-4260183.7349691372</v>
      </c>
      <c r="Q363" s="333">
        <v>-4401453.4382921793</v>
      </c>
      <c r="R363" s="333">
        <v>-3617554.3952149325</v>
      </c>
      <c r="S363" s="333">
        <v>-2436755.0984703298</v>
      </c>
      <c r="T363" s="333">
        <v>-2589920.0450734086</v>
      </c>
      <c r="U363" s="333">
        <v>-2748920.3407495795</v>
      </c>
      <c r="V363" s="333">
        <v>-2912690.6452960353</v>
      </c>
      <c r="W363" s="9"/>
    </row>
    <row r="364" spans="1:23" x14ac:dyDescent="0.2">
      <c r="A364" s="9"/>
      <c r="B364" s="292" t="s">
        <v>231</v>
      </c>
      <c r="C364" s="326"/>
      <c r="D364" s="333">
        <v>0</v>
      </c>
      <c r="E364" s="333">
        <v>0</v>
      </c>
      <c r="F364" s="333">
        <v>0</v>
      </c>
      <c r="G364" s="333">
        <v>0</v>
      </c>
      <c r="H364" s="333">
        <v>0</v>
      </c>
      <c r="I364" s="333">
        <v>0</v>
      </c>
      <c r="J364" s="333">
        <v>0</v>
      </c>
      <c r="K364" s="333">
        <v>0</v>
      </c>
      <c r="L364" s="333">
        <v>0</v>
      </c>
      <c r="M364" s="333">
        <v>0</v>
      </c>
      <c r="N364" s="333">
        <v>0</v>
      </c>
      <c r="O364" s="333">
        <v>0</v>
      </c>
      <c r="P364" s="333">
        <v>0</v>
      </c>
      <c r="Q364" s="333">
        <v>0</v>
      </c>
      <c r="R364" s="333">
        <v>0</v>
      </c>
      <c r="S364" s="333">
        <v>0</v>
      </c>
      <c r="T364" s="333">
        <v>0</v>
      </c>
      <c r="U364" s="333">
        <v>0</v>
      </c>
      <c r="V364" s="333">
        <v>0</v>
      </c>
      <c r="W364" s="9"/>
    </row>
    <row r="365" spans="1:23" x14ac:dyDescent="0.2">
      <c r="A365" s="9"/>
      <c r="B365" s="329" t="s">
        <v>232</v>
      </c>
      <c r="C365" s="331"/>
      <c r="D365" s="332">
        <v>36010372.834059373</v>
      </c>
      <c r="E365" s="332">
        <v>34072246.674022667</v>
      </c>
      <c r="F365" s="332">
        <v>31723763.844272248</v>
      </c>
      <c r="G365" s="332">
        <v>29869920.529292084</v>
      </c>
      <c r="H365" s="332">
        <v>28731753.270466782</v>
      </c>
      <c r="I365" s="332">
        <v>30782594.685633481</v>
      </c>
      <c r="J365" s="332">
        <v>34341185.659608416</v>
      </c>
      <c r="K365" s="332">
        <v>35472203.822163545</v>
      </c>
      <c r="L365" s="332">
        <v>36277298.829127841</v>
      </c>
      <c r="M365" s="332">
        <v>36100428.976381116</v>
      </c>
      <c r="N365" s="332">
        <v>36967778.921115659</v>
      </c>
      <c r="O365" s="332">
        <v>36880187.216194496</v>
      </c>
      <c r="P365" s="332">
        <v>37025508.612750649</v>
      </c>
      <c r="Q365" s="332">
        <v>38728554.985040739</v>
      </c>
      <c r="R365" s="332">
        <v>44261081.756735176</v>
      </c>
      <c r="S365" s="332">
        <v>44190338.109597243</v>
      </c>
      <c r="T365" s="332">
        <v>44532132.513815597</v>
      </c>
      <c r="U365" s="332">
        <v>47539984.323818274</v>
      </c>
      <c r="V365" s="332">
        <v>49823631.22104793</v>
      </c>
      <c r="W365" s="9"/>
    </row>
    <row r="366" spans="1:23" ht="13.5" thickBot="1" x14ac:dyDescent="0.25">
      <c r="A366" s="9"/>
      <c r="B366" s="339" t="s">
        <v>238</v>
      </c>
      <c r="C366" s="340"/>
      <c r="D366" s="341">
        <v>-14404149.133623749</v>
      </c>
      <c r="E366" s="341">
        <v>-13628898.669609068</v>
      </c>
      <c r="F366" s="341">
        <v>-12689505.537708901</v>
      </c>
      <c r="G366" s="341">
        <v>-11947968.211716834</v>
      </c>
      <c r="H366" s="341">
        <v>-11492701.308186714</v>
      </c>
      <c r="I366" s="341">
        <v>-12313037.874253392</v>
      </c>
      <c r="J366" s="341">
        <v>-13736474.263843367</v>
      </c>
      <c r="K366" s="341">
        <v>-14188881.528865419</v>
      </c>
      <c r="L366" s="341">
        <v>-14510919.531651137</v>
      </c>
      <c r="M366" s="341">
        <v>-14440171.590552447</v>
      </c>
      <c r="N366" s="341">
        <v>-14787111.568446264</v>
      </c>
      <c r="O366" s="341">
        <v>-14752074.886477798</v>
      </c>
      <c r="P366" s="341">
        <v>-14810203.445100261</v>
      </c>
      <c r="Q366" s="341">
        <v>-15491421.994016297</v>
      </c>
      <c r="R366" s="341">
        <v>-17704432.70269407</v>
      </c>
      <c r="S366" s="341">
        <v>-17676135.243838899</v>
      </c>
      <c r="T366" s="341">
        <v>-17812853.005526241</v>
      </c>
      <c r="U366" s="341">
        <v>-19015993.72952731</v>
      </c>
      <c r="V366" s="341">
        <v>-19929452.488419171</v>
      </c>
      <c r="W366" s="9"/>
    </row>
    <row r="367" spans="1:23" ht="13.5" thickTop="1" x14ac:dyDescent="0.2">
      <c r="A367" s="9"/>
      <c r="B367" s="329" t="s">
        <v>233</v>
      </c>
      <c r="C367" s="331"/>
      <c r="D367" s="332">
        <v>21606223.700435624</v>
      </c>
      <c r="E367" s="332">
        <v>20443348.004413597</v>
      </c>
      <c r="F367" s="332">
        <v>19034258.306563348</v>
      </c>
      <c r="G367" s="332">
        <v>17921952.31757525</v>
      </c>
      <c r="H367" s="332">
        <v>17239051.962280069</v>
      </c>
      <c r="I367" s="332">
        <v>18469556.811380088</v>
      </c>
      <c r="J367" s="332">
        <v>20604711.395765051</v>
      </c>
      <c r="K367" s="332">
        <v>21283322.293298125</v>
      </c>
      <c r="L367" s="332">
        <v>21766379.297476701</v>
      </c>
      <c r="M367" s="332">
        <v>21660257.385828666</v>
      </c>
      <c r="N367" s="332">
        <v>22180667.352669396</v>
      </c>
      <c r="O367" s="332">
        <v>22128112.329716697</v>
      </c>
      <c r="P367" s="332">
        <v>22215305.167650387</v>
      </c>
      <c r="Q367" s="332">
        <v>23237132.991024442</v>
      </c>
      <c r="R367" s="332">
        <v>26556649.054041106</v>
      </c>
      <c r="S367" s="332">
        <v>26514202.865758345</v>
      </c>
      <c r="T367" s="332">
        <v>26719279.508289356</v>
      </c>
      <c r="U367" s="332">
        <v>28523990.594290964</v>
      </c>
      <c r="V367" s="332">
        <v>29894178.732628759</v>
      </c>
      <c r="W367" s="9"/>
    </row>
    <row r="368" spans="1:23" x14ac:dyDescent="0.2">
      <c r="A368" s="9"/>
      <c r="B368" s="9"/>
      <c r="C368" s="326"/>
      <c r="D368" s="9"/>
      <c r="E368" s="327"/>
      <c r="F368" s="319"/>
      <c r="G368" s="32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 ht="15.75" x14ac:dyDescent="0.25">
      <c r="A369" s="342" t="s">
        <v>206</v>
      </c>
      <c r="B369" s="343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 x14ac:dyDescent="0.2">
      <c r="A370" s="290" t="s">
        <v>191</v>
      </c>
      <c r="B370" s="309"/>
      <c r="C370" s="344">
        <v>0</v>
      </c>
      <c r="D370" s="283"/>
      <c r="E370" s="283"/>
      <c r="F370" s="283"/>
      <c r="G370" s="283"/>
      <c r="H370" s="283"/>
      <c r="I370" s="283"/>
      <c r="J370" s="283"/>
      <c r="K370" s="283"/>
      <c r="L370" s="283"/>
      <c r="M370" s="283"/>
      <c r="N370" s="283"/>
      <c r="O370" s="283"/>
      <c r="P370" s="283"/>
      <c r="Q370" s="283"/>
      <c r="R370" s="283"/>
      <c r="S370" s="283"/>
      <c r="T370" s="283"/>
      <c r="U370" s="283"/>
      <c r="V370" s="283"/>
      <c r="W370" s="283"/>
    </row>
    <row r="371" spans="1:23" x14ac:dyDescent="0.2">
      <c r="A371" s="290" t="s">
        <v>192</v>
      </c>
      <c r="B371" s="309"/>
      <c r="C371" s="345">
        <v>0</v>
      </c>
      <c r="D371" s="283"/>
      <c r="E371" s="283"/>
      <c r="F371" s="283"/>
      <c r="G371" s="283"/>
      <c r="H371" s="283"/>
      <c r="I371" s="283"/>
      <c r="J371" s="283"/>
      <c r="K371" s="283"/>
      <c r="L371" s="283"/>
      <c r="M371" s="283"/>
      <c r="N371" s="283"/>
      <c r="O371" s="283"/>
      <c r="P371" s="283"/>
      <c r="Q371" s="283"/>
      <c r="R371" s="283"/>
      <c r="S371" s="283"/>
      <c r="T371" s="283"/>
      <c r="U371" s="283"/>
      <c r="V371" s="283"/>
      <c r="W371" s="283"/>
    </row>
    <row r="372" spans="1:23" x14ac:dyDescent="0.2">
      <c r="A372" s="290" t="s">
        <v>202</v>
      </c>
      <c r="B372" s="309"/>
      <c r="C372" s="290">
        <v>15</v>
      </c>
      <c r="D372" s="283"/>
      <c r="E372" s="283"/>
      <c r="F372" s="283"/>
      <c r="G372" s="283"/>
      <c r="H372" s="283"/>
      <c r="I372" s="283"/>
      <c r="J372" s="283"/>
      <c r="K372" s="283"/>
      <c r="L372" s="283"/>
      <c r="M372" s="283"/>
      <c r="N372" s="283"/>
      <c r="O372" s="283"/>
      <c r="P372" s="283"/>
      <c r="Q372" s="283"/>
      <c r="R372" s="283"/>
      <c r="S372" s="283"/>
      <c r="T372" s="283"/>
      <c r="U372" s="283"/>
      <c r="V372" s="283"/>
      <c r="W372" s="283"/>
    </row>
    <row r="373" spans="1:23" x14ac:dyDescent="0.2">
      <c r="A373" s="290" t="s">
        <v>193</v>
      </c>
      <c r="B373" s="309"/>
      <c r="C373" s="345">
        <v>0</v>
      </c>
      <c r="D373" s="283"/>
      <c r="E373" s="283"/>
      <c r="F373" s="283"/>
      <c r="G373" s="283"/>
      <c r="H373" s="283"/>
      <c r="I373" s="283"/>
      <c r="J373" s="283"/>
      <c r="K373" s="283"/>
      <c r="L373" s="283"/>
      <c r="M373" s="283"/>
      <c r="N373" s="283"/>
      <c r="O373" s="283"/>
      <c r="P373" s="283"/>
      <c r="Q373" s="283"/>
      <c r="R373" s="283"/>
      <c r="S373" s="283"/>
      <c r="T373" s="283"/>
      <c r="U373" s="283"/>
      <c r="V373" s="283"/>
      <c r="W373" s="283"/>
    </row>
    <row r="374" spans="1:23" x14ac:dyDescent="0.2">
      <c r="A374" s="290" t="s">
        <v>194</v>
      </c>
      <c r="B374" s="309"/>
      <c r="C374" s="346">
        <v>8.7499999999999994E-2</v>
      </c>
      <c r="D374" s="283"/>
      <c r="E374" s="283"/>
      <c r="F374" s="283"/>
      <c r="G374" s="283"/>
      <c r="H374" s="283"/>
      <c r="I374" s="283"/>
      <c r="J374" s="283"/>
      <c r="K374" s="283"/>
      <c r="L374" s="283"/>
      <c r="M374" s="283"/>
      <c r="N374" s="283"/>
      <c r="O374" s="283"/>
      <c r="P374" s="283"/>
      <c r="Q374" s="283"/>
      <c r="R374" s="283"/>
      <c r="S374" s="283"/>
      <c r="T374" s="283"/>
      <c r="U374" s="283"/>
      <c r="V374" s="283"/>
      <c r="W374" s="283"/>
    </row>
    <row r="375" spans="1:23" x14ac:dyDescent="0.2">
      <c r="A375" s="290"/>
      <c r="B375" s="309"/>
      <c r="C375" s="283"/>
      <c r="D375" s="312">
        <v>2001</v>
      </c>
      <c r="E375" s="312">
        <v>2002</v>
      </c>
      <c r="F375" s="312">
        <v>2003</v>
      </c>
      <c r="G375" s="312">
        <v>2004</v>
      </c>
      <c r="H375" s="312">
        <v>2005</v>
      </c>
      <c r="I375" s="312">
        <v>2006</v>
      </c>
      <c r="J375" s="312">
        <v>2007</v>
      </c>
      <c r="K375" s="312">
        <v>2008</v>
      </c>
      <c r="L375" s="312">
        <v>2009</v>
      </c>
      <c r="M375" s="312">
        <v>2010</v>
      </c>
      <c r="N375" s="312">
        <v>2011</v>
      </c>
      <c r="O375" s="312">
        <v>2012</v>
      </c>
      <c r="P375" s="312">
        <v>2013</v>
      </c>
      <c r="Q375" s="312">
        <v>2014</v>
      </c>
      <c r="R375" s="312">
        <v>2015</v>
      </c>
      <c r="S375" s="312">
        <v>2016</v>
      </c>
      <c r="T375" s="312">
        <v>2017</v>
      </c>
      <c r="U375" s="312">
        <v>2018</v>
      </c>
      <c r="V375" s="312">
        <v>2019</v>
      </c>
      <c r="W375" s="312" t="s">
        <v>154</v>
      </c>
    </row>
    <row r="376" spans="1:23" x14ac:dyDescent="0.2">
      <c r="A376" s="290" t="s">
        <v>195</v>
      </c>
      <c r="B376" s="309"/>
      <c r="C376" s="283"/>
      <c r="D376" s="347">
        <v>0</v>
      </c>
      <c r="E376" s="347">
        <v>0</v>
      </c>
      <c r="F376" s="347">
        <v>0</v>
      </c>
      <c r="G376" s="347">
        <v>0</v>
      </c>
      <c r="H376" s="347">
        <v>0</v>
      </c>
      <c r="I376" s="347">
        <v>0</v>
      </c>
      <c r="J376" s="347">
        <v>0</v>
      </c>
      <c r="K376" s="347">
        <v>0</v>
      </c>
      <c r="L376" s="347">
        <v>0</v>
      </c>
      <c r="M376" s="347">
        <v>0</v>
      </c>
      <c r="N376" s="347">
        <v>0</v>
      </c>
      <c r="O376" s="347">
        <v>0</v>
      </c>
      <c r="P376" s="347">
        <v>0</v>
      </c>
      <c r="Q376" s="347">
        <v>0</v>
      </c>
      <c r="R376" s="347">
        <v>0</v>
      </c>
      <c r="S376" s="347">
        <v>0</v>
      </c>
      <c r="T376" s="347">
        <v>0</v>
      </c>
      <c r="U376" s="347">
        <v>0</v>
      </c>
      <c r="V376" s="347">
        <v>0</v>
      </c>
      <c r="W376" s="347">
        <v>0</v>
      </c>
    </row>
    <row r="377" spans="1:23" x14ac:dyDescent="0.2">
      <c r="A377" s="290" t="s">
        <v>196</v>
      </c>
      <c r="B377" s="309"/>
      <c r="C377" s="283"/>
      <c r="D377" s="347">
        <v>0</v>
      </c>
      <c r="E377" s="347">
        <v>0</v>
      </c>
      <c r="F377" s="347">
        <v>0</v>
      </c>
      <c r="G377" s="347">
        <v>0</v>
      </c>
      <c r="H377" s="347">
        <v>0</v>
      </c>
      <c r="I377" s="347">
        <v>0</v>
      </c>
      <c r="J377" s="347">
        <v>0</v>
      </c>
      <c r="K377" s="347">
        <v>0</v>
      </c>
      <c r="L377" s="347">
        <v>0</v>
      </c>
      <c r="M377" s="347">
        <v>0</v>
      </c>
      <c r="N377" s="347">
        <v>0</v>
      </c>
      <c r="O377" s="347">
        <v>0</v>
      </c>
      <c r="P377" s="347">
        <v>0</v>
      </c>
      <c r="Q377" s="347">
        <v>0</v>
      </c>
      <c r="R377" s="347">
        <v>0</v>
      </c>
      <c r="S377" s="347">
        <v>0</v>
      </c>
      <c r="T377" s="347">
        <v>0</v>
      </c>
      <c r="U377" s="347">
        <v>0</v>
      </c>
      <c r="V377" s="347">
        <v>0</v>
      </c>
      <c r="W377" s="347">
        <v>0</v>
      </c>
    </row>
    <row r="378" spans="1:23" x14ac:dyDescent="0.2">
      <c r="A378" s="290" t="s">
        <v>197</v>
      </c>
      <c r="B378" s="309"/>
      <c r="C378" s="283"/>
      <c r="D378" s="347">
        <v>0</v>
      </c>
      <c r="E378" s="347">
        <v>0</v>
      </c>
      <c r="F378" s="347">
        <v>0</v>
      </c>
      <c r="G378" s="347">
        <v>0</v>
      </c>
      <c r="H378" s="347">
        <v>0</v>
      </c>
      <c r="I378" s="347">
        <v>0</v>
      </c>
      <c r="J378" s="347">
        <v>0</v>
      </c>
      <c r="K378" s="347">
        <v>0</v>
      </c>
      <c r="L378" s="347">
        <v>0</v>
      </c>
      <c r="M378" s="347">
        <v>0</v>
      </c>
      <c r="N378" s="347">
        <v>0</v>
      </c>
      <c r="O378" s="347">
        <v>0</v>
      </c>
      <c r="P378" s="347">
        <v>0</v>
      </c>
      <c r="Q378" s="347">
        <v>0</v>
      </c>
      <c r="R378" s="347">
        <v>0</v>
      </c>
      <c r="S378" s="347">
        <v>0</v>
      </c>
      <c r="T378" s="347">
        <v>0</v>
      </c>
      <c r="U378" s="347">
        <v>0</v>
      </c>
      <c r="V378" s="347">
        <v>0</v>
      </c>
      <c r="W378" s="347">
        <v>0</v>
      </c>
    </row>
    <row r="379" spans="1:23" x14ac:dyDescent="0.2">
      <c r="A379" s="290" t="s">
        <v>198</v>
      </c>
      <c r="B379" s="309"/>
      <c r="C379" s="283"/>
      <c r="D379" s="348">
        <v>0</v>
      </c>
      <c r="E379" s="348">
        <v>0</v>
      </c>
      <c r="F379" s="348">
        <v>0</v>
      </c>
      <c r="G379" s="348">
        <v>0</v>
      </c>
      <c r="H379" s="348">
        <v>0</v>
      </c>
      <c r="I379" s="348">
        <v>0</v>
      </c>
      <c r="J379" s="348">
        <v>0</v>
      </c>
      <c r="K379" s="348">
        <v>0</v>
      </c>
      <c r="L379" s="348">
        <v>0</v>
      </c>
      <c r="M379" s="348">
        <v>0</v>
      </c>
      <c r="N379" s="348">
        <v>0</v>
      </c>
      <c r="O379" s="348">
        <v>0</v>
      </c>
      <c r="P379" s="348">
        <v>0</v>
      </c>
      <c r="Q379" s="348">
        <v>0</v>
      </c>
      <c r="R379" s="348">
        <v>0</v>
      </c>
      <c r="S379" s="348">
        <v>0</v>
      </c>
      <c r="T379" s="348">
        <v>0</v>
      </c>
      <c r="U379" s="348">
        <v>0</v>
      </c>
      <c r="V379" s="348">
        <v>0</v>
      </c>
      <c r="W379" s="348">
        <v>0</v>
      </c>
    </row>
    <row r="380" spans="1:23" ht="13.5" thickBot="1" x14ac:dyDescent="0.25">
      <c r="A380" s="290" t="s">
        <v>199</v>
      </c>
      <c r="B380" s="309"/>
      <c r="C380" s="283"/>
      <c r="D380" s="349">
        <v>0</v>
      </c>
      <c r="E380" s="349">
        <v>0</v>
      </c>
      <c r="F380" s="349">
        <v>0</v>
      </c>
      <c r="G380" s="349">
        <v>0</v>
      </c>
      <c r="H380" s="349">
        <v>0</v>
      </c>
      <c r="I380" s="349">
        <v>0</v>
      </c>
      <c r="J380" s="349">
        <v>0</v>
      </c>
      <c r="K380" s="349">
        <v>0</v>
      </c>
      <c r="L380" s="349">
        <v>0</v>
      </c>
      <c r="M380" s="349">
        <v>0</v>
      </c>
      <c r="N380" s="349">
        <v>0</v>
      </c>
      <c r="O380" s="349">
        <v>0</v>
      </c>
      <c r="P380" s="349">
        <v>0</v>
      </c>
      <c r="Q380" s="349">
        <v>0</v>
      </c>
      <c r="R380" s="349">
        <v>0</v>
      </c>
      <c r="S380" s="349">
        <v>0</v>
      </c>
      <c r="T380" s="349">
        <v>0</v>
      </c>
      <c r="U380" s="349">
        <v>0</v>
      </c>
      <c r="V380" s="349">
        <v>0</v>
      </c>
      <c r="W380" s="349">
        <v>0</v>
      </c>
    </row>
    <row r="381" spans="1:23" ht="13.5" thickTop="1" x14ac:dyDescent="0.2">
      <c r="A381" s="290"/>
      <c r="B381" s="309"/>
      <c r="C381" s="283"/>
      <c r="D381" s="347"/>
      <c r="E381" s="347"/>
      <c r="F381" s="347"/>
      <c r="G381" s="347"/>
      <c r="H381" s="347"/>
      <c r="I381" s="347"/>
      <c r="J381" s="347"/>
      <c r="K381" s="347"/>
      <c r="L381" s="347"/>
      <c r="M381" s="347"/>
      <c r="N381" s="347"/>
      <c r="O381" s="347"/>
      <c r="P381" s="347"/>
      <c r="Q381" s="347"/>
      <c r="R381" s="347"/>
      <c r="S381" s="347"/>
      <c r="T381" s="347"/>
      <c r="U381" s="347"/>
      <c r="V381" s="347"/>
      <c r="W381" s="347"/>
    </row>
    <row r="382" spans="1:23" x14ac:dyDescent="0.2">
      <c r="A382" s="290" t="s">
        <v>200</v>
      </c>
      <c r="B382" s="309"/>
      <c r="C382" s="283"/>
      <c r="D382" s="347">
        <v>0</v>
      </c>
      <c r="E382" s="347">
        <v>0</v>
      </c>
      <c r="F382" s="347">
        <v>0</v>
      </c>
      <c r="G382" s="347">
        <v>0</v>
      </c>
      <c r="H382" s="347">
        <v>0</v>
      </c>
      <c r="I382" s="347">
        <v>0</v>
      </c>
      <c r="J382" s="347">
        <v>0</v>
      </c>
      <c r="K382" s="347">
        <v>0</v>
      </c>
      <c r="L382" s="347">
        <v>0</v>
      </c>
      <c r="M382" s="347">
        <v>0</v>
      </c>
      <c r="N382" s="347">
        <v>0</v>
      </c>
      <c r="O382" s="347">
        <v>0</v>
      </c>
      <c r="P382" s="347">
        <v>0</v>
      </c>
      <c r="Q382" s="347">
        <v>0</v>
      </c>
      <c r="R382" s="347">
        <v>0</v>
      </c>
      <c r="S382" s="347">
        <v>0</v>
      </c>
      <c r="T382" s="347">
        <v>0</v>
      </c>
      <c r="U382" s="347">
        <v>0</v>
      </c>
      <c r="V382" s="347">
        <v>0</v>
      </c>
      <c r="W382" s="347">
        <v>0</v>
      </c>
    </row>
    <row r="383" spans="1:23" x14ac:dyDescent="0.2">
      <c r="A383" s="290"/>
      <c r="B383" s="309"/>
      <c r="C383" s="283"/>
      <c r="D383" s="283"/>
      <c r="E383" s="283"/>
      <c r="F383" s="283"/>
      <c r="G383" s="283"/>
      <c r="H383" s="283"/>
      <c r="I383" s="283"/>
      <c r="J383" s="283"/>
      <c r="K383" s="283"/>
      <c r="L383" s="283"/>
      <c r="M383" s="283"/>
      <c r="N383" s="283"/>
      <c r="O383" s="283"/>
      <c r="P383" s="283"/>
      <c r="Q383" s="283"/>
      <c r="R383" s="283"/>
      <c r="S383" s="283"/>
      <c r="T383" s="283"/>
      <c r="U383" s="283"/>
      <c r="V383" s="283"/>
      <c r="W383" s="283"/>
    </row>
    <row r="384" spans="1:23" x14ac:dyDescent="0.2">
      <c r="A384" s="290" t="s">
        <v>201</v>
      </c>
      <c r="B384" s="309"/>
      <c r="C384" s="283"/>
      <c r="D384" s="347">
        <v>0</v>
      </c>
      <c r="E384" s="347">
        <v>0</v>
      </c>
      <c r="F384" s="347">
        <v>0</v>
      </c>
      <c r="G384" s="347">
        <v>0</v>
      </c>
      <c r="H384" s="347">
        <v>0</v>
      </c>
      <c r="I384" s="347">
        <v>0</v>
      </c>
      <c r="J384" s="347">
        <v>0</v>
      </c>
      <c r="K384" s="347">
        <v>0</v>
      </c>
      <c r="L384" s="347">
        <v>0</v>
      </c>
      <c r="M384" s="347">
        <v>0</v>
      </c>
      <c r="N384" s="347">
        <v>0</v>
      </c>
      <c r="O384" s="347">
        <v>0</v>
      </c>
      <c r="P384" s="347">
        <v>0</v>
      </c>
      <c r="Q384" s="347">
        <v>0</v>
      </c>
      <c r="R384" s="347">
        <v>0</v>
      </c>
      <c r="S384" s="347">
        <v>0</v>
      </c>
      <c r="T384" s="347">
        <v>0</v>
      </c>
      <c r="U384" s="347">
        <v>0</v>
      </c>
      <c r="V384" s="347">
        <v>0</v>
      </c>
      <c r="W384" s="347">
        <v>0</v>
      </c>
    </row>
    <row r="385" spans="1:23" x14ac:dyDescent="0.2">
      <c r="A385" s="283"/>
      <c r="B385" s="309"/>
      <c r="C385" s="283"/>
      <c r="D385" s="283"/>
      <c r="E385" s="283"/>
      <c r="F385" s="283"/>
      <c r="G385" s="283"/>
      <c r="H385" s="283"/>
      <c r="I385" s="283"/>
      <c r="J385" s="283"/>
      <c r="K385" s="283"/>
      <c r="L385" s="283"/>
      <c r="M385" s="283"/>
      <c r="N385" s="283"/>
      <c r="O385" s="283"/>
      <c r="P385" s="283"/>
      <c r="Q385" s="283"/>
      <c r="R385" s="283"/>
      <c r="S385" s="283"/>
      <c r="T385" s="283"/>
      <c r="U385" s="283"/>
      <c r="V385" s="283"/>
      <c r="W385" s="283"/>
    </row>
    <row r="386" spans="1:23" x14ac:dyDescent="0.2">
      <c r="A386" s="283"/>
      <c r="B386" s="309"/>
      <c r="C386" s="283"/>
      <c r="D386" s="283"/>
      <c r="E386" s="283"/>
      <c r="F386" s="283"/>
      <c r="G386" s="283"/>
      <c r="H386" s="283"/>
      <c r="I386" s="283"/>
      <c r="J386" s="283"/>
      <c r="K386" s="283"/>
      <c r="L386" s="283"/>
      <c r="M386" s="283"/>
      <c r="N386" s="283"/>
      <c r="O386" s="283"/>
      <c r="P386" s="283"/>
      <c r="Q386" s="283"/>
      <c r="R386" s="283"/>
      <c r="S386" s="283"/>
      <c r="T386" s="283"/>
      <c r="U386" s="283"/>
      <c r="V386" s="283"/>
      <c r="W386" s="283"/>
    </row>
    <row r="387" spans="1:23" x14ac:dyDescent="0.2">
      <c r="A387" s="290" t="s">
        <v>203</v>
      </c>
      <c r="B387" s="285"/>
      <c r="C387" s="284"/>
      <c r="D387" s="441">
        <v>17117721.990756251</v>
      </c>
      <c r="E387" s="441">
        <v>17848338.253710229</v>
      </c>
      <c r="F387" s="441">
        <v>19585365.913603898</v>
      </c>
      <c r="G387" s="441">
        <v>18305874.038820159</v>
      </c>
      <c r="H387" s="441">
        <v>18363088.340541698</v>
      </c>
      <c r="I387" s="441">
        <v>19472255.536442447</v>
      </c>
      <c r="J387" s="441">
        <v>21395194.642214835</v>
      </c>
      <c r="K387" s="441">
        <v>21957612.870316144</v>
      </c>
      <c r="L387" s="441">
        <v>22370802.46528386</v>
      </c>
      <c r="M387" s="441">
        <v>22250782.44571678</v>
      </c>
      <c r="N387" s="441">
        <v>22821030.228941511</v>
      </c>
      <c r="O387" s="441">
        <v>22773658.070181932</v>
      </c>
      <c r="P387" s="441">
        <v>22867700.048328467</v>
      </c>
      <c r="Q387" s="441">
        <v>23917620.044121757</v>
      </c>
      <c r="R387" s="441">
        <v>26709202.381230235</v>
      </c>
      <c r="S387" s="441">
        <v>25879583.304837026</v>
      </c>
      <c r="T387" s="441">
        <v>26096922.244964283</v>
      </c>
      <c r="U387" s="441">
        <v>27964064.212895025</v>
      </c>
      <c r="V387" s="441">
        <v>29387393.909619834</v>
      </c>
      <c r="W387" s="441">
        <v>154024608.23656365</v>
      </c>
    </row>
    <row r="388" spans="1:23" x14ac:dyDescent="0.2">
      <c r="A388" s="9"/>
      <c r="B388" s="6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 x14ac:dyDescent="0.2">
      <c r="B389" s="354"/>
      <c r="C389" s="355"/>
      <c r="D389" s="355"/>
      <c r="E389" s="355"/>
      <c r="F389" s="355"/>
      <c r="G389" s="355"/>
      <c r="H389" s="355"/>
      <c r="I389" s="355"/>
      <c r="J389" s="355"/>
      <c r="K389" s="355"/>
      <c r="L389" s="355"/>
      <c r="M389" s="355"/>
      <c r="N389" s="355"/>
      <c r="O389" s="355"/>
      <c r="P389" s="355"/>
      <c r="Q389" s="355"/>
      <c r="R389" s="355"/>
      <c r="S389" s="355"/>
      <c r="T389" s="355"/>
      <c r="U389" s="355"/>
      <c r="V389" s="355"/>
      <c r="W389" s="300"/>
    </row>
    <row r="390" spans="1:23" x14ac:dyDescent="0.2">
      <c r="B390" s="354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5"/>
      <c r="N390" s="355"/>
      <c r="O390" s="355"/>
      <c r="P390" s="355"/>
      <c r="Q390" s="355"/>
      <c r="R390" s="355"/>
      <c r="S390" s="355"/>
      <c r="T390" s="355"/>
      <c r="U390" s="355"/>
      <c r="V390" s="355"/>
      <c r="W390" s="300"/>
    </row>
    <row r="391" spans="1:23" x14ac:dyDescent="0.2">
      <c r="B391" s="356"/>
      <c r="C391" s="358"/>
      <c r="D391" s="358"/>
      <c r="E391" s="358"/>
      <c r="F391" s="358"/>
      <c r="G391" s="358"/>
      <c r="H391" s="358"/>
      <c r="I391" s="358"/>
      <c r="J391" s="358"/>
      <c r="K391" s="358"/>
      <c r="L391" s="358"/>
      <c r="M391" s="358"/>
      <c r="N391" s="358"/>
      <c r="O391" s="358"/>
      <c r="P391" s="358"/>
      <c r="Q391" s="358"/>
      <c r="R391" s="358"/>
      <c r="S391" s="358"/>
      <c r="T391" s="358"/>
      <c r="U391" s="358"/>
      <c r="V391" s="358"/>
      <c r="W391" s="300"/>
    </row>
    <row r="392" spans="1:23" x14ac:dyDescent="0.2">
      <c r="B392" s="354"/>
      <c r="C392" s="355"/>
      <c r="D392" s="355"/>
      <c r="E392" s="355"/>
      <c r="F392" s="355"/>
      <c r="G392" s="355"/>
      <c r="H392" s="355"/>
      <c r="I392" s="355"/>
      <c r="J392" s="355"/>
      <c r="K392" s="355"/>
      <c r="L392" s="355"/>
      <c r="M392" s="355"/>
      <c r="N392" s="355"/>
      <c r="O392" s="355"/>
      <c r="P392" s="355"/>
      <c r="Q392" s="355"/>
      <c r="R392" s="355"/>
      <c r="S392" s="355"/>
      <c r="T392" s="355"/>
      <c r="U392" s="355"/>
      <c r="V392" s="355"/>
      <c r="W392" s="300"/>
    </row>
    <row r="393" spans="1:23" x14ac:dyDescent="0.2">
      <c r="B393" s="354"/>
      <c r="C393" s="355"/>
      <c r="D393" s="355"/>
      <c r="E393" s="355"/>
      <c r="F393" s="355"/>
      <c r="G393" s="355"/>
      <c r="H393" s="355"/>
      <c r="I393" s="355"/>
      <c r="J393" s="355"/>
      <c r="K393" s="355"/>
      <c r="L393" s="355"/>
      <c r="M393" s="355"/>
      <c r="N393" s="355"/>
      <c r="O393" s="355"/>
      <c r="P393" s="355"/>
      <c r="Q393" s="355"/>
      <c r="R393" s="355"/>
      <c r="S393" s="355"/>
      <c r="T393" s="355"/>
      <c r="U393" s="355"/>
      <c r="V393" s="355"/>
      <c r="W393" s="300"/>
    </row>
    <row r="394" spans="1:23" x14ac:dyDescent="0.2">
      <c r="B394" s="354"/>
      <c r="C394" s="355"/>
      <c r="D394" s="355"/>
      <c r="E394" s="355"/>
      <c r="F394" s="355"/>
      <c r="G394" s="355"/>
      <c r="H394" s="355"/>
      <c r="I394" s="355"/>
      <c r="J394" s="355"/>
      <c r="K394" s="355"/>
      <c r="L394" s="355"/>
      <c r="M394" s="355"/>
      <c r="N394" s="355"/>
      <c r="O394" s="355"/>
      <c r="P394" s="355"/>
      <c r="Q394" s="355"/>
      <c r="R394" s="355"/>
      <c r="S394" s="355"/>
      <c r="T394" s="355"/>
      <c r="U394" s="355"/>
      <c r="V394" s="355"/>
      <c r="W394" s="300"/>
    </row>
    <row r="395" spans="1:23" x14ac:dyDescent="0.2">
      <c r="B395" s="356"/>
      <c r="C395" s="359"/>
      <c r="D395" s="359"/>
      <c r="E395" s="359"/>
      <c r="F395" s="359"/>
      <c r="G395" s="359"/>
      <c r="H395" s="359"/>
      <c r="I395" s="359"/>
      <c r="J395" s="359"/>
      <c r="K395" s="359"/>
      <c r="L395" s="359"/>
      <c r="M395" s="359"/>
      <c r="N395" s="359"/>
      <c r="O395" s="359"/>
      <c r="P395" s="359"/>
      <c r="Q395" s="359"/>
      <c r="R395" s="359"/>
      <c r="S395" s="359"/>
      <c r="T395" s="359"/>
      <c r="U395" s="359"/>
      <c r="V395" s="359"/>
      <c r="W395" s="300"/>
    </row>
    <row r="396" spans="1:23" ht="15.75" x14ac:dyDescent="0.25">
      <c r="A396" s="308" t="s">
        <v>29</v>
      </c>
      <c r="B396" s="311" t="s">
        <v>60</v>
      </c>
      <c r="C396" s="312">
        <v>2000</v>
      </c>
      <c r="D396" s="312">
        <v>2001</v>
      </c>
      <c r="E396" s="312">
        <v>2002</v>
      </c>
      <c r="F396" s="312">
        <v>2003</v>
      </c>
      <c r="G396" s="312">
        <v>2004</v>
      </c>
      <c r="H396" s="312">
        <v>2005</v>
      </c>
      <c r="I396" s="312">
        <v>2006</v>
      </c>
      <c r="J396" s="312">
        <v>2007</v>
      </c>
      <c r="K396" s="312">
        <v>2008</v>
      </c>
      <c r="L396" s="312">
        <v>2009</v>
      </c>
      <c r="M396" s="312">
        <v>2010</v>
      </c>
      <c r="N396" s="312">
        <v>2011</v>
      </c>
      <c r="O396" s="312">
        <v>2012</v>
      </c>
      <c r="P396" s="312">
        <v>2013</v>
      </c>
      <c r="Q396" s="312">
        <v>2014</v>
      </c>
      <c r="R396" s="312">
        <v>2015</v>
      </c>
      <c r="S396" s="312">
        <v>2016</v>
      </c>
      <c r="T396" s="312">
        <v>2017</v>
      </c>
      <c r="U396" s="312">
        <v>2018</v>
      </c>
      <c r="V396" s="312">
        <v>2019</v>
      </c>
      <c r="W396" s="312" t="s">
        <v>154</v>
      </c>
    </row>
    <row r="397" spans="1:23" x14ac:dyDescent="0.2">
      <c r="A397" s="308" t="s">
        <v>26</v>
      </c>
      <c r="B397" s="309">
        <v>228.15</v>
      </c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</row>
    <row r="398" spans="1:23" x14ac:dyDescent="0.2">
      <c r="A398" s="9"/>
      <c r="B398" s="315" t="s">
        <v>27</v>
      </c>
      <c r="C398" s="449">
        <v>0</v>
      </c>
      <c r="D398" s="410">
        <v>62374022.61234837</v>
      </c>
      <c r="E398" s="410">
        <v>60807790.240859397</v>
      </c>
      <c r="F398" s="410">
        <v>60918963.21405647</v>
      </c>
      <c r="G398" s="410">
        <v>59340844.539256766</v>
      </c>
      <c r="H398" s="410">
        <v>58802847.450839549</v>
      </c>
      <c r="I398" s="410">
        <v>62081983.0189806</v>
      </c>
      <c r="J398" s="410">
        <v>66774846.213062659</v>
      </c>
      <c r="K398" s="410">
        <v>68573227.546283305</v>
      </c>
      <c r="L398" s="410">
        <v>69989226.752305493</v>
      </c>
      <c r="M398" s="410">
        <v>70240295.032867715</v>
      </c>
      <c r="N398" s="410">
        <v>71775746.455274656</v>
      </c>
      <c r="O398" s="410">
        <v>72552267.362059951</v>
      </c>
      <c r="P398" s="410">
        <v>73425315.633657664</v>
      </c>
      <c r="Q398" s="410">
        <v>76049406.336161956</v>
      </c>
      <c r="R398" s="410">
        <v>81414045.102546677</v>
      </c>
      <c r="S398" s="410">
        <v>80995127.822895721</v>
      </c>
      <c r="T398" s="410">
        <v>82094859.562122285</v>
      </c>
      <c r="U398" s="410">
        <v>86014186.508909687</v>
      </c>
      <c r="V398" s="410">
        <v>88591798.191163972</v>
      </c>
      <c r="W398" s="333"/>
    </row>
    <row r="399" spans="1:23" x14ac:dyDescent="0.2">
      <c r="A399" s="9"/>
      <c r="B399" s="315" t="s">
        <v>20</v>
      </c>
      <c r="C399" s="449">
        <v>0</v>
      </c>
      <c r="D399" s="410">
        <v>-18518908.942354385</v>
      </c>
      <c r="E399" s="410">
        <v>-18529701.042189401</v>
      </c>
      <c r="F399" s="410">
        <v>-18586994.293004882</v>
      </c>
      <c r="G399" s="410">
        <v>-18844063.287729401</v>
      </c>
      <c r="H399" s="410">
        <v>-19210323.159843545</v>
      </c>
      <c r="I399" s="410">
        <v>-19765647.069703508</v>
      </c>
      <c r="J399" s="410">
        <v>-20221297.402269911</v>
      </c>
      <c r="K399" s="410">
        <v>-20656632.114912957</v>
      </c>
      <c r="L399" s="410">
        <v>-20993290.959356926</v>
      </c>
      <c r="M399" s="410">
        <v>-21155815.918743659</v>
      </c>
      <c r="N399" s="410">
        <v>-21440234.597670466</v>
      </c>
      <c r="O399" s="410">
        <v>-21904591.624489721</v>
      </c>
      <c r="P399" s="410">
        <v>-22402324.312611621</v>
      </c>
      <c r="Q399" s="410">
        <v>-22876839.149392549</v>
      </c>
      <c r="R399" s="410">
        <v>-23197535.721039593</v>
      </c>
      <c r="S399" s="410">
        <v>-23672050.557820525</v>
      </c>
      <c r="T399" s="410">
        <v>-24211865.601497907</v>
      </c>
      <c r="U399" s="410">
        <v>-24806823.042110097</v>
      </c>
      <c r="V399" s="410">
        <v>-25419193.871227995</v>
      </c>
      <c r="W399" s="333"/>
    </row>
    <row r="400" spans="1:23" x14ac:dyDescent="0.2">
      <c r="A400" s="9"/>
      <c r="B400" s="315" t="s">
        <v>31</v>
      </c>
      <c r="C400" s="449">
        <v>0</v>
      </c>
      <c r="D400" s="410">
        <v>-1366421.756860123</v>
      </c>
      <c r="E400" s="410">
        <v>-1375114.0259118036</v>
      </c>
      <c r="F400" s="410">
        <v>-2268443.406893007</v>
      </c>
      <c r="G400" s="410">
        <v>-2284890.0516096181</v>
      </c>
      <c r="H400" s="410">
        <v>-2300283.4130127765</v>
      </c>
      <c r="I400" s="410">
        <v>-2328983.4872722905</v>
      </c>
      <c r="J400" s="410">
        <v>-2380406.993793299</v>
      </c>
      <c r="K400" s="410">
        <v>-2432978.8125462565</v>
      </c>
      <c r="L400" s="410">
        <v>-2486724.8805208346</v>
      </c>
      <c r="M400" s="410">
        <v>-2541671.7272043088</v>
      </c>
      <c r="N400" s="410">
        <v>-2597846.4882651451</v>
      </c>
      <c r="O400" s="410">
        <v>-2655276.9195558876</v>
      </c>
      <c r="P400" s="410">
        <v>-2713991.411442887</v>
      </c>
      <c r="Q400" s="410">
        <v>-2774019.0034705373</v>
      </c>
      <c r="R400" s="410">
        <v>-2835389.3993679415</v>
      </c>
      <c r="S400" s="410">
        <v>-2898132.982406056</v>
      </c>
      <c r="T400" s="410">
        <v>-2962280.8311135871</v>
      </c>
      <c r="U400" s="410">
        <v>-3027864.7353600929</v>
      </c>
      <c r="V400" s="410">
        <v>-3094917.212814963</v>
      </c>
      <c r="W400" s="333"/>
    </row>
    <row r="401" spans="1:23" x14ac:dyDescent="0.2">
      <c r="A401" s="9"/>
      <c r="B401" s="315" t="s">
        <v>32</v>
      </c>
      <c r="C401" s="449">
        <v>0</v>
      </c>
      <c r="D401" s="410">
        <v>0</v>
      </c>
      <c r="E401" s="410">
        <v>0</v>
      </c>
      <c r="F401" s="410">
        <v>0</v>
      </c>
      <c r="G401" s="410">
        <v>0</v>
      </c>
      <c r="H401" s="410">
        <v>0</v>
      </c>
      <c r="I401" s="410">
        <v>-195743.27510704705</v>
      </c>
      <c r="J401" s="410">
        <v>-216965.78370905435</v>
      </c>
      <c r="K401" s="410">
        <v>-363825.82011105306</v>
      </c>
      <c r="L401" s="410">
        <v>-262957.0425839182</v>
      </c>
      <c r="M401" s="410">
        <v>-292448.66112654563</v>
      </c>
      <c r="N401" s="410">
        <v>-322154.31629852811</v>
      </c>
      <c r="O401" s="410">
        <v>-356937.32398030255</v>
      </c>
      <c r="P401" s="410">
        <v>-400220.63601727225</v>
      </c>
      <c r="Q401" s="410">
        <v>-445508.02112411894</v>
      </c>
      <c r="R401" s="410">
        <v>-493486.79257774353</v>
      </c>
      <c r="S401" s="410">
        <v>-541847.89137975872</v>
      </c>
      <c r="T401" s="410">
        <v>-532339.13692251686</v>
      </c>
      <c r="U401" s="410">
        <v>-455444.92453897092</v>
      </c>
      <c r="V401" s="410">
        <v>-472212.35873541422</v>
      </c>
      <c r="W401" s="333"/>
    </row>
    <row r="402" spans="1:23" ht="13.5" thickBot="1" x14ac:dyDescent="0.25">
      <c r="A402" s="9"/>
      <c r="B402" s="316" t="s">
        <v>33</v>
      </c>
      <c r="C402" s="450">
        <v>0</v>
      </c>
      <c r="D402" s="412">
        <v>0</v>
      </c>
      <c r="E402" s="412">
        <v>0</v>
      </c>
      <c r="F402" s="412">
        <v>-1370720.4239625116</v>
      </c>
      <c r="G402" s="412">
        <v>-1151012.0447883876</v>
      </c>
      <c r="H402" s="412">
        <v>-1176983.0473927902</v>
      </c>
      <c r="I402" s="412">
        <v>-1210921.7500588663</v>
      </c>
      <c r="J402" s="412">
        <v>-1589412.4543676432</v>
      </c>
      <c r="K402" s="412">
        <v>-1387934.6592428216</v>
      </c>
      <c r="L402" s="412">
        <v>-1469453.4092837784</v>
      </c>
      <c r="M402" s="412">
        <v>-1398241.1974708475</v>
      </c>
      <c r="N402" s="412">
        <v>-1438287.9777660763</v>
      </c>
      <c r="O402" s="412">
        <v>-1475584.0391635143</v>
      </c>
      <c r="P402" s="412">
        <v>-1318006.1348223833</v>
      </c>
      <c r="Q402" s="412">
        <v>-1365131.0204728283</v>
      </c>
      <c r="R402" s="412">
        <v>-1393341.9734010745</v>
      </c>
      <c r="S402" s="412">
        <v>-1479631.2819856917</v>
      </c>
      <c r="T402" s="412">
        <v>-1391006.8674144871</v>
      </c>
      <c r="U402" s="412">
        <v>-1532023.0279689617</v>
      </c>
      <c r="V402" s="412">
        <v>-834110.78691201366</v>
      </c>
      <c r="W402" s="333"/>
    </row>
    <row r="403" spans="1:23" ht="13.5" thickTop="1" x14ac:dyDescent="0.2">
      <c r="A403" s="9"/>
      <c r="B403" s="317" t="s">
        <v>38</v>
      </c>
      <c r="C403" s="451">
        <v>0</v>
      </c>
      <c r="D403" s="414">
        <v>42488691.91313386</v>
      </c>
      <c r="E403" s="414">
        <v>40902975.172758199</v>
      </c>
      <c r="F403" s="414">
        <v>38692805.090196073</v>
      </c>
      <c r="G403" s="414">
        <v>37060879.155129358</v>
      </c>
      <c r="H403" s="414">
        <v>36115257.830590434</v>
      </c>
      <c r="I403" s="414">
        <v>38580687.43683888</v>
      </c>
      <c r="J403" s="414">
        <v>42366763.578922741</v>
      </c>
      <c r="K403" s="414">
        <v>43731856.13947022</v>
      </c>
      <c r="L403" s="414">
        <v>44776800.460560031</v>
      </c>
      <c r="M403" s="414">
        <v>44852117.528322354</v>
      </c>
      <c r="N403" s="414">
        <v>45977223.075274445</v>
      </c>
      <c r="O403" s="414">
        <v>46159877.454870522</v>
      </c>
      <c r="P403" s="414">
        <v>46590773.138763495</v>
      </c>
      <c r="Q403" s="414">
        <v>48587909.141701922</v>
      </c>
      <c r="R403" s="414">
        <v>53494291.21616032</v>
      </c>
      <c r="S403" s="414">
        <v>52403465.109303683</v>
      </c>
      <c r="T403" s="414">
        <v>52997367.125173792</v>
      </c>
      <c r="U403" s="414">
        <v>56192030.778931558</v>
      </c>
      <c r="V403" s="414">
        <v>58771363.961473584</v>
      </c>
      <c r="W403" s="333"/>
    </row>
    <row r="404" spans="1:23" x14ac:dyDescent="0.2">
      <c r="A404" s="9"/>
      <c r="B404" s="315" t="s">
        <v>34</v>
      </c>
      <c r="C404" s="449">
        <v>0</v>
      </c>
      <c r="D404" s="410">
        <v>-2794736.7439314071</v>
      </c>
      <c r="E404" s="410">
        <v>-2850631.4788100352</v>
      </c>
      <c r="F404" s="410">
        <v>-2949643.1083862358</v>
      </c>
      <c r="G404" s="410">
        <v>-3008845.9655539608</v>
      </c>
      <c r="H404" s="410">
        <v>-3069238.1297400398</v>
      </c>
      <c r="I404" s="410">
        <v>-3130843.5183317158</v>
      </c>
      <c r="J404" s="410">
        <v>-3193686.5303451475</v>
      </c>
      <c r="K404" s="410">
        <v>-3257792.0561400168</v>
      </c>
      <c r="L404" s="410">
        <v>-3323185.4873304833</v>
      </c>
      <c r="M404" s="410">
        <v>-3389892.7268964504</v>
      </c>
      <c r="N404" s="410">
        <v>-3457940.1994992211</v>
      </c>
      <c r="O404" s="410">
        <v>-3527354.8620056682</v>
      </c>
      <c r="P404" s="410">
        <v>-3598164.2142251558</v>
      </c>
      <c r="Q404" s="410">
        <v>-3670396.3098635175</v>
      </c>
      <c r="R404" s="410">
        <v>-3744079.7676984929</v>
      </c>
      <c r="S404" s="410">
        <v>-3819243.7829811103</v>
      </c>
      <c r="T404" s="410">
        <v>-3895918.1390675968</v>
      </c>
      <c r="U404" s="410">
        <v>-3974133.2192864837</v>
      </c>
      <c r="V404" s="410">
        <v>-4053920.0190456873</v>
      </c>
      <c r="W404" s="333"/>
    </row>
    <row r="405" spans="1:23" x14ac:dyDescent="0.2">
      <c r="A405" s="9"/>
      <c r="B405" s="315" t="s">
        <v>35</v>
      </c>
      <c r="C405" s="449">
        <v>0</v>
      </c>
      <c r="D405" s="410">
        <v>-388299.7921559058</v>
      </c>
      <c r="E405" s="410">
        <v>-397276.51828614395</v>
      </c>
      <c r="F405" s="410">
        <v>-406449.83471863432</v>
      </c>
      <c r="G405" s="410">
        <v>-415830.46810249891</v>
      </c>
      <c r="H405" s="410">
        <v>-425434.36056089948</v>
      </c>
      <c r="I405" s="410">
        <v>-435680.84021321853</v>
      </c>
      <c r="J405" s="410">
        <v>-445769.5798686521</v>
      </c>
      <c r="K405" s="410">
        <v>-456535.8470507703</v>
      </c>
      <c r="L405" s="410">
        <v>-467135.4529866915</v>
      </c>
      <c r="M405" s="410">
        <v>-478005.34887397866</v>
      </c>
      <c r="N405" s="410">
        <v>-489138.29624173819</v>
      </c>
      <c r="O405" s="410">
        <v>-500551.79388316523</v>
      </c>
      <c r="P405" s="410">
        <v>-512255.19436468452</v>
      </c>
      <c r="Q405" s="410">
        <v>-524251.17985824175</v>
      </c>
      <c r="R405" s="410">
        <v>-536548.26458768733</v>
      </c>
      <c r="S405" s="410">
        <v>-549152.77643536904</v>
      </c>
      <c r="T405" s="410">
        <v>-562069.88017687318</v>
      </c>
      <c r="U405" s="410">
        <v>-575311.2032222891</v>
      </c>
      <c r="V405" s="410">
        <v>-588884.88347614498</v>
      </c>
      <c r="W405" s="333"/>
    </row>
    <row r="406" spans="1:23" ht="13.5" thickBot="1" x14ac:dyDescent="0.25">
      <c r="A406" s="9"/>
      <c r="B406" s="316" t="s">
        <v>36</v>
      </c>
      <c r="C406" s="450">
        <v>0</v>
      </c>
      <c r="D406" s="412">
        <v>-535405.353751207</v>
      </c>
      <c r="E406" s="412">
        <v>-546702.40671536105</v>
      </c>
      <c r="F406" s="412">
        <v>-558675.18942242803</v>
      </c>
      <c r="G406" s="412">
        <v>-571301.24870336999</v>
      </c>
      <c r="H406" s="412">
        <v>-584898.21842251206</v>
      </c>
      <c r="I406" s="412">
        <v>-599555.82657704898</v>
      </c>
      <c r="J406" s="412">
        <v>-614426.48136174004</v>
      </c>
      <c r="K406" s="412">
        <v>-629978.88536292303</v>
      </c>
      <c r="L406" s="412">
        <v>-645539.36383138795</v>
      </c>
      <c r="M406" s="412">
        <v>-662000.61760908598</v>
      </c>
      <c r="N406" s="412">
        <v>-678021.03255522903</v>
      </c>
      <c r="O406" s="412">
        <v>-695107.16257561895</v>
      </c>
      <c r="P406" s="412">
        <v>-712762.88450503803</v>
      </c>
      <c r="Q406" s="412">
        <v>-730581.95661766396</v>
      </c>
      <c r="R406" s="412">
        <v>-748919.56372876698</v>
      </c>
      <c r="S406" s="412">
        <v>-767642.55282198801</v>
      </c>
      <c r="T406" s="412">
        <v>-786680.08813197201</v>
      </c>
      <c r="U406" s="412">
        <v>-806425.758344086</v>
      </c>
      <c r="V406" s="412">
        <v>-826667.04487852298</v>
      </c>
      <c r="W406" s="333"/>
    </row>
    <row r="407" spans="1:23" ht="13.5" thickTop="1" x14ac:dyDescent="0.2">
      <c r="A407" s="9"/>
      <c r="B407" s="317" t="s">
        <v>221</v>
      </c>
      <c r="C407" s="452">
        <v>0</v>
      </c>
      <c r="D407" s="416">
        <v>38770250.023295343</v>
      </c>
      <c r="E407" s="416">
        <v>37108364.768946655</v>
      </c>
      <c r="F407" s="416">
        <v>34778036.957668774</v>
      </c>
      <c r="G407" s="416">
        <v>33064901.472769525</v>
      </c>
      <c r="H407" s="416">
        <v>32035687.121866982</v>
      </c>
      <c r="I407" s="416">
        <v>34414607.251716897</v>
      </c>
      <c r="J407" s="416">
        <v>38112880.987347201</v>
      </c>
      <c r="K407" s="416">
        <v>39387549.350916505</v>
      </c>
      <c r="L407" s="416">
        <v>40340940.156411469</v>
      </c>
      <c r="M407" s="416">
        <v>40322218.83494284</v>
      </c>
      <c r="N407" s="416">
        <v>41352123.546978258</v>
      </c>
      <c r="O407" s="416">
        <v>41436863.636406071</v>
      </c>
      <c r="P407" s="416">
        <v>41767590.845668614</v>
      </c>
      <c r="Q407" s="416">
        <v>43662679.695362501</v>
      </c>
      <c r="R407" s="416">
        <v>48464743.62014538</v>
      </c>
      <c r="S407" s="416">
        <v>47267425.997065216</v>
      </c>
      <c r="T407" s="416">
        <v>47752699.017797351</v>
      </c>
      <c r="U407" s="416">
        <v>50836160.598078698</v>
      </c>
      <c r="V407" s="416">
        <v>53301892.01407323</v>
      </c>
      <c r="W407" s="333"/>
    </row>
    <row r="408" spans="1:23" x14ac:dyDescent="0.2">
      <c r="A408" s="9"/>
      <c r="B408" s="315" t="s">
        <v>37</v>
      </c>
      <c r="C408" s="449">
        <v>0</v>
      </c>
      <c r="D408" s="410">
        <v>-2047316.6174999999</v>
      </c>
      <c r="E408" s="410">
        <v>-2844446.8905799999</v>
      </c>
      <c r="F408" s="410">
        <v>-3165077.3662298</v>
      </c>
      <c r="G408" s="410">
        <v>-3211737.3334907</v>
      </c>
      <c r="H408" s="410">
        <v>-3206886.8481525001</v>
      </c>
      <c r="I408" s="410">
        <v>-2893055.4684443199</v>
      </c>
      <c r="J408" s="410">
        <v>-2351871.6103367917</v>
      </c>
      <c r="K408" s="410">
        <v>-2050586.4727368024</v>
      </c>
      <c r="L408" s="410">
        <v>-1865662.4146080394</v>
      </c>
      <c r="M408" s="410">
        <v>-1821135.6325193688</v>
      </c>
      <c r="N408" s="410">
        <v>-1935763.4299676127</v>
      </c>
      <c r="O408" s="410">
        <v>-1933224.1710092709</v>
      </c>
      <c r="P408" s="410">
        <v>-1933306.0618530172</v>
      </c>
      <c r="Q408" s="410">
        <v>-1985984.3044220754</v>
      </c>
      <c r="R408" s="410">
        <v>-2042181.4917682055</v>
      </c>
      <c r="S408" s="410">
        <v>-2051636.6422347198</v>
      </c>
      <c r="T408" s="410">
        <v>-2064919.0447152294</v>
      </c>
      <c r="U408" s="410">
        <v>-2201241.1067701546</v>
      </c>
      <c r="V408" s="410">
        <v>-2313747.2056867271</v>
      </c>
      <c r="W408" s="333"/>
    </row>
    <row r="409" spans="1:23" ht="13.5" thickBot="1" x14ac:dyDescent="0.25">
      <c r="A409" s="9"/>
      <c r="B409" s="316" t="s">
        <v>222</v>
      </c>
      <c r="C409" s="450">
        <v>0</v>
      </c>
      <c r="D409" s="412">
        <v>-14689173.362318138</v>
      </c>
      <c r="E409" s="412">
        <v>-13705567.151346663</v>
      </c>
      <c r="F409" s="412">
        <v>-12645183.83657559</v>
      </c>
      <c r="G409" s="412">
        <v>-11941265.655711532</v>
      </c>
      <c r="H409" s="412">
        <v>-11531520.109485794</v>
      </c>
      <c r="I409" s="412">
        <v>-12608620.713309031</v>
      </c>
      <c r="J409" s="412">
        <v>-14304403.750804164</v>
      </c>
      <c r="K409" s="412">
        <v>-14934785.15127188</v>
      </c>
      <c r="L409" s="412">
        <v>-15390111.096721373</v>
      </c>
      <c r="M409" s="412">
        <v>-15400433.280969389</v>
      </c>
      <c r="N409" s="412">
        <v>-15766544.046804259</v>
      </c>
      <c r="O409" s="412">
        <v>-15801455.78615872</v>
      </c>
      <c r="P409" s="412">
        <v>-15933713.913526241</v>
      </c>
      <c r="Q409" s="412">
        <v>-16670678.156376172</v>
      </c>
      <c r="R409" s="412">
        <v>-18569024.85135087</v>
      </c>
      <c r="S409" s="412">
        <v>-18086315.741932198</v>
      </c>
      <c r="T409" s="412">
        <v>-18275111.989232849</v>
      </c>
      <c r="U409" s="412">
        <v>-19453967.796523418</v>
      </c>
      <c r="V409" s="412">
        <v>-20395257.923354603</v>
      </c>
      <c r="W409" s="333"/>
    </row>
    <row r="410" spans="1:23" ht="13.5" thickTop="1" x14ac:dyDescent="0.2">
      <c r="A410" s="9"/>
      <c r="B410" s="317" t="s">
        <v>183</v>
      </c>
      <c r="C410" s="452">
        <v>0</v>
      </c>
      <c r="D410" s="416">
        <v>22033760.043477207</v>
      </c>
      <c r="E410" s="416">
        <v>20558350.727019995</v>
      </c>
      <c r="F410" s="416">
        <v>18967775.754863385</v>
      </c>
      <c r="G410" s="416">
        <v>17911898.483567294</v>
      </c>
      <c r="H410" s="416">
        <v>17297280.164228689</v>
      </c>
      <c r="I410" s="416">
        <v>18912931.069963545</v>
      </c>
      <c r="J410" s="416">
        <v>21456605.626206242</v>
      </c>
      <c r="K410" s="416">
        <v>22402177.72690782</v>
      </c>
      <c r="L410" s="416">
        <v>23085166.645082057</v>
      </c>
      <c r="M410" s="416">
        <v>23100649.921454079</v>
      </c>
      <c r="N410" s="416">
        <v>23649816.070206389</v>
      </c>
      <c r="O410" s="416">
        <v>23702183.679238081</v>
      </c>
      <c r="P410" s="416">
        <v>23900570.870289359</v>
      </c>
      <c r="Q410" s="416">
        <v>25006017.234564256</v>
      </c>
      <c r="R410" s="416">
        <v>27853537.277026307</v>
      </c>
      <c r="S410" s="416">
        <v>27129473.612898298</v>
      </c>
      <c r="T410" s="416">
        <v>27412667.983849276</v>
      </c>
      <c r="U410" s="416">
        <v>29180951.694785122</v>
      </c>
      <c r="V410" s="416">
        <v>30592886.885031901</v>
      </c>
      <c r="W410" s="333"/>
    </row>
    <row r="411" spans="1:23" x14ac:dyDescent="0.2">
      <c r="A411" s="9"/>
      <c r="B411" s="315" t="s">
        <v>37</v>
      </c>
      <c r="C411" s="449">
        <v>0</v>
      </c>
      <c r="D411" s="410">
        <v>2047316.6174999999</v>
      </c>
      <c r="E411" s="410">
        <v>2844446.8905799999</v>
      </c>
      <c r="F411" s="410">
        <v>3165077.3662298</v>
      </c>
      <c r="G411" s="410">
        <v>3211737.3334907</v>
      </c>
      <c r="H411" s="410">
        <v>3206886.8481525001</v>
      </c>
      <c r="I411" s="410">
        <v>2893055.4684443199</v>
      </c>
      <c r="J411" s="410">
        <v>2351871.6103367917</v>
      </c>
      <c r="K411" s="410">
        <v>2050586.4727368024</v>
      </c>
      <c r="L411" s="410">
        <v>1865662.4146080394</v>
      </c>
      <c r="M411" s="410">
        <v>1821135.6325193688</v>
      </c>
      <c r="N411" s="410">
        <v>1935763.4299676127</v>
      </c>
      <c r="O411" s="410">
        <v>1933224.1710092709</v>
      </c>
      <c r="P411" s="410">
        <v>1933306.0618530172</v>
      </c>
      <c r="Q411" s="410">
        <v>1985984.3044220754</v>
      </c>
      <c r="R411" s="410">
        <v>2042181.4917682055</v>
      </c>
      <c r="S411" s="410">
        <v>2051636.6422347198</v>
      </c>
      <c r="T411" s="410">
        <v>2064919.0447152294</v>
      </c>
      <c r="U411" s="410">
        <v>2201241.1067701546</v>
      </c>
      <c r="V411" s="410">
        <v>2313747.2056867271</v>
      </c>
      <c r="W411" s="333"/>
    </row>
    <row r="412" spans="1:23" x14ac:dyDescent="0.2">
      <c r="A412" s="9"/>
      <c r="B412" s="315" t="s">
        <v>39</v>
      </c>
      <c r="C412" s="449">
        <v>0</v>
      </c>
      <c r="D412" s="410">
        <v>-974492</v>
      </c>
      <c r="E412" s="410">
        <v>-1680395.92</v>
      </c>
      <c r="F412" s="410">
        <v>-313481.09000000003</v>
      </c>
      <c r="G412" s="410">
        <v>-941658.43</v>
      </c>
      <c r="H412" s="410">
        <v>-1979460.4879999999</v>
      </c>
      <c r="I412" s="410">
        <v>-2038844.3026399999</v>
      </c>
      <c r="J412" s="410">
        <v>-2100009.6317191999</v>
      </c>
      <c r="K412" s="410">
        <v>-2163009.9206707762</v>
      </c>
      <c r="L412" s="410">
        <v>-2227900.2182908994</v>
      </c>
      <c r="M412" s="410">
        <v>-2294737.2248396263</v>
      </c>
      <c r="N412" s="410">
        <v>-2363579.3415848152</v>
      </c>
      <c r="O412" s="410">
        <v>-2434486.7218323597</v>
      </c>
      <c r="P412" s="410">
        <v>-2507521.3234873307</v>
      </c>
      <c r="Q412" s="410">
        <v>-2582746.9631919507</v>
      </c>
      <c r="R412" s="410">
        <v>-2660229.3720877091</v>
      </c>
      <c r="S412" s="410">
        <v>-2740036.2532503405</v>
      </c>
      <c r="T412" s="410">
        <v>-2822237.3408478508</v>
      </c>
      <c r="U412" s="410">
        <v>-2906904.4610732864</v>
      </c>
      <c r="V412" s="410">
        <v>-2994111.5949054849</v>
      </c>
      <c r="W412" s="333"/>
    </row>
    <row r="413" spans="1:23" ht="13.5" thickBot="1" x14ac:dyDescent="0.25">
      <c r="A413" s="9"/>
      <c r="B413" s="316" t="s">
        <v>40</v>
      </c>
      <c r="C413" s="450">
        <v>0</v>
      </c>
      <c r="D413" s="412">
        <v>-6225024</v>
      </c>
      <c r="E413" s="412">
        <v>-4058147.2</v>
      </c>
      <c r="F413" s="412">
        <v>-2200091.69</v>
      </c>
      <c r="G413" s="412">
        <v>0</v>
      </c>
      <c r="H413" s="412">
        <v>0</v>
      </c>
      <c r="I413" s="412">
        <v>0</v>
      </c>
      <c r="J413" s="412">
        <v>0</v>
      </c>
      <c r="K413" s="412">
        <v>0</v>
      </c>
      <c r="L413" s="412">
        <v>0</v>
      </c>
      <c r="M413" s="412">
        <v>0</v>
      </c>
      <c r="N413" s="412">
        <v>0</v>
      </c>
      <c r="O413" s="412">
        <v>0</v>
      </c>
      <c r="P413" s="412">
        <v>0</v>
      </c>
      <c r="Q413" s="412">
        <v>0</v>
      </c>
      <c r="R413" s="412">
        <v>0</v>
      </c>
      <c r="S413" s="412">
        <v>0</v>
      </c>
      <c r="T413" s="412">
        <v>0</v>
      </c>
      <c r="U413" s="412">
        <v>0</v>
      </c>
      <c r="V413" s="412">
        <v>0</v>
      </c>
      <c r="W413" s="333"/>
    </row>
    <row r="414" spans="1:23" ht="13.5" thickTop="1" x14ac:dyDescent="0.2">
      <c r="A414" s="9"/>
      <c r="B414" s="315"/>
      <c r="C414" s="453"/>
      <c r="D414" s="333"/>
      <c r="E414" s="333"/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</row>
    <row r="415" spans="1:23" x14ac:dyDescent="0.2">
      <c r="A415" s="9"/>
      <c r="B415" s="317" t="s">
        <v>234</v>
      </c>
      <c r="C415" s="452">
        <v>0</v>
      </c>
      <c r="D415" s="416">
        <v>16881560.660977207</v>
      </c>
      <c r="E415" s="416">
        <v>17664254.497599993</v>
      </c>
      <c r="F415" s="416">
        <v>19619280.341093183</v>
      </c>
      <c r="G415" s="416">
        <v>20181977.387057994</v>
      </c>
      <c r="H415" s="416">
        <v>18524706.524381191</v>
      </c>
      <c r="I415" s="416">
        <v>19767142.235767867</v>
      </c>
      <c r="J415" s="416">
        <v>21708467.604823835</v>
      </c>
      <c r="K415" s="416">
        <v>22289754.278973844</v>
      </c>
      <c r="L415" s="416">
        <v>22722928.841399197</v>
      </c>
      <c r="M415" s="416">
        <v>22627048.32913382</v>
      </c>
      <c r="N415" s="416">
        <v>23222000.158589184</v>
      </c>
      <c r="O415" s="416">
        <v>23200921.128414992</v>
      </c>
      <c r="P415" s="416">
        <v>23326355.608655047</v>
      </c>
      <c r="Q415" s="416">
        <v>24409254.575794384</v>
      </c>
      <c r="R415" s="416">
        <v>27235489.396706805</v>
      </c>
      <c r="S415" s="416">
        <v>26441074.001882676</v>
      </c>
      <c r="T415" s="416">
        <v>26655349.687716655</v>
      </c>
      <c r="U415" s="416">
        <v>28475288.340481989</v>
      </c>
      <c r="V415" s="416">
        <v>29912522.495813143</v>
      </c>
      <c r="W415" s="414">
        <v>156996948.45905903</v>
      </c>
    </row>
    <row r="416" spans="1:23" x14ac:dyDescent="0.2">
      <c r="A416" s="9"/>
      <c r="B416" s="292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 x14ac:dyDescent="0.2">
      <c r="A417" s="308" t="s">
        <v>219</v>
      </c>
      <c r="B417" s="306" t="s">
        <v>170</v>
      </c>
      <c r="C417" s="439">
        <v>73387917.52542147</v>
      </c>
      <c r="D417" s="9"/>
      <c r="E417" s="137" t="s">
        <v>220</v>
      </c>
      <c r="F417" s="319" t="s">
        <v>170</v>
      </c>
      <c r="G417" s="443">
        <v>73387917.52542147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 x14ac:dyDescent="0.2">
      <c r="A418" s="9"/>
      <c r="B418" s="306" t="s">
        <v>180</v>
      </c>
      <c r="C418" s="439">
        <v>112572135.80437846</v>
      </c>
      <c r="D418" s="9"/>
      <c r="E418" s="321"/>
      <c r="F418" s="319" t="s">
        <v>180</v>
      </c>
      <c r="G418" s="443">
        <v>112572135.80437846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 ht="13.5" thickBot="1" x14ac:dyDescent="0.25">
      <c r="A419" s="9"/>
      <c r="B419" s="322" t="s">
        <v>137</v>
      </c>
      <c r="C419" s="440">
        <v>24475628.379020724</v>
      </c>
      <c r="D419" s="323"/>
      <c r="E419" s="321"/>
      <c r="F419" s="319" t="s">
        <v>137</v>
      </c>
      <c r="G419" s="443">
        <v>24475628.379020724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 ht="14.25" thickTop="1" thickBot="1" x14ac:dyDescent="0.25">
      <c r="A420" s="9"/>
      <c r="B420" s="306" t="s">
        <v>28</v>
      </c>
      <c r="C420" s="438">
        <v>210435681.70882061</v>
      </c>
      <c r="D420" s="305"/>
      <c r="E420" s="321"/>
      <c r="F420" s="324" t="s">
        <v>204</v>
      </c>
      <c r="G420" s="325"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 ht="13.5" thickTop="1" x14ac:dyDescent="0.2">
      <c r="A421" s="9"/>
      <c r="B421" s="292"/>
      <c r="C421" s="326"/>
      <c r="D421" s="9"/>
      <c r="E421" s="327"/>
      <c r="F421" s="319" t="s">
        <v>28</v>
      </c>
      <c r="G421" s="368">
        <v>210435681.70882061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 x14ac:dyDescent="0.2">
      <c r="A422" s="9"/>
      <c r="B422" s="292"/>
      <c r="C422" s="326"/>
      <c r="D422" s="9"/>
      <c r="E422" s="327"/>
      <c r="F422" s="319"/>
      <c r="G422" s="32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 x14ac:dyDescent="0.2">
      <c r="A423" s="9"/>
      <c r="B423" s="292"/>
      <c r="C423" s="326"/>
      <c r="D423" s="9"/>
      <c r="E423" s="327"/>
      <c r="F423" s="319"/>
      <c r="G423" s="32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 x14ac:dyDescent="0.2">
      <c r="A424" s="9"/>
      <c r="B424" s="329" t="s">
        <v>223</v>
      </c>
      <c r="C424" s="326"/>
      <c r="D424" s="9"/>
      <c r="E424" s="327"/>
      <c r="F424" s="319"/>
      <c r="G424" s="32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 x14ac:dyDescent="0.2">
      <c r="A425" s="330" t="s">
        <v>225</v>
      </c>
      <c r="B425" s="329" t="s">
        <v>224</v>
      </c>
      <c r="C425" s="331"/>
      <c r="D425" s="332">
        <v>22033760.043477207</v>
      </c>
      <c r="E425" s="332">
        <v>20558350.727019995</v>
      </c>
      <c r="F425" s="332">
        <v>18967775.754863385</v>
      </c>
      <c r="G425" s="332">
        <v>17911898.483567294</v>
      </c>
      <c r="H425" s="332">
        <v>17297280.164228689</v>
      </c>
      <c r="I425" s="332">
        <v>18912931.069963545</v>
      </c>
      <c r="J425" s="332">
        <v>21456605.626206242</v>
      </c>
      <c r="K425" s="332">
        <v>22402177.72690782</v>
      </c>
      <c r="L425" s="332">
        <v>23085166.645082057</v>
      </c>
      <c r="M425" s="332">
        <v>23100649.921454079</v>
      </c>
      <c r="N425" s="332">
        <v>23649816.070206389</v>
      </c>
      <c r="O425" s="332">
        <v>23702183.679238081</v>
      </c>
      <c r="P425" s="332">
        <v>23900570.870289359</v>
      </c>
      <c r="Q425" s="332">
        <v>25006017.234564256</v>
      </c>
      <c r="R425" s="332">
        <v>27853537.277026307</v>
      </c>
      <c r="S425" s="332">
        <v>27129473.612898298</v>
      </c>
      <c r="T425" s="332">
        <v>27412667.983849276</v>
      </c>
      <c r="U425" s="332">
        <v>29180951.694785122</v>
      </c>
      <c r="V425" s="332">
        <v>30592886.885031901</v>
      </c>
      <c r="W425" s="9"/>
    </row>
    <row r="426" spans="1:23" x14ac:dyDescent="0.2">
      <c r="A426" s="9"/>
      <c r="B426" s="292" t="s">
        <v>226</v>
      </c>
      <c r="C426" s="326"/>
      <c r="D426" s="333">
        <v>14689173.362318138</v>
      </c>
      <c r="E426" s="333">
        <v>13705567.151346663</v>
      </c>
      <c r="F426" s="333">
        <v>12645183.83657559</v>
      </c>
      <c r="G426" s="333">
        <v>11941265.655711532</v>
      </c>
      <c r="H426" s="333">
        <v>11531520.109485794</v>
      </c>
      <c r="I426" s="333">
        <v>12608620.713309031</v>
      </c>
      <c r="J426" s="333">
        <v>14304403.750804164</v>
      </c>
      <c r="K426" s="333">
        <v>14934785.15127188</v>
      </c>
      <c r="L426" s="333">
        <v>15390111.096721373</v>
      </c>
      <c r="M426" s="333">
        <v>15400433.280969389</v>
      </c>
      <c r="N426" s="333">
        <v>15766544.046804259</v>
      </c>
      <c r="O426" s="333">
        <v>15801455.78615872</v>
      </c>
      <c r="P426" s="333">
        <v>15933713.913526241</v>
      </c>
      <c r="Q426" s="333">
        <v>16670678.156376172</v>
      </c>
      <c r="R426" s="333">
        <v>18569024.85135087</v>
      </c>
      <c r="S426" s="333">
        <v>18086315.741932198</v>
      </c>
      <c r="T426" s="333">
        <v>18275111.989232849</v>
      </c>
      <c r="U426" s="333">
        <v>19453967.796523418</v>
      </c>
      <c r="V426" s="333">
        <v>20395257.923354603</v>
      </c>
      <c r="W426" s="9"/>
    </row>
    <row r="427" spans="1:23" x14ac:dyDescent="0.2">
      <c r="A427" s="9"/>
      <c r="B427" s="334" t="s">
        <v>227</v>
      </c>
      <c r="C427" s="335"/>
      <c r="D427" s="333">
        <v>2047316.6174999999</v>
      </c>
      <c r="E427" s="333">
        <v>2844446.8905799999</v>
      </c>
      <c r="F427" s="333">
        <v>3165077.3662298</v>
      </c>
      <c r="G427" s="333">
        <v>3211737.3334907</v>
      </c>
      <c r="H427" s="333">
        <v>3206886.8481525001</v>
      </c>
      <c r="I427" s="333">
        <v>2893055.4684443199</v>
      </c>
      <c r="J427" s="333">
        <v>2351871.6103367917</v>
      </c>
      <c r="K427" s="333">
        <v>2050586.4727368024</v>
      </c>
      <c r="L427" s="333">
        <v>1865662.4146080394</v>
      </c>
      <c r="M427" s="333">
        <v>1821135.6325193688</v>
      </c>
      <c r="N427" s="333">
        <v>1935763.4299676127</v>
      </c>
      <c r="O427" s="333">
        <v>1933224.1710092709</v>
      </c>
      <c r="P427" s="333">
        <v>1933306.0618530172</v>
      </c>
      <c r="Q427" s="333">
        <v>1985984.3044220754</v>
      </c>
      <c r="R427" s="333">
        <v>2042181.4917682055</v>
      </c>
      <c r="S427" s="333">
        <v>2051636.6422347198</v>
      </c>
      <c r="T427" s="333">
        <v>2064919.0447152294</v>
      </c>
      <c r="U427" s="333">
        <v>2201241.1067701546</v>
      </c>
      <c r="V427" s="333">
        <v>2313747.2056867271</v>
      </c>
      <c r="W427" s="9"/>
    </row>
    <row r="428" spans="1:23" ht="13.5" thickBot="1" x14ac:dyDescent="0.25">
      <c r="A428" s="9"/>
      <c r="B428" s="336" t="s">
        <v>228</v>
      </c>
      <c r="C428" s="337"/>
      <c r="D428" s="338">
        <v>38770250.023295343</v>
      </c>
      <c r="E428" s="338">
        <v>37108364.768946655</v>
      </c>
      <c r="F428" s="338">
        <v>34778036.957668774</v>
      </c>
      <c r="G428" s="338">
        <v>33064901.472769525</v>
      </c>
      <c r="H428" s="338">
        <v>32035687.121866982</v>
      </c>
      <c r="I428" s="338">
        <v>34414607.251716897</v>
      </c>
      <c r="J428" s="338">
        <v>38112880.987347201</v>
      </c>
      <c r="K428" s="338">
        <v>39387549.350916505</v>
      </c>
      <c r="L428" s="338">
        <v>40340940.156411469</v>
      </c>
      <c r="M428" s="338">
        <v>40322218.83494284</v>
      </c>
      <c r="N428" s="338">
        <v>41352123.546978258</v>
      </c>
      <c r="O428" s="338">
        <v>41436863.636406071</v>
      </c>
      <c r="P428" s="338">
        <v>41767590.845668614</v>
      </c>
      <c r="Q428" s="338">
        <v>43662679.695362501</v>
      </c>
      <c r="R428" s="338">
        <v>48464743.62014538</v>
      </c>
      <c r="S428" s="338">
        <v>47267425.997065216</v>
      </c>
      <c r="T428" s="338">
        <v>47752699.017797351</v>
      </c>
      <c r="U428" s="338">
        <v>50836160.598078698</v>
      </c>
      <c r="V428" s="338">
        <v>53301892.01407323</v>
      </c>
      <c r="W428" s="9"/>
    </row>
    <row r="429" spans="1:23" ht="13.5" thickTop="1" x14ac:dyDescent="0.2">
      <c r="A429" s="330" t="s">
        <v>229</v>
      </c>
      <c r="B429" s="292" t="s">
        <v>230</v>
      </c>
      <c r="C429" s="326"/>
      <c r="D429" s="333">
        <v>-2740671.1055343803</v>
      </c>
      <c r="E429" s="333">
        <v>-3027598.2615343803</v>
      </c>
      <c r="F429" s="333">
        <v>-3043272.3160343799</v>
      </c>
      <c r="G429" s="333">
        <v>-3090355.2375343801</v>
      </c>
      <c r="H429" s="333">
        <v>-3189328.26193438</v>
      </c>
      <c r="I429" s="333">
        <v>-3291270.47706638</v>
      </c>
      <c r="J429" s="333">
        <v>-3396270.9586523399</v>
      </c>
      <c r="K429" s="333">
        <v>-3504421.4546858789</v>
      </c>
      <c r="L429" s="333">
        <v>-3615816.465600424</v>
      </c>
      <c r="M429" s="333">
        <v>-3730553.3268424049</v>
      </c>
      <c r="N429" s="333">
        <v>-3848732.2939216457</v>
      </c>
      <c r="O429" s="333">
        <v>-3970456.6300132638</v>
      </c>
      <c r="P429" s="333">
        <v>-4095832.6961876303</v>
      </c>
      <c r="Q429" s="333">
        <v>-4224970.0443472285</v>
      </c>
      <c r="R429" s="333">
        <v>-3428574.6754516321</v>
      </c>
      <c r="S429" s="333">
        <v>-2234904.16311413</v>
      </c>
      <c r="T429" s="333">
        <v>-2374811.7576565226</v>
      </c>
      <c r="U429" s="333">
        <v>-2520156.980710187</v>
      </c>
      <c r="V429" s="333">
        <v>-2669862.5604554615</v>
      </c>
      <c r="W429" s="9"/>
    </row>
    <row r="430" spans="1:23" x14ac:dyDescent="0.2">
      <c r="A430" s="9"/>
      <c r="B430" s="292" t="s">
        <v>231</v>
      </c>
      <c r="C430" s="326"/>
      <c r="D430" s="333">
        <v>0</v>
      </c>
      <c r="E430" s="333">
        <v>0</v>
      </c>
      <c r="F430" s="333">
        <v>0</v>
      </c>
      <c r="G430" s="333">
        <v>0</v>
      </c>
      <c r="H430" s="333">
        <v>0</v>
      </c>
      <c r="I430" s="333">
        <v>0</v>
      </c>
      <c r="J430" s="333">
        <v>0</v>
      </c>
      <c r="K430" s="333">
        <v>0</v>
      </c>
      <c r="L430" s="333">
        <v>0</v>
      </c>
      <c r="M430" s="333">
        <v>0</v>
      </c>
      <c r="N430" s="333">
        <v>0</v>
      </c>
      <c r="O430" s="333">
        <v>0</v>
      </c>
      <c r="P430" s="333">
        <v>0</v>
      </c>
      <c r="Q430" s="333">
        <v>0</v>
      </c>
      <c r="R430" s="333">
        <v>0</v>
      </c>
      <c r="S430" s="333">
        <v>0</v>
      </c>
      <c r="T430" s="333">
        <v>0</v>
      </c>
      <c r="U430" s="333">
        <v>0</v>
      </c>
      <c r="V430" s="333">
        <v>0</v>
      </c>
      <c r="W430" s="9"/>
    </row>
    <row r="431" spans="1:23" x14ac:dyDescent="0.2">
      <c r="A431" s="9"/>
      <c r="B431" s="329" t="s">
        <v>232</v>
      </c>
      <c r="C431" s="331"/>
      <c r="D431" s="332">
        <v>36029578.917760961</v>
      </c>
      <c r="E431" s="332">
        <v>34080766.507412277</v>
      </c>
      <c r="F431" s="332">
        <v>31734764.641634393</v>
      </c>
      <c r="G431" s="332">
        <v>29974546.235235143</v>
      </c>
      <c r="H431" s="332">
        <v>28846358.859932601</v>
      </c>
      <c r="I431" s="332">
        <v>31123336.774650518</v>
      </c>
      <c r="J431" s="332">
        <v>34716610.028694861</v>
      </c>
      <c r="K431" s="332">
        <v>35883127.896230623</v>
      </c>
      <c r="L431" s="332">
        <v>36725123.690811045</v>
      </c>
      <c r="M431" s="332">
        <v>36591665.508100435</v>
      </c>
      <c r="N431" s="332">
        <v>37503391.253056616</v>
      </c>
      <c r="O431" s="332">
        <v>37466407.006392807</v>
      </c>
      <c r="P431" s="332">
        <v>37671758.149480984</v>
      </c>
      <c r="Q431" s="332">
        <v>39437709.651015274</v>
      </c>
      <c r="R431" s="332">
        <v>45036168.944693752</v>
      </c>
      <c r="S431" s="332">
        <v>45032521.833951086</v>
      </c>
      <c r="T431" s="332">
        <v>45377887.260140829</v>
      </c>
      <c r="U431" s="332">
        <v>48316003.617368512</v>
      </c>
      <c r="V431" s="332">
        <v>50632029.453617766</v>
      </c>
      <c r="W431" s="9"/>
    </row>
    <row r="432" spans="1:23" ht="13.5" thickBot="1" x14ac:dyDescent="0.25">
      <c r="A432" s="9"/>
      <c r="B432" s="339" t="s">
        <v>238</v>
      </c>
      <c r="C432" s="340"/>
      <c r="D432" s="341">
        <v>-14411831.567104384</v>
      </c>
      <c r="E432" s="341">
        <v>-13632306.602964912</v>
      </c>
      <c r="F432" s="341">
        <v>-12693905.856653757</v>
      </c>
      <c r="G432" s="341">
        <v>-11989818.494094059</v>
      </c>
      <c r="H432" s="341">
        <v>-11538543.543973042</v>
      </c>
      <c r="I432" s="341">
        <v>-12449334.709860208</v>
      </c>
      <c r="J432" s="341">
        <v>-13886644.011477945</v>
      </c>
      <c r="K432" s="341">
        <v>-14353251.15849225</v>
      </c>
      <c r="L432" s="341">
        <v>-14690049.476324419</v>
      </c>
      <c r="M432" s="341">
        <v>-14636666.203240175</v>
      </c>
      <c r="N432" s="341">
        <v>-15001356.501222648</v>
      </c>
      <c r="O432" s="341">
        <v>-14986562.802557124</v>
      </c>
      <c r="P432" s="341">
        <v>-15068703.259792395</v>
      </c>
      <c r="Q432" s="341">
        <v>-15775083.86040611</v>
      </c>
      <c r="R432" s="341">
        <v>-18014467.577877503</v>
      </c>
      <c r="S432" s="341">
        <v>-18013008.733580437</v>
      </c>
      <c r="T432" s="341">
        <v>-18151154.904056333</v>
      </c>
      <c r="U432" s="341">
        <v>-19326401.446947407</v>
      </c>
      <c r="V432" s="341">
        <v>-20252811.781447109</v>
      </c>
      <c r="W432" s="9"/>
    </row>
    <row r="433" spans="1:23" ht="13.5" thickTop="1" x14ac:dyDescent="0.2">
      <c r="A433" s="9"/>
      <c r="B433" s="329" t="s">
        <v>233</v>
      </c>
      <c r="C433" s="331"/>
      <c r="D433" s="332">
        <v>21617747.350656576</v>
      </c>
      <c r="E433" s="332">
        <v>20448459.904447366</v>
      </c>
      <c r="F433" s="332">
        <v>19040858.784980636</v>
      </c>
      <c r="G433" s="332">
        <v>17984727.741141085</v>
      </c>
      <c r="H433" s="332">
        <v>17307815.315959558</v>
      </c>
      <c r="I433" s="332">
        <v>18674002.064790308</v>
      </c>
      <c r="J433" s="332">
        <v>20829966.017216913</v>
      </c>
      <c r="K433" s="332">
        <v>21529876.737738371</v>
      </c>
      <c r="L433" s="332">
        <v>22035074.214486629</v>
      </c>
      <c r="M433" s="332">
        <v>21954999.30486026</v>
      </c>
      <c r="N433" s="332">
        <v>22502034.751833968</v>
      </c>
      <c r="O433" s="332">
        <v>22479844.203835681</v>
      </c>
      <c r="P433" s="332">
        <v>22603054.889688589</v>
      </c>
      <c r="Q433" s="332">
        <v>23662625.790609166</v>
      </c>
      <c r="R433" s="332">
        <v>27021701.366816249</v>
      </c>
      <c r="S433" s="332">
        <v>27019513.100370649</v>
      </c>
      <c r="T433" s="332">
        <v>27226732.356084496</v>
      </c>
      <c r="U433" s="332">
        <v>28989602.170421105</v>
      </c>
      <c r="V433" s="332">
        <v>30379217.672170658</v>
      </c>
      <c r="W433" s="9"/>
    </row>
    <row r="434" spans="1:23" x14ac:dyDescent="0.2">
      <c r="A434" s="9"/>
      <c r="B434" s="9"/>
      <c r="C434" s="326"/>
      <c r="D434" s="9"/>
      <c r="E434" s="327"/>
      <c r="F434" s="319"/>
      <c r="G434" s="32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 ht="15.75" x14ac:dyDescent="0.25">
      <c r="A435" s="342" t="s">
        <v>206</v>
      </c>
      <c r="B435" s="343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 x14ac:dyDescent="0.2">
      <c r="A436" s="290" t="s">
        <v>191</v>
      </c>
      <c r="B436" s="309"/>
      <c r="C436" s="344">
        <v>0</v>
      </c>
      <c r="D436" s="283"/>
      <c r="E436" s="283"/>
      <c r="F436" s="283"/>
      <c r="G436" s="283"/>
      <c r="H436" s="283"/>
      <c r="I436" s="283"/>
      <c r="J436" s="283"/>
      <c r="K436" s="283"/>
      <c r="L436" s="283"/>
      <c r="M436" s="283"/>
      <c r="N436" s="283"/>
      <c r="O436" s="283"/>
      <c r="P436" s="283"/>
      <c r="Q436" s="283"/>
      <c r="R436" s="283"/>
      <c r="S436" s="283"/>
      <c r="T436" s="283"/>
      <c r="U436" s="283"/>
      <c r="V436" s="283"/>
      <c r="W436" s="283"/>
    </row>
    <row r="437" spans="1:23" x14ac:dyDescent="0.2">
      <c r="A437" s="290" t="s">
        <v>192</v>
      </c>
      <c r="B437" s="309"/>
      <c r="C437" s="345">
        <v>0</v>
      </c>
      <c r="D437" s="283"/>
      <c r="E437" s="283"/>
      <c r="F437" s="283"/>
      <c r="G437" s="283"/>
      <c r="H437" s="283"/>
      <c r="I437" s="283"/>
      <c r="J437" s="283"/>
      <c r="K437" s="283"/>
      <c r="L437" s="283"/>
      <c r="M437" s="283"/>
      <c r="N437" s="283"/>
      <c r="O437" s="283"/>
      <c r="P437" s="283"/>
      <c r="Q437" s="283"/>
      <c r="R437" s="283"/>
      <c r="S437" s="283"/>
      <c r="T437" s="283"/>
      <c r="U437" s="283"/>
      <c r="V437" s="283"/>
      <c r="W437" s="283"/>
    </row>
    <row r="438" spans="1:23" x14ac:dyDescent="0.2">
      <c r="A438" s="290" t="s">
        <v>202</v>
      </c>
      <c r="B438" s="309"/>
      <c r="C438" s="290">
        <v>15</v>
      </c>
      <c r="D438" s="283"/>
      <c r="E438" s="283"/>
      <c r="F438" s="283"/>
      <c r="G438" s="283"/>
      <c r="H438" s="283"/>
      <c r="I438" s="283"/>
      <c r="J438" s="283"/>
      <c r="K438" s="283"/>
      <c r="L438" s="283"/>
      <c r="M438" s="283"/>
      <c r="N438" s="283"/>
      <c r="O438" s="283"/>
      <c r="P438" s="283"/>
      <c r="Q438" s="283"/>
      <c r="R438" s="283"/>
      <c r="S438" s="283"/>
      <c r="T438" s="283"/>
      <c r="U438" s="283"/>
      <c r="V438" s="283"/>
      <c r="W438" s="283"/>
    </row>
    <row r="439" spans="1:23" x14ac:dyDescent="0.2">
      <c r="A439" s="290" t="s">
        <v>193</v>
      </c>
      <c r="B439" s="309"/>
      <c r="C439" s="345">
        <v>0</v>
      </c>
      <c r="D439" s="283"/>
      <c r="E439" s="283"/>
      <c r="F439" s="283"/>
      <c r="G439" s="283"/>
      <c r="H439" s="283"/>
      <c r="I439" s="283"/>
      <c r="J439" s="283"/>
      <c r="K439" s="283"/>
      <c r="L439" s="283"/>
      <c r="M439" s="283"/>
      <c r="N439" s="283"/>
      <c r="O439" s="283"/>
      <c r="P439" s="283"/>
      <c r="Q439" s="283"/>
      <c r="R439" s="283"/>
      <c r="S439" s="283"/>
      <c r="T439" s="283"/>
      <c r="U439" s="283"/>
      <c r="V439" s="283"/>
      <c r="W439" s="283"/>
    </row>
    <row r="440" spans="1:23" x14ac:dyDescent="0.2">
      <c r="A440" s="290" t="s">
        <v>194</v>
      </c>
      <c r="B440" s="309"/>
      <c r="C440" s="346">
        <v>8.7499999999999994E-2</v>
      </c>
      <c r="D440" s="283"/>
      <c r="E440" s="283"/>
      <c r="F440" s="283"/>
      <c r="G440" s="283"/>
      <c r="H440" s="283"/>
      <c r="I440" s="283"/>
      <c r="J440" s="283"/>
      <c r="K440" s="283"/>
      <c r="L440" s="283"/>
      <c r="M440" s="283"/>
      <c r="N440" s="283"/>
      <c r="O440" s="283"/>
      <c r="P440" s="283"/>
      <c r="Q440" s="283"/>
      <c r="R440" s="283"/>
      <c r="S440" s="283"/>
      <c r="T440" s="283"/>
      <c r="U440" s="283"/>
      <c r="V440" s="283"/>
      <c r="W440" s="283"/>
    </row>
    <row r="441" spans="1:23" x14ac:dyDescent="0.2">
      <c r="A441" s="290"/>
      <c r="B441" s="309"/>
      <c r="C441" s="283"/>
      <c r="D441" s="312">
        <v>2001</v>
      </c>
      <c r="E441" s="312">
        <v>2002</v>
      </c>
      <c r="F441" s="312">
        <v>2003</v>
      </c>
      <c r="G441" s="312">
        <v>2004</v>
      </c>
      <c r="H441" s="312">
        <v>2005</v>
      </c>
      <c r="I441" s="312">
        <v>2006</v>
      </c>
      <c r="J441" s="312">
        <v>2007</v>
      </c>
      <c r="K441" s="312">
        <v>2008</v>
      </c>
      <c r="L441" s="312">
        <v>2009</v>
      </c>
      <c r="M441" s="312">
        <v>2010</v>
      </c>
      <c r="N441" s="312">
        <v>2011</v>
      </c>
      <c r="O441" s="312">
        <v>2012</v>
      </c>
      <c r="P441" s="312">
        <v>2013</v>
      </c>
      <c r="Q441" s="312">
        <v>2014</v>
      </c>
      <c r="R441" s="312">
        <v>2015</v>
      </c>
      <c r="S441" s="312">
        <v>2016</v>
      </c>
      <c r="T441" s="312">
        <v>2017</v>
      </c>
      <c r="U441" s="312">
        <v>2018</v>
      </c>
      <c r="V441" s="312">
        <v>2019</v>
      </c>
      <c r="W441" s="312" t="s">
        <v>154</v>
      </c>
    </row>
    <row r="442" spans="1:23" x14ac:dyDescent="0.2">
      <c r="A442" s="290" t="s">
        <v>195</v>
      </c>
      <c r="B442" s="309"/>
      <c r="C442" s="283"/>
      <c r="D442" s="347">
        <v>0</v>
      </c>
      <c r="E442" s="347">
        <v>0</v>
      </c>
      <c r="F442" s="347">
        <v>0</v>
      </c>
      <c r="G442" s="347">
        <v>0</v>
      </c>
      <c r="H442" s="347">
        <v>0</v>
      </c>
      <c r="I442" s="347">
        <v>0</v>
      </c>
      <c r="J442" s="347">
        <v>0</v>
      </c>
      <c r="K442" s="347">
        <v>0</v>
      </c>
      <c r="L442" s="347">
        <v>0</v>
      </c>
      <c r="M442" s="347">
        <v>0</v>
      </c>
      <c r="N442" s="347">
        <v>0</v>
      </c>
      <c r="O442" s="347">
        <v>0</v>
      </c>
      <c r="P442" s="347">
        <v>0</v>
      </c>
      <c r="Q442" s="347">
        <v>0</v>
      </c>
      <c r="R442" s="347">
        <v>0</v>
      </c>
      <c r="S442" s="347">
        <v>0</v>
      </c>
      <c r="T442" s="347">
        <v>0</v>
      </c>
      <c r="U442" s="347">
        <v>0</v>
      </c>
      <c r="V442" s="347">
        <v>0</v>
      </c>
      <c r="W442" s="347">
        <v>0</v>
      </c>
    </row>
    <row r="443" spans="1:23" x14ac:dyDescent="0.2">
      <c r="A443" s="290" t="s">
        <v>196</v>
      </c>
      <c r="B443" s="309"/>
      <c r="C443" s="283"/>
      <c r="D443" s="347">
        <v>0</v>
      </c>
      <c r="E443" s="347">
        <v>0</v>
      </c>
      <c r="F443" s="347">
        <v>0</v>
      </c>
      <c r="G443" s="347">
        <v>0</v>
      </c>
      <c r="H443" s="347">
        <v>0</v>
      </c>
      <c r="I443" s="347">
        <v>0</v>
      </c>
      <c r="J443" s="347">
        <v>0</v>
      </c>
      <c r="K443" s="347">
        <v>0</v>
      </c>
      <c r="L443" s="347">
        <v>0</v>
      </c>
      <c r="M443" s="347">
        <v>0</v>
      </c>
      <c r="N443" s="347">
        <v>0</v>
      </c>
      <c r="O443" s="347">
        <v>0</v>
      </c>
      <c r="P443" s="347">
        <v>0</v>
      </c>
      <c r="Q443" s="347">
        <v>0</v>
      </c>
      <c r="R443" s="347">
        <v>0</v>
      </c>
      <c r="S443" s="347">
        <v>0</v>
      </c>
      <c r="T443" s="347">
        <v>0</v>
      </c>
      <c r="U443" s="347">
        <v>0</v>
      </c>
      <c r="V443" s="347">
        <v>0</v>
      </c>
      <c r="W443" s="347">
        <v>0</v>
      </c>
    </row>
    <row r="444" spans="1:23" x14ac:dyDescent="0.2">
      <c r="A444" s="290" t="s">
        <v>197</v>
      </c>
      <c r="B444" s="309"/>
      <c r="C444" s="283"/>
      <c r="D444" s="347">
        <v>0</v>
      </c>
      <c r="E444" s="347">
        <v>0</v>
      </c>
      <c r="F444" s="347">
        <v>0</v>
      </c>
      <c r="G444" s="347">
        <v>0</v>
      </c>
      <c r="H444" s="347">
        <v>0</v>
      </c>
      <c r="I444" s="347">
        <v>0</v>
      </c>
      <c r="J444" s="347">
        <v>0</v>
      </c>
      <c r="K444" s="347">
        <v>0</v>
      </c>
      <c r="L444" s="347">
        <v>0</v>
      </c>
      <c r="M444" s="347">
        <v>0</v>
      </c>
      <c r="N444" s="347">
        <v>0</v>
      </c>
      <c r="O444" s="347">
        <v>0</v>
      </c>
      <c r="P444" s="347">
        <v>0</v>
      </c>
      <c r="Q444" s="347">
        <v>0</v>
      </c>
      <c r="R444" s="347">
        <v>0</v>
      </c>
      <c r="S444" s="347">
        <v>0</v>
      </c>
      <c r="T444" s="347">
        <v>0</v>
      </c>
      <c r="U444" s="347">
        <v>0</v>
      </c>
      <c r="V444" s="347">
        <v>0</v>
      </c>
      <c r="W444" s="347">
        <v>0</v>
      </c>
    </row>
    <row r="445" spans="1:23" x14ac:dyDescent="0.2">
      <c r="A445" s="290" t="s">
        <v>198</v>
      </c>
      <c r="B445" s="309"/>
      <c r="C445" s="283"/>
      <c r="D445" s="348">
        <v>0</v>
      </c>
      <c r="E445" s="348">
        <v>0</v>
      </c>
      <c r="F445" s="348">
        <v>0</v>
      </c>
      <c r="G445" s="348">
        <v>0</v>
      </c>
      <c r="H445" s="348">
        <v>0</v>
      </c>
      <c r="I445" s="348">
        <v>0</v>
      </c>
      <c r="J445" s="348">
        <v>0</v>
      </c>
      <c r="K445" s="348">
        <v>0</v>
      </c>
      <c r="L445" s="348">
        <v>0</v>
      </c>
      <c r="M445" s="348">
        <v>0</v>
      </c>
      <c r="N445" s="348">
        <v>0</v>
      </c>
      <c r="O445" s="348">
        <v>0</v>
      </c>
      <c r="P445" s="348">
        <v>0</v>
      </c>
      <c r="Q445" s="348">
        <v>0</v>
      </c>
      <c r="R445" s="348">
        <v>0</v>
      </c>
      <c r="S445" s="348">
        <v>0</v>
      </c>
      <c r="T445" s="348">
        <v>0</v>
      </c>
      <c r="U445" s="348">
        <v>0</v>
      </c>
      <c r="V445" s="348">
        <v>0</v>
      </c>
      <c r="W445" s="348">
        <v>0</v>
      </c>
    </row>
    <row r="446" spans="1:23" ht="13.5" thickBot="1" x14ac:dyDescent="0.25">
      <c r="A446" s="290" t="s">
        <v>199</v>
      </c>
      <c r="B446" s="309"/>
      <c r="C446" s="283"/>
      <c r="D446" s="349">
        <v>0</v>
      </c>
      <c r="E446" s="349">
        <v>0</v>
      </c>
      <c r="F446" s="349">
        <v>0</v>
      </c>
      <c r="G446" s="349">
        <v>0</v>
      </c>
      <c r="H446" s="349">
        <v>0</v>
      </c>
      <c r="I446" s="349">
        <v>0</v>
      </c>
      <c r="J446" s="349">
        <v>0</v>
      </c>
      <c r="K446" s="349">
        <v>0</v>
      </c>
      <c r="L446" s="349">
        <v>0</v>
      </c>
      <c r="M446" s="349">
        <v>0</v>
      </c>
      <c r="N446" s="349">
        <v>0</v>
      </c>
      <c r="O446" s="349">
        <v>0</v>
      </c>
      <c r="P446" s="349">
        <v>0</v>
      </c>
      <c r="Q446" s="349">
        <v>0</v>
      </c>
      <c r="R446" s="349">
        <v>0</v>
      </c>
      <c r="S446" s="349">
        <v>0</v>
      </c>
      <c r="T446" s="349">
        <v>0</v>
      </c>
      <c r="U446" s="349">
        <v>0</v>
      </c>
      <c r="V446" s="349">
        <v>0</v>
      </c>
      <c r="W446" s="349">
        <v>0</v>
      </c>
    </row>
    <row r="447" spans="1:23" ht="13.5" thickTop="1" x14ac:dyDescent="0.2">
      <c r="A447" s="290"/>
      <c r="B447" s="309"/>
      <c r="C447" s="283"/>
      <c r="D447" s="347"/>
      <c r="E447" s="347"/>
      <c r="F447" s="347"/>
      <c r="G447" s="347"/>
      <c r="H447" s="347"/>
      <c r="I447" s="347"/>
      <c r="J447" s="347"/>
      <c r="K447" s="347"/>
      <c r="L447" s="347"/>
      <c r="M447" s="347"/>
      <c r="N447" s="347"/>
      <c r="O447" s="347"/>
      <c r="P447" s="347"/>
      <c r="Q447" s="347"/>
      <c r="R447" s="347"/>
      <c r="S447" s="347"/>
      <c r="T447" s="347"/>
      <c r="U447" s="347"/>
      <c r="V447" s="347"/>
      <c r="W447" s="347"/>
    </row>
    <row r="448" spans="1:23" x14ac:dyDescent="0.2">
      <c r="A448" s="290" t="s">
        <v>200</v>
      </c>
      <c r="B448" s="309"/>
      <c r="C448" s="283"/>
      <c r="D448" s="347">
        <v>0</v>
      </c>
      <c r="E448" s="347">
        <v>0</v>
      </c>
      <c r="F448" s="347">
        <v>0</v>
      </c>
      <c r="G448" s="347">
        <v>0</v>
      </c>
      <c r="H448" s="347">
        <v>0</v>
      </c>
      <c r="I448" s="347">
        <v>0</v>
      </c>
      <c r="J448" s="347">
        <v>0</v>
      </c>
      <c r="K448" s="347">
        <v>0</v>
      </c>
      <c r="L448" s="347">
        <v>0</v>
      </c>
      <c r="M448" s="347">
        <v>0</v>
      </c>
      <c r="N448" s="347">
        <v>0</v>
      </c>
      <c r="O448" s="347">
        <v>0</v>
      </c>
      <c r="P448" s="347">
        <v>0</v>
      </c>
      <c r="Q448" s="347">
        <v>0</v>
      </c>
      <c r="R448" s="347">
        <v>0</v>
      </c>
      <c r="S448" s="347">
        <v>0</v>
      </c>
      <c r="T448" s="347">
        <v>0</v>
      </c>
      <c r="U448" s="347">
        <v>0</v>
      </c>
      <c r="V448" s="347">
        <v>0</v>
      </c>
      <c r="W448" s="347">
        <v>0</v>
      </c>
    </row>
    <row r="449" spans="1:23" x14ac:dyDescent="0.2">
      <c r="A449" s="290"/>
      <c r="B449" s="309"/>
      <c r="C449" s="283"/>
      <c r="D449" s="283"/>
      <c r="E449" s="283"/>
      <c r="F449" s="283"/>
      <c r="G449" s="283"/>
      <c r="H449" s="283"/>
      <c r="I449" s="283"/>
      <c r="J449" s="283"/>
      <c r="K449" s="283"/>
      <c r="L449" s="283"/>
      <c r="M449" s="283"/>
      <c r="N449" s="283"/>
      <c r="O449" s="283"/>
      <c r="P449" s="283"/>
      <c r="Q449" s="283"/>
      <c r="R449" s="283"/>
      <c r="S449" s="283"/>
      <c r="T449" s="283"/>
      <c r="U449" s="283"/>
      <c r="V449" s="283"/>
      <c r="W449" s="283"/>
    </row>
    <row r="450" spans="1:23" x14ac:dyDescent="0.2">
      <c r="A450" s="290" t="s">
        <v>201</v>
      </c>
      <c r="B450" s="309"/>
      <c r="C450" s="283"/>
      <c r="D450" s="347">
        <v>0</v>
      </c>
      <c r="E450" s="347">
        <v>0</v>
      </c>
      <c r="F450" s="347">
        <v>0</v>
      </c>
      <c r="G450" s="347">
        <v>0</v>
      </c>
      <c r="H450" s="347">
        <v>0</v>
      </c>
      <c r="I450" s="347">
        <v>0</v>
      </c>
      <c r="J450" s="347">
        <v>0</v>
      </c>
      <c r="K450" s="347">
        <v>0</v>
      </c>
      <c r="L450" s="347">
        <v>0</v>
      </c>
      <c r="M450" s="347">
        <v>0</v>
      </c>
      <c r="N450" s="347">
        <v>0</v>
      </c>
      <c r="O450" s="347">
        <v>0</v>
      </c>
      <c r="P450" s="347">
        <v>0</v>
      </c>
      <c r="Q450" s="347">
        <v>0</v>
      </c>
      <c r="R450" s="347">
        <v>0</v>
      </c>
      <c r="S450" s="347">
        <v>0</v>
      </c>
      <c r="T450" s="347">
        <v>0</v>
      </c>
      <c r="U450" s="347">
        <v>0</v>
      </c>
      <c r="V450" s="347">
        <v>0</v>
      </c>
      <c r="W450" s="347">
        <v>0</v>
      </c>
    </row>
    <row r="451" spans="1:23" x14ac:dyDescent="0.2">
      <c r="A451" s="283"/>
      <c r="B451" s="309"/>
      <c r="C451" s="283"/>
      <c r="D451" s="283"/>
      <c r="E451" s="283"/>
      <c r="F451" s="283"/>
      <c r="G451" s="283"/>
      <c r="H451" s="283"/>
      <c r="I451" s="283"/>
      <c r="J451" s="283"/>
      <c r="K451" s="283"/>
      <c r="L451" s="283"/>
      <c r="M451" s="283"/>
      <c r="N451" s="283"/>
      <c r="O451" s="283"/>
      <c r="P451" s="283"/>
      <c r="Q451" s="283"/>
      <c r="R451" s="283"/>
      <c r="S451" s="283"/>
      <c r="T451" s="283"/>
      <c r="U451" s="283"/>
      <c r="V451" s="283"/>
      <c r="W451" s="283"/>
    </row>
    <row r="452" spans="1:23" x14ac:dyDescent="0.2">
      <c r="A452" s="283"/>
      <c r="B452" s="309"/>
      <c r="C452" s="283"/>
      <c r="D452" s="283"/>
      <c r="E452" s="283"/>
      <c r="F452" s="283"/>
      <c r="G452" s="283"/>
      <c r="H452" s="283"/>
      <c r="I452" s="283"/>
      <c r="J452" s="283"/>
      <c r="K452" s="283"/>
      <c r="L452" s="283"/>
      <c r="M452" s="283"/>
      <c r="N452" s="283"/>
      <c r="O452" s="283"/>
      <c r="P452" s="283"/>
      <c r="Q452" s="283"/>
      <c r="R452" s="283"/>
      <c r="S452" s="283"/>
      <c r="T452" s="283"/>
      <c r="U452" s="283"/>
      <c r="V452" s="283"/>
      <c r="W452" s="283"/>
    </row>
    <row r="453" spans="1:23" x14ac:dyDescent="0.2">
      <c r="A453" s="290" t="s">
        <v>203</v>
      </c>
      <c r="B453" s="285"/>
      <c r="C453" s="284"/>
      <c r="D453" s="441">
        <v>16881560.660977207</v>
      </c>
      <c r="E453" s="441">
        <v>17664254.497599993</v>
      </c>
      <c r="F453" s="441">
        <v>19619280.341093183</v>
      </c>
      <c r="G453" s="441">
        <v>20181977.387057994</v>
      </c>
      <c r="H453" s="441">
        <v>18524706.524381191</v>
      </c>
      <c r="I453" s="441">
        <v>19767142.235767867</v>
      </c>
      <c r="J453" s="441">
        <v>21708467.604823835</v>
      </c>
      <c r="K453" s="441">
        <v>22289754.278973844</v>
      </c>
      <c r="L453" s="441">
        <v>22722928.841399197</v>
      </c>
      <c r="M453" s="441">
        <v>22627048.32913382</v>
      </c>
      <c r="N453" s="441">
        <v>23222000.158589184</v>
      </c>
      <c r="O453" s="441">
        <v>23200921.128414992</v>
      </c>
      <c r="P453" s="441">
        <v>23326355.608655047</v>
      </c>
      <c r="Q453" s="441">
        <v>24409254.575794384</v>
      </c>
      <c r="R453" s="441">
        <v>27235489.396706805</v>
      </c>
      <c r="S453" s="441">
        <v>26441074.001882676</v>
      </c>
      <c r="T453" s="441">
        <v>26655349.687716655</v>
      </c>
      <c r="U453" s="441">
        <v>28475288.340481989</v>
      </c>
      <c r="V453" s="441">
        <v>29912522.495813143</v>
      </c>
      <c r="W453" s="441">
        <v>156996948.45905903</v>
      </c>
    </row>
    <row r="454" spans="1:23" x14ac:dyDescent="0.2">
      <c r="A454" s="9"/>
      <c r="B454" s="6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x14ac:dyDescent="0.2">
      <c r="B455" s="356"/>
      <c r="C455" s="358"/>
      <c r="D455" s="358"/>
      <c r="E455" s="358"/>
      <c r="F455" s="358"/>
      <c r="G455" s="358"/>
      <c r="H455" s="358"/>
      <c r="I455" s="358"/>
      <c r="J455" s="358"/>
      <c r="K455" s="358"/>
      <c r="L455" s="358"/>
      <c r="M455" s="358"/>
      <c r="N455" s="358"/>
      <c r="O455" s="358"/>
      <c r="P455" s="358"/>
      <c r="Q455" s="358"/>
      <c r="R455" s="358"/>
      <c r="S455" s="358"/>
      <c r="T455" s="358"/>
      <c r="U455" s="358"/>
      <c r="V455" s="358"/>
      <c r="W455" s="300"/>
    </row>
    <row r="456" spans="1:23" x14ac:dyDescent="0.2">
      <c r="B456" s="354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5"/>
      <c r="N456" s="355"/>
      <c r="O456" s="355"/>
      <c r="P456" s="355"/>
      <c r="Q456" s="355"/>
      <c r="R456" s="355"/>
      <c r="S456" s="355"/>
      <c r="T456" s="355"/>
      <c r="U456" s="355"/>
      <c r="V456" s="355"/>
      <c r="W456" s="300"/>
    </row>
    <row r="457" spans="1:23" x14ac:dyDescent="0.2">
      <c r="B457" s="354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00"/>
    </row>
    <row r="458" spans="1:23" x14ac:dyDescent="0.2">
      <c r="B458" s="354"/>
      <c r="C458" s="355"/>
      <c r="D458" s="355"/>
      <c r="E458" s="355"/>
      <c r="F458" s="355"/>
      <c r="G458" s="355"/>
      <c r="H458" s="355"/>
      <c r="I458" s="355"/>
      <c r="J458" s="355"/>
      <c r="K458" s="355"/>
      <c r="L458" s="355"/>
      <c r="M458" s="355"/>
      <c r="N458" s="355"/>
      <c r="O458" s="355"/>
      <c r="P458" s="355"/>
      <c r="Q458" s="355"/>
      <c r="R458" s="355"/>
      <c r="S458" s="355"/>
      <c r="T458" s="355"/>
      <c r="U458" s="355"/>
      <c r="V458" s="355"/>
      <c r="W458" s="300"/>
    </row>
    <row r="459" spans="1:23" x14ac:dyDescent="0.2">
      <c r="B459" s="356"/>
      <c r="C459" s="359"/>
      <c r="D459" s="359"/>
      <c r="E459" s="359"/>
      <c r="F459" s="359"/>
      <c r="G459" s="359"/>
      <c r="H459" s="359"/>
      <c r="I459" s="359"/>
      <c r="J459" s="359"/>
      <c r="K459" s="359"/>
      <c r="L459" s="359"/>
      <c r="M459" s="359"/>
      <c r="N459" s="359"/>
      <c r="O459" s="359"/>
      <c r="P459" s="359"/>
      <c r="Q459" s="359"/>
      <c r="R459" s="359"/>
      <c r="S459" s="359"/>
      <c r="T459" s="359"/>
      <c r="U459" s="359"/>
      <c r="V459" s="359"/>
      <c r="W459" s="300"/>
    </row>
    <row r="460" spans="1:23" x14ac:dyDescent="0.2">
      <c r="B460" s="354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5"/>
      <c r="N460" s="355"/>
      <c r="O460" s="355"/>
      <c r="P460" s="355"/>
      <c r="Q460" s="355"/>
      <c r="R460" s="355"/>
      <c r="S460" s="355"/>
      <c r="T460" s="355"/>
      <c r="U460" s="355"/>
      <c r="V460" s="355"/>
      <c r="W460" s="300"/>
    </row>
    <row r="461" spans="1:23" x14ac:dyDescent="0.2">
      <c r="B461" s="354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5"/>
      <c r="N461" s="355"/>
      <c r="O461" s="355"/>
      <c r="P461" s="355"/>
      <c r="Q461" s="355"/>
      <c r="R461" s="355"/>
      <c r="S461" s="355"/>
      <c r="T461" s="355"/>
      <c r="U461" s="355"/>
      <c r="V461" s="355"/>
      <c r="W461" s="300"/>
    </row>
    <row r="462" spans="1:23" ht="15.75" x14ac:dyDescent="0.25">
      <c r="A462" s="308" t="s">
        <v>29</v>
      </c>
      <c r="B462" s="311" t="s">
        <v>61</v>
      </c>
      <c r="C462" s="312">
        <v>2000</v>
      </c>
      <c r="D462" s="312">
        <v>2001</v>
      </c>
      <c r="E462" s="312">
        <v>2002</v>
      </c>
      <c r="F462" s="312">
        <v>2003</v>
      </c>
      <c r="G462" s="312">
        <v>2004</v>
      </c>
      <c r="H462" s="312">
        <v>2005</v>
      </c>
      <c r="I462" s="312">
        <v>2006</v>
      </c>
      <c r="J462" s="312">
        <v>2007</v>
      </c>
      <c r="K462" s="312">
        <v>2008</v>
      </c>
      <c r="L462" s="312">
        <v>2009</v>
      </c>
      <c r="M462" s="312">
        <v>2010</v>
      </c>
      <c r="N462" s="312">
        <v>2011</v>
      </c>
      <c r="O462" s="312">
        <v>2012</v>
      </c>
      <c r="P462" s="312">
        <v>2013</v>
      </c>
      <c r="Q462" s="312">
        <v>2014</v>
      </c>
      <c r="R462" s="312">
        <v>2015</v>
      </c>
      <c r="S462" s="312">
        <v>2016</v>
      </c>
      <c r="T462" s="312">
        <v>2017</v>
      </c>
      <c r="U462" s="312">
        <v>2018</v>
      </c>
      <c r="V462" s="312">
        <v>2019</v>
      </c>
      <c r="W462" s="312" t="s">
        <v>154</v>
      </c>
    </row>
    <row r="463" spans="1:23" x14ac:dyDescent="0.2">
      <c r="A463" s="308" t="s">
        <v>26</v>
      </c>
      <c r="B463" s="309">
        <v>198</v>
      </c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</row>
    <row r="464" spans="1:23" x14ac:dyDescent="0.2">
      <c r="A464" s="9"/>
      <c r="B464" s="315" t="s">
        <v>27</v>
      </c>
      <c r="C464" s="449">
        <v>0</v>
      </c>
      <c r="D464" s="410">
        <v>57398391.743378781</v>
      </c>
      <c r="E464" s="410">
        <v>55957099.111370668</v>
      </c>
      <c r="F464" s="410">
        <v>56059403.718314171</v>
      </c>
      <c r="G464" s="410">
        <v>54607172.963907734</v>
      </c>
      <c r="H464" s="410">
        <v>54112092.378361918</v>
      </c>
      <c r="I464" s="410">
        <v>57129648.40628662</v>
      </c>
      <c r="J464" s="410">
        <v>61448157.75890743</v>
      </c>
      <c r="K464" s="410">
        <v>63103080.62494918</v>
      </c>
      <c r="L464" s="410">
        <v>64406124.323777094</v>
      </c>
      <c r="M464" s="410">
        <v>64637164.665869735</v>
      </c>
      <c r="N464" s="410">
        <v>66050131.772288032</v>
      </c>
      <c r="O464" s="410">
        <v>66764708.920560077</v>
      </c>
      <c r="P464" s="410">
        <v>67568113.360505953</v>
      </c>
      <c r="Q464" s="410">
        <v>69982878.0302241</v>
      </c>
      <c r="R464" s="410">
        <v>74919574.824471012</v>
      </c>
      <c r="S464" s="410">
        <v>74534074.946181744</v>
      </c>
      <c r="T464" s="410">
        <v>75546080.113349795</v>
      </c>
      <c r="U464" s="410">
        <v>79152758.888265669</v>
      </c>
      <c r="V464" s="410">
        <v>81524752.210226819</v>
      </c>
      <c r="W464" s="333"/>
    </row>
    <row r="465" spans="1:23" x14ac:dyDescent="0.2">
      <c r="A465" s="9"/>
      <c r="B465" s="315" t="s">
        <v>20</v>
      </c>
      <c r="C465" s="449">
        <v>0</v>
      </c>
      <c r="D465" s="410">
        <v>-17230560.116207439</v>
      </c>
      <c r="E465" s="410">
        <v>-17240584.976696357</v>
      </c>
      <c r="F465" s="410">
        <v>-17292782.55205033</v>
      </c>
      <c r="G465" s="410">
        <v>-17533440.103774674</v>
      </c>
      <c r="H465" s="410">
        <v>-17874983.251874499</v>
      </c>
      <c r="I465" s="410">
        <v>-18394285.364249963</v>
      </c>
      <c r="J465" s="410">
        <v>-18817985.40364797</v>
      </c>
      <c r="K465" s="410">
        <v>-19221315.248844147</v>
      </c>
      <c r="L465" s="410">
        <v>-19535016.239552289</v>
      </c>
      <c r="M465" s="410">
        <v>-19684397.66369902</v>
      </c>
      <c r="N465" s="410">
        <v>-19947852.175375987</v>
      </c>
      <c r="O465" s="410">
        <v>-20379700.292454731</v>
      </c>
      <c r="P465" s="410">
        <v>-20841424.694362804</v>
      </c>
      <c r="Q465" s="410">
        <v>-21284136.91501585</v>
      </c>
      <c r="R465" s="410">
        <v>-21581541.75036253</v>
      </c>
      <c r="S465" s="410">
        <v>-22021537.945121989</v>
      </c>
      <c r="T465" s="410">
        <v>-22524002.735433739</v>
      </c>
      <c r="U465" s="410">
        <v>-23076714.004776653</v>
      </c>
      <c r="V465" s="410">
        <v>-23647079.442427803</v>
      </c>
      <c r="W465" s="333"/>
    </row>
    <row r="466" spans="1:23" x14ac:dyDescent="0.2">
      <c r="A466" s="9"/>
      <c r="B466" s="315" t="s">
        <v>31</v>
      </c>
      <c r="C466" s="449">
        <v>0</v>
      </c>
      <c r="D466" s="410">
        <v>-1176297.1455005533</v>
      </c>
      <c r="E466" s="410">
        <v>-1183779.9678590833</v>
      </c>
      <c r="F466" s="410">
        <v>-1946328.5728023555</v>
      </c>
      <c r="G466" s="410">
        <v>-1960421.06461396</v>
      </c>
      <c r="H466" s="410">
        <v>-1973609.56532671</v>
      </c>
      <c r="I466" s="410">
        <v>-1998214.6495049465</v>
      </c>
      <c r="J466" s="410">
        <v>-2042315.2408698399</v>
      </c>
      <c r="K466" s="410">
        <v>-2087400.1721603891</v>
      </c>
      <c r="L466" s="410">
        <v>-2133491.6665913598</v>
      </c>
      <c r="M466" s="410">
        <v>-2180612.4548124797</v>
      </c>
      <c r="N466" s="410">
        <v>-2228785.7866225243</v>
      </c>
      <c r="O466" s="410">
        <v>-2278035.4429566511</v>
      </c>
      <c r="P466" s="410">
        <v>-2328385.7481533936</v>
      </c>
      <c r="Q466" s="410">
        <v>-2379861.5825079265</v>
      </c>
      <c r="R466" s="410">
        <v>-2432488.3951183241</v>
      </c>
      <c r="S466" s="410">
        <v>-2486292.2170317429</v>
      </c>
      <c r="T466" s="410">
        <v>-2541299.6746975658</v>
      </c>
      <c r="U466" s="410">
        <v>-2597538.0037347781</v>
      </c>
      <c r="V466" s="410">
        <v>-2655035.0630209567</v>
      </c>
      <c r="W466" s="333"/>
    </row>
    <row r="467" spans="1:23" x14ac:dyDescent="0.2">
      <c r="A467" s="9"/>
      <c r="B467" s="315" t="s">
        <v>32</v>
      </c>
      <c r="C467" s="449">
        <v>0</v>
      </c>
      <c r="D467" s="410">
        <v>0</v>
      </c>
      <c r="E467" s="410">
        <v>0</v>
      </c>
      <c r="F467" s="410">
        <v>0</v>
      </c>
      <c r="G467" s="410">
        <v>0</v>
      </c>
      <c r="H467" s="410">
        <v>0</v>
      </c>
      <c r="I467" s="410">
        <v>-1012479.3147385693</v>
      </c>
      <c r="J467" s="410">
        <v>-1122252.4395350281</v>
      </c>
      <c r="K467" s="410">
        <v>-1354789.7519505459</v>
      </c>
      <c r="L467" s="410">
        <v>-1360141.5738826606</v>
      </c>
      <c r="M467" s="410">
        <v>-1512686.5525862225</v>
      </c>
      <c r="N467" s="410">
        <v>-1666338.632719967</v>
      </c>
      <c r="O467" s="410">
        <v>-1846253.2467108192</v>
      </c>
      <c r="P467" s="410">
        <v>-2070135.5644396897</v>
      </c>
      <c r="Q467" s="410">
        <v>-2304383.9217035957</v>
      </c>
      <c r="R467" s="410">
        <v>-2552553.4366807821</v>
      </c>
      <c r="S467" s="410">
        <v>-2802700.5344459191</v>
      </c>
      <c r="T467" s="410">
        <v>-2753516.6368554546</v>
      </c>
      <c r="U467" s="410">
        <v>-2355782.4137058938</v>
      </c>
      <c r="V467" s="410">
        <v>-2442511.7293150937</v>
      </c>
      <c r="W467" s="333"/>
    </row>
    <row r="468" spans="1:23" ht="13.5" thickBot="1" x14ac:dyDescent="0.25">
      <c r="A468" s="9"/>
      <c r="B468" s="316" t="s">
        <v>33</v>
      </c>
      <c r="C468" s="450">
        <v>0</v>
      </c>
      <c r="D468" s="412">
        <v>0</v>
      </c>
      <c r="E468" s="412">
        <v>0</v>
      </c>
      <c r="F468" s="412">
        <v>-867760.08503908815</v>
      </c>
      <c r="G468" s="412">
        <v>-728669.6049798571</v>
      </c>
      <c r="H468" s="412">
        <v>-745111.03171762894</v>
      </c>
      <c r="I468" s="412">
        <v>-766596.55932543508</v>
      </c>
      <c r="J468" s="412">
        <v>-1006207.1465872986</v>
      </c>
      <c r="K468" s="412">
        <v>-878657.87718516379</v>
      </c>
      <c r="L468" s="412">
        <v>-930264.839648981</v>
      </c>
      <c r="M468" s="412">
        <v>-885182.62310188136</v>
      </c>
      <c r="N468" s="412">
        <v>-910534.98297558213</v>
      </c>
      <c r="O468" s="412">
        <v>-934145.94903699483</v>
      </c>
      <c r="P468" s="412">
        <v>-834388.32284211356</v>
      </c>
      <c r="Q468" s="412">
        <v>-864221.60909407819</v>
      </c>
      <c r="R468" s="412">
        <v>-882081.07808869623</v>
      </c>
      <c r="S468" s="412">
        <v>-936708.13145884394</v>
      </c>
      <c r="T468" s="412">
        <v>-880602.79576790135</v>
      </c>
      <c r="U468" s="412">
        <v>-969875.70170512481</v>
      </c>
      <c r="V468" s="412">
        <v>-528049.36348025489</v>
      </c>
      <c r="W468" s="333"/>
    </row>
    <row r="469" spans="1:23" ht="13.5" thickTop="1" x14ac:dyDescent="0.2">
      <c r="A469" s="9"/>
      <c r="B469" s="317" t="s">
        <v>38</v>
      </c>
      <c r="C469" s="451">
        <v>0</v>
      </c>
      <c r="D469" s="414">
        <v>38991534.481670782</v>
      </c>
      <c r="E469" s="414">
        <v>37532734.166815229</v>
      </c>
      <c r="F469" s="414">
        <v>35952532.508422397</v>
      </c>
      <c r="G469" s="414">
        <v>34384642.190539241</v>
      </c>
      <c r="H469" s="414">
        <v>33518388.529443078</v>
      </c>
      <c r="I469" s="414">
        <v>34958072.518467702</v>
      </c>
      <c r="J469" s="414">
        <v>38459397.528267294</v>
      </c>
      <c r="K469" s="414">
        <v>39560917.574808933</v>
      </c>
      <c r="L469" s="414">
        <v>40447210.004101798</v>
      </c>
      <c r="M469" s="414">
        <v>40374285.371670127</v>
      </c>
      <c r="N469" s="414">
        <v>41296620.194593973</v>
      </c>
      <c r="O469" s="414">
        <v>41326573.989400879</v>
      </c>
      <c r="P469" s="414">
        <v>41493779.030707948</v>
      </c>
      <c r="Q469" s="414">
        <v>43150274.001902662</v>
      </c>
      <c r="R469" s="414">
        <v>47470910.164220683</v>
      </c>
      <c r="S469" s="414">
        <v>46286836.118123256</v>
      </c>
      <c r="T469" s="414">
        <v>46846658.270595133</v>
      </c>
      <c r="U469" s="414">
        <v>50152848.764343217</v>
      </c>
      <c r="V469" s="414">
        <v>52252076.611982711</v>
      </c>
      <c r="W469" s="333"/>
    </row>
    <row r="470" spans="1:23" x14ac:dyDescent="0.2">
      <c r="A470" s="9"/>
      <c r="B470" s="315" t="s">
        <v>34</v>
      </c>
      <c r="C470" s="449">
        <v>0</v>
      </c>
      <c r="D470" s="410">
        <v>-2322788.9396784999</v>
      </c>
      <c r="E470" s="410">
        <v>-2369244.7184720701</v>
      </c>
      <c r="F470" s="410">
        <v>-2452166.6128415116</v>
      </c>
      <c r="G470" s="410">
        <v>-2501387.6300983415</v>
      </c>
      <c r="H470" s="410">
        <v>-2551597.5098253083</v>
      </c>
      <c r="I470" s="410">
        <v>-2602816.1403249395</v>
      </c>
      <c r="J470" s="410">
        <v>-2655063.8104421417</v>
      </c>
      <c r="K470" s="410">
        <v>-2708361.2176444554</v>
      </c>
      <c r="L470" s="410">
        <v>-2762729.4762656516</v>
      </c>
      <c r="M470" s="410">
        <v>-2818190.12591598</v>
      </c>
      <c r="N470" s="410">
        <v>-2874765.1400624402</v>
      </c>
      <c r="O470" s="410">
        <v>-2932476.9347825334</v>
      </c>
      <c r="P470" s="410">
        <v>-2991348.3776949993</v>
      </c>
      <c r="Q470" s="410">
        <v>-3051402.7970711347</v>
      </c>
      <c r="R470" s="410">
        <v>-3112663.9911303483</v>
      </c>
      <c r="S470" s="410">
        <v>-3175156.2375236917</v>
      </c>
      <c r="T470" s="410">
        <v>-3238904.3030091701</v>
      </c>
      <c r="U470" s="410">
        <v>-3303933.4533227333</v>
      </c>
      <c r="V470" s="410">
        <v>-3370269.4632489025</v>
      </c>
      <c r="W470" s="333"/>
    </row>
    <row r="471" spans="1:23" x14ac:dyDescent="0.2">
      <c r="A471" s="9"/>
      <c r="B471" s="315" t="s">
        <v>35</v>
      </c>
      <c r="C471" s="449">
        <v>0</v>
      </c>
      <c r="D471" s="410">
        <v>-784147.16871290235</v>
      </c>
      <c r="E471" s="410">
        <v>-791825.82781056478</v>
      </c>
      <c r="F471" s="410">
        <v>-799672.64954246604</v>
      </c>
      <c r="G471" s="410">
        <v>-807696.80944550817</v>
      </c>
      <c r="H471" s="410">
        <v>-815911.94435424276</v>
      </c>
      <c r="I471" s="410">
        <v>-824678.59368557215</v>
      </c>
      <c r="J471" s="410">
        <v>-833308.46513482928</v>
      </c>
      <c r="K471" s="410">
        <v>-842519.83192443964</v>
      </c>
      <c r="L471" s="410">
        <v>-851586.69654419599</v>
      </c>
      <c r="M471" s="410">
        <v>-860884.76621175604</v>
      </c>
      <c r="N471" s="410">
        <v>-870407.84916527104</v>
      </c>
      <c r="O471" s="410">
        <v>-880170.9138092146</v>
      </c>
      <c r="P471" s="410">
        <v>-890181.96029511432</v>
      </c>
      <c r="Q471" s="410">
        <v>-900443.28294316155</v>
      </c>
      <c r="R471" s="410">
        <v>-910962.1647896748</v>
      </c>
      <c r="S471" s="410">
        <v>-921744.01868235087</v>
      </c>
      <c r="T471" s="410">
        <v>-932793.26255156531</v>
      </c>
      <c r="U471" s="410">
        <v>-944119.84244189702</v>
      </c>
      <c r="V471" s="410">
        <v>-955730.71948747605</v>
      </c>
      <c r="W471" s="333"/>
    </row>
    <row r="472" spans="1:23" ht="13.5" thickBot="1" x14ac:dyDescent="0.25">
      <c r="A472" s="9"/>
      <c r="B472" s="316" t="s">
        <v>36</v>
      </c>
      <c r="C472" s="450">
        <v>0</v>
      </c>
      <c r="D472" s="412">
        <v>-467999.200989959</v>
      </c>
      <c r="E472" s="412">
        <v>-477873.98413085</v>
      </c>
      <c r="F472" s="412">
        <v>-488339.42438331601</v>
      </c>
      <c r="G472" s="412">
        <v>-499375.89537437499</v>
      </c>
      <c r="H472" s="412">
        <v>-511261.04168428603</v>
      </c>
      <c r="I472" s="412">
        <v>-524073.29478688602</v>
      </c>
      <c r="J472" s="412">
        <v>-537071.77249853604</v>
      </c>
      <c r="K472" s="412">
        <v>-550666.16895914497</v>
      </c>
      <c r="L472" s="412">
        <v>-564267.62333243701</v>
      </c>
      <c r="M472" s="412">
        <v>-578656.44772741199</v>
      </c>
      <c r="N472" s="412">
        <v>-592659.93376241799</v>
      </c>
      <c r="O472" s="412">
        <v>-607594.96409322903</v>
      </c>
      <c r="P472" s="412">
        <v>-623027.87618119596</v>
      </c>
      <c r="Q472" s="412">
        <v>-638603.57308572496</v>
      </c>
      <c r="R472" s="412">
        <v>-654632.52277017699</v>
      </c>
      <c r="S472" s="412">
        <v>-670998.33583943301</v>
      </c>
      <c r="T472" s="412">
        <v>-687639.09456825</v>
      </c>
      <c r="U472" s="412">
        <v>-704898.83584191406</v>
      </c>
      <c r="V472" s="412">
        <v>-722591.79662154603</v>
      </c>
      <c r="W472" s="333"/>
    </row>
    <row r="473" spans="1:23" ht="13.5" thickTop="1" x14ac:dyDescent="0.2">
      <c r="A473" s="9"/>
      <c r="B473" s="317" t="s">
        <v>221</v>
      </c>
      <c r="C473" s="452">
        <v>0</v>
      </c>
      <c r="D473" s="416">
        <v>35416599.172289424</v>
      </c>
      <c r="E473" s="416">
        <v>33893789.636401743</v>
      </c>
      <c r="F473" s="416">
        <v>32212353.821655102</v>
      </c>
      <c r="G473" s="416">
        <v>30576181.855621014</v>
      </c>
      <c r="H473" s="416">
        <v>29639618.033579241</v>
      </c>
      <c r="I473" s="416">
        <v>31006504.489670306</v>
      </c>
      <c r="J473" s="416">
        <v>34433953.48019179</v>
      </c>
      <c r="K473" s="416">
        <v>35459370.356280893</v>
      </c>
      <c r="L473" s="416">
        <v>36268626.207959518</v>
      </c>
      <c r="M473" s="416">
        <v>36116554.031814978</v>
      </c>
      <c r="N473" s="416">
        <v>36958787.271603845</v>
      </c>
      <c r="O473" s="416">
        <v>36906331.176715896</v>
      </c>
      <c r="P473" s="416">
        <v>36989220.816536643</v>
      </c>
      <c r="Q473" s="416">
        <v>38559824.348802641</v>
      </c>
      <c r="R473" s="416">
        <v>42792651.485530488</v>
      </c>
      <c r="S473" s="416">
        <v>41518937.526077777</v>
      </c>
      <c r="T473" s="416">
        <v>41987321.610466145</v>
      </c>
      <c r="U473" s="416">
        <v>45199896.632736675</v>
      </c>
      <c r="V473" s="416">
        <v>47203484.63262479</v>
      </c>
      <c r="W473" s="333"/>
    </row>
    <row r="474" spans="1:23" x14ac:dyDescent="0.2">
      <c r="A474" s="9"/>
      <c r="B474" s="315" t="s">
        <v>37</v>
      </c>
      <c r="C474" s="449">
        <v>0</v>
      </c>
      <c r="D474" s="410">
        <v>-1069759.6792499998</v>
      </c>
      <c r="E474" s="410">
        <v>-1814450.4413242002</v>
      </c>
      <c r="F474" s="410">
        <v>-2041965.8463563998</v>
      </c>
      <c r="G474" s="410">
        <v>-2135973.2199964002</v>
      </c>
      <c r="H474" s="410">
        <v>-2045195.4127860002</v>
      </c>
      <c r="I474" s="410">
        <v>-1538830.28524304</v>
      </c>
      <c r="J474" s="410">
        <v>-1007068.1225786073</v>
      </c>
      <c r="K474" s="410">
        <v>-824781.95448470558</v>
      </c>
      <c r="L474" s="410">
        <v>-763836.9500448748</v>
      </c>
      <c r="M474" s="410">
        <v>-720934.45378960692</v>
      </c>
      <c r="N474" s="410">
        <v>-680525.75891158113</v>
      </c>
      <c r="O474" s="410">
        <v>-715095.33043252467</v>
      </c>
      <c r="P474" s="410">
        <v>-750405.22894047643</v>
      </c>
      <c r="Q474" s="410">
        <v>-786737.88440366671</v>
      </c>
      <c r="R474" s="410">
        <v>-783697.05953075283</v>
      </c>
      <c r="S474" s="410">
        <v>-781753.46991165134</v>
      </c>
      <c r="T474" s="410">
        <v>-821474.81260397693</v>
      </c>
      <c r="U474" s="410">
        <v>-862387.79557707219</v>
      </c>
      <c r="V474" s="410">
        <v>-904528.1680393602</v>
      </c>
      <c r="W474" s="333"/>
    </row>
    <row r="475" spans="1:23" ht="13.5" thickBot="1" x14ac:dyDescent="0.25">
      <c r="A475" s="9"/>
      <c r="B475" s="316" t="s">
        <v>222</v>
      </c>
      <c r="C475" s="450">
        <v>0</v>
      </c>
      <c r="D475" s="412">
        <v>-13738735.797215769</v>
      </c>
      <c r="E475" s="412">
        <v>-12831735.678031018</v>
      </c>
      <c r="F475" s="412">
        <v>-12068155.190119483</v>
      </c>
      <c r="G475" s="412">
        <v>-11376083.454249846</v>
      </c>
      <c r="H475" s="412">
        <v>-11037769.048317298</v>
      </c>
      <c r="I475" s="412">
        <v>-11787069.681770906</v>
      </c>
      <c r="J475" s="412">
        <v>-13370754.143045275</v>
      </c>
      <c r="K475" s="412">
        <v>-13853835.360718474</v>
      </c>
      <c r="L475" s="412">
        <v>-14201915.703165857</v>
      </c>
      <c r="M475" s="412">
        <v>-14158247.831210149</v>
      </c>
      <c r="N475" s="412">
        <v>-14511304.605076907</v>
      </c>
      <c r="O475" s="412">
        <v>-14476494.338513348</v>
      </c>
      <c r="P475" s="412">
        <v>-14495526.235038467</v>
      </c>
      <c r="Q475" s="412">
        <v>-15109234.585759589</v>
      </c>
      <c r="R475" s="412">
        <v>-16803581.770399895</v>
      </c>
      <c r="S475" s="412">
        <v>-16294873.622466452</v>
      </c>
      <c r="T475" s="412">
        <v>-16466338.719144866</v>
      </c>
      <c r="U475" s="412">
        <v>-17735003.534863841</v>
      </c>
      <c r="V475" s="412">
        <v>-18519582.585834172</v>
      </c>
      <c r="W475" s="333"/>
    </row>
    <row r="476" spans="1:23" ht="13.5" thickTop="1" x14ac:dyDescent="0.2">
      <c r="A476" s="9"/>
      <c r="B476" s="317" t="s">
        <v>183</v>
      </c>
      <c r="C476" s="452">
        <v>0</v>
      </c>
      <c r="D476" s="416">
        <v>20608103.695823655</v>
      </c>
      <c r="E476" s="416">
        <v>19247603.517046526</v>
      </c>
      <c r="F476" s="416">
        <v>18102232.78517922</v>
      </c>
      <c r="G476" s="416">
        <v>17064125.181374766</v>
      </c>
      <c r="H476" s="416">
        <v>16556653.572475944</v>
      </c>
      <c r="I476" s="416">
        <v>17680604.522656359</v>
      </c>
      <c r="J476" s="416">
        <v>20056131.214567907</v>
      </c>
      <c r="K476" s="416">
        <v>20780753.041077711</v>
      </c>
      <c r="L476" s="416">
        <v>21302873.554748781</v>
      </c>
      <c r="M476" s="416">
        <v>21237371.74681522</v>
      </c>
      <c r="N476" s="416">
        <v>21766956.907615356</v>
      </c>
      <c r="O476" s="416">
        <v>21714741.507770021</v>
      </c>
      <c r="P476" s="416">
        <v>21743289.352557696</v>
      </c>
      <c r="Q476" s="416">
        <v>22663851.878639385</v>
      </c>
      <c r="R476" s="416">
        <v>25205372.655599844</v>
      </c>
      <c r="S476" s="416">
        <v>24442310.433699675</v>
      </c>
      <c r="T476" s="416">
        <v>24699508.078717299</v>
      </c>
      <c r="U476" s="416">
        <v>26602505.302295763</v>
      </c>
      <c r="V476" s="416">
        <v>27779373.878751259</v>
      </c>
      <c r="W476" s="333"/>
    </row>
    <row r="477" spans="1:23" x14ac:dyDescent="0.2">
      <c r="A477" s="9"/>
      <c r="B477" s="315" t="s">
        <v>37</v>
      </c>
      <c r="C477" s="449">
        <v>0</v>
      </c>
      <c r="D477" s="410">
        <v>1069759.6792499998</v>
      </c>
      <c r="E477" s="410">
        <v>1814450.4413242002</v>
      </c>
      <c r="F477" s="410">
        <v>2041965.8463563998</v>
      </c>
      <c r="G477" s="410">
        <v>2135973.2199964002</v>
      </c>
      <c r="H477" s="410">
        <v>2045195.4127860002</v>
      </c>
      <c r="I477" s="410">
        <v>1538830.28524304</v>
      </c>
      <c r="J477" s="410">
        <v>1007068.1225786073</v>
      </c>
      <c r="K477" s="410">
        <v>824781.95448470558</v>
      </c>
      <c r="L477" s="410">
        <v>763836.9500448748</v>
      </c>
      <c r="M477" s="410">
        <v>720934.45378960692</v>
      </c>
      <c r="N477" s="410">
        <v>680525.75891158113</v>
      </c>
      <c r="O477" s="410">
        <v>715095.33043252467</v>
      </c>
      <c r="P477" s="410">
        <v>750405.22894047643</v>
      </c>
      <c r="Q477" s="410">
        <v>786737.88440366671</v>
      </c>
      <c r="R477" s="410">
        <v>783697.05953075283</v>
      </c>
      <c r="S477" s="410">
        <v>781753.46991165134</v>
      </c>
      <c r="T477" s="410">
        <v>821474.81260397693</v>
      </c>
      <c r="U477" s="410">
        <v>862387.79557707219</v>
      </c>
      <c r="V477" s="410">
        <v>904528.1680393602</v>
      </c>
      <c r="W477" s="333"/>
    </row>
    <row r="478" spans="1:23" x14ac:dyDescent="0.2">
      <c r="A478" s="9"/>
      <c r="B478" s="315" t="s">
        <v>39</v>
      </c>
      <c r="C478" s="449">
        <v>0</v>
      </c>
      <c r="D478" s="410">
        <v>-2359867.1800000002</v>
      </c>
      <c r="E478" s="410">
        <v>-51955.200000000186</v>
      </c>
      <c r="F478" s="410">
        <v>-453987.6</v>
      </c>
      <c r="G478" s="410">
        <v>-54796.5</v>
      </c>
      <c r="H478" s="410">
        <v>-594021.29600000032</v>
      </c>
      <c r="I478" s="410">
        <v>-611841.93488000031</v>
      </c>
      <c r="J478" s="410">
        <v>-630197.19292640034</v>
      </c>
      <c r="K478" s="410">
        <v>-649103.10871419241</v>
      </c>
      <c r="L478" s="410">
        <v>-668576.20197561814</v>
      </c>
      <c r="M478" s="410">
        <v>-688633.48803488666</v>
      </c>
      <c r="N478" s="410">
        <v>-709292.49267593329</v>
      </c>
      <c r="O478" s="410">
        <v>-730571.26745621127</v>
      </c>
      <c r="P478" s="410">
        <v>-752488.40547989763</v>
      </c>
      <c r="Q478" s="410">
        <v>-775063.05764429457</v>
      </c>
      <c r="R478" s="410">
        <v>-798314.94937362347</v>
      </c>
      <c r="S478" s="410">
        <v>-822264.39785483223</v>
      </c>
      <c r="T478" s="410">
        <v>-846932.32979047718</v>
      </c>
      <c r="U478" s="410">
        <v>-872340.29968419147</v>
      </c>
      <c r="V478" s="410">
        <v>-898510.50867471728</v>
      </c>
      <c r="W478" s="333"/>
    </row>
    <row r="479" spans="1:23" ht="13.5" thickBot="1" x14ac:dyDescent="0.25">
      <c r="A479" s="9"/>
      <c r="B479" s="316" t="s">
        <v>40</v>
      </c>
      <c r="C479" s="450">
        <v>0</v>
      </c>
      <c r="D479" s="412">
        <v>-7279104</v>
      </c>
      <c r="E479" s="412">
        <v>-1766161.92</v>
      </c>
      <c r="F479" s="412">
        <v>-1476105.18</v>
      </c>
      <c r="G479" s="412">
        <v>0</v>
      </c>
      <c r="H479" s="412">
        <v>0</v>
      </c>
      <c r="I479" s="412">
        <v>0</v>
      </c>
      <c r="J479" s="412">
        <v>0</v>
      </c>
      <c r="K479" s="412">
        <v>0</v>
      </c>
      <c r="L479" s="412">
        <v>0</v>
      </c>
      <c r="M479" s="412">
        <v>0</v>
      </c>
      <c r="N479" s="412">
        <v>0</v>
      </c>
      <c r="O479" s="412">
        <v>0</v>
      </c>
      <c r="P479" s="412">
        <v>0</v>
      </c>
      <c r="Q479" s="412">
        <v>0</v>
      </c>
      <c r="R479" s="412">
        <v>0</v>
      </c>
      <c r="S479" s="412">
        <v>0</v>
      </c>
      <c r="T479" s="412">
        <v>0</v>
      </c>
      <c r="U479" s="412">
        <v>0</v>
      </c>
      <c r="V479" s="412">
        <v>0</v>
      </c>
      <c r="W479" s="333"/>
    </row>
    <row r="480" spans="1:23" ht="13.5" thickTop="1" x14ac:dyDescent="0.2">
      <c r="A480" s="9"/>
      <c r="B480" s="315"/>
      <c r="C480" s="453"/>
      <c r="D480" s="333"/>
      <c r="E480" s="333"/>
      <c r="F480" s="333"/>
      <c r="G480" s="333"/>
      <c r="H480" s="333"/>
      <c r="I480" s="333"/>
      <c r="J480" s="333"/>
      <c r="K480" s="333"/>
      <c r="L480" s="333"/>
      <c r="M480" s="333"/>
      <c r="N480" s="333"/>
      <c r="O480" s="333"/>
      <c r="P480" s="333"/>
      <c r="Q480" s="333"/>
      <c r="R480" s="333"/>
      <c r="S480" s="333"/>
      <c r="T480" s="333"/>
      <c r="U480" s="333"/>
      <c r="V480" s="333"/>
      <c r="W480" s="333"/>
    </row>
    <row r="481" spans="1:23" x14ac:dyDescent="0.2">
      <c r="A481" s="9"/>
      <c r="B481" s="317" t="s">
        <v>234</v>
      </c>
      <c r="C481" s="452">
        <v>0</v>
      </c>
      <c r="D481" s="416">
        <v>12038892.195073653</v>
      </c>
      <c r="E481" s="416">
        <v>19243936.838370726</v>
      </c>
      <c r="F481" s="416">
        <v>18214105.851535618</v>
      </c>
      <c r="G481" s="416">
        <v>19145301.901371166</v>
      </c>
      <c r="H481" s="416">
        <v>18007827.689261943</v>
      </c>
      <c r="I481" s="416">
        <v>18607592.873019401</v>
      </c>
      <c r="J481" s="416">
        <v>20433002.144220114</v>
      </c>
      <c r="K481" s="416">
        <v>20956431.886848222</v>
      </c>
      <c r="L481" s="416">
        <v>21398134.302818038</v>
      </c>
      <c r="M481" s="416">
        <v>21269672.712569941</v>
      </c>
      <c r="N481" s="416">
        <v>21738190.173851002</v>
      </c>
      <c r="O481" s="416">
        <v>21699265.570746332</v>
      </c>
      <c r="P481" s="416">
        <v>21741206.176018275</v>
      </c>
      <c r="Q481" s="416">
        <v>22675526.705398761</v>
      </c>
      <c r="R481" s="416">
        <v>25190754.765756972</v>
      </c>
      <c r="S481" s="416">
        <v>24401799.505756494</v>
      </c>
      <c r="T481" s="416">
        <v>24674050.561530799</v>
      </c>
      <c r="U481" s="416">
        <v>26592552.798188642</v>
      </c>
      <c r="V481" s="416">
        <v>27785391.5381159</v>
      </c>
      <c r="W481" s="414">
        <v>146098395.39827341</v>
      </c>
    </row>
    <row r="482" spans="1:23" x14ac:dyDescent="0.2">
      <c r="A482" s="9"/>
      <c r="B482" s="292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 x14ac:dyDescent="0.2">
      <c r="A483" s="308" t="s">
        <v>219</v>
      </c>
      <c r="B483" s="306" t="s">
        <v>170</v>
      </c>
      <c r="C483" s="439">
        <v>67953371.767203122</v>
      </c>
      <c r="D483" s="9"/>
      <c r="E483" s="137" t="s">
        <v>220</v>
      </c>
      <c r="F483" s="319" t="s">
        <v>170</v>
      </c>
      <c r="G483" s="443">
        <v>67953371.767203122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 x14ac:dyDescent="0.2">
      <c r="A484" s="9"/>
      <c r="B484" s="306" t="s">
        <v>180</v>
      </c>
      <c r="C484" s="439">
        <v>105291106.90229434</v>
      </c>
      <c r="D484" s="9"/>
      <c r="E484" s="321"/>
      <c r="F484" s="319" t="s">
        <v>180</v>
      </c>
      <c r="G484" s="443">
        <v>105291106.90229434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 ht="13.5" thickBot="1" x14ac:dyDescent="0.25">
      <c r="A485" s="9"/>
      <c r="B485" s="322" t="s">
        <v>137</v>
      </c>
      <c r="C485" s="440">
        <v>22776557.555014301</v>
      </c>
      <c r="D485" s="323"/>
      <c r="E485" s="321"/>
      <c r="F485" s="319" t="s">
        <v>137</v>
      </c>
      <c r="G485" s="443">
        <v>22776557.555014301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ht="14.25" thickTop="1" thickBot="1" x14ac:dyDescent="0.25">
      <c r="A486" s="9"/>
      <c r="B486" s="306" t="s">
        <v>28</v>
      </c>
      <c r="C486" s="438">
        <v>196021036.22451177</v>
      </c>
      <c r="D486" s="305"/>
      <c r="E486" s="321"/>
      <c r="F486" s="324" t="s">
        <v>204</v>
      </c>
      <c r="G486" s="325"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 ht="13.5" thickTop="1" x14ac:dyDescent="0.2">
      <c r="A487" s="9"/>
      <c r="B487" s="292"/>
      <c r="C487" s="326"/>
      <c r="D487" s="9"/>
      <c r="E487" s="327"/>
      <c r="F487" s="319" t="s">
        <v>28</v>
      </c>
      <c r="G487" s="368">
        <v>196021036.22451177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 x14ac:dyDescent="0.2">
      <c r="A488" s="9"/>
      <c r="B488" s="292"/>
      <c r="C488" s="326"/>
      <c r="D488" s="9"/>
      <c r="E488" s="327"/>
      <c r="F488" s="319"/>
      <c r="G488" s="32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 x14ac:dyDescent="0.2">
      <c r="A489" s="9"/>
      <c r="B489" s="292"/>
      <c r="C489" s="326"/>
      <c r="D489" s="9"/>
      <c r="E489" s="327"/>
      <c r="F489" s="319"/>
      <c r="G489" s="32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 x14ac:dyDescent="0.2">
      <c r="A490" s="9"/>
      <c r="B490" s="329" t="s">
        <v>223</v>
      </c>
      <c r="C490" s="326"/>
      <c r="D490" s="9"/>
      <c r="E490" s="327"/>
      <c r="F490" s="319"/>
      <c r="G490" s="32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 x14ac:dyDescent="0.2">
      <c r="A491" s="330" t="s">
        <v>225</v>
      </c>
      <c r="B491" s="329" t="s">
        <v>224</v>
      </c>
      <c r="C491" s="331"/>
      <c r="D491" s="332">
        <v>20608103.695823655</v>
      </c>
      <c r="E491" s="332">
        <v>19247603.517046526</v>
      </c>
      <c r="F491" s="332">
        <v>18102232.78517922</v>
      </c>
      <c r="G491" s="332">
        <v>17064125.181374766</v>
      </c>
      <c r="H491" s="332">
        <v>16556653.572475944</v>
      </c>
      <c r="I491" s="332">
        <v>17680604.522656359</v>
      </c>
      <c r="J491" s="332">
        <v>20056131.214567907</v>
      </c>
      <c r="K491" s="332">
        <v>20780753.041077711</v>
      </c>
      <c r="L491" s="332">
        <v>21302873.554748781</v>
      </c>
      <c r="M491" s="332">
        <v>21237371.74681522</v>
      </c>
      <c r="N491" s="332">
        <v>21766956.907615356</v>
      </c>
      <c r="O491" s="332">
        <v>21714741.507770021</v>
      </c>
      <c r="P491" s="332">
        <v>21743289.352557696</v>
      </c>
      <c r="Q491" s="332">
        <v>22663851.878639385</v>
      </c>
      <c r="R491" s="332">
        <v>25205372.655599844</v>
      </c>
      <c r="S491" s="332">
        <v>24442310.433699675</v>
      </c>
      <c r="T491" s="332">
        <v>24699508.078717299</v>
      </c>
      <c r="U491" s="332">
        <v>26602505.302295763</v>
      </c>
      <c r="V491" s="332">
        <v>27779373.878751259</v>
      </c>
      <c r="W491" s="9"/>
    </row>
    <row r="492" spans="1:23" x14ac:dyDescent="0.2">
      <c r="A492" s="9"/>
      <c r="B492" s="292" t="s">
        <v>226</v>
      </c>
      <c r="C492" s="326"/>
      <c r="D492" s="333">
        <v>13738735.797215769</v>
      </c>
      <c r="E492" s="333">
        <v>12831735.678031018</v>
      </c>
      <c r="F492" s="333">
        <v>12068155.190119483</v>
      </c>
      <c r="G492" s="333">
        <v>11376083.454249846</v>
      </c>
      <c r="H492" s="333">
        <v>11037769.048317298</v>
      </c>
      <c r="I492" s="333">
        <v>11787069.681770906</v>
      </c>
      <c r="J492" s="333">
        <v>13370754.143045275</v>
      </c>
      <c r="K492" s="333">
        <v>13853835.360718474</v>
      </c>
      <c r="L492" s="333">
        <v>14201915.703165857</v>
      </c>
      <c r="M492" s="333">
        <v>14158247.831210149</v>
      </c>
      <c r="N492" s="333">
        <v>14511304.605076907</v>
      </c>
      <c r="O492" s="333">
        <v>14476494.338513348</v>
      </c>
      <c r="P492" s="333">
        <v>14495526.235038467</v>
      </c>
      <c r="Q492" s="333">
        <v>15109234.585759589</v>
      </c>
      <c r="R492" s="333">
        <v>16803581.770399895</v>
      </c>
      <c r="S492" s="333">
        <v>16294873.622466452</v>
      </c>
      <c r="T492" s="333">
        <v>16466338.719144866</v>
      </c>
      <c r="U492" s="333">
        <v>17735003.534863841</v>
      </c>
      <c r="V492" s="333">
        <v>18519582.585834172</v>
      </c>
      <c r="W492" s="9"/>
    </row>
    <row r="493" spans="1:23" x14ac:dyDescent="0.2">
      <c r="A493" s="9"/>
      <c r="B493" s="334" t="s">
        <v>227</v>
      </c>
      <c r="C493" s="335"/>
      <c r="D493" s="333">
        <v>1069759.6792499998</v>
      </c>
      <c r="E493" s="333">
        <v>1814450.4413242002</v>
      </c>
      <c r="F493" s="333">
        <v>2041965.8463563998</v>
      </c>
      <c r="G493" s="333">
        <v>2135973.2199964002</v>
      </c>
      <c r="H493" s="333">
        <v>2045195.4127860002</v>
      </c>
      <c r="I493" s="333">
        <v>1538830.28524304</v>
      </c>
      <c r="J493" s="333">
        <v>1007068.1225786073</v>
      </c>
      <c r="K493" s="333">
        <v>824781.95448470558</v>
      </c>
      <c r="L493" s="333">
        <v>763836.9500448748</v>
      </c>
      <c r="M493" s="333">
        <v>720934.45378960692</v>
      </c>
      <c r="N493" s="333">
        <v>680525.75891158113</v>
      </c>
      <c r="O493" s="333">
        <v>715095.33043252467</v>
      </c>
      <c r="P493" s="333">
        <v>750405.22894047643</v>
      </c>
      <c r="Q493" s="333">
        <v>786737.88440366671</v>
      </c>
      <c r="R493" s="333">
        <v>783697.05953075283</v>
      </c>
      <c r="S493" s="333">
        <v>781753.46991165134</v>
      </c>
      <c r="T493" s="333">
        <v>821474.81260397693</v>
      </c>
      <c r="U493" s="333">
        <v>862387.79557707219</v>
      </c>
      <c r="V493" s="333">
        <v>904528.1680393602</v>
      </c>
      <c r="W493" s="9"/>
    </row>
    <row r="494" spans="1:23" ht="13.5" thickBot="1" x14ac:dyDescent="0.25">
      <c r="A494" s="9"/>
      <c r="B494" s="336" t="s">
        <v>228</v>
      </c>
      <c r="C494" s="337"/>
      <c r="D494" s="338">
        <v>35416599.172289424</v>
      </c>
      <c r="E494" s="338">
        <v>33893789.636401743</v>
      </c>
      <c r="F494" s="338">
        <v>32212353.821655102</v>
      </c>
      <c r="G494" s="338">
        <v>30576181.85562101</v>
      </c>
      <c r="H494" s="338">
        <v>29639618.033579241</v>
      </c>
      <c r="I494" s="338">
        <v>31006504.489670306</v>
      </c>
      <c r="J494" s="338">
        <v>34433953.48019179</v>
      </c>
      <c r="K494" s="338">
        <v>35459370.356280893</v>
      </c>
      <c r="L494" s="338">
        <v>36268626.207959518</v>
      </c>
      <c r="M494" s="338">
        <v>36116554.031814978</v>
      </c>
      <c r="N494" s="338">
        <v>36958787.271603845</v>
      </c>
      <c r="O494" s="338">
        <v>36906331.176715896</v>
      </c>
      <c r="P494" s="338">
        <v>36989220.816536643</v>
      </c>
      <c r="Q494" s="338">
        <v>38559824.348802641</v>
      </c>
      <c r="R494" s="338">
        <v>42792651.485530488</v>
      </c>
      <c r="S494" s="338">
        <v>41518937.526077777</v>
      </c>
      <c r="T494" s="338">
        <v>41987321.610466145</v>
      </c>
      <c r="U494" s="338">
        <v>45199896.632736675</v>
      </c>
      <c r="V494" s="338">
        <v>47203484.63262479</v>
      </c>
      <c r="W494" s="9"/>
    </row>
    <row r="495" spans="1:23" ht="13.5" thickTop="1" x14ac:dyDescent="0.2">
      <c r="A495" s="330" t="s">
        <v>229</v>
      </c>
      <c r="B495" s="292" t="s">
        <v>230</v>
      </c>
      <c r="C495" s="326"/>
      <c r="D495" s="333">
        <v>-5918885.2383675007</v>
      </c>
      <c r="E495" s="333">
        <v>-6009791.0943675004</v>
      </c>
      <c r="F495" s="333">
        <v>-6032490.4743675003</v>
      </c>
      <c r="G495" s="333">
        <v>-6035230.2993675005</v>
      </c>
      <c r="H495" s="333">
        <v>-6064931.3641675003</v>
      </c>
      <c r="I495" s="333">
        <v>-6095523.4609115003</v>
      </c>
      <c r="J495" s="333">
        <v>-6127033.3205578206</v>
      </c>
      <c r="K495" s="333">
        <v>-6159488.4759935299</v>
      </c>
      <c r="L495" s="333">
        <v>-6192917.2860923111</v>
      </c>
      <c r="M495" s="333">
        <v>-6227348.9604940554</v>
      </c>
      <c r="N495" s="333">
        <v>-6262813.5851278519</v>
      </c>
      <c r="O495" s="333">
        <v>-6299342.1485006623</v>
      </c>
      <c r="P495" s="333">
        <v>-6336966.5687746573</v>
      </c>
      <c r="Q495" s="333">
        <v>-6375719.721656872</v>
      </c>
      <c r="R495" s="333">
        <v>-6415635.469125553</v>
      </c>
      <c r="S495" s="333">
        <v>-6456748.6890182951</v>
      </c>
      <c r="T495" s="333">
        <v>-4608746.6855078293</v>
      </c>
      <c r="U495" s="333">
        <v>-1400735.3204920283</v>
      </c>
      <c r="V495" s="333">
        <v>-1445660.8459257642</v>
      </c>
      <c r="W495" s="9"/>
    </row>
    <row r="496" spans="1:23" x14ac:dyDescent="0.2">
      <c r="A496" s="9"/>
      <c r="B496" s="292" t="s">
        <v>231</v>
      </c>
      <c r="C496" s="326"/>
      <c r="D496" s="333">
        <v>0</v>
      </c>
      <c r="E496" s="333">
        <v>0</v>
      </c>
      <c r="F496" s="333">
        <v>0</v>
      </c>
      <c r="G496" s="333">
        <v>0</v>
      </c>
      <c r="H496" s="333">
        <v>0</v>
      </c>
      <c r="I496" s="333">
        <v>0</v>
      </c>
      <c r="J496" s="333">
        <v>0</v>
      </c>
      <c r="K496" s="333">
        <v>0</v>
      </c>
      <c r="L496" s="333">
        <v>0</v>
      </c>
      <c r="M496" s="333">
        <v>0</v>
      </c>
      <c r="N496" s="333">
        <v>0</v>
      </c>
      <c r="O496" s="333">
        <v>0</v>
      </c>
      <c r="P496" s="333">
        <v>0</v>
      </c>
      <c r="Q496" s="333">
        <v>0</v>
      </c>
      <c r="R496" s="333">
        <v>0</v>
      </c>
      <c r="S496" s="333">
        <v>0</v>
      </c>
      <c r="T496" s="333">
        <v>0</v>
      </c>
      <c r="U496" s="333">
        <v>0</v>
      </c>
      <c r="V496" s="333">
        <v>0</v>
      </c>
      <c r="W496" s="9"/>
    </row>
    <row r="497" spans="1:23" x14ac:dyDescent="0.2">
      <c r="A497" s="9"/>
      <c r="B497" s="329" t="s">
        <v>232</v>
      </c>
      <c r="C497" s="331"/>
      <c r="D497" s="332">
        <v>29497713.933921922</v>
      </c>
      <c r="E497" s="332">
        <v>27883998.542034242</v>
      </c>
      <c r="F497" s="332">
        <v>26179863.347287603</v>
      </c>
      <c r="G497" s="332">
        <v>24540951.556253508</v>
      </c>
      <c r="H497" s="332">
        <v>23574686.669411741</v>
      </c>
      <c r="I497" s="332">
        <v>24910981.028758805</v>
      </c>
      <c r="J497" s="332">
        <v>28306920.159633968</v>
      </c>
      <c r="K497" s="332">
        <v>29299881.880287364</v>
      </c>
      <c r="L497" s="332">
        <v>30075708.921867207</v>
      </c>
      <c r="M497" s="332">
        <v>29889205.071320921</v>
      </c>
      <c r="N497" s="332">
        <v>30695973.686475992</v>
      </c>
      <c r="O497" s="332">
        <v>30606989.028215233</v>
      </c>
      <c r="P497" s="332">
        <v>30652254.247761987</v>
      </c>
      <c r="Q497" s="332">
        <v>32184104.627145767</v>
      </c>
      <c r="R497" s="332">
        <v>36377016.016404934</v>
      </c>
      <c r="S497" s="332">
        <v>35062188.837059483</v>
      </c>
      <c r="T497" s="332">
        <v>37378574.924958318</v>
      </c>
      <c r="U497" s="332">
        <v>43799161.312244646</v>
      </c>
      <c r="V497" s="332">
        <v>45757823.786699027</v>
      </c>
      <c r="W497" s="9"/>
    </row>
    <row r="498" spans="1:23" ht="13.5" thickBot="1" x14ac:dyDescent="0.25">
      <c r="A498" s="9"/>
      <c r="B498" s="339" t="s">
        <v>238</v>
      </c>
      <c r="C498" s="340"/>
      <c r="D498" s="341">
        <v>-11799085.573568769</v>
      </c>
      <c r="E498" s="341">
        <v>-11153599.416813698</v>
      </c>
      <c r="F498" s="341">
        <v>-10471945.338915043</v>
      </c>
      <c r="G498" s="341">
        <v>-9816380.6225014031</v>
      </c>
      <c r="H498" s="341">
        <v>-9429874.6677646972</v>
      </c>
      <c r="I498" s="341">
        <v>-9964392.4115035217</v>
      </c>
      <c r="J498" s="341">
        <v>-11322768.063853588</v>
      </c>
      <c r="K498" s="341">
        <v>-11719952.752114946</v>
      </c>
      <c r="L498" s="341">
        <v>-12030283.568746883</v>
      </c>
      <c r="M498" s="341">
        <v>-11955682.02852837</v>
      </c>
      <c r="N498" s="341">
        <v>-12278389.474590398</v>
      </c>
      <c r="O498" s="341">
        <v>-12242795.611286094</v>
      </c>
      <c r="P498" s="341">
        <v>-12260901.699104795</v>
      </c>
      <c r="Q498" s="341">
        <v>-12873641.850858308</v>
      </c>
      <c r="R498" s="341">
        <v>-14550806.406561974</v>
      </c>
      <c r="S498" s="341">
        <v>-14024875.534823794</v>
      </c>
      <c r="T498" s="341">
        <v>-14951429.969983328</v>
      </c>
      <c r="U498" s="341">
        <v>-17519664.524897859</v>
      </c>
      <c r="V498" s="341">
        <v>-18303129.514679611</v>
      </c>
      <c r="W498" s="9"/>
    </row>
    <row r="499" spans="1:23" ht="13.5" thickTop="1" x14ac:dyDescent="0.2">
      <c r="A499" s="9"/>
      <c r="B499" s="329" t="s">
        <v>233</v>
      </c>
      <c r="C499" s="331"/>
      <c r="D499" s="332">
        <v>17698628.360353153</v>
      </c>
      <c r="E499" s="332">
        <v>16730399.125220545</v>
      </c>
      <c r="F499" s="332">
        <v>15707918.00837256</v>
      </c>
      <c r="G499" s="332">
        <v>14724570.933752105</v>
      </c>
      <c r="H499" s="332">
        <v>14144812.001647044</v>
      </c>
      <c r="I499" s="332">
        <v>14946588.617255284</v>
      </c>
      <c r="J499" s="332">
        <v>16984152.09578038</v>
      </c>
      <c r="K499" s="332">
        <v>17579929.12817242</v>
      </c>
      <c r="L499" s="332">
        <v>18045425.353120323</v>
      </c>
      <c r="M499" s="332">
        <v>17933523.042792551</v>
      </c>
      <c r="N499" s="332">
        <v>18417584.211885594</v>
      </c>
      <c r="O499" s="332">
        <v>18364193.416929141</v>
      </c>
      <c r="P499" s="332">
        <v>18391352.548657194</v>
      </c>
      <c r="Q499" s="332">
        <v>19310462.776287459</v>
      </c>
      <c r="R499" s="332">
        <v>21826209.60984296</v>
      </c>
      <c r="S499" s="332">
        <v>21037313.302235689</v>
      </c>
      <c r="T499" s="332">
        <v>22427144.95497499</v>
      </c>
      <c r="U499" s="332">
        <v>26279496.787346788</v>
      </c>
      <c r="V499" s="332">
        <v>27454694.272019416</v>
      </c>
      <c r="W499" s="9"/>
    </row>
    <row r="500" spans="1:23" x14ac:dyDescent="0.2">
      <c r="A500" s="9"/>
      <c r="B500" s="9"/>
      <c r="C500" s="326"/>
      <c r="D500" s="9"/>
      <c r="E500" s="327"/>
      <c r="F500" s="319"/>
      <c r="G500" s="32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ht="15.75" x14ac:dyDescent="0.25">
      <c r="A501" s="342" t="s">
        <v>206</v>
      </c>
      <c r="B501" s="343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x14ac:dyDescent="0.2">
      <c r="A502" s="290" t="s">
        <v>191</v>
      </c>
      <c r="B502" s="309"/>
      <c r="C502" s="344">
        <v>0</v>
      </c>
      <c r="D502" s="283"/>
      <c r="E502" s="283"/>
      <c r="F502" s="283"/>
      <c r="G502" s="283"/>
      <c r="H502" s="283"/>
      <c r="I502" s="283"/>
      <c r="J502" s="283"/>
      <c r="K502" s="283"/>
      <c r="L502" s="283"/>
      <c r="M502" s="283"/>
      <c r="N502" s="283"/>
      <c r="O502" s="283"/>
      <c r="P502" s="283"/>
      <c r="Q502" s="283"/>
      <c r="R502" s="283"/>
      <c r="S502" s="283"/>
      <c r="T502" s="283"/>
      <c r="U502" s="283"/>
      <c r="V502" s="283"/>
      <c r="W502" s="283"/>
    </row>
    <row r="503" spans="1:23" x14ac:dyDescent="0.2">
      <c r="A503" s="290" t="s">
        <v>192</v>
      </c>
      <c r="B503" s="309"/>
      <c r="C503" s="345">
        <v>0</v>
      </c>
      <c r="D503" s="283"/>
      <c r="E503" s="283"/>
      <c r="F503" s="283"/>
      <c r="G503" s="283"/>
      <c r="H503" s="283"/>
      <c r="I503" s="283"/>
      <c r="J503" s="283"/>
      <c r="K503" s="283"/>
      <c r="L503" s="283"/>
      <c r="M503" s="283"/>
      <c r="N503" s="283"/>
      <c r="O503" s="283"/>
      <c r="P503" s="283"/>
      <c r="Q503" s="283"/>
      <c r="R503" s="283"/>
      <c r="S503" s="283"/>
      <c r="T503" s="283"/>
      <c r="U503" s="283"/>
      <c r="V503" s="283"/>
      <c r="W503" s="283"/>
    </row>
    <row r="504" spans="1:23" x14ac:dyDescent="0.2">
      <c r="A504" s="290" t="s">
        <v>202</v>
      </c>
      <c r="B504" s="309"/>
      <c r="C504" s="290">
        <v>15</v>
      </c>
      <c r="D504" s="283"/>
      <c r="E504" s="283"/>
      <c r="F504" s="283"/>
      <c r="G504" s="283"/>
      <c r="H504" s="283"/>
      <c r="I504" s="283"/>
      <c r="J504" s="283"/>
      <c r="K504" s="283"/>
      <c r="L504" s="283"/>
      <c r="M504" s="283"/>
      <c r="N504" s="283"/>
      <c r="O504" s="283"/>
      <c r="P504" s="283"/>
      <c r="Q504" s="283"/>
      <c r="R504" s="283"/>
      <c r="S504" s="283"/>
      <c r="T504" s="283"/>
      <c r="U504" s="283"/>
      <c r="V504" s="283"/>
      <c r="W504" s="283"/>
    </row>
    <row r="505" spans="1:23" x14ac:dyDescent="0.2">
      <c r="A505" s="290" t="s">
        <v>193</v>
      </c>
      <c r="B505" s="309"/>
      <c r="C505" s="345">
        <v>0</v>
      </c>
      <c r="D505" s="283"/>
      <c r="E505" s="283"/>
      <c r="F505" s="283"/>
      <c r="G505" s="283"/>
      <c r="H505" s="283"/>
      <c r="I505" s="283"/>
      <c r="J505" s="283"/>
      <c r="K505" s="283"/>
      <c r="L505" s="283"/>
      <c r="M505" s="283"/>
      <c r="N505" s="283"/>
      <c r="O505" s="283"/>
      <c r="P505" s="283"/>
      <c r="Q505" s="283"/>
      <c r="R505" s="283"/>
      <c r="S505" s="283"/>
      <c r="T505" s="283"/>
      <c r="U505" s="283"/>
      <c r="V505" s="283"/>
      <c r="W505" s="283"/>
    </row>
    <row r="506" spans="1:23" x14ac:dyDescent="0.2">
      <c r="A506" s="290" t="s">
        <v>194</v>
      </c>
      <c r="B506" s="309"/>
      <c r="C506" s="346">
        <v>8.7499999999999994E-2</v>
      </c>
      <c r="D506" s="283"/>
      <c r="E506" s="283"/>
      <c r="F506" s="283"/>
      <c r="G506" s="283"/>
      <c r="H506" s="283"/>
      <c r="I506" s="283"/>
      <c r="J506" s="283"/>
      <c r="K506" s="283"/>
      <c r="L506" s="283"/>
      <c r="M506" s="283"/>
      <c r="N506" s="283"/>
      <c r="O506" s="283"/>
      <c r="P506" s="283"/>
      <c r="Q506" s="283"/>
      <c r="R506" s="283"/>
      <c r="S506" s="283"/>
      <c r="T506" s="283"/>
      <c r="U506" s="283"/>
      <c r="V506" s="283"/>
      <c r="W506" s="283"/>
    </row>
    <row r="507" spans="1:23" x14ac:dyDescent="0.2">
      <c r="A507" s="290"/>
      <c r="B507" s="309"/>
      <c r="C507" s="283"/>
      <c r="D507" s="312">
        <v>2001</v>
      </c>
      <c r="E507" s="312">
        <v>2002</v>
      </c>
      <c r="F507" s="312">
        <v>2003</v>
      </c>
      <c r="G507" s="312">
        <v>2004</v>
      </c>
      <c r="H507" s="312">
        <v>2005</v>
      </c>
      <c r="I507" s="312">
        <v>2006</v>
      </c>
      <c r="J507" s="312">
        <v>2007</v>
      </c>
      <c r="K507" s="312">
        <v>2008</v>
      </c>
      <c r="L507" s="312">
        <v>2009</v>
      </c>
      <c r="M507" s="312">
        <v>2010</v>
      </c>
      <c r="N507" s="312">
        <v>2011</v>
      </c>
      <c r="O507" s="312">
        <v>2012</v>
      </c>
      <c r="P507" s="312">
        <v>2013</v>
      </c>
      <c r="Q507" s="312">
        <v>2014</v>
      </c>
      <c r="R507" s="312">
        <v>2015</v>
      </c>
      <c r="S507" s="312">
        <v>2016</v>
      </c>
      <c r="T507" s="312">
        <v>2017</v>
      </c>
      <c r="U507" s="312">
        <v>2018</v>
      </c>
      <c r="V507" s="312">
        <v>2019</v>
      </c>
      <c r="W507" s="312" t="s">
        <v>154</v>
      </c>
    </row>
    <row r="508" spans="1:23" x14ac:dyDescent="0.2">
      <c r="A508" s="290" t="s">
        <v>195</v>
      </c>
      <c r="B508" s="309"/>
      <c r="C508" s="283"/>
      <c r="D508" s="347">
        <v>0</v>
      </c>
      <c r="E508" s="347">
        <v>0</v>
      </c>
      <c r="F508" s="347">
        <v>0</v>
      </c>
      <c r="G508" s="347">
        <v>0</v>
      </c>
      <c r="H508" s="347">
        <v>0</v>
      </c>
      <c r="I508" s="347">
        <v>0</v>
      </c>
      <c r="J508" s="347">
        <v>0</v>
      </c>
      <c r="K508" s="347">
        <v>0</v>
      </c>
      <c r="L508" s="347">
        <v>0</v>
      </c>
      <c r="M508" s="347">
        <v>0</v>
      </c>
      <c r="N508" s="347">
        <v>0</v>
      </c>
      <c r="O508" s="347">
        <v>0</v>
      </c>
      <c r="P508" s="347">
        <v>0</v>
      </c>
      <c r="Q508" s="347">
        <v>0</v>
      </c>
      <c r="R508" s="347">
        <v>0</v>
      </c>
      <c r="S508" s="347">
        <v>0</v>
      </c>
      <c r="T508" s="347">
        <v>0</v>
      </c>
      <c r="U508" s="347">
        <v>0</v>
      </c>
      <c r="V508" s="347">
        <v>0</v>
      </c>
      <c r="W508" s="347">
        <v>0</v>
      </c>
    </row>
    <row r="509" spans="1:23" x14ac:dyDescent="0.2">
      <c r="A509" s="290" t="s">
        <v>196</v>
      </c>
      <c r="B509" s="309"/>
      <c r="C509" s="283"/>
      <c r="D509" s="347">
        <v>0</v>
      </c>
      <c r="E509" s="347">
        <v>0</v>
      </c>
      <c r="F509" s="347">
        <v>0</v>
      </c>
      <c r="G509" s="347">
        <v>0</v>
      </c>
      <c r="H509" s="347">
        <v>0</v>
      </c>
      <c r="I509" s="347">
        <v>0</v>
      </c>
      <c r="J509" s="347">
        <v>0</v>
      </c>
      <c r="K509" s="347">
        <v>0</v>
      </c>
      <c r="L509" s="347">
        <v>0</v>
      </c>
      <c r="M509" s="347">
        <v>0</v>
      </c>
      <c r="N509" s="347">
        <v>0</v>
      </c>
      <c r="O509" s="347">
        <v>0</v>
      </c>
      <c r="P509" s="347">
        <v>0</v>
      </c>
      <c r="Q509" s="347">
        <v>0</v>
      </c>
      <c r="R509" s="347">
        <v>0</v>
      </c>
      <c r="S509" s="347">
        <v>0</v>
      </c>
      <c r="T509" s="347">
        <v>0</v>
      </c>
      <c r="U509" s="347">
        <v>0</v>
      </c>
      <c r="V509" s="347">
        <v>0</v>
      </c>
      <c r="W509" s="347">
        <v>0</v>
      </c>
    </row>
    <row r="510" spans="1:23" x14ac:dyDescent="0.2">
      <c r="A510" s="290" t="s">
        <v>197</v>
      </c>
      <c r="B510" s="309"/>
      <c r="C510" s="283"/>
      <c r="D510" s="347">
        <v>0</v>
      </c>
      <c r="E510" s="347">
        <v>0</v>
      </c>
      <c r="F510" s="347">
        <v>0</v>
      </c>
      <c r="G510" s="347">
        <v>0</v>
      </c>
      <c r="H510" s="347">
        <v>0</v>
      </c>
      <c r="I510" s="347">
        <v>0</v>
      </c>
      <c r="J510" s="347">
        <v>0</v>
      </c>
      <c r="K510" s="347">
        <v>0</v>
      </c>
      <c r="L510" s="347">
        <v>0</v>
      </c>
      <c r="M510" s="347">
        <v>0</v>
      </c>
      <c r="N510" s="347">
        <v>0</v>
      </c>
      <c r="O510" s="347">
        <v>0</v>
      </c>
      <c r="P510" s="347">
        <v>0</v>
      </c>
      <c r="Q510" s="347">
        <v>0</v>
      </c>
      <c r="R510" s="347">
        <v>0</v>
      </c>
      <c r="S510" s="347">
        <v>0</v>
      </c>
      <c r="T510" s="347">
        <v>0</v>
      </c>
      <c r="U510" s="347">
        <v>0</v>
      </c>
      <c r="V510" s="347">
        <v>0</v>
      </c>
      <c r="W510" s="347">
        <v>0</v>
      </c>
    </row>
    <row r="511" spans="1:23" x14ac:dyDescent="0.2">
      <c r="A511" s="290" t="s">
        <v>198</v>
      </c>
      <c r="B511" s="309"/>
      <c r="C511" s="283"/>
      <c r="D511" s="348">
        <v>0</v>
      </c>
      <c r="E511" s="348">
        <v>0</v>
      </c>
      <c r="F511" s="348">
        <v>0</v>
      </c>
      <c r="G511" s="348">
        <v>0</v>
      </c>
      <c r="H511" s="348">
        <v>0</v>
      </c>
      <c r="I511" s="348">
        <v>0</v>
      </c>
      <c r="J511" s="348">
        <v>0</v>
      </c>
      <c r="K511" s="348">
        <v>0</v>
      </c>
      <c r="L511" s="348">
        <v>0</v>
      </c>
      <c r="M511" s="348">
        <v>0</v>
      </c>
      <c r="N511" s="348">
        <v>0</v>
      </c>
      <c r="O511" s="348">
        <v>0</v>
      </c>
      <c r="P511" s="348">
        <v>0</v>
      </c>
      <c r="Q511" s="348">
        <v>0</v>
      </c>
      <c r="R511" s="348">
        <v>0</v>
      </c>
      <c r="S511" s="348">
        <v>0</v>
      </c>
      <c r="T511" s="348">
        <v>0</v>
      </c>
      <c r="U511" s="348">
        <v>0</v>
      </c>
      <c r="V511" s="348">
        <v>0</v>
      </c>
      <c r="W511" s="348">
        <v>0</v>
      </c>
    </row>
    <row r="512" spans="1:23" ht="13.5" thickBot="1" x14ac:dyDescent="0.25">
      <c r="A512" s="290" t="s">
        <v>199</v>
      </c>
      <c r="B512" s="309"/>
      <c r="C512" s="283"/>
      <c r="D512" s="349">
        <v>0</v>
      </c>
      <c r="E512" s="349">
        <v>0</v>
      </c>
      <c r="F512" s="349">
        <v>0</v>
      </c>
      <c r="G512" s="349">
        <v>0</v>
      </c>
      <c r="H512" s="349">
        <v>0</v>
      </c>
      <c r="I512" s="349">
        <v>0</v>
      </c>
      <c r="J512" s="349">
        <v>0</v>
      </c>
      <c r="K512" s="349">
        <v>0</v>
      </c>
      <c r="L512" s="349">
        <v>0</v>
      </c>
      <c r="M512" s="349">
        <v>0</v>
      </c>
      <c r="N512" s="349">
        <v>0</v>
      </c>
      <c r="O512" s="349">
        <v>0</v>
      </c>
      <c r="P512" s="349">
        <v>0</v>
      </c>
      <c r="Q512" s="349">
        <v>0</v>
      </c>
      <c r="R512" s="349">
        <v>0</v>
      </c>
      <c r="S512" s="349">
        <v>0</v>
      </c>
      <c r="T512" s="349">
        <v>0</v>
      </c>
      <c r="U512" s="349">
        <v>0</v>
      </c>
      <c r="V512" s="349">
        <v>0</v>
      </c>
      <c r="W512" s="349">
        <v>0</v>
      </c>
    </row>
    <row r="513" spans="1:23" ht="13.5" thickTop="1" x14ac:dyDescent="0.2">
      <c r="A513" s="290"/>
      <c r="B513" s="309"/>
      <c r="C513" s="283"/>
      <c r="D513" s="347"/>
      <c r="E513" s="347"/>
      <c r="F513" s="347"/>
      <c r="G513" s="347"/>
      <c r="H513" s="347"/>
      <c r="I513" s="347"/>
      <c r="J513" s="347"/>
      <c r="K513" s="347"/>
      <c r="L513" s="347"/>
      <c r="M513" s="347"/>
      <c r="N513" s="347"/>
      <c r="O513" s="347"/>
      <c r="P513" s="347"/>
      <c r="Q513" s="347"/>
      <c r="R513" s="347"/>
      <c r="S513" s="347"/>
      <c r="T513" s="347"/>
      <c r="U513" s="347"/>
      <c r="V513" s="347"/>
      <c r="W513" s="347"/>
    </row>
    <row r="514" spans="1:23" x14ac:dyDescent="0.2">
      <c r="A514" s="290" t="s">
        <v>200</v>
      </c>
      <c r="B514" s="309"/>
      <c r="C514" s="283"/>
      <c r="D514" s="347">
        <v>0</v>
      </c>
      <c r="E514" s="347">
        <v>0</v>
      </c>
      <c r="F514" s="347">
        <v>0</v>
      </c>
      <c r="G514" s="347">
        <v>0</v>
      </c>
      <c r="H514" s="347">
        <v>0</v>
      </c>
      <c r="I514" s="347">
        <v>0</v>
      </c>
      <c r="J514" s="347">
        <v>0</v>
      </c>
      <c r="K514" s="347">
        <v>0</v>
      </c>
      <c r="L514" s="347">
        <v>0</v>
      </c>
      <c r="M514" s="347">
        <v>0</v>
      </c>
      <c r="N514" s="347">
        <v>0</v>
      </c>
      <c r="O514" s="347">
        <v>0</v>
      </c>
      <c r="P514" s="347">
        <v>0</v>
      </c>
      <c r="Q514" s="347">
        <v>0</v>
      </c>
      <c r="R514" s="347">
        <v>0</v>
      </c>
      <c r="S514" s="347">
        <v>0</v>
      </c>
      <c r="T514" s="347">
        <v>0</v>
      </c>
      <c r="U514" s="347">
        <v>0</v>
      </c>
      <c r="V514" s="347">
        <v>0</v>
      </c>
      <c r="W514" s="347">
        <v>0</v>
      </c>
    </row>
    <row r="515" spans="1:23" x14ac:dyDescent="0.2">
      <c r="A515" s="290"/>
      <c r="B515" s="309"/>
      <c r="C515" s="283"/>
      <c r="D515" s="283"/>
      <c r="E515" s="283"/>
      <c r="F515" s="283"/>
      <c r="G515" s="283"/>
      <c r="H515" s="283"/>
      <c r="I515" s="283"/>
      <c r="J515" s="283"/>
      <c r="K515" s="283"/>
      <c r="L515" s="283"/>
      <c r="M515" s="283"/>
      <c r="N515" s="283"/>
      <c r="O515" s="283"/>
      <c r="P515" s="283"/>
      <c r="Q515" s="283"/>
      <c r="R515" s="283"/>
      <c r="S515" s="283"/>
      <c r="T515" s="283"/>
      <c r="U515" s="283"/>
      <c r="V515" s="283"/>
      <c r="W515" s="283"/>
    </row>
    <row r="516" spans="1:23" x14ac:dyDescent="0.2">
      <c r="A516" s="290" t="s">
        <v>201</v>
      </c>
      <c r="B516" s="309"/>
      <c r="C516" s="283"/>
      <c r="D516" s="347">
        <v>0</v>
      </c>
      <c r="E516" s="347">
        <v>0</v>
      </c>
      <c r="F516" s="347">
        <v>0</v>
      </c>
      <c r="G516" s="347">
        <v>0</v>
      </c>
      <c r="H516" s="347">
        <v>0</v>
      </c>
      <c r="I516" s="347">
        <v>0</v>
      </c>
      <c r="J516" s="347">
        <v>0</v>
      </c>
      <c r="K516" s="347">
        <v>0</v>
      </c>
      <c r="L516" s="347">
        <v>0</v>
      </c>
      <c r="M516" s="347">
        <v>0</v>
      </c>
      <c r="N516" s="347">
        <v>0</v>
      </c>
      <c r="O516" s="347">
        <v>0</v>
      </c>
      <c r="P516" s="347">
        <v>0</v>
      </c>
      <c r="Q516" s="347">
        <v>0</v>
      </c>
      <c r="R516" s="347">
        <v>0</v>
      </c>
      <c r="S516" s="347">
        <v>0</v>
      </c>
      <c r="T516" s="347">
        <v>0</v>
      </c>
      <c r="U516" s="347">
        <v>0</v>
      </c>
      <c r="V516" s="347">
        <v>0</v>
      </c>
      <c r="W516" s="347">
        <v>0</v>
      </c>
    </row>
    <row r="517" spans="1:23" x14ac:dyDescent="0.2">
      <c r="A517" s="283"/>
      <c r="B517" s="309"/>
      <c r="C517" s="283"/>
      <c r="D517" s="283"/>
      <c r="E517" s="283"/>
      <c r="F517" s="283"/>
      <c r="G517" s="283"/>
      <c r="H517" s="283"/>
      <c r="I517" s="283"/>
      <c r="J517" s="283"/>
      <c r="K517" s="283"/>
      <c r="L517" s="283"/>
      <c r="M517" s="283"/>
      <c r="N517" s="283"/>
      <c r="O517" s="283"/>
      <c r="P517" s="283"/>
      <c r="Q517" s="283"/>
      <c r="R517" s="283"/>
      <c r="S517" s="283"/>
      <c r="T517" s="283"/>
      <c r="U517" s="283"/>
      <c r="V517" s="283"/>
      <c r="W517" s="283"/>
    </row>
    <row r="518" spans="1:23" x14ac:dyDescent="0.2">
      <c r="A518" s="283"/>
      <c r="B518" s="309"/>
      <c r="C518" s="283"/>
      <c r="D518" s="283"/>
      <c r="E518" s="283"/>
      <c r="F518" s="283"/>
      <c r="G518" s="283"/>
      <c r="H518" s="283"/>
      <c r="I518" s="283"/>
      <c r="J518" s="283"/>
      <c r="K518" s="283"/>
      <c r="L518" s="283"/>
      <c r="M518" s="283"/>
      <c r="N518" s="283"/>
      <c r="O518" s="283"/>
      <c r="P518" s="283"/>
      <c r="Q518" s="283"/>
      <c r="R518" s="283"/>
      <c r="S518" s="283"/>
      <c r="T518" s="283"/>
      <c r="U518" s="283"/>
      <c r="V518" s="283"/>
      <c r="W518" s="283"/>
    </row>
    <row r="519" spans="1:23" x14ac:dyDescent="0.2">
      <c r="A519" s="290" t="s">
        <v>203</v>
      </c>
      <c r="B519" s="285"/>
      <c r="C519" s="284"/>
      <c r="D519" s="441">
        <v>12038892.195073653</v>
      </c>
      <c r="E519" s="441">
        <v>19243936.838370726</v>
      </c>
      <c r="F519" s="441">
        <v>18214105.851535618</v>
      </c>
      <c r="G519" s="441">
        <v>19145301.901371166</v>
      </c>
      <c r="H519" s="441">
        <v>18007827.689261943</v>
      </c>
      <c r="I519" s="441">
        <v>18607592.873019401</v>
      </c>
      <c r="J519" s="441">
        <v>20433002.144220114</v>
      </c>
      <c r="K519" s="441">
        <v>20956431.886848222</v>
      </c>
      <c r="L519" s="441">
        <v>21398134.302818038</v>
      </c>
      <c r="M519" s="441">
        <v>21269672.712569941</v>
      </c>
      <c r="N519" s="441">
        <v>21738190.173851002</v>
      </c>
      <c r="O519" s="441">
        <v>21699265.570746332</v>
      </c>
      <c r="P519" s="441">
        <v>21741206.176018275</v>
      </c>
      <c r="Q519" s="441">
        <v>22675526.705398761</v>
      </c>
      <c r="R519" s="441">
        <v>25190754.765756972</v>
      </c>
      <c r="S519" s="441">
        <v>24401799.505756494</v>
      </c>
      <c r="T519" s="441">
        <v>24674050.561530799</v>
      </c>
      <c r="U519" s="441">
        <v>26592552.798188642</v>
      </c>
      <c r="V519" s="441">
        <v>27785391.5381159</v>
      </c>
      <c r="W519" s="441">
        <v>146098395.39827341</v>
      </c>
    </row>
    <row r="520" spans="1:23" x14ac:dyDescent="0.2">
      <c r="A520" s="9"/>
      <c r="B520" s="6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 x14ac:dyDescent="0.2">
      <c r="B521" s="354"/>
      <c r="C521" s="355"/>
      <c r="D521" s="355"/>
      <c r="E521" s="355"/>
      <c r="F521" s="355"/>
      <c r="G521" s="355"/>
      <c r="H521" s="355"/>
      <c r="I521" s="355"/>
      <c r="J521" s="355"/>
      <c r="K521" s="355"/>
      <c r="L521" s="355"/>
      <c r="M521" s="355"/>
      <c r="N521" s="355"/>
      <c r="O521" s="355"/>
      <c r="P521" s="355"/>
      <c r="Q521" s="355"/>
      <c r="R521" s="355"/>
      <c r="S521" s="355"/>
      <c r="T521" s="355"/>
      <c r="U521" s="355"/>
      <c r="V521" s="355"/>
      <c r="W521" s="300"/>
    </row>
    <row r="522" spans="1:23" x14ac:dyDescent="0.2">
      <c r="B522" s="354"/>
      <c r="C522" s="355"/>
      <c r="D522" s="355"/>
      <c r="E522" s="355"/>
      <c r="F522" s="355"/>
      <c r="G522" s="355"/>
      <c r="H522" s="355"/>
      <c r="I522" s="355"/>
      <c r="J522" s="355"/>
      <c r="K522" s="355"/>
      <c r="L522" s="355"/>
      <c r="M522" s="355"/>
      <c r="N522" s="355"/>
      <c r="O522" s="355"/>
      <c r="P522" s="355"/>
      <c r="Q522" s="355"/>
      <c r="R522" s="355"/>
      <c r="S522" s="355"/>
      <c r="T522" s="355"/>
      <c r="U522" s="355"/>
      <c r="V522" s="355"/>
      <c r="W522" s="300"/>
    </row>
    <row r="523" spans="1:23" x14ac:dyDescent="0.2">
      <c r="B523" s="356"/>
      <c r="C523" s="359"/>
      <c r="D523" s="359"/>
      <c r="E523" s="359"/>
      <c r="F523" s="359"/>
      <c r="G523" s="359"/>
      <c r="H523" s="359"/>
      <c r="I523" s="359"/>
      <c r="J523" s="359"/>
      <c r="K523" s="359"/>
      <c r="L523" s="359"/>
      <c r="M523" s="359"/>
      <c r="N523" s="359"/>
      <c r="O523" s="359"/>
      <c r="P523" s="359"/>
      <c r="Q523" s="359"/>
      <c r="R523" s="359"/>
      <c r="S523" s="359"/>
      <c r="T523" s="359"/>
      <c r="U523" s="359"/>
      <c r="V523" s="359"/>
      <c r="W523" s="300"/>
    </row>
    <row r="524" spans="1:23" x14ac:dyDescent="0.2">
      <c r="B524" s="354"/>
      <c r="C524" s="355"/>
      <c r="D524" s="355"/>
      <c r="E524" s="355"/>
      <c r="F524" s="355"/>
      <c r="G524" s="355"/>
      <c r="H524" s="355"/>
      <c r="I524" s="355"/>
      <c r="J524" s="355"/>
      <c r="K524" s="355"/>
      <c r="L524" s="355"/>
      <c r="M524" s="355"/>
      <c r="N524" s="355"/>
      <c r="O524" s="355"/>
      <c r="P524" s="355"/>
      <c r="Q524" s="355"/>
      <c r="R524" s="355"/>
      <c r="S524" s="355"/>
      <c r="T524" s="355"/>
      <c r="U524" s="355"/>
      <c r="V524" s="355"/>
      <c r="W524" s="300"/>
    </row>
    <row r="525" spans="1:23" x14ac:dyDescent="0.2">
      <c r="B525" s="354"/>
      <c r="C525" s="355"/>
      <c r="D525" s="355"/>
      <c r="E525" s="355"/>
      <c r="F525" s="355"/>
      <c r="G525" s="355"/>
      <c r="H525" s="355"/>
      <c r="I525" s="355"/>
      <c r="J525" s="355"/>
      <c r="K525" s="355"/>
      <c r="L525" s="355"/>
      <c r="M525" s="355"/>
      <c r="N525" s="355"/>
      <c r="O525" s="355"/>
      <c r="P525" s="355"/>
      <c r="Q525" s="355"/>
      <c r="R525" s="355"/>
      <c r="S525" s="355"/>
      <c r="T525" s="355"/>
      <c r="U525" s="355"/>
      <c r="V525" s="355"/>
      <c r="W525" s="300"/>
    </row>
    <row r="526" spans="1:23" x14ac:dyDescent="0.2">
      <c r="B526" s="356"/>
      <c r="C526" s="359"/>
      <c r="D526" s="359"/>
      <c r="E526" s="359"/>
      <c r="F526" s="359"/>
      <c r="G526" s="359"/>
      <c r="H526" s="359"/>
      <c r="I526" s="359"/>
      <c r="J526" s="359"/>
      <c r="K526" s="359"/>
      <c r="L526" s="359"/>
      <c r="M526" s="359"/>
      <c r="N526" s="359"/>
      <c r="O526" s="359"/>
      <c r="P526" s="359"/>
      <c r="Q526" s="359"/>
      <c r="R526" s="359"/>
      <c r="S526" s="359"/>
      <c r="T526" s="359"/>
      <c r="U526" s="359"/>
      <c r="V526" s="359"/>
      <c r="W526" s="300"/>
    </row>
    <row r="527" spans="1:23" x14ac:dyDescent="0.2">
      <c r="B527" s="354"/>
      <c r="C527" s="355"/>
      <c r="D527" s="355"/>
      <c r="E527" s="355"/>
      <c r="F527" s="355"/>
      <c r="G527" s="355"/>
      <c r="H527" s="355"/>
      <c r="I527" s="355"/>
      <c r="J527" s="355"/>
      <c r="K527" s="355"/>
      <c r="L527" s="355"/>
      <c r="M527" s="355"/>
      <c r="N527" s="355"/>
      <c r="O527" s="355"/>
      <c r="P527" s="355"/>
      <c r="Q527" s="355"/>
      <c r="R527" s="355"/>
      <c r="S527" s="355"/>
      <c r="T527" s="355"/>
      <c r="U527" s="355"/>
      <c r="V527" s="355"/>
      <c r="W527" s="300"/>
    </row>
    <row r="528" spans="1:23" ht="15.75" x14ac:dyDescent="0.25">
      <c r="A528" s="308" t="s">
        <v>29</v>
      </c>
      <c r="B528" s="311" t="s">
        <v>62</v>
      </c>
      <c r="C528" s="312">
        <v>2000</v>
      </c>
      <c r="D528" s="312">
        <v>2001</v>
      </c>
      <c r="E528" s="312">
        <v>2002</v>
      </c>
      <c r="F528" s="312">
        <v>2003</v>
      </c>
      <c r="G528" s="312">
        <v>2004</v>
      </c>
      <c r="H528" s="312">
        <v>2005</v>
      </c>
      <c r="I528" s="312">
        <v>2006</v>
      </c>
      <c r="J528" s="312">
        <v>2007</v>
      </c>
      <c r="K528" s="312">
        <v>2008</v>
      </c>
      <c r="L528" s="312">
        <v>2009</v>
      </c>
      <c r="M528" s="312">
        <v>2010</v>
      </c>
      <c r="N528" s="312">
        <v>2011</v>
      </c>
      <c r="O528" s="312">
        <v>2012</v>
      </c>
      <c r="P528" s="312">
        <v>2013</v>
      </c>
      <c r="Q528" s="312">
        <v>2014</v>
      </c>
      <c r="R528" s="312">
        <v>2015</v>
      </c>
      <c r="S528" s="312">
        <v>2016</v>
      </c>
      <c r="T528" s="312">
        <v>2017</v>
      </c>
      <c r="U528" s="312">
        <v>2018</v>
      </c>
      <c r="V528" s="312">
        <v>2019</v>
      </c>
      <c r="W528" s="312" t="s">
        <v>154</v>
      </c>
    </row>
    <row r="529" spans="1:23" x14ac:dyDescent="0.2">
      <c r="A529" s="308" t="s">
        <v>26</v>
      </c>
      <c r="B529" s="309">
        <v>80</v>
      </c>
      <c r="C529" s="314"/>
      <c r="D529" s="314"/>
      <c r="E529" s="314"/>
      <c r="F529" s="314"/>
      <c r="G529" s="314"/>
      <c r="H529" s="314"/>
      <c r="I529" s="314"/>
      <c r="J529" s="314"/>
      <c r="K529" s="314"/>
      <c r="L529" s="314"/>
      <c r="M529" s="314"/>
      <c r="N529" s="314"/>
      <c r="O529" s="314"/>
      <c r="P529" s="314"/>
      <c r="Q529" s="314"/>
      <c r="R529" s="314"/>
      <c r="S529" s="314"/>
      <c r="T529" s="314"/>
      <c r="U529" s="314"/>
      <c r="V529" s="314"/>
      <c r="W529" s="314"/>
    </row>
    <row r="530" spans="1:23" x14ac:dyDescent="0.2">
      <c r="A530" s="9"/>
      <c r="B530" s="315" t="s">
        <v>27</v>
      </c>
      <c r="C530" s="449">
        <v>0</v>
      </c>
      <c r="D530" s="410">
        <v>21357293.14515039</v>
      </c>
      <c r="E530" s="410">
        <v>20821004.438885488</v>
      </c>
      <c r="F530" s="410">
        <v>19696456.570462354</v>
      </c>
      <c r="G530" s="410">
        <v>19268991.283554163</v>
      </c>
      <c r="H530" s="410">
        <v>19092650.130645413</v>
      </c>
      <c r="I530" s="410">
        <v>15654970.311771214</v>
      </c>
      <c r="J530" s="410">
        <v>14617725.776346629</v>
      </c>
      <c r="K530" s="410">
        <v>15134053.25604344</v>
      </c>
      <c r="L530" s="410">
        <v>15287001.891553175</v>
      </c>
      <c r="M530" s="410">
        <v>16022704.347054398</v>
      </c>
      <c r="N530" s="410">
        <v>17227383.54801403</v>
      </c>
      <c r="O530" s="410">
        <v>16169517.296294952</v>
      </c>
      <c r="P530" s="410">
        <v>16213297.746591916</v>
      </c>
      <c r="Q530" s="410">
        <v>17950136.67026962</v>
      </c>
      <c r="R530" s="410">
        <v>23217949.21076211</v>
      </c>
      <c r="S530" s="410">
        <v>18324260.00847758</v>
      </c>
      <c r="T530" s="410">
        <v>19044831.450552091</v>
      </c>
      <c r="U530" s="410">
        <v>22132191.632832605</v>
      </c>
      <c r="V530" s="410">
        <v>28462581.278682299</v>
      </c>
      <c r="W530" s="333"/>
    </row>
    <row r="531" spans="1:23" x14ac:dyDescent="0.2">
      <c r="A531" s="9"/>
      <c r="B531" s="315" t="s">
        <v>20</v>
      </c>
      <c r="C531" s="449">
        <v>0</v>
      </c>
      <c r="D531" s="410">
        <v>-9110687.8654962573</v>
      </c>
      <c r="E531" s="410">
        <v>-9117841.1531575583</v>
      </c>
      <c r="F531" s="410">
        <v>-8505509.7970610261</v>
      </c>
      <c r="G531" s="410">
        <v>-8642763.6078737453</v>
      </c>
      <c r="H531" s="410">
        <v>-8822356.9298367295</v>
      </c>
      <c r="I531" s="410">
        <v>-6311726.4474902628</v>
      </c>
      <c r="J531" s="410">
        <v>-4720985.204101163</v>
      </c>
      <c r="K531" s="410">
        <v>-4822494.1059219996</v>
      </c>
      <c r="L531" s="410">
        <v>-4902321.4947325615</v>
      </c>
      <c r="M531" s="410">
        <v>-5227885.332573927</v>
      </c>
      <c r="N531" s="410">
        <v>-5961894.8876093132</v>
      </c>
      <c r="O531" s="410">
        <v>-5414818.8902586782</v>
      </c>
      <c r="P531" s="410">
        <v>-5387126.3167503625</v>
      </c>
      <c r="Q531" s="410">
        <v>-6054815.9960885588</v>
      </c>
      <c r="R531" s="410">
        <v>-8474987.2469854988</v>
      </c>
      <c r="S531" s="410">
        <v>-6107520.1722183246</v>
      </c>
      <c r="T531" s="410">
        <v>-6355950.2270503389</v>
      </c>
      <c r="U531" s="410">
        <v>-7543816.1711057927</v>
      </c>
      <c r="V531" s="410">
        <v>-11217099.274036333</v>
      </c>
      <c r="W531" s="333"/>
    </row>
    <row r="532" spans="1:23" x14ac:dyDescent="0.2">
      <c r="A532" s="9"/>
      <c r="B532" s="315" t="s">
        <v>31</v>
      </c>
      <c r="C532" s="449">
        <v>0</v>
      </c>
      <c r="D532" s="410">
        <v>-704323.71390750457</v>
      </c>
      <c r="E532" s="410">
        <v>-708804.15429132187</v>
      </c>
      <c r="F532" s="410">
        <v>-663002.32463283301</v>
      </c>
      <c r="G532" s="410">
        <v>-668218.29899424349</v>
      </c>
      <c r="H532" s="410">
        <v>-672626.90051341371</v>
      </c>
      <c r="I532" s="410">
        <v>-472826.58038282261</v>
      </c>
      <c r="J532" s="410">
        <v>-352854.56143122108</v>
      </c>
      <c r="K532" s="410">
        <v>-359664.91116502241</v>
      </c>
      <c r="L532" s="410">
        <v>-367119.37066024169</v>
      </c>
      <c r="M532" s="410">
        <v>-396031.97861587536</v>
      </c>
      <c r="N532" s="410">
        <v>-454812.33175750164</v>
      </c>
      <c r="O532" s="410">
        <v>-412199.10841491906</v>
      </c>
      <c r="P532" s="410">
        <v>-408848.59724756971</v>
      </c>
      <c r="Q532" s="410">
        <v>-459439.86505227414</v>
      </c>
      <c r="R532" s="410">
        <v>-646506.85686767858</v>
      </c>
      <c r="S532" s="410">
        <v>-465903.98876605299</v>
      </c>
      <c r="T532" s="410">
        <v>-483454.05598758406</v>
      </c>
      <c r="U532" s="410">
        <v>-571308.90615176456</v>
      </c>
      <c r="V532" s="410">
        <v>-845831.04114509199</v>
      </c>
      <c r="W532" s="333"/>
    </row>
    <row r="533" spans="1:23" x14ac:dyDescent="0.2">
      <c r="A533" s="9"/>
      <c r="B533" s="315" t="s">
        <v>32</v>
      </c>
      <c r="C533" s="449">
        <v>0</v>
      </c>
      <c r="D533" s="410">
        <v>0</v>
      </c>
      <c r="E533" s="410">
        <v>0</v>
      </c>
      <c r="F533" s="410">
        <v>0</v>
      </c>
      <c r="G533" s="410">
        <v>0</v>
      </c>
      <c r="H533" s="410">
        <v>0</v>
      </c>
      <c r="I533" s="410">
        <v>-747691.835451697</v>
      </c>
      <c r="J533" s="410">
        <v>-578829.90744732483</v>
      </c>
      <c r="K533" s="410">
        <v>-665569.97492382315</v>
      </c>
      <c r="L533" s="410">
        <v>-701527.20866612741</v>
      </c>
      <c r="M533" s="410">
        <v>-833049.54191077966</v>
      </c>
      <c r="N533" s="410">
        <v>-1051067.3450446459</v>
      </c>
      <c r="O533" s="410">
        <v>-1016747.5996889131</v>
      </c>
      <c r="P533" s="410">
        <v>-1103882.9910435446</v>
      </c>
      <c r="Q533" s="410">
        <v>-1373023.5168426805</v>
      </c>
      <c r="R533" s="410">
        <v>-2185947.2869255389</v>
      </c>
      <c r="S533" s="410">
        <v>-1620981.9725557417</v>
      </c>
      <c r="T533" s="410">
        <v>-1624599.0797897067</v>
      </c>
      <c r="U533" s="410">
        <v>-1643677.4873881089</v>
      </c>
      <c r="V533" s="410">
        <v>-2571665.8869841425</v>
      </c>
      <c r="W533" s="333"/>
    </row>
    <row r="534" spans="1:23" ht="13.5" thickBot="1" x14ac:dyDescent="0.25">
      <c r="A534" s="9"/>
      <c r="B534" s="316" t="s">
        <v>33</v>
      </c>
      <c r="C534" s="450">
        <v>0</v>
      </c>
      <c r="D534" s="412">
        <v>0</v>
      </c>
      <c r="E534" s="412">
        <v>0</v>
      </c>
      <c r="F534" s="412">
        <v>-4796297.5535151912</v>
      </c>
      <c r="G534" s="412">
        <v>-4054093.027071422</v>
      </c>
      <c r="H534" s="412">
        <v>-4164421.5652264641</v>
      </c>
      <c r="I534" s="412">
        <v>-1423377.5340098005</v>
      </c>
      <c r="J534" s="412">
        <v>-3174845.2084959005</v>
      </c>
      <c r="K534" s="412">
        <v>-2767714.5700159003</v>
      </c>
      <c r="L534" s="412">
        <v>-2935227.4815467461</v>
      </c>
      <c r="M534" s="412">
        <v>-2954114.9051315123</v>
      </c>
      <c r="N534" s="412">
        <v>-3418563.5895724404</v>
      </c>
      <c r="O534" s="412">
        <v>-3117519.9327210383</v>
      </c>
      <c r="P534" s="412">
        <v>-2708655.7580172159</v>
      </c>
      <c r="Q534" s="412">
        <v>-3087364.1439326853</v>
      </c>
      <c r="R534" s="412">
        <v>-4348742.4746686872</v>
      </c>
      <c r="S534" s="412">
        <v>-3261060.1055985419</v>
      </c>
      <c r="T534" s="412">
        <v>-3119168.0103518274</v>
      </c>
      <c r="U534" s="412">
        <v>-3979744.3224513363</v>
      </c>
      <c r="V534" s="412">
        <v>-3144025.1240349528</v>
      </c>
      <c r="W534" s="333"/>
    </row>
    <row r="535" spans="1:23" ht="13.5" thickTop="1" x14ac:dyDescent="0.2">
      <c r="A535" s="9"/>
      <c r="B535" s="317" t="s">
        <v>38</v>
      </c>
      <c r="C535" s="451">
        <v>0</v>
      </c>
      <c r="D535" s="414">
        <v>11542281.565746628</v>
      </c>
      <c r="E535" s="414">
        <v>10994359.131436607</v>
      </c>
      <c r="F535" s="414">
        <v>5731646.8952533035</v>
      </c>
      <c r="G535" s="414">
        <v>5903916.3496147525</v>
      </c>
      <c r="H535" s="414">
        <v>5433244.7350688055</v>
      </c>
      <c r="I535" s="414">
        <v>6699347.9144366309</v>
      </c>
      <c r="J535" s="414">
        <v>5790210.8948710207</v>
      </c>
      <c r="K535" s="414">
        <v>6518609.6940166932</v>
      </c>
      <c r="L535" s="414">
        <v>6380806.3359474968</v>
      </c>
      <c r="M535" s="414">
        <v>6611622.5888223043</v>
      </c>
      <c r="N535" s="414">
        <v>6341045.3940301277</v>
      </c>
      <c r="O535" s="414">
        <v>6208231.7652114024</v>
      </c>
      <c r="P535" s="414">
        <v>6604784.0835332237</v>
      </c>
      <c r="Q535" s="414">
        <v>6975493.1483534221</v>
      </c>
      <c r="R535" s="414">
        <v>7561765.3453147057</v>
      </c>
      <c r="S535" s="414">
        <v>6868793.7693389179</v>
      </c>
      <c r="T535" s="414">
        <v>7461660.0773726348</v>
      </c>
      <c r="U535" s="414">
        <v>8393644.7457356025</v>
      </c>
      <c r="V535" s="414">
        <v>10683959.95248178</v>
      </c>
      <c r="W535" s="333"/>
    </row>
    <row r="536" spans="1:23" x14ac:dyDescent="0.2">
      <c r="A536" s="9"/>
      <c r="B536" s="315" t="s">
        <v>34</v>
      </c>
      <c r="C536" s="449">
        <v>0</v>
      </c>
      <c r="D536" s="410">
        <v>-931626.66778965387</v>
      </c>
      <c r="E536" s="410">
        <v>-950259.20114544698</v>
      </c>
      <c r="F536" s="410">
        <v>-969264.38516835589</v>
      </c>
      <c r="G536" s="410">
        <v>-988649.67287172307</v>
      </c>
      <c r="H536" s="410">
        <v>-1008422.6663291575</v>
      </c>
      <c r="I536" s="410">
        <v>-1028591.1196557407</v>
      </c>
      <c r="J536" s="410">
        <v>-1049162.9420488556</v>
      </c>
      <c r="K536" s="410">
        <v>-1070146.2008898328</v>
      </c>
      <c r="L536" s="410">
        <v>-1091549.1249076296</v>
      </c>
      <c r="M536" s="410">
        <v>-1113380.1074057822</v>
      </c>
      <c r="N536" s="410">
        <v>-1135647.7095538978</v>
      </c>
      <c r="O536" s="410">
        <v>-1158360.6637449758</v>
      </c>
      <c r="P536" s="410">
        <v>-1181527.8770198755</v>
      </c>
      <c r="Q536" s="410">
        <v>-1205158.4345602731</v>
      </c>
      <c r="R536" s="410">
        <v>-1229261.6032514786</v>
      </c>
      <c r="S536" s="410">
        <v>-1253846.8353165083</v>
      </c>
      <c r="T536" s="410">
        <v>-1278923.7720228385</v>
      </c>
      <c r="U536" s="410">
        <v>-1304502.2474632952</v>
      </c>
      <c r="V536" s="410">
        <v>-1330592.2924125611</v>
      </c>
      <c r="W536" s="333"/>
    </row>
    <row r="537" spans="1:23" x14ac:dyDescent="0.2">
      <c r="A537" s="9"/>
      <c r="B537" s="315" t="s">
        <v>35</v>
      </c>
      <c r="C537" s="449">
        <v>0</v>
      </c>
      <c r="D537" s="410">
        <v>-200917.67593297298</v>
      </c>
      <c r="E537" s="410">
        <v>-205641.43199241639</v>
      </c>
      <c r="F537" s="410">
        <v>-218077.27806039757</v>
      </c>
      <c r="G537" s="410">
        <v>-229740.23732528751</v>
      </c>
      <c r="H537" s="410">
        <v>-277364.27038042538</v>
      </c>
      <c r="I537" s="410">
        <v>-345386.73370678158</v>
      </c>
      <c r="J537" s="410">
        <v>-385353.45526847139</v>
      </c>
      <c r="K537" s="410">
        <v>-421308.50507779239</v>
      </c>
      <c r="L537" s="410">
        <v>-452769.73269078415</v>
      </c>
      <c r="M537" s="410">
        <v>-463724.02074573957</v>
      </c>
      <c r="N537" s="410">
        <v>-469582.42912591412</v>
      </c>
      <c r="O537" s="410">
        <v>-475922.50254742149</v>
      </c>
      <c r="P537" s="410">
        <v>-482081.0962416688</v>
      </c>
      <c r="Q537" s="410">
        <v>-488393.65477827226</v>
      </c>
      <c r="R537" s="410">
        <v>-494864.65853414452</v>
      </c>
      <c r="S537" s="410">
        <v>-501497.43738391355</v>
      </c>
      <c r="T537" s="410">
        <v>-508294.70914915687</v>
      </c>
      <c r="U537" s="410">
        <v>-515262.5924357078</v>
      </c>
      <c r="V537" s="410">
        <v>-522405.36959275114</v>
      </c>
      <c r="W537" s="333"/>
    </row>
    <row r="538" spans="1:23" ht="13.5" thickBot="1" x14ac:dyDescent="0.25">
      <c r="A538" s="9"/>
      <c r="B538" s="316" t="s">
        <v>36</v>
      </c>
      <c r="C538" s="450">
        <v>0</v>
      </c>
      <c r="D538" s="412">
        <v>-224390.18479580799</v>
      </c>
      <c r="E538" s="412">
        <v>-229124.81769500099</v>
      </c>
      <c r="F538" s="412">
        <v>-234142.65120252201</v>
      </c>
      <c r="G538" s="412">
        <v>-239434.27511969701</v>
      </c>
      <c r="H538" s="412">
        <v>-245132.810867547</v>
      </c>
      <c r="I538" s="412">
        <v>-251275.86375152899</v>
      </c>
      <c r="J538" s="412">
        <v>-257508.20519487301</v>
      </c>
      <c r="K538" s="412">
        <v>-264026.27002816898</v>
      </c>
      <c r="L538" s="412">
        <v>-270547.71889786603</v>
      </c>
      <c r="M538" s="412">
        <v>-277446.68572975998</v>
      </c>
      <c r="N538" s="412">
        <v>-284160.895524422</v>
      </c>
      <c r="O538" s="412">
        <v>-291321.75009163597</v>
      </c>
      <c r="P538" s="412">
        <v>-298721.32254396298</v>
      </c>
      <c r="Q538" s="412">
        <v>-306189.355607562</v>
      </c>
      <c r="R538" s="412">
        <v>-313874.70843331201</v>
      </c>
      <c r="S538" s="412">
        <v>-321721.57614414499</v>
      </c>
      <c r="T538" s="412">
        <v>-329700.27123252</v>
      </c>
      <c r="U538" s="412">
        <v>-337975.74804045598</v>
      </c>
      <c r="V538" s="412">
        <v>-346458.93931627198</v>
      </c>
      <c r="W538" s="333"/>
    </row>
    <row r="539" spans="1:23" ht="13.5" thickTop="1" x14ac:dyDescent="0.2">
      <c r="A539" s="9"/>
      <c r="B539" s="317" t="s">
        <v>221</v>
      </c>
      <c r="C539" s="452">
        <v>0</v>
      </c>
      <c r="D539" s="416">
        <v>10185347.037228193</v>
      </c>
      <c r="E539" s="416">
        <v>9609333.6806037407</v>
      </c>
      <c r="F539" s="416">
        <v>4310162.5808220282</v>
      </c>
      <c r="G539" s="416">
        <v>4446092.1642980454</v>
      </c>
      <c r="H539" s="416">
        <v>3902324.9874916757</v>
      </c>
      <c r="I539" s="416">
        <v>5074094.19732258</v>
      </c>
      <c r="J539" s="416">
        <v>4098186.2923588213</v>
      </c>
      <c r="K539" s="416">
        <v>4763128.7180208983</v>
      </c>
      <c r="L539" s="416">
        <v>4565939.759451217</v>
      </c>
      <c r="M539" s="416">
        <v>4757071.7749410225</v>
      </c>
      <c r="N539" s="416">
        <v>4451654.3598258942</v>
      </c>
      <c r="O539" s="416">
        <v>4282626.8488273695</v>
      </c>
      <c r="P539" s="416">
        <v>4642453.7877277164</v>
      </c>
      <c r="Q539" s="416">
        <v>4975751.7034073155</v>
      </c>
      <c r="R539" s="416">
        <v>5523764.3750957707</v>
      </c>
      <c r="S539" s="416">
        <v>4791727.9204943515</v>
      </c>
      <c r="T539" s="416">
        <v>5344741.3249681192</v>
      </c>
      <c r="U539" s="416">
        <v>6235904.1577961426</v>
      </c>
      <c r="V539" s="416">
        <v>8484503.3511601966</v>
      </c>
      <c r="W539" s="333"/>
    </row>
    <row r="540" spans="1:23" x14ac:dyDescent="0.2">
      <c r="A540" s="9"/>
      <c r="B540" s="315" t="s">
        <v>37</v>
      </c>
      <c r="C540" s="449">
        <v>0</v>
      </c>
      <c r="D540" s="410">
        <v>-700819.32445730455</v>
      </c>
      <c r="E540" s="410">
        <v>-751368.69483894447</v>
      </c>
      <c r="F540" s="410">
        <v>-831570.84888766624</v>
      </c>
      <c r="G540" s="410">
        <v>-856503.02183152293</v>
      </c>
      <c r="H540" s="410">
        <v>-875236.0646171642</v>
      </c>
      <c r="I540" s="410">
        <v>-907751.92485708511</v>
      </c>
      <c r="J540" s="410">
        <v>-940112.30075409717</v>
      </c>
      <c r="K540" s="410">
        <v>-971641.32093640394</v>
      </c>
      <c r="L540" s="410">
        <v>-1003382.6824531665</v>
      </c>
      <c r="M540" s="410">
        <v>-978527.95518103265</v>
      </c>
      <c r="N540" s="410">
        <v>-955969.76373299141</v>
      </c>
      <c r="O540" s="410">
        <v>-993679.8458975153</v>
      </c>
      <c r="P540" s="410">
        <v>-879474.97258894099</v>
      </c>
      <c r="Q540" s="410">
        <v>-766259.62057082145</v>
      </c>
      <c r="R540" s="410">
        <v>-693547.82774524472</v>
      </c>
      <c r="S540" s="410">
        <v>-622011.8794888102</v>
      </c>
      <c r="T540" s="410">
        <v>-665609.08899867442</v>
      </c>
      <c r="U540" s="410">
        <v>-710511.54154280573</v>
      </c>
      <c r="V540" s="410">
        <v>-754338.06190194411</v>
      </c>
      <c r="W540" s="333"/>
    </row>
    <row r="541" spans="1:23" ht="13.5" thickBot="1" x14ac:dyDescent="0.25">
      <c r="A541" s="9"/>
      <c r="B541" s="316" t="s">
        <v>222</v>
      </c>
      <c r="C541" s="450">
        <v>0</v>
      </c>
      <c r="D541" s="412">
        <v>-3793811.0851083556</v>
      </c>
      <c r="E541" s="412">
        <v>-3543185.9943059185</v>
      </c>
      <c r="F541" s="412">
        <v>-1391436.6927737449</v>
      </c>
      <c r="G541" s="412">
        <v>-1435835.6569866091</v>
      </c>
      <c r="H541" s="412">
        <v>-1210835.5691498045</v>
      </c>
      <c r="I541" s="412">
        <v>-1666536.908986198</v>
      </c>
      <c r="J541" s="412">
        <v>-1263229.5966418898</v>
      </c>
      <c r="K541" s="412">
        <v>-1516594.9588337978</v>
      </c>
      <c r="L541" s="412">
        <v>-1425022.8307992201</v>
      </c>
      <c r="M541" s="412">
        <v>-1511417.5279039962</v>
      </c>
      <c r="N541" s="412">
        <v>-1398273.8384371614</v>
      </c>
      <c r="O541" s="412">
        <v>-1315578.8011719417</v>
      </c>
      <c r="P541" s="412">
        <v>-1505191.5260555102</v>
      </c>
      <c r="Q541" s="412">
        <v>-1683796.8331345976</v>
      </c>
      <c r="R541" s="412">
        <v>-1932086.6189402104</v>
      </c>
      <c r="S541" s="412">
        <v>-1667886.4164022168</v>
      </c>
      <c r="T541" s="412">
        <v>-1871652.8943877779</v>
      </c>
      <c r="U541" s="412">
        <v>-2210157.0465013348</v>
      </c>
      <c r="V541" s="412">
        <v>-3092066.1157033015</v>
      </c>
      <c r="W541" s="333"/>
    </row>
    <row r="542" spans="1:23" ht="13.5" thickTop="1" x14ac:dyDescent="0.2">
      <c r="A542" s="9"/>
      <c r="B542" s="317" t="s">
        <v>183</v>
      </c>
      <c r="C542" s="452">
        <v>0</v>
      </c>
      <c r="D542" s="416">
        <v>5690716.627662533</v>
      </c>
      <c r="E542" s="416">
        <v>5314778.9914588779</v>
      </c>
      <c r="F542" s="416">
        <v>2087155.0391606172</v>
      </c>
      <c r="G542" s="416">
        <v>2153753.4854799137</v>
      </c>
      <c r="H542" s="416">
        <v>1816253.3537247067</v>
      </c>
      <c r="I542" s="416">
        <v>2499805.3634792967</v>
      </c>
      <c r="J542" s="416">
        <v>1894844.3949628342</v>
      </c>
      <c r="K542" s="416">
        <v>2274892.4382506963</v>
      </c>
      <c r="L542" s="416">
        <v>2137534.2461988302</v>
      </c>
      <c r="M542" s="416">
        <v>2267126.2918559937</v>
      </c>
      <c r="N542" s="416">
        <v>2097410.7576557416</v>
      </c>
      <c r="O542" s="416">
        <v>1973368.2017579125</v>
      </c>
      <c r="P542" s="416">
        <v>2257787.2890832652</v>
      </c>
      <c r="Q542" s="416">
        <v>2525695.2497018962</v>
      </c>
      <c r="R542" s="416">
        <v>2898129.9284103154</v>
      </c>
      <c r="S542" s="416">
        <v>2501829.6246033246</v>
      </c>
      <c r="T542" s="416">
        <v>2807479.3415816668</v>
      </c>
      <c r="U542" s="416">
        <v>3315235.5697520021</v>
      </c>
      <c r="V542" s="416">
        <v>4638099.1735549513</v>
      </c>
      <c r="W542" s="333"/>
    </row>
    <row r="543" spans="1:23" x14ac:dyDescent="0.2">
      <c r="A543" s="9"/>
      <c r="B543" s="315" t="s">
        <v>37</v>
      </c>
      <c r="C543" s="449">
        <v>0</v>
      </c>
      <c r="D543" s="410">
        <v>700819.32445730455</v>
      </c>
      <c r="E543" s="410">
        <v>751368.69483894447</v>
      </c>
      <c r="F543" s="410">
        <v>831570.84888766624</v>
      </c>
      <c r="G543" s="410">
        <v>856503.02183152293</v>
      </c>
      <c r="H543" s="410">
        <v>875236.0646171642</v>
      </c>
      <c r="I543" s="410">
        <v>907751.92485708511</v>
      </c>
      <c r="J543" s="410">
        <v>940112.30075409717</v>
      </c>
      <c r="K543" s="410">
        <v>971641.32093640394</v>
      </c>
      <c r="L543" s="410">
        <v>1003382.6824531665</v>
      </c>
      <c r="M543" s="410">
        <v>978527.95518103265</v>
      </c>
      <c r="N543" s="410">
        <v>955969.76373299141</v>
      </c>
      <c r="O543" s="410">
        <v>993679.8458975153</v>
      </c>
      <c r="P543" s="410">
        <v>879474.97258894099</v>
      </c>
      <c r="Q543" s="410">
        <v>766259.62057082145</v>
      </c>
      <c r="R543" s="410">
        <v>693547.82774524472</v>
      </c>
      <c r="S543" s="410">
        <v>622011.8794888102</v>
      </c>
      <c r="T543" s="410">
        <v>665609.08899867442</v>
      </c>
      <c r="U543" s="410">
        <v>710511.54154280573</v>
      </c>
      <c r="V543" s="410">
        <v>754338.06190194411</v>
      </c>
      <c r="W543" s="333"/>
    </row>
    <row r="544" spans="1:23" x14ac:dyDescent="0.2">
      <c r="A544" s="9"/>
      <c r="B544" s="315" t="s">
        <v>39</v>
      </c>
      <c r="C544" s="449">
        <v>0</v>
      </c>
      <c r="D544" s="410">
        <v>-296039.05</v>
      </c>
      <c r="E544" s="410">
        <v>-1656351.77</v>
      </c>
      <c r="F544" s="410">
        <v>-768259.69</v>
      </c>
      <c r="G544" s="410">
        <v>-270547</v>
      </c>
      <c r="H544" s="410">
        <v>-651964.07999999996</v>
      </c>
      <c r="I544" s="410">
        <v>-671523.0024</v>
      </c>
      <c r="J544" s="410">
        <v>-691668.69247200002</v>
      </c>
      <c r="K544" s="410">
        <v>-712418.75324615999</v>
      </c>
      <c r="L544" s="410">
        <v>-733791.31584354478</v>
      </c>
      <c r="M544" s="410">
        <v>-755805.05531885114</v>
      </c>
      <c r="N544" s="410">
        <v>-778479.20697841665</v>
      </c>
      <c r="O544" s="410">
        <v>-801833.58318776917</v>
      </c>
      <c r="P544" s="410">
        <v>-825888.59068340226</v>
      </c>
      <c r="Q544" s="410">
        <v>-850665.24840390438</v>
      </c>
      <c r="R544" s="410">
        <v>-876185.20585602149</v>
      </c>
      <c r="S544" s="410">
        <v>-902470.76203170221</v>
      </c>
      <c r="T544" s="410">
        <v>-929544.88489265332</v>
      </c>
      <c r="U544" s="410">
        <v>-957431.23143943294</v>
      </c>
      <c r="V544" s="410">
        <v>-986154.16838261602</v>
      </c>
      <c r="W544" s="333"/>
    </row>
    <row r="545" spans="1:23" ht="13.5" thickBot="1" x14ac:dyDescent="0.25">
      <c r="A545" s="9"/>
      <c r="B545" s="316" t="s">
        <v>40</v>
      </c>
      <c r="C545" s="450">
        <v>0</v>
      </c>
      <c r="D545" s="412">
        <v>0</v>
      </c>
      <c r="E545" s="412">
        <v>0</v>
      </c>
      <c r="F545" s="412">
        <v>0</v>
      </c>
      <c r="G545" s="412">
        <v>0</v>
      </c>
      <c r="H545" s="412">
        <v>0</v>
      </c>
      <c r="I545" s="412">
        <v>0</v>
      </c>
      <c r="J545" s="412">
        <v>0</v>
      </c>
      <c r="K545" s="412">
        <v>0</v>
      </c>
      <c r="L545" s="412">
        <v>0</v>
      </c>
      <c r="M545" s="412">
        <v>0</v>
      </c>
      <c r="N545" s="412">
        <v>0</v>
      </c>
      <c r="O545" s="412">
        <v>0</v>
      </c>
      <c r="P545" s="412">
        <v>0</v>
      </c>
      <c r="Q545" s="412">
        <v>0</v>
      </c>
      <c r="R545" s="412">
        <v>0</v>
      </c>
      <c r="S545" s="412">
        <v>0</v>
      </c>
      <c r="T545" s="412">
        <v>0</v>
      </c>
      <c r="U545" s="412">
        <v>0</v>
      </c>
      <c r="V545" s="412">
        <v>0</v>
      </c>
      <c r="W545" s="333"/>
    </row>
    <row r="546" spans="1:23" ht="13.5" thickTop="1" x14ac:dyDescent="0.2">
      <c r="A546" s="9"/>
      <c r="B546" s="315"/>
      <c r="C546" s="453"/>
      <c r="D546" s="333"/>
      <c r="E546" s="333"/>
      <c r="F546" s="333"/>
      <c r="G546" s="333"/>
      <c r="H546" s="333"/>
      <c r="I546" s="333"/>
      <c r="J546" s="333"/>
      <c r="K546" s="333"/>
      <c r="L546" s="333"/>
      <c r="M546" s="333"/>
      <c r="N546" s="333"/>
      <c r="O546" s="333"/>
      <c r="P546" s="333"/>
      <c r="Q546" s="333"/>
      <c r="R546" s="333"/>
      <c r="S546" s="333"/>
      <c r="T546" s="333"/>
      <c r="U546" s="333"/>
      <c r="V546" s="333"/>
      <c r="W546" s="333"/>
    </row>
    <row r="547" spans="1:23" x14ac:dyDescent="0.2">
      <c r="A547" s="9"/>
      <c r="B547" s="317" t="s">
        <v>234</v>
      </c>
      <c r="C547" s="452">
        <v>0</v>
      </c>
      <c r="D547" s="416">
        <v>6095496.9021198377</v>
      </c>
      <c r="E547" s="416">
        <v>4409795.9162978232</v>
      </c>
      <c r="F547" s="416">
        <v>2150466.1980482833</v>
      </c>
      <c r="G547" s="416">
        <v>2739709.5073114363</v>
      </c>
      <c r="H547" s="416">
        <v>2039525.3383418708</v>
      </c>
      <c r="I547" s="416">
        <v>2736034.2859363817</v>
      </c>
      <c r="J547" s="416">
        <v>2143288.0032449313</v>
      </c>
      <c r="K547" s="416">
        <v>2534115.0059409402</v>
      </c>
      <c r="L547" s="416">
        <v>2407125.612808452</v>
      </c>
      <c r="M547" s="416">
        <v>2489849.1917181751</v>
      </c>
      <c r="N547" s="416">
        <v>2274901.3144103163</v>
      </c>
      <c r="O547" s="416">
        <v>2165214.4644676587</v>
      </c>
      <c r="P547" s="416">
        <v>2311373.6709888037</v>
      </c>
      <c r="Q547" s="416">
        <v>2441289.6218688129</v>
      </c>
      <c r="R547" s="416">
        <v>2715492.5502995388</v>
      </c>
      <c r="S547" s="416">
        <v>2221370.7420604322</v>
      </c>
      <c r="T547" s="416">
        <v>2543543.545687688</v>
      </c>
      <c r="U547" s="416">
        <v>3068315.8798553748</v>
      </c>
      <c r="V547" s="416">
        <v>4406283.0670742793</v>
      </c>
      <c r="W547" s="414">
        <v>16367672.994778875</v>
      </c>
    </row>
    <row r="548" spans="1:23" x14ac:dyDescent="0.2">
      <c r="A548" s="9"/>
      <c r="B548" s="292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 x14ac:dyDescent="0.2">
      <c r="A549" s="308" t="s">
        <v>219</v>
      </c>
      <c r="B549" s="306" t="s">
        <v>170</v>
      </c>
      <c r="C549" s="439">
        <v>14619493.962849999</v>
      </c>
      <c r="D549" s="9"/>
      <c r="E549" s="137" t="s">
        <v>220</v>
      </c>
      <c r="F549" s="319" t="s">
        <v>170</v>
      </c>
      <c r="G549" s="443">
        <v>14619493.962849999</v>
      </c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 x14ac:dyDescent="0.2">
      <c r="A550" s="9"/>
      <c r="B550" s="306" t="s">
        <v>180</v>
      </c>
      <c r="C550" s="439">
        <v>12078018.084697949</v>
      </c>
      <c r="D550" s="9"/>
      <c r="E550" s="321"/>
      <c r="F550" s="319" t="s">
        <v>180</v>
      </c>
      <c r="G550" s="443">
        <v>12078018.084697949</v>
      </c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 ht="13.5" thickBot="1" x14ac:dyDescent="0.25">
      <c r="A551" s="9"/>
      <c r="B551" s="322" t="s">
        <v>137</v>
      </c>
      <c r="C551" s="440">
        <v>2551699.79787225</v>
      </c>
      <c r="D551" s="323"/>
      <c r="E551" s="321"/>
      <c r="F551" s="319" t="s">
        <v>137</v>
      </c>
      <c r="G551" s="443">
        <v>2551699.79787225</v>
      </c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 ht="14.25" thickTop="1" thickBot="1" x14ac:dyDescent="0.25">
      <c r="A552" s="9"/>
      <c r="B552" s="306" t="s">
        <v>28</v>
      </c>
      <c r="C552" s="438">
        <v>29249211.845420193</v>
      </c>
      <c r="D552" s="305"/>
      <c r="E552" s="321"/>
      <c r="F552" s="324" t="s">
        <v>204</v>
      </c>
      <c r="G552" s="325">
        <v>0</v>
      </c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 ht="13.5" thickTop="1" x14ac:dyDescent="0.2">
      <c r="A553" s="9"/>
      <c r="B553" s="292"/>
      <c r="C553" s="326"/>
      <c r="D553" s="9"/>
      <c r="E553" s="327"/>
      <c r="F553" s="319" t="s">
        <v>28</v>
      </c>
      <c r="G553" s="368">
        <v>29249211.845420193</v>
      </c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 x14ac:dyDescent="0.2">
      <c r="A554" s="9"/>
      <c r="B554" s="292"/>
      <c r="C554" s="326"/>
      <c r="D554" s="9"/>
      <c r="E554" s="327"/>
      <c r="F554" s="319"/>
      <c r="G554" s="32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 x14ac:dyDescent="0.2">
      <c r="A555" s="9"/>
      <c r="B555" s="292"/>
      <c r="C555" s="326"/>
      <c r="D555" s="9"/>
      <c r="E555" s="327"/>
      <c r="F555" s="319"/>
      <c r="G555" s="32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 x14ac:dyDescent="0.2">
      <c r="A556" s="9"/>
      <c r="B556" s="329" t="s">
        <v>223</v>
      </c>
      <c r="C556" s="326"/>
      <c r="D556" s="9"/>
      <c r="E556" s="327"/>
      <c r="F556" s="319"/>
      <c r="G556" s="32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 x14ac:dyDescent="0.2">
      <c r="A557" s="330" t="s">
        <v>225</v>
      </c>
      <c r="B557" s="329" t="s">
        <v>224</v>
      </c>
      <c r="C557" s="331"/>
      <c r="D557" s="332">
        <v>5690716.627662533</v>
      </c>
      <c r="E557" s="332">
        <v>5314778.9914588779</v>
      </c>
      <c r="F557" s="332">
        <v>2087155.0391606172</v>
      </c>
      <c r="G557" s="332">
        <v>2153753.4854799137</v>
      </c>
      <c r="H557" s="332">
        <v>1816253.3537247067</v>
      </c>
      <c r="I557" s="332">
        <v>2499805.3634792967</v>
      </c>
      <c r="J557" s="332">
        <v>1894844.3949628342</v>
      </c>
      <c r="K557" s="332">
        <v>2274892.4382506963</v>
      </c>
      <c r="L557" s="332">
        <v>2137534.2461988302</v>
      </c>
      <c r="M557" s="332">
        <v>2267126.2918559937</v>
      </c>
      <c r="N557" s="332">
        <v>2097410.7576557416</v>
      </c>
      <c r="O557" s="332">
        <v>1973368.2017579125</v>
      </c>
      <c r="P557" s="332">
        <v>2257787.2890832652</v>
      </c>
      <c r="Q557" s="332">
        <v>2525695.2497018962</v>
      </c>
      <c r="R557" s="332">
        <v>2898129.9284103154</v>
      </c>
      <c r="S557" s="332">
        <v>2501829.6246033246</v>
      </c>
      <c r="T557" s="332">
        <v>2807479.3415816668</v>
      </c>
      <c r="U557" s="332">
        <v>3315235.5697520021</v>
      </c>
      <c r="V557" s="332">
        <v>4638099.1735549513</v>
      </c>
      <c r="W557" s="9"/>
    </row>
    <row r="558" spans="1:23" x14ac:dyDescent="0.2">
      <c r="A558" s="9"/>
      <c r="B558" s="292" t="s">
        <v>226</v>
      </c>
      <c r="C558" s="326"/>
      <c r="D558" s="333">
        <v>3793811.0851083556</v>
      </c>
      <c r="E558" s="333">
        <v>3543185.9943059185</v>
      </c>
      <c r="F558" s="333">
        <v>1391436.6927737449</v>
      </c>
      <c r="G558" s="333">
        <v>1435835.6569866091</v>
      </c>
      <c r="H558" s="333">
        <v>1210835.5691498045</v>
      </c>
      <c r="I558" s="333">
        <v>1666536.908986198</v>
      </c>
      <c r="J558" s="333">
        <v>1263229.5966418898</v>
      </c>
      <c r="K558" s="333">
        <v>1516594.9588337978</v>
      </c>
      <c r="L558" s="333">
        <v>1425022.8307992201</v>
      </c>
      <c r="M558" s="333">
        <v>1511417.5279039962</v>
      </c>
      <c r="N558" s="333">
        <v>1398273.8384371614</v>
      </c>
      <c r="O558" s="333">
        <v>1315578.8011719417</v>
      </c>
      <c r="P558" s="333">
        <v>1505191.5260555102</v>
      </c>
      <c r="Q558" s="333">
        <v>1683796.8331345976</v>
      </c>
      <c r="R558" s="333">
        <v>1932086.6189402104</v>
      </c>
      <c r="S558" s="333">
        <v>1667886.4164022168</v>
      </c>
      <c r="T558" s="333">
        <v>1871652.8943877779</v>
      </c>
      <c r="U558" s="333">
        <v>2210157.0465013348</v>
      </c>
      <c r="V558" s="333">
        <v>3092066.1157033015</v>
      </c>
      <c r="W558" s="9"/>
    </row>
    <row r="559" spans="1:23" x14ac:dyDescent="0.2">
      <c r="A559" s="9"/>
      <c r="B559" s="334" t="s">
        <v>227</v>
      </c>
      <c r="C559" s="335"/>
      <c r="D559" s="333">
        <v>700819.32445730455</v>
      </c>
      <c r="E559" s="333">
        <v>751368.69483894447</v>
      </c>
      <c r="F559" s="333">
        <v>831570.84888766624</v>
      </c>
      <c r="G559" s="333">
        <v>856503.02183152293</v>
      </c>
      <c r="H559" s="333">
        <v>875236.0646171642</v>
      </c>
      <c r="I559" s="333">
        <v>907751.92485708511</v>
      </c>
      <c r="J559" s="333">
        <v>940112.30075409717</v>
      </c>
      <c r="K559" s="333">
        <v>971641.32093640394</v>
      </c>
      <c r="L559" s="333">
        <v>1003382.6824531665</v>
      </c>
      <c r="M559" s="333">
        <v>978527.95518103265</v>
      </c>
      <c r="N559" s="333">
        <v>955969.76373299141</v>
      </c>
      <c r="O559" s="333">
        <v>993679.8458975153</v>
      </c>
      <c r="P559" s="333">
        <v>879474.97258894099</v>
      </c>
      <c r="Q559" s="333">
        <v>766259.62057082145</v>
      </c>
      <c r="R559" s="333">
        <v>693547.82774524472</v>
      </c>
      <c r="S559" s="333">
        <v>622011.8794888102</v>
      </c>
      <c r="T559" s="333">
        <v>665609.08899867442</v>
      </c>
      <c r="U559" s="333">
        <v>710511.54154280573</v>
      </c>
      <c r="V559" s="333">
        <v>754338.06190194411</v>
      </c>
      <c r="W559" s="9"/>
    </row>
    <row r="560" spans="1:23" ht="13.5" thickBot="1" x14ac:dyDescent="0.25">
      <c r="A560" s="9"/>
      <c r="B560" s="336" t="s">
        <v>228</v>
      </c>
      <c r="C560" s="337"/>
      <c r="D560" s="338">
        <v>10185347.037228193</v>
      </c>
      <c r="E560" s="338">
        <v>9609333.6806037407</v>
      </c>
      <c r="F560" s="338">
        <v>4310162.5808220282</v>
      </c>
      <c r="G560" s="338">
        <v>4446092.1642980454</v>
      </c>
      <c r="H560" s="338">
        <v>3902324.9874916757</v>
      </c>
      <c r="I560" s="338">
        <v>5074094.1973225791</v>
      </c>
      <c r="J560" s="338">
        <v>4098186.2923588213</v>
      </c>
      <c r="K560" s="338">
        <v>4763128.7180208983</v>
      </c>
      <c r="L560" s="338">
        <v>4565939.759451217</v>
      </c>
      <c r="M560" s="338">
        <v>4757071.7749410225</v>
      </c>
      <c r="N560" s="338">
        <v>4451654.3598258942</v>
      </c>
      <c r="O560" s="338">
        <v>4282626.8488273695</v>
      </c>
      <c r="P560" s="338">
        <v>4642453.7877277164</v>
      </c>
      <c r="Q560" s="338">
        <v>4975751.7034073155</v>
      </c>
      <c r="R560" s="338">
        <v>5523764.3750957707</v>
      </c>
      <c r="S560" s="338">
        <v>4791727.9204943515</v>
      </c>
      <c r="T560" s="338">
        <v>5344741.3249681192</v>
      </c>
      <c r="U560" s="338">
        <v>6235904.1577961426</v>
      </c>
      <c r="V560" s="338">
        <v>8484503.3511601966</v>
      </c>
      <c r="W560" s="9"/>
    </row>
    <row r="561" spans="1:23" ht="13.5" thickTop="1" x14ac:dyDescent="0.2">
      <c r="A561" s="330" t="s">
        <v>229</v>
      </c>
      <c r="B561" s="292" t="s">
        <v>230</v>
      </c>
      <c r="C561" s="326"/>
      <c r="D561" s="333">
        <v>-894987.72088404582</v>
      </c>
      <c r="E561" s="333">
        <v>-975964.88205908309</v>
      </c>
      <c r="F561" s="333">
        <v>-1007722.0180806834</v>
      </c>
      <c r="G561" s="333">
        <v>-1021156.6972996661</v>
      </c>
      <c r="H561" s="333">
        <v>-1053660.2130681276</v>
      </c>
      <c r="I561" s="333">
        <v>-1087236.3631881275</v>
      </c>
      <c r="J561" s="333">
        <v>-984717.03467063268</v>
      </c>
      <c r="K561" s="333">
        <v>-916871.64077303547</v>
      </c>
      <c r="L561" s="333">
        <v>-904342.4604490177</v>
      </c>
      <c r="M561" s="333">
        <v>-937860.09010366001</v>
      </c>
      <c r="N561" s="333">
        <v>-976784.05045258079</v>
      </c>
      <c r="O561" s="333">
        <v>-1016875.7296119693</v>
      </c>
      <c r="P561" s="333">
        <v>-940324.05061240937</v>
      </c>
      <c r="Q561" s="333">
        <v>-821843.11256441928</v>
      </c>
      <c r="R561" s="333">
        <v>-620908.29028645973</v>
      </c>
      <c r="S561" s="333">
        <v>-650627.81051190197</v>
      </c>
      <c r="T561" s="333">
        <v>-696053.72213257197</v>
      </c>
      <c r="U561" s="333">
        <v>-743925.28370454372</v>
      </c>
      <c r="V561" s="333">
        <v>-792333.83911239542</v>
      </c>
      <c r="W561" s="9"/>
    </row>
    <row r="562" spans="1:23" x14ac:dyDescent="0.2">
      <c r="A562" s="9"/>
      <c r="B562" s="292" t="s">
        <v>231</v>
      </c>
      <c r="C562" s="326"/>
      <c r="D562" s="333">
        <v>0</v>
      </c>
      <c r="E562" s="333">
        <v>0</v>
      </c>
      <c r="F562" s="333">
        <v>0</v>
      </c>
      <c r="G562" s="333">
        <v>0</v>
      </c>
      <c r="H562" s="333">
        <v>0</v>
      </c>
      <c r="I562" s="333">
        <v>0</v>
      </c>
      <c r="J562" s="333">
        <v>0</v>
      </c>
      <c r="K562" s="333">
        <v>0</v>
      </c>
      <c r="L562" s="333">
        <v>0</v>
      </c>
      <c r="M562" s="333">
        <v>0</v>
      </c>
      <c r="N562" s="333">
        <v>0</v>
      </c>
      <c r="O562" s="333">
        <v>0</v>
      </c>
      <c r="P562" s="333">
        <v>0</v>
      </c>
      <c r="Q562" s="333">
        <v>0</v>
      </c>
      <c r="R562" s="333">
        <v>0</v>
      </c>
      <c r="S562" s="333">
        <v>0</v>
      </c>
      <c r="T562" s="333">
        <v>0</v>
      </c>
      <c r="U562" s="333">
        <v>0</v>
      </c>
      <c r="V562" s="333">
        <v>0</v>
      </c>
      <c r="W562" s="9"/>
    </row>
    <row r="563" spans="1:23" x14ac:dyDescent="0.2">
      <c r="A563" s="9"/>
      <c r="B563" s="329" t="s">
        <v>232</v>
      </c>
      <c r="C563" s="331"/>
      <c r="D563" s="332">
        <v>9290359.3163441475</v>
      </c>
      <c r="E563" s="332">
        <v>8633368.7985446583</v>
      </c>
      <c r="F563" s="332">
        <v>3302440.5627413448</v>
      </c>
      <c r="G563" s="332">
        <v>3424935.4669983792</v>
      </c>
      <c r="H563" s="332">
        <v>2848664.774423548</v>
      </c>
      <c r="I563" s="332">
        <v>3986857.8341344516</v>
      </c>
      <c r="J563" s="332">
        <v>3113469.2576881885</v>
      </c>
      <c r="K563" s="332">
        <v>3846257.0772478627</v>
      </c>
      <c r="L563" s="332">
        <v>3661597.2990021994</v>
      </c>
      <c r="M563" s="332">
        <v>3819211.6848373627</v>
      </c>
      <c r="N563" s="332">
        <v>3474870.3093733136</v>
      </c>
      <c r="O563" s="332">
        <v>3265751.1192154</v>
      </c>
      <c r="P563" s="332">
        <v>3702129.7371153068</v>
      </c>
      <c r="Q563" s="332">
        <v>4153908.5908428961</v>
      </c>
      <c r="R563" s="332">
        <v>4902856.0848093107</v>
      </c>
      <c r="S563" s="332">
        <v>4141100.1099824496</v>
      </c>
      <c r="T563" s="332">
        <v>4648687.6028355472</v>
      </c>
      <c r="U563" s="332">
        <v>5491978.8740915991</v>
      </c>
      <c r="V563" s="332">
        <v>7692169.5120478012</v>
      </c>
      <c r="W563" s="9"/>
    </row>
    <row r="564" spans="1:23" ht="13.5" thickBot="1" x14ac:dyDescent="0.25">
      <c r="A564" s="9"/>
      <c r="B564" s="339" t="s">
        <v>238</v>
      </c>
      <c r="C564" s="340"/>
      <c r="D564" s="341">
        <v>-3716143.7265376593</v>
      </c>
      <c r="E564" s="341">
        <v>-3453347.5194178633</v>
      </c>
      <c r="F564" s="341">
        <v>-1320976.225096538</v>
      </c>
      <c r="G564" s="341">
        <v>-1369974.1867993518</v>
      </c>
      <c r="H564" s="341">
        <v>-1139465.9097694193</v>
      </c>
      <c r="I564" s="341">
        <v>-1594743.1336537807</v>
      </c>
      <c r="J564" s="341">
        <v>-1245387.7030752755</v>
      </c>
      <c r="K564" s="341">
        <v>-1538502.8308991452</v>
      </c>
      <c r="L564" s="341">
        <v>-1464638.9196008798</v>
      </c>
      <c r="M564" s="341">
        <v>-1527684.6739349451</v>
      </c>
      <c r="N564" s="341">
        <v>-1389948.1237493255</v>
      </c>
      <c r="O564" s="341">
        <v>-1306300.44768616</v>
      </c>
      <c r="P564" s="341">
        <v>-1480851.8948461227</v>
      </c>
      <c r="Q564" s="341">
        <v>-1661563.4363371585</v>
      </c>
      <c r="R564" s="341">
        <v>-1961142.4339237243</v>
      </c>
      <c r="S564" s="341">
        <v>-1656440.0439929799</v>
      </c>
      <c r="T564" s="341">
        <v>-1859475.0411342189</v>
      </c>
      <c r="U564" s="341">
        <v>-2196791.5496366397</v>
      </c>
      <c r="V564" s="341">
        <v>-3076867.8048191206</v>
      </c>
      <c r="W564" s="9"/>
    </row>
    <row r="565" spans="1:23" ht="13.5" thickTop="1" x14ac:dyDescent="0.2">
      <c r="A565" s="9"/>
      <c r="B565" s="329" t="s">
        <v>233</v>
      </c>
      <c r="C565" s="331"/>
      <c r="D565" s="332">
        <v>5574215.5898064878</v>
      </c>
      <c r="E565" s="332">
        <v>5180021.279126795</v>
      </c>
      <c r="F565" s="332">
        <v>1981464.3376448068</v>
      </c>
      <c r="G565" s="332">
        <v>2054961.2801990274</v>
      </c>
      <c r="H565" s="332">
        <v>1709198.8646541287</v>
      </c>
      <c r="I565" s="332">
        <v>2392114.7004806707</v>
      </c>
      <c r="J565" s="332">
        <v>1868081.5546129129</v>
      </c>
      <c r="K565" s="332">
        <v>2307754.2463487172</v>
      </c>
      <c r="L565" s="332">
        <v>2196958.3794013197</v>
      </c>
      <c r="M565" s="332">
        <v>2291527.0109024178</v>
      </c>
      <c r="N565" s="332">
        <v>2084922.185623988</v>
      </c>
      <c r="O565" s="332">
        <v>1959450.67152924</v>
      </c>
      <c r="P565" s="332">
        <v>2221277.8422691841</v>
      </c>
      <c r="Q565" s="332">
        <v>2492345.1545057376</v>
      </c>
      <c r="R565" s="332">
        <v>2941713.6508855866</v>
      </c>
      <c r="S565" s="332">
        <v>2484660.0659894696</v>
      </c>
      <c r="T565" s="332">
        <v>2789212.5617013285</v>
      </c>
      <c r="U565" s="332">
        <v>3295187.3244549595</v>
      </c>
      <c r="V565" s="332">
        <v>4615301.7072286811</v>
      </c>
      <c r="W565" s="9"/>
    </row>
    <row r="566" spans="1:23" x14ac:dyDescent="0.2">
      <c r="A566" s="9"/>
      <c r="B566" s="9"/>
      <c r="C566" s="326"/>
      <c r="D566" s="9"/>
      <c r="E566" s="327"/>
      <c r="F566" s="319"/>
      <c r="G566" s="32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 ht="15.75" x14ac:dyDescent="0.25">
      <c r="A567" s="342" t="s">
        <v>206</v>
      </c>
      <c r="B567" s="343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 x14ac:dyDescent="0.2">
      <c r="A568" s="290" t="s">
        <v>191</v>
      </c>
      <c r="B568" s="309"/>
      <c r="C568" s="344">
        <v>0</v>
      </c>
      <c r="D568" s="283"/>
      <c r="E568" s="283"/>
      <c r="F568" s="283"/>
      <c r="G568" s="283"/>
      <c r="H568" s="283"/>
      <c r="I568" s="283"/>
      <c r="J568" s="283"/>
      <c r="K568" s="283"/>
      <c r="L568" s="283"/>
      <c r="M568" s="283"/>
      <c r="N568" s="283"/>
      <c r="O568" s="283"/>
      <c r="P568" s="283"/>
      <c r="Q568" s="283"/>
      <c r="R568" s="283"/>
      <c r="S568" s="283"/>
      <c r="T568" s="283"/>
      <c r="U568" s="283"/>
      <c r="V568" s="283"/>
      <c r="W568" s="283"/>
    </row>
    <row r="569" spans="1:23" x14ac:dyDescent="0.2">
      <c r="A569" s="290" t="s">
        <v>192</v>
      </c>
      <c r="B569" s="309"/>
      <c r="C569" s="345">
        <v>0</v>
      </c>
      <c r="D569" s="283"/>
      <c r="E569" s="283"/>
      <c r="F569" s="283"/>
      <c r="G569" s="283"/>
      <c r="H569" s="283"/>
      <c r="I569" s="283"/>
      <c r="J569" s="283"/>
      <c r="K569" s="283"/>
      <c r="L569" s="283"/>
      <c r="M569" s="283"/>
      <c r="N569" s="283"/>
      <c r="O569" s="283"/>
      <c r="P569" s="283"/>
      <c r="Q569" s="283"/>
      <c r="R569" s="283"/>
      <c r="S569" s="283"/>
      <c r="T569" s="283"/>
      <c r="U569" s="283"/>
      <c r="V569" s="283"/>
      <c r="W569" s="283"/>
    </row>
    <row r="570" spans="1:23" x14ac:dyDescent="0.2">
      <c r="A570" s="290" t="s">
        <v>202</v>
      </c>
      <c r="B570" s="309"/>
      <c r="C570" s="290">
        <v>15</v>
      </c>
      <c r="D570" s="283"/>
      <c r="E570" s="283"/>
      <c r="F570" s="283"/>
      <c r="G570" s="283"/>
      <c r="H570" s="283"/>
      <c r="I570" s="283"/>
      <c r="J570" s="283"/>
      <c r="K570" s="283"/>
      <c r="L570" s="283"/>
      <c r="M570" s="283"/>
      <c r="N570" s="283"/>
      <c r="O570" s="283"/>
      <c r="P570" s="283"/>
      <c r="Q570" s="283"/>
      <c r="R570" s="283"/>
      <c r="S570" s="283"/>
      <c r="T570" s="283"/>
      <c r="U570" s="283"/>
      <c r="V570" s="283"/>
      <c r="W570" s="283"/>
    </row>
    <row r="571" spans="1:23" x14ac:dyDescent="0.2">
      <c r="A571" s="290" t="s">
        <v>193</v>
      </c>
      <c r="B571" s="309"/>
      <c r="C571" s="345">
        <v>0</v>
      </c>
      <c r="D571" s="283"/>
      <c r="E571" s="283"/>
      <c r="F571" s="283"/>
      <c r="G571" s="283"/>
      <c r="H571" s="283"/>
      <c r="I571" s="283"/>
      <c r="J571" s="283"/>
      <c r="K571" s="283"/>
      <c r="L571" s="283"/>
      <c r="M571" s="283"/>
      <c r="N571" s="283"/>
      <c r="O571" s="283"/>
      <c r="P571" s="283"/>
      <c r="Q571" s="283"/>
      <c r="R571" s="283"/>
      <c r="S571" s="283"/>
      <c r="T571" s="283"/>
      <c r="U571" s="283"/>
      <c r="V571" s="283"/>
      <c r="W571" s="283"/>
    </row>
    <row r="572" spans="1:23" x14ac:dyDescent="0.2">
      <c r="A572" s="290" t="s">
        <v>194</v>
      </c>
      <c r="B572" s="309"/>
      <c r="C572" s="346">
        <v>8.7499999999999994E-2</v>
      </c>
      <c r="D572" s="283"/>
      <c r="E572" s="283"/>
      <c r="F572" s="283"/>
      <c r="G572" s="283"/>
      <c r="H572" s="283"/>
      <c r="I572" s="283"/>
      <c r="J572" s="283"/>
      <c r="K572" s="283"/>
      <c r="L572" s="283"/>
      <c r="M572" s="283"/>
      <c r="N572" s="283"/>
      <c r="O572" s="283"/>
      <c r="P572" s="283"/>
      <c r="Q572" s="283"/>
      <c r="R572" s="283"/>
      <c r="S572" s="283"/>
      <c r="T572" s="283"/>
      <c r="U572" s="283"/>
      <c r="V572" s="283"/>
      <c r="W572" s="283"/>
    </row>
    <row r="573" spans="1:23" x14ac:dyDescent="0.2">
      <c r="A573" s="290"/>
      <c r="B573" s="309"/>
      <c r="C573" s="283"/>
      <c r="D573" s="312">
        <v>2001</v>
      </c>
      <c r="E573" s="312">
        <v>2002</v>
      </c>
      <c r="F573" s="312">
        <v>2003</v>
      </c>
      <c r="G573" s="312">
        <v>2004</v>
      </c>
      <c r="H573" s="312">
        <v>2005</v>
      </c>
      <c r="I573" s="312">
        <v>2006</v>
      </c>
      <c r="J573" s="312">
        <v>2007</v>
      </c>
      <c r="K573" s="312">
        <v>2008</v>
      </c>
      <c r="L573" s="312">
        <v>2009</v>
      </c>
      <c r="M573" s="312">
        <v>2010</v>
      </c>
      <c r="N573" s="312">
        <v>2011</v>
      </c>
      <c r="O573" s="312">
        <v>2012</v>
      </c>
      <c r="P573" s="312">
        <v>2013</v>
      </c>
      <c r="Q573" s="312">
        <v>2014</v>
      </c>
      <c r="R573" s="312">
        <v>2015</v>
      </c>
      <c r="S573" s="312">
        <v>2016</v>
      </c>
      <c r="T573" s="312">
        <v>2017</v>
      </c>
      <c r="U573" s="312">
        <v>2018</v>
      </c>
      <c r="V573" s="312">
        <v>2019</v>
      </c>
      <c r="W573" s="312" t="s">
        <v>154</v>
      </c>
    </row>
    <row r="574" spans="1:23" x14ac:dyDescent="0.2">
      <c r="A574" s="290" t="s">
        <v>195</v>
      </c>
      <c r="B574" s="309"/>
      <c r="C574" s="283"/>
      <c r="D574" s="347">
        <v>0</v>
      </c>
      <c r="E574" s="347">
        <v>0</v>
      </c>
      <c r="F574" s="347">
        <v>0</v>
      </c>
      <c r="G574" s="347">
        <v>0</v>
      </c>
      <c r="H574" s="347">
        <v>0</v>
      </c>
      <c r="I574" s="347">
        <v>0</v>
      </c>
      <c r="J574" s="347">
        <v>0</v>
      </c>
      <c r="K574" s="347">
        <v>0</v>
      </c>
      <c r="L574" s="347">
        <v>0</v>
      </c>
      <c r="M574" s="347">
        <v>0</v>
      </c>
      <c r="N574" s="347">
        <v>0</v>
      </c>
      <c r="O574" s="347">
        <v>0</v>
      </c>
      <c r="P574" s="347">
        <v>0</v>
      </c>
      <c r="Q574" s="347">
        <v>0</v>
      </c>
      <c r="R574" s="347">
        <v>0</v>
      </c>
      <c r="S574" s="347">
        <v>0</v>
      </c>
      <c r="T574" s="347">
        <v>0</v>
      </c>
      <c r="U574" s="347">
        <v>0</v>
      </c>
      <c r="V574" s="347">
        <v>0</v>
      </c>
      <c r="W574" s="347">
        <v>0</v>
      </c>
    </row>
    <row r="575" spans="1:23" x14ac:dyDescent="0.2">
      <c r="A575" s="290" t="s">
        <v>196</v>
      </c>
      <c r="B575" s="309"/>
      <c r="C575" s="283"/>
      <c r="D575" s="347">
        <v>0</v>
      </c>
      <c r="E575" s="347">
        <v>0</v>
      </c>
      <c r="F575" s="347">
        <v>0</v>
      </c>
      <c r="G575" s="347">
        <v>0</v>
      </c>
      <c r="H575" s="347">
        <v>0</v>
      </c>
      <c r="I575" s="347">
        <v>0</v>
      </c>
      <c r="J575" s="347">
        <v>0</v>
      </c>
      <c r="K575" s="347">
        <v>0</v>
      </c>
      <c r="L575" s="347">
        <v>0</v>
      </c>
      <c r="M575" s="347">
        <v>0</v>
      </c>
      <c r="N575" s="347">
        <v>0</v>
      </c>
      <c r="O575" s="347">
        <v>0</v>
      </c>
      <c r="P575" s="347">
        <v>0</v>
      </c>
      <c r="Q575" s="347">
        <v>0</v>
      </c>
      <c r="R575" s="347">
        <v>0</v>
      </c>
      <c r="S575" s="347">
        <v>0</v>
      </c>
      <c r="T575" s="347">
        <v>0</v>
      </c>
      <c r="U575" s="347">
        <v>0</v>
      </c>
      <c r="V575" s="347">
        <v>0</v>
      </c>
      <c r="W575" s="347">
        <v>0</v>
      </c>
    </row>
    <row r="576" spans="1:23" x14ac:dyDescent="0.2">
      <c r="A576" s="290" t="s">
        <v>197</v>
      </c>
      <c r="B576" s="309"/>
      <c r="C576" s="283"/>
      <c r="D576" s="347">
        <v>0</v>
      </c>
      <c r="E576" s="347">
        <v>0</v>
      </c>
      <c r="F576" s="347">
        <v>0</v>
      </c>
      <c r="G576" s="347">
        <v>0</v>
      </c>
      <c r="H576" s="347">
        <v>0</v>
      </c>
      <c r="I576" s="347">
        <v>0</v>
      </c>
      <c r="J576" s="347">
        <v>0</v>
      </c>
      <c r="K576" s="347">
        <v>0</v>
      </c>
      <c r="L576" s="347">
        <v>0</v>
      </c>
      <c r="M576" s="347">
        <v>0</v>
      </c>
      <c r="N576" s="347">
        <v>0</v>
      </c>
      <c r="O576" s="347">
        <v>0</v>
      </c>
      <c r="P576" s="347">
        <v>0</v>
      </c>
      <c r="Q576" s="347">
        <v>0</v>
      </c>
      <c r="R576" s="347">
        <v>0</v>
      </c>
      <c r="S576" s="347">
        <v>0</v>
      </c>
      <c r="T576" s="347">
        <v>0</v>
      </c>
      <c r="U576" s="347">
        <v>0</v>
      </c>
      <c r="V576" s="347">
        <v>0</v>
      </c>
      <c r="W576" s="347">
        <v>0</v>
      </c>
    </row>
    <row r="577" spans="1:23" x14ac:dyDescent="0.2">
      <c r="A577" s="290" t="s">
        <v>198</v>
      </c>
      <c r="B577" s="309"/>
      <c r="C577" s="283"/>
      <c r="D577" s="348">
        <v>0</v>
      </c>
      <c r="E577" s="348">
        <v>0</v>
      </c>
      <c r="F577" s="348">
        <v>0</v>
      </c>
      <c r="G577" s="348">
        <v>0</v>
      </c>
      <c r="H577" s="348">
        <v>0</v>
      </c>
      <c r="I577" s="348">
        <v>0</v>
      </c>
      <c r="J577" s="348">
        <v>0</v>
      </c>
      <c r="K577" s="348">
        <v>0</v>
      </c>
      <c r="L577" s="348">
        <v>0</v>
      </c>
      <c r="M577" s="348">
        <v>0</v>
      </c>
      <c r="N577" s="348">
        <v>0</v>
      </c>
      <c r="O577" s="348">
        <v>0</v>
      </c>
      <c r="P577" s="348">
        <v>0</v>
      </c>
      <c r="Q577" s="348">
        <v>0</v>
      </c>
      <c r="R577" s="348">
        <v>0</v>
      </c>
      <c r="S577" s="348">
        <v>0</v>
      </c>
      <c r="T577" s="348">
        <v>0</v>
      </c>
      <c r="U577" s="348">
        <v>0</v>
      </c>
      <c r="V577" s="348">
        <v>0</v>
      </c>
      <c r="W577" s="348">
        <v>0</v>
      </c>
    </row>
    <row r="578" spans="1:23" ht="13.5" thickBot="1" x14ac:dyDescent="0.25">
      <c r="A578" s="290" t="s">
        <v>199</v>
      </c>
      <c r="B578" s="309"/>
      <c r="C578" s="283"/>
      <c r="D578" s="349">
        <v>0</v>
      </c>
      <c r="E578" s="349">
        <v>0</v>
      </c>
      <c r="F578" s="349">
        <v>0</v>
      </c>
      <c r="G578" s="349">
        <v>0</v>
      </c>
      <c r="H578" s="349">
        <v>0</v>
      </c>
      <c r="I578" s="349">
        <v>0</v>
      </c>
      <c r="J578" s="349">
        <v>0</v>
      </c>
      <c r="K578" s="349">
        <v>0</v>
      </c>
      <c r="L578" s="349">
        <v>0</v>
      </c>
      <c r="M578" s="349">
        <v>0</v>
      </c>
      <c r="N578" s="349">
        <v>0</v>
      </c>
      <c r="O578" s="349">
        <v>0</v>
      </c>
      <c r="P578" s="349">
        <v>0</v>
      </c>
      <c r="Q578" s="349">
        <v>0</v>
      </c>
      <c r="R578" s="349">
        <v>0</v>
      </c>
      <c r="S578" s="349">
        <v>0</v>
      </c>
      <c r="T578" s="349">
        <v>0</v>
      </c>
      <c r="U578" s="349">
        <v>0</v>
      </c>
      <c r="V578" s="349">
        <v>0</v>
      </c>
      <c r="W578" s="349">
        <v>0</v>
      </c>
    </row>
    <row r="579" spans="1:23" ht="13.5" thickTop="1" x14ac:dyDescent="0.2">
      <c r="A579" s="290"/>
      <c r="B579" s="309"/>
      <c r="C579" s="283"/>
      <c r="D579" s="347"/>
      <c r="E579" s="347"/>
      <c r="F579" s="347"/>
      <c r="G579" s="347"/>
      <c r="H579" s="347"/>
      <c r="I579" s="347"/>
      <c r="J579" s="347"/>
      <c r="K579" s="347"/>
      <c r="L579" s="347"/>
      <c r="M579" s="347"/>
      <c r="N579" s="347"/>
      <c r="O579" s="347"/>
      <c r="P579" s="347"/>
      <c r="Q579" s="347"/>
      <c r="R579" s="347"/>
      <c r="S579" s="347"/>
      <c r="T579" s="347"/>
      <c r="U579" s="347"/>
      <c r="V579" s="347"/>
      <c r="W579" s="347"/>
    </row>
    <row r="580" spans="1:23" x14ac:dyDescent="0.2">
      <c r="A580" s="290" t="s">
        <v>200</v>
      </c>
      <c r="B580" s="309"/>
      <c r="C580" s="283"/>
      <c r="D580" s="347">
        <v>0</v>
      </c>
      <c r="E580" s="347">
        <v>0</v>
      </c>
      <c r="F580" s="347">
        <v>0</v>
      </c>
      <c r="G580" s="347">
        <v>0</v>
      </c>
      <c r="H580" s="347">
        <v>0</v>
      </c>
      <c r="I580" s="347">
        <v>0</v>
      </c>
      <c r="J580" s="347">
        <v>0</v>
      </c>
      <c r="K580" s="347">
        <v>0</v>
      </c>
      <c r="L580" s="347">
        <v>0</v>
      </c>
      <c r="M580" s="347">
        <v>0</v>
      </c>
      <c r="N580" s="347">
        <v>0</v>
      </c>
      <c r="O580" s="347">
        <v>0</v>
      </c>
      <c r="P580" s="347">
        <v>0</v>
      </c>
      <c r="Q580" s="347">
        <v>0</v>
      </c>
      <c r="R580" s="347">
        <v>0</v>
      </c>
      <c r="S580" s="347">
        <v>0</v>
      </c>
      <c r="T580" s="347">
        <v>0</v>
      </c>
      <c r="U580" s="347">
        <v>0</v>
      </c>
      <c r="V580" s="347">
        <v>0</v>
      </c>
      <c r="W580" s="347">
        <v>0</v>
      </c>
    </row>
    <row r="581" spans="1:23" x14ac:dyDescent="0.2">
      <c r="A581" s="290"/>
      <c r="B581" s="309"/>
      <c r="C581" s="283"/>
      <c r="D581" s="283"/>
      <c r="E581" s="283"/>
      <c r="F581" s="283"/>
      <c r="G581" s="283"/>
      <c r="H581" s="283"/>
      <c r="I581" s="283"/>
      <c r="J581" s="283"/>
      <c r="K581" s="283"/>
      <c r="L581" s="283"/>
      <c r="M581" s="283"/>
      <c r="N581" s="283"/>
      <c r="O581" s="283"/>
      <c r="P581" s="283"/>
      <c r="Q581" s="283"/>
      <c r="R581" s="283"/>
      <c r="S581" s="283"/>
      <c r="T581" s="283"/>
      <c r="U581" s="283"/>
      <c r="V581" s="283"/>
      <c r="W581" s="283"/>
    </row>
    <row r="582" spans="1:23" x14ac:dyDescent="0.2">
      <c r="A582" s="290" t="s">
        <v>201</v>
      </c>
      <c r="B582" s="309"/>
      <c r="C582" s="283"/>
      <c r="D582" s="347">
        <v>0</v>
      </c>
      <c r="E582" s="347">
        <v>0</v>
      </c>
      <c r="F582" s="347">
        <v>0</v>
      </c>
      <c r="G582" s="347">
        <v>0</v>
      </c>
      <c r="H582" s="347">
        <v>0</v>
      </c>
      <c r="I582" s="347">
        <v>0</v>
      </c>
      <c r="J582" s="347">
        <v>0</v>
      </c>
      <c r="K582" s="347">
        <v>0</v>
      </c>
      <c r="L582" s="347">
        <v>0</v>
      </c>
      <c r="M582" s="347">
        <v>0</v>
      </c>
      <c r="N582" s="347">
        <v>0</v>
      </c>
      <c r="O582" s="347">
        <v>0</v>
      </c>
      <c r="P582" s="347">
        <v>0</v>
      </c>
      <c r="Q582" s="347">
        <v>0</v>
      </c>
      <c r="R582" s="347">
        <v>0</v>
      </c>
      <c r="S582" s="347">
        <v>0</v>
      </c>
      <c r="T582" s="347">
        <v>0</v>
      </c>
      <c r="U582" s="347">
        <v>0</v>
      </c>
      <c r="V582" s="347">
        <v>0</v>
      </c>
      <c r="W582" s="347">
        <v>0</v>
      </c>
    </row>
    <row r="583" spans="1:23" x14ac:dyDescent="0.2">
      <c r="A583" s="283"/>
      <c r="B583" s="309"/>
      <c r="C583" s="283"/>
      <c r="D583" s="283"/>
      <c r="E583" s="283"/>
      <c r="F583" s="283"/>
      <c r="G583" s="283"/>
      <c r="H583" s="283"/>
      <c r="I583" s="283"/>
      <c r="J583" s="283"/>
      <c r="K583" s="283"/>
      <c r="L583" s="283"/>
      <c r="M583" s="283"/>
      <c r="N583" s="283"/>
      <c r="O583" s="283"/>
      <c r="P583" s="283"/>
      <c r="Q583" s="283"/>
      <c r="R583" s="283"/>
      <c r="S583" s="283"/>
      <c r="T583" s="283"/>
      <c r="U583" s="283"/>
      <c r="V583" s="283"/>
      <c r="W583" s="283"/>
    </row>
    <row r="584" spans="1:23" x14ac:dyDescent="0.2">
      <c r="A584" s="283"/>
      <c r="B584" s="309"/>
      <c r="C584" s="283"/>
      <c r="D584" s="283"/>
      <c r="E584" s="283"/>
      <c r="F584" s="283"/>
      <c r="G584" s="283"/>
      <c r="H584" s="283"/>
      <c r="I584" s="283"/>
      <c r="J584" s="283"/>
      <c r="K584" s="283"/>
      <c r="L584" s="283"/>
      <c r="M584" s="283"/>
      <c r="N584" s="283"/>
      <c r="O584" s="283"/>
      <c r="P584" s="283"/>
      <c r="Q584" s="283"/>
      <c r="R584" s="283"/>
      <c r="S584" s="283"/>
      <c r="T584" s="283"/>
      <c r="U584" s="283"/>
      <c r="V584" s="283"/>
      <c r="W584" s="283"/>
    </row>
    <row r="585" spans="1:23" x14ac:dyDescent="0.2">
      <c r="A585" s="290" t="s">
        <v>203</v>
      </c>
      <c r="B585" s="285"/>
      <c r="C585" s="284"/>
      <c r="D585" s="441">
        <v>6095496.9021198377</v>
      </c>
      <c r="E585" s="441">
        <v>4409795.9162978232</v>
      </c>
      <c r="F585" s="441">
        <v>2150466.1980482833</v>
      </c>
      <c r="G585" s="441">
        <v>2739709.5073114363</v>
      </c>
      <c r="H585" s="441">
        <v>2039525.3383418708</v>
      </c>
      <c r="I585" s="441">
        <v>2736034.2859363817</v>
      </c>
      <c r="J585" s="441">
        <v>2143288.0032449313</v>
      </c>
      <c r="K585" s="441">
        <v>2534115.0059409402</v>
      </c>
      <c r="L585" s="441">
        <v>2407125.612808452</v>
      </c>
      <c r="M585" s="441">
        <v>2489849.1917181751</v>
      </c>
      <c r="N585" s="441">
        <v>2274901.3144103163</v>
      </c>
      <c r="O585" s="441">
        <v>2165214.4644676587</v>
      </c>
      <c r="P585" s="441">
        <v>2311373.6709888037</v>
      </c>
      <c r="Q585" s="441">
        <v>2441289.6218688129</v>
      </c>
      <c r="R585" s="441">
        <v>2715492.5502995388</v>
      </c>
      <c r="S585" s="441">
        <v>2221370.7420604322</v>
      </c>
      <c r="T585" s="441">
        <v>2543543.545687688</v>
      </c>
      <c r="U585" s="441">
        <v>3068315.8798553748</v>
      </c>
      <c r="V585" s="441">
        <v>4406283.0670742793</v>
      </c>
      <c r="W585" s="441">
        <v>16367672.994778875</v>
      </c>
    </row>
    <row r="586" spans="1:23" x14ac:dyDescent="0.2">
      <c r="A586" s="9"/>
      <c r="B586" s="6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 x14ac:dyDescent="0.2">
      <c r="B587" s="356"/>
      <c r="C587" s="359"/>
      <c r="D587" s="359"/>
      <c r="E587" s="359"/>
      <c r="F587" s="359"/>
      <c r="G587" s="359"/>
      <c r="H587" s="359"/>
      <c r="I587" s="359"/>
      <c r="J587" s="359"/>
      <c r="K587" s="359"/>
      <c r="L587" s="359"/>
      <c r="M587" s="359"/>
      <c r="N587" s="359"/>
      <c r="O587" s="359"/>
      <c r="P587" s="359"/>
      <c r="Q587" s="359"/>
      <c r="R587" s="359"/>
      <c r="S587" s="359"/>
      <c r="T587" s="359"/>
      <c r="U587" s="359"/>
      <c r="V587" s="359"/>
      <c r="W587" s="300"/>
    </row>
    <row r="588" spans="1:23" x14ac:dyDescent="0.2">
      <c r="B588" s="354"/>
      <c r="C588" s="355"/>
      <c r="D588" s="355"/>
      <c r="E588" s="355"/>
      <c r="F588" s="355"/>
      <c r="G588" s="355"/>
      <c r="H588" s="355"/>
      <c r="I588" s="355"/>
      <c r="J588" s="355"/>
      <c r="K588" s="355"/>
      <c r="L588" s="355"/>
      <c r="M588" s="355"/>
      <c r="N588" s="355"/>
      <c r="O588" s="355"/>
      <c r="P588" s="355"/>
      <c r="Q588" s="355"/>
      <c r="R588" s="355"/>
      <c r="S588" s="355"/>
      <c r="T588" s="355"/>
      <c r="U588" s="355"/>
      <c r="V588" s="355"/>
      <c r="W588" s="300"/>
    </row>
    <row r="589" spans="1:23" x14ac:dyDescent="0.2">
      <c r="B589" s="354"/>
      <c r="C589" s="355"/>
      <c r="D589" s="355"/>
      <c r="E589" s="355"/>
      <c r="F589" s="355"/>
      <c r="G589" s="355"/>
      <c r="H589" s="355"/>
      <c r="I589" s="355"/>
      <c r="J589" s="355"/>
      <c r="K589" s="355"/>
      <c r="L589" s="355"/>
      <c r="M589" s="355"/>
      <c r="N589" s="355"/>
      <c r="O589" s="355"/>
      <c r="P589" s="355"/>
      <c r="Q589" s="355"/>
      <c r="R589" s="355"/>
      <c r="S589" s="355"/>
      <c r="T589" s="355"/>
      <c r="U589" s="355"/>
      <c r="V589" s="355"/>
      <c r="W589" s="300"/>
    </row>
    <row r="590" spans="1:23" x14ac:dyDescent="0.2">
      <c r="B590" s="356"/>
      <c r="C590" s="359"/>
      <c r="D590" s="359"/>
      <c r="E590" s="359"/>
      <c r="F590" s="359"/>
      <c r="G590" s="359"/>
      <c r="H590" s="359"/>
      <c r="I590" s="359"/>
      <c r="J590" s="359"/>
      <c r="K590" s="359"/>
      <c r="L590" s="359"/>
      <c r="M590" s="359"/>
      <c r="N590" s="359"/>
      <c r="O590" s="359"/>
      <c r="P590" s="359"/>
      <c r="Q590" s="359"/>
      <c r="R590" s="359"/>
      <c r="S590" s="359"/>
      <c r="T590" s="359"/>
      <c r="U590" s="359"/>
      <c r="V590" s="359"/>
      <c r="W590" s="300"/>
    </row>
    <row r="591" spans="1:23" x14ac:dyDescent="0.2">
      <c r="B591" s="354"/>
      <c r="C591" s="355"/>
      <c r="D591" s="355"/>
      <c r="E591" s="355"/>
      <c r="F591" s="355"/>
      <c r="G591" s="355"/>
      <c r="H591" s="355"/>
      <c r="I591" s="355"/>
      <c r="J591" s="355"/>
      <c r="K591" s="355"/>
      <c r="L591" s="355"/>
      <c r="M591" s="355"/>
      <c r="N591" s="355"/>
      <c r="O591" s="355"/>
      <c r="P591" s="355"/>
      <c r="Q591" s="355"/>
      <c r="R591" s="355"/>
      <c r="S591" s="355"/>
      <c r="T591" s="355"/>
      <c r="U591" s="355"/>
      <c r="V591" s="355"/>
      <c r="W591" s="300"/>
    </row>
    <row r="592" spans="1:23" x14ac:dyDescent="0.2">
      <c r="B592" s="354"/>
      <c r="C592" s="355"/>
      <c r="D592" s="355"/>
      <c r="E592" s="355"/>
      <c r="F592" s="355"/>
      <c r="G592" s="355"/>
      <c r="H592" s="355"/>
      <c r="I592" s="355"/>
      <c r="J592" s="355"/>
      <c r="K592" s="355"/>
      <c r="L592" s="355"/>
      <c r="M592" s="355"/>
      <c r="N592" s="355"/>
      <c r="O592" s="355"/>
      <c r="P592" s="355"/>
      <c r="Q592" s="355"/>
      <c r="R592" s="355"/>
      <c r="S592" s="355"/>
      <c r="T592" s="355"/>
      <c r="U592" s="355"/>
      <c r="V592" s="355"/>
      <c r="W592" s="300"/>
    </row>
    <row r="593" spans="1:23" x14ac:dyDescent="0.2">
      <c r="B593" s="354"/>
      <c r="C593" s="355"/>
      <c r="D593" s="355"/>
      <c r="E593" s="355"/>
      <c r="F593" s="355"/>
      <c r="G593" s="355"/>
      <c r="H593" s="355"/>
      <c r="I593" s="355"/>
      <c r="J593" s="355"/>
      <c r="K593" s="355"/>
      <c r="L593" s="355"/>
      <c r="M593" s="355"/>
      <c r="N593" s="355"/>
      <c r="O593" s="355"/>
      <c r="P593" s="355"/>
      <c r="Q593" s="355"/>
      <c r="R593" s="355"/>
      <c r="S593" s="355"/>
      <c r="T593" s="355"/>
      <c r="U593" s="355"/>
      <c r="V593" s="355"/>
      <c r="W593" s="300"/>
    </row>
    <row r="594" spans="1:23" ht="15.75" x14ac:dyDescent="0.25">
      <c r="A594" s="308" t="s">
        <v>29</v>
      </c>
      <c r="B594" s="311" t="s">
        <v>63</v>
      </c>
      <c r="C594" s="312">
        <v>2000</v>
      </c>
      <c r="D594" s="312">
        <v>2001</v>
      </c>
      <c r="E594" s="312">
        <v>2002</v>
      </c>
      <c r="F594" s="312">
        <v>2003</v>
      </c>
      <c r="G594" s="312">
        <v>2004</v>
      </c>
      <c r="H594" s="312">
        <v>2005</v>
      </c>
      <c r="I594" s="312">
        <v>2006</v>
      </c>
      <c r="J594" s="312">
        <v>2007</v>
      </c>
      <c r="K594" s="312">
        <v>2008</v>
      </c>
      <c r="L594" s="312">
        <v>2009</v>
      </c>
      <c r="M594" s="312">
        <v>2010</v>
      </c>
      <c r="N594" s="312">
        <v>2011</v>
      </c>
      <c r="O594" s="312">
        <v>2012</v>
      </c>
      <c r="P594" s="312">
        <v>2013</v>
      </c>
      <c r="Q594" s="312">
        <v>2014</v>
      </c>
      <c r="R594" s="312">
        <v>2015</v>
      </c>
      <c r="S594" s="312">
        <v>2016</v>
      </c>
      <c r="T594" s="312">
        <v>2017</v>
      </c>
      <c r="U594" s="312">
        <v>2018</v>
      </c>
      <c r="V594" s="312">
        <v>2019</v>
      </c>
      <c r="W594" s="312" t="s">
        <v>154</v>
      </c>
    </row>
    <row r="595" spans="1:23" x14ac:dyDescent="0.2">
      <c r="A595" s="308" t="s">
        <v>26</v>
      </c>
      <c r="B595" s="309">
        <v>163</v>
      </c>
      <c r="C595" s="314"/>
      <c r="D595" s="314"/>
      <c r="E595" s="314"/>
      <c r="F595" s="314"/>
      <c r="G595" s="314"/>
      <c r="H595" s="314"/>
      <c r="I595" s="314"/>
      <c r="J595" s="314"/>
      <c r="K595" s="314"/>
      <c r="L595" s="314"/>
      <c r="M595" s="314"/>
      <c r="N595" s="314"/>
      <c r="O595" s="314"/>
      <c r="P595" s="314"/>
      <c r="Q595" s="314"/>
      <c r="R595" s="314"/>
      <c r="S595" s="314"/>
      <c r="T595" s="314"/>
      <c r="U595" s="314"/>
      <c r="V595" s="314"/>
      <c r="W595" s="314"/>
    </row>
    <row r="596" spans="1:23" x14ac:dyDescent="0.2">
      <c r="A596" s="9"/>
      <c r="B596" s="315" t="s">
        <v>27</v>
      </c>
      <c r="C596" s="449">
        <v>0</v>
      </c>
      <c r="D596" s="410">
        <v>43104879.360176869</v>
      </c>
      <c r="E596" s="410">
        <v>42022501.559363514</v>
      </c>
      <c r="F596" s="410">
        <v>42099329.979225971</v>
      </c>
      <c r="G596" s="410">
        <v>41008737.898672611</v>
      </c>
      <c r="H596" s="410">
        <v>40636943.702609971</v>
      </c>
      <c r="I596" s="410">
        <v>42903059.260826364</v>
      </c>
      <c r="J596" s="410">
        <v>46146161.009961814</v>
      </c>
      <c r="K596" s="410">
        <v>47388970.230297856</v>
      </c>
      <c r="L596" s="410">
        <v>48367526.24437803</v>
      </c>
      <c r="M596" s="410">
        <v>48541032.256841965</v>
      </c>
      <c r="N596" s="410">
        <v>49602138.235810198</v>
      </c>
      <c r="O596" s="410">
        <v>50138769.330066606</v>
      </c>
      <c r="P596" s="410">
        <v>50742107.688676454</v>
      </c>
      <c r="Q596" s="410">
        <v>52555540.72416608</v>
      </c>
      <c r="R596" s="410">
        <v>56262887.102531031</v>
      </c>
      <c r="S596" s="410">
        <v>55973385.511243939</v>
      </c>
      <c r="T596" s="410">
        <v>56733378.244798012</v>
      </c>
      <c r="U596" s="410">
        <v>59441911.511352383</v>
      </c>
      <c r="V596" s="410">
        <v>61223224.242960028</v>
      </c>
      <c r="W596" s="333"/>
    </row>
    <row r="597" spans="1:23" x14ac:dyDescent="0.2">
      <c r="A597" s="9"/>
      <c r="B597" s="315" t="s">
        <v>20</v>
      </c>
      <c r="C597" s="449">
        <v>0</v>
      </c>
      <c r="D597" s="410">
        <v>-13423427.574273519</v>
      </c>
      <c r="E597" s="410">
        <v>-13433967.0242313</v>
      </c>
      <c r="F597" s="410">
        <v>-13475753.843699517</v>
      </c>
      <c r="G597" s="410">
        <v>-13659613.936573016</v>
      </c>
      <c r="H597" s="410">
        <v>-13919762.526240392</v>
      </c>
      <c r="I597" s="410">
        <v>-14317007.879248643</v>
      </c>
      <c r="J597" s="410">
        <v>-14647235.725256795</v>
      </c>
      <c r="K597" s="410">
        <v>-14962175.245060869</v>
      </c>
      <c r="L597" s="410">
        <v>-15209846.129566982</v>
      </c>
      <c r="M597" s="410">
        <v>-15335210.404440453</v>
      </c>
      <c r="N597" s="410">
        <v>-15545170.084309837</v>
      </c>
      <c r="O597" s="410">
        <v>-15883551.704293502</v>
      </c>
      <c r="P597" s="410">
        <v>-16245375.424456758</v>
      </c>
      <c r="Q597" s="410">
        <v>-16591910.818415927</v>
      </c>
      <c r="R597" s="410">
        <v>-16828370.263705727</v>
      </c>
      <c r="S597" s="410">
        <v>-17173886.435917962</v>
      </c>
      <c r="T597" s="410">
        <v>-17566286.808489379</v>
      </c>
      <c r="U597" s="410">
        <v>-17997417.607444461</v>
      </c>
      <c r="V597" s="410">
        <v>-18442817.510856703</v>
      </c>
      <c r="W597" s="333"/>
    </row>
    <row r="598" spans="1:23" x14ac:dyDescent="0.2">
      <c r="A598" s="9"/>
      <c r="B598" s="315" t="s">
        <v>31</v>
      </c>
      <c r="C598" s="449">
        <v>0</v>
      </c>
      <c r="D598" s="410">
        <v>-639683.35455585713</v>
      </c>
      <c r="E598" s="410">
        <v>-643752.59584081592</v>
      </c>
      <c r="F598" s="410">
        <v>-647545.07825335814</v>
      </c>
      <c r="G598" s="410">
        <v>-651040.64879356569</v>
      </c>
      <c r="H598" s="410">
        <v>-654218.15644828544</v>
      </c>
      <c r="I598" s="410">
        <v>-661155.7882874466</v>
      </c>
      <c r="J598" s="410">
        <v>-674500.79187912401</v>
      </c>
      <c r="K598" s="410">
        <v>-688115.15576986689</v>
      </c>
      <c r="L598" s="410">
        <v>-702004.31682375795</v>
      </c>
      <c r="M598" s="410">
        <v>-716173.82164447836</v>
      </c>
      <c r="N598" s="410">
        <v>-730629.32879033068</v>
      </c>
      <c r="O598" s="410">
        <v>-745376.61103397177</v>
      </c>
      <c r="P598" s="410">
        <v>-760421.55766775401</v>
      </c>
      <c r="Q598" s="410">
        <v>-775770.17685560149</v>
      </c>
      <c r="R598" s="410">
        <v>-791428.59803235636</v>
      </c>
      <c r="S598" s="410">
        <v>-807403.07435155381</v>
      </c>
      <c r="T598" s="410">
        <v>-823699.98518260347</v>
      </c>
      <c r="U598" s="410">
        <v>-840325.83865837706</v>
      </c>
      <c r="V598" s="410">
        <v>-857287.27427421394</v>
      </c>
      <c r="W598" s="333"/>
    </row>
    <row r="599" spans="1:23" x14ac:dyDescent="0.2">
      <c r="A599" s="9"/>
      <c r="B599" s="315" t="s">
        <v>32</v>
      </c>
      <c r="C599" s="449">
        <v>0</v>
      </c>
      <c r="D599" s="410">
        <v>0</v>
      </c>
      <c r="E599" s="410">
        <v>0</v>
      </c>
      <c r="F599" s="410">
        <v>0</v>
      </c>
      <c r="G599" s="410">
        <v>0</v>
      </c>
      <c r="H599" s="410">
        <v>0</v>
      </c>
      <c r="I599" s="410">
        <v>-344706.16906366521</v>
      </c>
      <c r="J599" s="410">
        <v>-382079.25191475009</v>
      </c>
      <c r="K599" s="410">
        <v>-508992.73960604565</v>
      </c>
      <c r="L599" s="410">
        <v>-463070.39017224428</v>
      </c>
      <c r="M599" s="410">
        <v>-515005.47116931248</v>
      </c>
      <c r="N599" s="410">
        <v>-567317.47314363625</v>
      </c>
      <c r="O599" s="410">
        <v>-628570.75155097712</v>
      </c>
      <c r="P599" s="410">
        <v>-704793.16413956275</v>
      </c>
      <c r="Q599" s="410">
        <v>-784544.77255908912</v>
      </c>
      <c r="R599" s="410">
        <v>-869035.94343131734</v>
      </c>
      <c r="S599" s="410">
        <v>-954200.39718144387</v>
      </c>
      <c r="T599" s="410">
        <v>-937455.37071894668</v>
      </c>
      <c r="U599" s="410">
        <v>-802043.77428272925</v>
      </c>
      <c r="V599" s="410">
        <v>-831571.41963208467</v>
      </c>
      <c r="W599" s="333"/>
    </row>
    <row r="600" spans="1:23" ht="13.5" thickBot="1" x14ac:dyDescent="0.25">
      <c r="A600" s="9"/>
      <c r="B600" s="316" t="s">
        <v>33</v>
      </c>
      <c r="C600" s="450">
        <v>0</v>
      </c>
      <c r="D600" s="412">
        <v>0</v>
      </c>
      <c r="E600" s="412">
        <v>0</v>
      </c>
      <c r="F600" s="412">
        <v>-755101.50722669205</v>
      </c>
      <c r="G600" s="412">
        <v>-634068.70917067351</v>
      </c>
      <c r="H600" s="412">
        <v>-648375.59689769929</v>
      </c>
      <c r="I600" s="412">
        <v>-667071.72565485991</v>
      </c>
      <c r="J600" s="412">
        <v>-875574.41978460411</v>
      </c>
      <c r="K600" s="412">
        <v>-764584.4731026513</v>
      </c>
      <c r="L600" s="412">
        <v>-809491.46503702272</v>
      </c>
      <c r="M600" s="412">
        <v>-770262.13166396029</v>
      </c>
      <c r="N600" s="412">
        <v>-792323.0739479363</v>
      </c>
      <c r="O600" s="412">
        <v>-812868.70213184552</v>
      </c>
      <c r="P600" s="412">
        <v>-726062.29654138954</v>
      </c>
      <c r="Q600" s="412">
        <v>-752022.42054659687</v>
      </c>
      <c r="R600" s="412">
        <v>-767563.25053936709</v>
      </c>
      <c r="S600" s="412">
        <v>-815098.2444234119</v>
      </c>
      <c r="T600" s="412">
        <v>-766276.8889887681</v>
      </c>
      <c r="U600" s="412">
        <v>-843959.77276034385</v>
      </c>
      <c r="V600" s="412">
        <v>-459494.36616006045</v>
      </c>
      <c r="W600" s="333"/>
    </row>
    <row r="601" spans="1:23" ht="13.5" thickTop="1" x14ac:dyDescent="0.2">
      <c r="A601" s="9"/>
      <c r="B601" s="317" t="s">
        <v>38</v>
      </c>
      <c r="C601" s="451">
        <v>0</v>
      </c>
      <c r="D601" s="414">
        <v>29041768.431347493</v>
      </c>
      <c r="E601" s="414">
        <v>27944781.939291399</v>
      </c>
      <c r="F601" s="414">
        <v>27220929.550046407</v>
      </c>
      <c r="G601" s="414">
        <v>26064014.604135357</v>
      </c>
      <c r="H601" s="414">
        <v>25414587.423023593</v>
      </c>
      <c r="I601" s="414">
        <v>26913117.698571753</v>
      </c>
      <c r="J601" s="414">
        <v>29566770.821126539</v>
      </c>
      <c r="K601" s="414">
        <v>30465102.616758425</v>
      </c>
      <c r="L601" s="414">
        <v>31183113.942778025</v>
      </c>
      <c r="M601" s="414">
        <v>31204380.427923761</v>
      </c>
      <c r="N601" s="414">
        <v>31966698.275618456</v>
      </c>
      <c r="O601" s="414">
        <v>32068401.561056308</v>
      </c>
      <c r="P601" s="414">
        <v>32305455.245870989</v>
      </c>
      <c r="Q601" s="414">
        <v>33651292.535788864</v>
      </c>
      <c r="R601" s="414">
        <v>37006489.046822257</v>
      </c>
      <c r="S601" s="414">
        <v>36222797.359369569</v>
      </c>
      <c r="T601" s="414">
        <v>36639659.191418312</v>
      </c>
      <c r="U601" s="414">
        <v>38958164.51820647</v>
      </c>
      <c r="V601" s="414">
        <v>40632053.672036968</v>
      </c>
      <c r="W601" s="333"/>
    </row>
    <row r="602" spans="1:23" x14ac:dyDescent="0.2">
      <c r="A602" s="9"/>
      <c r="B602" s="315" t="s">
        <v>34</v>
      </c>
      <c r="C602" s="449">
        <v>0</v>
      </c>
      <c r="D602" s="410">
        <v>-2719789.5337921353</v>
      </c>
      <c r="E602" s="410">
        <v>-2774185.324467978</v>
      </c>
      <c r="F602" s="410">
        <v>-2829669.0309573375</v>
      </c>
      <c r="G602" s="410">
        <v>-2886262.4115764843</v>
      </c>
      <c r="H602" s="410">
        <v>-2943987.6598080141</v>
      </c>
      <c r="I602" s="410">
        <v>-3002867.4130041744</v>
      </c>
      <c r="J602" s="410">
        <v>-3062924.7612642581</v>
      </c>
      <c r="K602" s="410">
        <v>-3124183.2564895432</v>
      </c>
      <c r="L602" s="410">
        <v>-3186666.9216193343</v>
      </c>
      <c r="M602" s="410">
        <v>-3250400.2600517208</v>
      </c>
      <c r="N602" s="410">
        <v>-3315408.265252755</v>
      </c>
      <c r="O602" s="410">
        <v>-3381716.4305578102</v>
      </c>
      <c r="P602" s="410">
        <v>-3449350.7591689667</v>
      </c>
      <c r="Q602" s="410">
        <v>-3518337.7743523461</v>
      </c>
      <c r="R602" s="410">
        <v>-3588704.5298393932</v>
      </c>
      <c r="S602" s="410">
        <v>-3660478.6204361813</v>
      </c>
      <c r="T602" s="410">
        <v>-3733688.192844905</v>
      </c>
      <c r="U602" s="410">
        <v>-3808361.956701803</v>
      </c>
      <c r="V602" s="410">
        <v>-3884529.195835839</v>
      </c>
      <c r="W602" s="333"/>
    </row>
    <row r="603" spans="1:23" x14ac:dyDescent="0.2">
      <c r="A603" s="9"/>
      <c r="B603" s="315" t="s">
        <v>35</v>
      </c>
      <c r="C603" s="449">
        <v>0</v>
      </c>
      <c r="D603" s="410">
        <v>-408315.87348898494</v>
      </c>
      <c r="E603" s="410">
        <v>-417397.215776205</v>
      </c>
      <c r="F603" s="410">
        <v>-426677.43945951521</v>
      </c>
      <c r="G603" s="410">
        <v>-445393.60991703469</v>
      </c>
      <c r="H603" s="410">
        <v>-502785.0734297476</v>
      </c>
      <c r="I603" s="410">
        <v>-638437.90786963713</v>
      </c>
      <c r="J603" s="410">
        <v>-708139.9737642681</v>
      </c>
      <c r="K603" s="410">
        <v>-779539.64570515463</v>
      </c>
      <c r="L603" s="410">
        <v>-852788.96295934892</v>
      </c>
      <c r="M603" s="410">
        <v>-895780.2172534219</v>
      </c>
      <c r="N603" s="410">
        <v>-907042.90971450391</v>
      </c>
      <c r="O603" s="410">
        <v>-918589.42202560499</v>
      </c>
      <c r="P603" s="410">
        <v>-930429.21574940812</v>
      </c>
      <c r="Q603" s="410">
        <v>-942565.00431630621</v>
      </c>
      <c r="R603" s="410">
        <v>-955005.40117623354</v>
      </c>
      <c r="S603" s="410">
        <v>-967756.80795765901</v>
      </c>
      <c r="T603" s="410">
        <v>-980824.4496272637</v>
      </c>
      <c r="U603" s="410">
        <v>-994220.08910277579</v>
      </c>
      <c r="V603" s="410">
        <v>-1007951.959129123</v>
      </c>
      <c r="W603" s="333"/>
    </row>
    <row r="604" spans="1:23" ht="13.5" thickBot="1" x14ac:dyDescent="0.25">
      <c r="A604" s="9"/>
      <c r="B604" s="316" t="s">
        <v>36</v>
      </c>
      <c r="C604" s="450">
        <v>0</v>
      </c>
      <c r="D604" s="412">
        <v>-457195.00152146001</v>
      </c>
      <c r="E604" s="412">
        <v>-466841.81605356501</v>
      </c>
      <c r="F604" s="412">
        <v>-477065.65182513901</v>
      </c>
      <c r="G604" s="412">
        <v>-487847.33555638301</v>
      </c>
      <c r="H604" s="412">
        <v>-499458.10214262601</v>
      </c>
      <c r="I604" s="412">
        <v>-511974.57239374099</v>
      </c>
      <c r="J604" s="412">
        <v>-524672.96808455302</v>
      </c>
      <c r="K604" s="412">
        <v>-537953.52518239501</v>
      </c>
      <c r="L604" s="412">
        <v>-551240.97725440096</v>
      </c>
      <c r="M604" s="412">
        <v>-565297.62217438605</v>
      </c>
      <c r="N604" s="412">
        <v>-578977.82463100902</v>
      </c>
      <c r="O604" s="412">
        <v>-593568.06581170904</v>
      </c>
      <c r="P604" s="412">
        <v>-608644.69468332501</v>
      </c>
      <c r="Q604" s="412">
        <v>-623860.81205040799</v>
      </c>
      <c r="R604" s="412">
        <v>-639519.71843287302</v>
      </c>
      <c r="S604" s="412">
        <v>-655507.71139369602</v>
      </c>
      <c r="T604" s="412">
        <v>-671764.302636259</v>
      </c>
      <c r="U604" s="412">
        <v>-688625.58663242997</v>
      </c>
      <c r="V604" s="412">
        <v>-705910.08885690395</v>
      </c>
      <c r="W604" s="333"/>
    </row>
    <row r="605" spans="1:23" ht="13.5" thickTop="1" x14ac:dyDescent="0.2">
      <c r="A605" s="9"/>
      <c r="B605" s="317" t="s">
        <v>221</v>
      </c>
      <c r="C605" s="452">
        <v>0</v>
      </c>
      <c r="D605" s="416">
        <v>25456468.022544913</v>
      </c>
      <c r="E605" s="416">
        <v>24286357.582993649</v>
      </c>
      <c r="F605" s="416">
        <v>23487517.427804418</v>
      </c>
      <c r="G605" s="416">
        <v>22244511.247085456</v>
      </c>
      <c r="H605" s="416">
        <v>21468356.587643206</v>
      </c>
      <c r="I605" s="416">
        <v>22759837.805304199</v>
      </c>
      <c r="J605" s="416">
        <v>25271033.118013464</v>
      </c>
      <c r="K605" s="416">
        <v>26023426.189381331</v>
      </c>
      <c r="L605" s="416">
        <v>26592417.08094494</v>
      </c>
      <c r="M605" s="416">
        <v>26492902.328444235</v>
      </c>
      <c r="N605" s="416">
        <v>27165269.276020188</v>
      </c>
      <c r="O605" s="416">
        <v>27174527.642661184</v>
      </c>
      <c r="P605" s="416">
        <v>27317030.576269288</v>
      </c>
      <c r="Q605" s="416">
        <v>28566528.945069801</v>
      </c>
      <c r="R605" s="416">
        <v>31823259.397373758</v>
      </c>
      <c r="S605" s="416">
        <v>30939054.219582032</v>
      </c>
      <c r="T605" s="416">
        <v>31253382.246309884</v>
      </c>
      <c r="U605" s="416">
        <v>33466956.885769464</v>
      </c>
      <c r="V605" s="416">
        <v>35033662.428215101</v>
      </c>
      <c r="W605" s="333"/>
    </row>
    <row r="606" spans="1:23" x14ac:dyDescent="0.2">
      <c r="A606" s="9"/>
      <c r="B606" s="315" t="s">
        <v>37</v>
      </c>
      <c r="C606" s="449">
        <v>0</v>
      </c>
      <c r="D606" s="410">
        <v>-1428845.3279176957</v>
      </c>
      <c r="E606" s="410">
        <v>-1671845.0831347557</v>
      </c>
      <c r="F606" s="410">
        <v>-1950497.1869944339</v>
      </c>
      <c r="G606" s="410">
        <v>-1964377.6077388772</v>
      </c>
      <c r="H606" s="410">
        <v>-2015306.6968826358</v>
      </c>
      <c r="I606" s="410">
        <v>-2132269.9888610551</v>
      </c>
      <c r="J606" s="410">
        <v>-2247134.5676326104</v>
      </c>
      <c r="K606" s="410">
        <v>-2358781.2162485886</v>
      </c>
      <c r="L606" s="410">
        <v>-2469516.5066949418</v>
      </c>
      <c r="M606" s="410">
        <v>-2474024.0359973088</v>
      </c>
      <c r="N606" s="410">
        <v>-2482519.7033724068</v>
      </c>
      <c r="O606" s="410">
        <v>-2611566.7114531775</v>
      </c>
      <c r="P606" s="410">
        <v>-2432024.2573896032</v>
      </c>
      <c r="Q606" s="410">
        <v>-2256092.4522144105</v>
      </c>
      <c r="R606" s="410">
        <v>-2164328.9831308746</v>
      </c>
      <c r="S606" s="410">
        <v>-2076652.9016209238</v>
      </c>
      <c r="T606" s="410">
        <v>-2225302.9814516832</v>
      </c>
      <c r="U606" s="410">
        <v>-2378407.1169283935</v>
      </c>
      <c r="V606" s="410">
        <v>-2531167.5022307215</v>
      </c>
      <c r="W606" s="333"/>
    </row>
    <row r="607" spans="1:23" ht="13.5" thickBot="1" x14ac:dyDescent="0.25">
      <c r="A607" s="9"/>
      <c r="B607" s="316" t="s">
        <v>222</v>
      </c>
      <c r="C607" s="450">
        <v>0</v>
      </c>
      <c r="D607" s="412">
        <v>-9611049.0778508876</v>
      </c>
      <c r="E607" s="412">
        <v>-9045804.9999435581</v>
      </c>
      <c r="F607" s="412">
        <v>-8614808.0963239949</v>
      </c>
      <c r="G607" s="412">
        <v>-8112053.4557386311</v>
      </c>
      <c r="H607" s="412">
        <v>-7781219.9563042289</v>
      </c>
      <c r="I607" s="412">
        <v>-8251027.1265772581</v>
      </c>
      <c r="J607" s="412">
        <v>-9209559.4201523419</v>
      </c>
      <c r="K607" s="412">
        <v>-9465857.9892530981</v>
      </c>
      <c r="L607" s="412">
        <v>-9649160.2296999991</v>
      </c>
      <c r="M607" s="412">
        <v>-9607551.3169787712</v>
      </c>
      <c r="N607" s="412">
        <v>-9873099.8290591128</v>
      </c>
      <c r="O607" s="412">
        <v>-9825184.3724832032</v>
      </c>
      <c r="P607" s="412">
        <v>-9954002.5275518745</v>
      </c>
      <c r="Q607" s="412">
        <v>-10524174.597142158</v>
      </c>
      <c r="R607" s="412">
        <v>-11863572.165697154</v>
      </c>
      <c r="S607" s="412">
        <v>-11544960.527184444</v>
      </c>
      <c r="T607" s="412">
        <v>-11611231.705943281</v>
      </c>
      <c r="U607" s="412">
        <v>-12435419.907536428</v>
      </c>
      <c r="V607" s="412">
        <v>-13000997.970393753</v>
      </c>
      <c r="W607" s="333"/>
    </row>
    <row r="608" spans="1:23" ht="13.5" thickTop="1" x14ac:dyDescent="0.2">
      <c r="A608" s="9"/>
      <c r="B608" s="317" t="s">
        <v>183</v>
      </c>
      <c r="C608" s="452">
        <v>0</v>
      </c>
      <c r="D608" s="416">
        <v>14416573.61677633</v>
      </c>
      <c r="E608" s="416">
        <v>13568707.499915335</v>
      </c>
      <c r="F608" s="416">
        <v>12922212.14448599</v>
      </c>
      <c r="G608" s="416">
        <v>12168080.183607947</v>
      </c>
      <c r="H608" s="416">
        <v>11671829.934456341</v>
      </c>
      <c r="I608" s="416">
        <v>12376540.689865887</v>
      </c>
      <c r="J608" s="416">
        <v>13814339.13022851</v>
      </c>
      <c r="K608" s="416">
        <v>14198786.983879646</v>
      </c>
      <c r="L608" s="416">
        <v>14473740.344549999</v>
      </c>
      <c r="M608" s="416">
        <v>14411326.975468155</v>
      </c>
      <c r="N608" s="416">
        <v>14809649.743588667</v>
      </c>
      <c r="O608" s="416">
        <v>14737776.558724804</v>
      </c>
      <c r="P608" s="416">
        <v>14931003.791327812</v>
      </c>
      <c r="Q608" s="416">
        <v>15786261.895713234</v>
      </c>
      <c r="R608" s="416">
        <v>17795358.248545729</v>
      </c>
      <c r="S608" s="416">
        <v>17317440.790776663</v>
      </c>
      <c r="T608" s="416">
        <v>17416847.558914922</v>
      </c>
      <c r="U608" s="416">
        <v>18653129.861304641</v>
      </c>
      <c r="V608" s="416">
        <v>19501496.955590628</v>
      </c>
      <c r="W608" s="333"/>
    </row>
    <row r="609" spans="1:23" x14ac:dyDescent="0.2">
      <c r="A609" s="9"/>
      <c r="B609" s="315" t="s">
        <v>37</v>
      </c>
      <c r="C609" s="449">
        <v>0</v>
      </c>
      <c r="D609" s="410">
        <v>1428845.3279176957</v>
      </c>
      <c r="E609" s="410">
        <v>1671845.0831347557</v>
      </c>
      <c r="F609" s="410">
        <v>1950497.1869944339</v>
      </c>
      <c r="G609" s="410">
        <v>1964377.6077388772</v>
      </c>
      <c r="H609" s="410">
        <v>2015306.6968826358</v>
      </c>
      <c r="I609" s="410">
        <v>2132269.9888610551</v>
      </c>
      <c r="J609" s="410">
        <v>2247134.5676326104</v>
      </c>
      <c r="K609" s="410">
        <v>2358781.2162485886</v>
      </c>
      <c r="L609" s="410">
        <v>2469516.5066949418</v>
      </c>
      <c r="M609" s="410">
        <v>2474024.0359973088</v>
      </c>
      <c r="N609" s="410">
        <v>2482519.7033724068</v>
      </c>
      <c r="O609" s="410">
        <v>2611566.7114531775</v>
      </c>
      <c r="P609" s="410">
        <v>2432024.2573896032</v>
      </c>
      <c r="Q609" s="410">
        <v>2256092.4522144105</v>
      </c>
      <c r="R609" s="410">
        <v>2164328.9831308746</v>
      </c>
      <c r="S609" s="410">
        <v>2076652.9016209238</v>
      </c>
      <c r="T609" s="410">
        <v>2225302.9814516832</v>
      </c>
      <c r="U609" s="410">
        <v>2378407.1169283935</v>
      </c>
      <c r="V609" s="410">
        <v>2531167.5022307215</v>
      </c>
      <c r="W609" s="333"/>
    </row>
    <row r="610" spans="1:23" x14ac:dyDescent="0.2">
      <c r="A610" s="9"/>
      <c r="B610" s="315" t="s">
        <v>39</v>
      </c>
      <c r="C610" s="449">
        <v>0</v>
      </c>
      <c r="D610" s="410">
        <v>-627871.68000000005</v>
      </c>
      <c r="E610" s="410">
        <v>-7085452.5600000005</v>
      </c>
      <c r="F610" s="410">
        <v>-1209378.25</v>
      </c>
      <c r="G610" s="410">
        <v>-434627.63</v>
      </c>
      <c r="H610" s="410">
        <v>-2222979.2160000005</v>
      </c>
      <c r="I610" s="410">
        <v>-2289668.5924800006</v>
      </c>
      <c r="J610" s="410">
        <v>-2358358.6502544004</v>
      </c>
      <c r="K610" s="410">
        <v>-2429109.4097620323</v>
      </c>
      <c r="L610" s="410">
        <v>-2501982.6920548934</v>
      </c>
      <c r="M610" s="410">
        <v>-2577042.1728165401</v>
      </c>
      <c r="N610" s="410">
        <v>-2654353.4380010362</v>
      </c>
      <c r="O610" s="410">
        <v>-2733984.0411410672</v>
      </c>
      <c r="P610" s="410">
        <v>-2816003.5623752992</v>
      </c>
      <c r="Q610" s="410">
        <v>-2900483.6692465581</v>
      </c>
      <c r="R610" s="410">
        <v>-2987498.179323955</v>
      </c>
      <c r="S610" s="410">
        <v>-3077123.1247036736</v>
      </c>
      <c r="T610" s="410">
        <v>-3169436.8184447838</v>
      </c>
      <c r="U610" s="410">
        <v>-3264519.9229981275</v>
      </c>
      <c r="V610" s="410">
        <v>-3362455.5206880714</v>
      </c>
      <c r="W610" s="333"/>
    </row>
    <row r="611" spans="1:23" ht="13.5" thickBot="1" x14ac:dyDescent="0.25">
      <c r="A611" s="9"/>
      <c r="B611" s="316" t="s">
        <v>40</v>
      </c>
      <c r="C611" s="450">
        <v>0</v>
      </c>
      <c r="D611" s="412">
        <v>0</v>
      </c>
      <c r="E611" s="412">
        <v>0</v>
      </c>
      <c r="F611" s="412">
        <v>0</v>
      </c>
      <c r="G611" s="412">
        <v>0</v>
      </c>
      <c r="H611" s="412">
        <v>0</v>
      </c>
      <c r="I611" s="412">
        <v>0</v>
      </c>
      <c r="J611" s="412">
        <v>0</v>
      </c>
      <c r="K611" s="412">
        <v>0</v>
      </c>
      <c r="L611" s="412">
        <v>0</v>
      </c>
      <c r="M611" s="412">
        <v>0</v>
      </c>
      <c r="N611" s="412">
        <v>0</v>
      </c>
      <c r="O611" s="412">
        <v>0</v>
      </c>
      <c r="P611" s="412">
        <v>0</v>
      </c>
      <c r="Q611" s="412">
        <v>0</v>
      </c>
      <c r="R611" s="412">
        <v>0</v>
      </c>
      <c r="S611" s="412">
        <v>0</v>
      </c>
      <c r="T611" s="412">
        <v>0</v>
      </c>
      <c r="U611" s="412">
        <v>0</v>
      </c>
      <c r="V611" s="412">
        <v>0</v>
      </c>
      <c r="W611" s="333"/>
    </row>
    <row r="612" spans="1:23" ht="13.5" thickTop="1" x14ac:dyDescent="0.2">
      <c r="A612" s="9"/>
      <c r="B612" s="315"/>
      <c r="C612" s="453"/>
      <c r="D612" s="333"/>
      <c r="E612" s="333"/>
      <c r="F612" s="333"/>
      <c r="G612" s="333"/>
      <c r="H612" s="333"/>
      <c r="I612" s="333"/>
      <c r="J612" s="333"/>
      <c r="K612" s="333"/>
      <c r="L612" s="333"/>
      <c r="M612" s="333"/>
      <c r="N612" s="333"/>
      <c r="O612" s="333"/>
      <c r="P612" s="333"/>
      <c r="Q612" s="333"/>
      <c r="R612" s="333"/>
      <c r="S612" s="333"/>
      <c r="T612" s="333"/>
      <c r="U612" s="333"/>
      <c r="V612" s="333"/>
      <c r="W612" s="333"/>
    </row>
    <row r="613" spans="1:23" x14ac:dyDescent="0.2">
      <c r="A613" s="9"/>
      <c r="B613" s="317" t="s">
        <v>234</v>
      </c>
      <c r="C613" s="452">
        <v>0</v>
      </c>
      <c r="D613" s="416">
        <v>15217547.264694026</v>
      </c>
      <c r="E613" s="416">
        <v>8155100.0230500903</v>
      </c>
      <c r="F613" s="416">
        <v>13663331.081480423</v>
      </c>
      <c r="G613" s="416">
        <v>13697830.161346823</v>
      </c>
      <c r="H613" s="416">
        <v>11464157.415338976</v>
      </c>
      <c r="I613" s="416">
        <v>12219142.086246941</v>
      </c>
      <c r="J613" s="416">
        <v>13703115.04760672</v>
      </c>
      <c r="K613" s="416">
        <v>14128458.790366203</v>
      </c>
      <c r="L613" s="416">
        <v>14441274.159190048</v>
      </c>
      <c r="M613" s="416">
        <v>14308308.838648923</v>
      </c>
      <c r="N613" s="416">
        <v>14637816.008960038</v>
      </c>
      <c r="O613" s="416">
        <v>14615359.229036916</v>
      </c>
      <c r="P613" s="416">
        <v>14547024.486342117</v>
      </c>
      <c r="Q613" s="416">
        <v>15141870.678681087</v>
      </c>
      <c r="R613" s="416">
        <v>16972189.052352648</v>
      </c>
      <c r="S613" s="416">
        <v>16316970.567693913</v>
      </c>
      <c r="T613" s="416">
        <v>16472713.72192182</v>
      </c>
      <c r="U613" s="416">
        <v>17767017.055234909</v>
      </c>
      <c r="V613" s="416">
        <v>18670208.937133279</v>
      </c>
      <c r="W613" s="414">
        <v>97974802.107988834</v>
      </c>
    </row>
    <row r="614" spans="1:23" x14ac:dyDescent="0.2">
      <c r="A614" s="9"/>
      <c r="B614" s="292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x14ac:dyDescent="0.2">
      <c r="A615" s="308" t="s">
        <v>219</v>
      </c>
      <c r="B615" s="306" t="s">
        <v>170</v>
      </c>
      <c r="C615" s="439">
        <v>49622807.928234123</v>
      </c>
      <c r="D615" s="9"/>
      <c r="E615" s="137" t="s">
        <v>220</v>
      </c>
      <c r="F615" s="319" t="s">
        <v>170</v>
      </c>
      <c r="G615" s="443">
        <v>49622807.928234123</v>
      </c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x14ac:dyDescent="0.2">
      <c r="A616" s="9"/>
      <c r="B616" s="306" t="s">
        <v>180</v>
      </c>
      <c r="C616" s="439">
        <v>70554517.322886527</v>
      </c>
      <c r="D616" s="9"/>
      <c r="E616" s="321"/>
      <c r="F616" s="319" t="s">
        <v>180</v>
      </c>
      <c r="G616" s="443">
        <v>70554517.322886527</v>
      </c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ht="13.5" thickBot="1" x14ac:dyDescent="0.25">
      <c r="A617" s="9"/>
      <c r="B617" s="322" t="s">
        <v>137</v>
      </c>
      <c r="C617" s="440">
        <v>15274149.405066745</v>
      </c>
      <c r="D617" s="323"/>
      <c r="E617" s="321"/>
      <c r="F617" s="319" t="s">
        <v>137</v>
      </c>
      <c r="G617" s="443">
        <v>15274149.405066745</v>
      </c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ht="14.25" thickTop="1" thickBot="1" x14ac:dyDescent="0.25">
      <c r="A618" s="9"/>
      <c r="B618" s="306" t="s">
        <v>28</v>
      </c>
      <c r="C618" s="438">
        <v>135451474.65618744</v>
      </c>
      <c r="D618" s="305"/>
      <c r="E618" s="321"/>
      <c r="F618" s="324" t="s">
        <v>204</v>
      </c>
      <c r="G618" s="325">
        <v>0</v>
      </c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 ht="13.5" thickTop="1" x14ac:dyDescent="0.2">
      <c r="A619" s="9"/>
      <c r="B619" s="292"/>
      <c r="C619" s="326"/>
      <c r="D619" s="9"/>
      <c r="E619" s="327"/>
      <c r="F619" s="319" t="s">
        <v>28</v>
      </c>
      <c r="G619" s="368">
        <v>135451474.65618744</v>
      </c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 x14ac:dyDescent="0.2">
      <c r="A620" s="9"/>
      <c r="B620" s="292"/>
      <c r="C620" s="326"/>
      <c r="D620" s="9"/>
      <c r="E620" s="327"/>
      <c r="F620" s="319"/>
      <c r="G620" s="32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 x14ac:dyDescent="0.2">
      <c r="A621" s="9"/>
      <c r="B621" s="292"/>
      <c r="C621" s="326"/>
      <c r="D621" s="9"/>
      <c r="E621" s="327"/>
      <c r="F621" s="319"/>
      <c r="G621" s="32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x14ac:dyDescent="0.2">
      <c r="A622" s="9"/>
      <c r="B622" s="329" t="s">
        <v>223</v>
      </c>
      <c r="C622" s="326"/>
      <c r="D622" s="9"/>
      <c r="E622" s="327"/>
      <c r="F622" s="319"/>
      <c r="G622" s="32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x14ac:dyDescent="0.2">
      <c r="A623" s="330" t="s">
        <v>225</v>
      </c>
      <c r="B623" s="329" t="s">
        <v>224</v>
      </c>
      <c r="C623" s="331"/>
      <c r="D623" s="332">
        <v>14416573.61677633</v>
      </c>
      <c r="E623" s="332">
        <v>13568707.499915335</v>
      </c>
      <c r="F623" s="332">
        <v>12922212.14448599</v>
      </c>
      <c r="G623" s="332">
        <v>12168080.183607947</v>
      </c>
      <c r="H623" s="332">
        <v>11671829.934456341</v>
      </c>
      <c r="I623" s="332">
        <v>12376540.689865887</v>
      </c>
      <c r="J623" s="332">
        <v>13814339.13022851</v>
      </c>
      <c r="K623" s="332">
        <v>14198786.983879646</v>
      </c>
      <c r="L623" s="332">
        <v>14473740.344549999</v>
      </c>
      <c r="M623" s="332">
        <v>14411326.975468155</v>
      </c>
      <c r="N623" s="332">
        <v>14809649.743588667</v>
      </c>
      <c r="O623" s="332">
        <v>14737776.558724804</v>
      </c>
      <c r="P623" s="332">
        <v>14931003.791327812</v>
      </c>
      <c r="Q623" s="332">
        <v>15786261.895713234</v>
      </c>
      <c r="R623" s="332">
        <v>17795358.248545729</v>
      </c>
      <c r="S623" s="332">
        <v>17317440.790776663</v>
      </c>
      <c r="T623" s="332">
        <v>17416847.558914922</v>
      </c>
      <c r="U623" s="332">
        <v>18653129.861304641</v>
      </c>
      <c r="V623" s="332">
        <v>19501496.955590628</v>
      </c>
      <c r="W623" s="9"/>
    </row>
    <row r="624" spans="1:23" x14ac:dyDescent="0.2">
      <c r="A624" s="9"/>
      <c r="B624" s="292" t="s">
        <v>226</v>
      </c>
      <c r="C624" s="326"/>
      <c r="D624" s="333">
        <v>9611049.0778508876</v>
      </c>
      <c r="E624" s="333">
        <v>9045804.9999435581</v>
      </c>
      <c r="F624" s="333">
        <v>8614808.0963239949</v>
      </c>
      <c r="G624" s="333">
        <v>8112053.4557386311</v>
      </c>
      <c r="H624" s="333">
        <v>7781219.9563042289</v>
      </c>
      <c r="I624" s="333">
        <v>8251027.1265772581</v>
      </c>
      <c r="J624" s="333">
        <v>9209559.4201523419</v>
      </c>
      <c r="K624" s="333">
        <v>9465857.9892530981</v>
      </c>
      <c r="L624" s="333">
        <v>9649160.2296999991</v>
      </c>
      <c r="M624" s="333">
        <v>9607551.3169787712</v>
      </c>
      <c r="N624" s="333">
        <v>9873099.8290591128</v>
      </c>
      <c r="O624" s="333">
        <v>9825184.3724832032</v>
      </c>
      <c r="P624" s="333">
        <v>9954002.5275518745</v>
      </c>
      <c r="Q624" s="333">
        <v>10524174.597142158</v>
      </c>
      <c r="R624" s="333">
        <v>11863572.165697154</v>
      </c>
      <c r="S624" s="333">
        <v>11544960.527184444</v>
      </c>
      <c r="T624" s="333">
        <v>11611231.705943281</v>
      </c>
      <c r="U624" s="333">
        <v>12435419.907536428</v>
      </c>
      <c r="V624" s="333">
        <v>13000997.970393753</v>
      </c>
      <c r="W624" s="9"/>
    </row>
    <row r="625" spans="1:23" x14ac:dyDescent="0.2">
      <c r="A625" s="9"/>
      <c r="B625" s="334" t="s">
        <v>227</v>
      </c>
      <c r="C625" s="335"/>
      <c r="D625" s="333">
        <v>1428845.3279176957</v>
      </c>
      <c r="E625" s="333">
        <v>1671845.0831347557</v>
      </c>
      <c r="F625" s="333">
        <v>1950497.1869944339</v>
      </c>
      <c r="G625" s="333">
        <v>1964377.6077388772</v>
      </c>
      <c r="H625" s="333">
        <v>2015306.6968826358</v>
      </c>
      <c r="I625" s="333">
        <v>2132269.9888610551</v>
      </c>
      <c r="J625" s="333">
        <v>2247134.5676326104</v>
      </c>
      <c r="K625" s="333">
        <v>2358781.2162485886</v>
      </c>
      <c r="L625" s="333">
        <v>2469516.5066949418</v>
      </c>
      <c r="M625" s="333">
        <v>2474024.0359973088</v>
      </c>
      <c r="N625" s="333">
        <v>2482519.7033724068</v>
      </c>
      <c r="O625" s="333">
        <v>2611566.7114531775</v>
      </c>
      <c r="P625" s="333">
        <v>2432024.2573896032</v>
      </c>
      <c r="Q625" s="333">
        <v>2256092.4522144105</v>
      </c>
      <c r="R625" s="333">
        <v>2164328.9831308746</v>
      </c>
      <c r="S625" s="333">
        <v>2076652.9016209238</v>
      </c>
      <c r="T625" s="333">
        <v>2225302.9814516832</v>
      </c>
      <c r="U625" s="333">
        <v>2378407.1169283935</v>
      </c>
      <c r="V625" s="333">
        <v>2531167.5022307215</v>
      </c>
      <c r="W625" s="9"/>
    </row>
    <row r="626" spans="1:23" ht="13.5" thickBot="1" x14ac:dyDescent="0.25">
      <c r="A626" s="9"/>
      <c r="B626" s="336" t="s">
        <v>228</v>
      </c>
      <c r="C626" s="337"/>
      <c r="D626" s="338">
        <v>25456468.022544913</v>
      </c>
      <c r="E626" s="338">
        <v>24286357.582993649</v>
      </c>
      <c r="F626" s="338">
        <v>23487517.427804418</v>
      </c>
      <c r="G626" s="338">
        <v>22244511.247085456</v>
      </c>
      <c r="H626" s="338">
        <v>21468356.587643206</v>
      </c>
      <c r="I626" s="338">
        <v>22759837.805304199</v>
      </c>
      <c r="J626" s="338">
        <v>25271033.118013464</v>
      </c>
      <c r="K626" s="338">
        <v>26023426.189381331</v>
      </c>
      <c r="L626" s="338">
        <v>26592417.08094494</v>
      </c>
      <c r="M626" s="338">
        <v>26492902.328444235</v>
      </c>
      <c r="N626" s="338">
        <v>27165269.276020188</v>
      </c>
      <c r="O626" s="338">
        <v>27174527.642661184</v>
      </c>
      <c r="P626" s="338">
        <v>27317030.576269291</v>
      </c>
      <c r="Q626" s="338">
        <v>28566528.945069805</v>
      </c>
      <c r="R626" s="338">
        <v>31823259.397373758</v>
      </c>
      <c r="S626" s="338">
        <v>30939054.219582029</v>
      </c>
      <c r="T626" s="338">
        <v>31253382.246309884</v>
      </c>
      <c r="U626" s="338">
        <v>33466956.885769464</v>
      </c>
      <c r="V626" s="338">
        <v>35033662.428215101</v>
      </c>
      <c r="W626" s="9"/>
    </row>
    <row r="627" spans="1:23" ht="13.5" thickTop="1" x14ac:dyDescent="0.2">
      <c r="A627" s="330" t="s">
        <v>229</v>
      </c>
      <c r="B627" s="292" t="s">
        <v>230</v>
      </c>
      <c r="C627" s="326"/>
      <c r="D627" s="333">
        <v>-1824772.0870824936</v>
      </c>
      <c r="E627" s="333">
        <v>-2175294.8444078816</v>
      </c>
      <c r="F627" s="333">
        <v>-2222202.4656331427</v>
      </c>
      <c r="G627" s="333">
        <v>-2243745.0304168202</v>
      </c>
      <c r="H627" s="333">
        <v>-2354701.0639450597</v>
      </c>
      <c r="I627" s="333">
        <v>-2469184.4935690598</v>
      </c>
      <c r="J627" s="333">
        <v>-2307755.5461817989</v>
      </c>
      <c r="K627" s="333">
        <v>-2218398.3661165941</v>
      </c>
      <c r="L627" s="333">
        <v>-2243214.305507591</v>
      </c>
      <c r="M627" s="333">
        <v>-2363360.9445591439</v>
      </c>
      <c r="N627" s="333">
        <v>-2496078.616459196</v>
      </c>
      <c r="O627" s="333">
        <v>-2632777.8185162493</v>
      </c>
      <c r="P627" s="333">
        <v>-2533466.5504975393</v>
      </c>
      <c r="Q627" s="333">
        <v>-2350424.3005059394</v>
      </c>
      <c r="R627" s="333">
        <v>-2001133.1412342126</v>
      </c>
      <c r="S627" s="333">
        <v>-2123603.6110467548</v>
      </c>
      <c r="T627" s="333">
        <v>-2279933.3617476705</v>
      </c>
      <c r="U627" s="333">
        <v>-2443159.3578975769</v>
      </c>
      <c r="V627" s="333">
        <v>-2609450.1096714996</v>
      </c>
      <c r="W627" s="9"/>
    </row>
    <row r="628" spans="1:23" x14ac:dyDescent="0.2">
      <c r="A628" s="9"/>
      <c r="B628" s="292" t="s">
        <v>231</v>
      </c>
      <c r="C628" s="326"/>
      <c r="D628" s="333">
        <v>0</v>
      </c>
      <c r="E628" s="333">
        <v>0</v>
      </c>
      <c r="F628" s="333">
        <v>0</v>
      </c>
      <c r="G628" s="333">
        <v>0</v>
      </c>
      <c r="H628" s="333">
        <v>0</v>
      </c>
      <c r="I628" s="333">
        <v>0</v>
      </c>
      <c r="J628" s="333">
        <v>0</v>
      </c>
      <c r="K628" s="333">
        <v>0</v>
      </c>
      <c r="L628" s="333">
        <v>0</v>
      </c>
      <c r="M628" s="333">
        <v>0</v>
      </c>
      <c r="N628" s="333">
        <v>0</v>
      </c>
      <c r="O628" s="333">
        <v>0</v>
      </c>
      <c r="P628" s="333">
        <v>0</v>
      </c>
      <c r="Q628" s="333">
        <v>0</v>
      </c>
      <c r="R628" s="333">
        <v>0</v>
      </c>
      <c r="S628" s="333">
        <v>0</v>
      </c>
      <c r="T628" s="333">
        <v>0</v>
      </c>
      <c r="U628" s="333">
        <v>0</v>
      </c>
      <c r="V628" s="333">
        <v>0</v>
      </c>
      <c r="W628" s="9"/>
    </row>
    <row r="629" spans="1:23" x14ac:dyDescent="0.2">
      <c r="A629" s="9"/>
      <c r="B629" s="329" t="s">
        <v>232</v>
      </c>
      <c r="C629" s="331"/>
      <c r="D629" s="332">
        <v>23631695.935462419</v>
      </c>
      <c r="E629" s="332">
        <v>22111062.738585766</v>
      </c>
      <c r="F629" s="332">
        <v>21265314.962171275</v>
      </c>
      <c r="G629" s="332">
        <v>20000766.216668636</v>
      </c>
      <c r="H629" s="332">
        <v>19113655.523698147</v>
      </c>
      <c r="I629" s="332">
        <v>20290653.311735138</v>
      </c>
      <c r="J629" s="332">
        <v>22963277.571831666</v>
      </c>
      <c r="K629" s="332">
        <v>23805027.823264737</v>
      </c>
      <c r="L629" s="332">
        <v>24349202.775437348</v>
      </c>
      <c r="M629" s="332">
        <v>24129541.383885093</v>
      </c>
      <c r="N629" s="332">
        <v>24669190.659560993</v>
      </c>
      <c r="O629" s="332">
        <v>24541749.824144933</v>
      </c>
      <c r="P629" s="332">
        <v>24783564.025771752</v>
      </c>
      <c r="Q629" s="332">
        <v>26216104.644563865</v>
      </c>
      <c r="R629" s="332">
        <v>29822126.256139547</v>
      </c>
      <c r="S629" s="332">
        <v>28815450.608535275</v>
      </c>
      <c r="T629" s="332">
        <v>28973448.884562213</v>
      </c>
      <c r="U629" s="332">
        <v>31023797.527871888</v>
      </c>
      <c r="V629" s="332">
        <v>32424212.318543602</v>
      </c>
      <c r="W629" s="9"/>
    </row>
    <row r="630" spans="1:23" ht="13.5" thickBot="1" x14ac:dyDescent="0.25">
      <c r="A630" s="9"/>
      <c r="B630" s="339" t="s">
        <v>238</v>
      </c>
      <c r="C630" s="340"/>
      <c r="D630" s="341">
        <v>-9452678.3741849679</v>
      </c>
      <c r="E630" s="341">
        <v>-8844425.0954343062</v>
      </c>
      <c r="F630" s="341">
        <v>-8506125.9848685097</v>
      </c>
      <c r="G630" s="341">
        <v>-8000306.4866674542</v>
      </c>
      <c r="H630" s="341">
        <v>-7645462.2094792593</v>
      </c>
      <c r="I630" s="341">
        <v>-8116261.3246940561</v>
      </c>
      <c r="J630" s="341">
        <v>-9185311.0287326667</v>
      </c>
      <c r="K630" s="341">
        <v>-9522011.1293058954</v>
      </c>
      <c r="L630" s="341">
        <v>-9739681.110174939</v>
      </c>
      <c r="M630" s="341">
        <v>-9651816.5535540376</v>
      </c>
      <c r="N630" s="341">
        <v>-9867676.2638243977</v>
      </c>
      <c r="O630" s="341">
        <v>-9816699.9296579733</v>
      </c>
      <c r="P630" s="341">
        <v>-9913425.6103087012</v>
      </c>
      <c r="Q630" s="341">
        <v>-10486441.857825547</v>
      </c>
      <c r="R630" s="341">
        <v>-11928850.502455819</v>
      </c>
      <c r="S630" s="341">
        <v>-11526180.243414111</v>
      </c>
      <c r="T630" s="341">
        <v>-11589379.553824887</v>
      </c>
      <c r="U630" s="341">
        <v>-12409519.011148756</v>
      </c>
      <c r="V630" s="341">
        <v>-12969684.927417442</v>
      </c>
      <c r="W630" s="9"/>
    </row>
    <row r="631" spans="1:23" ht="13.5" thickTop="1" x14ac:dyDescent="0.2">
      <c r="A631" s="9"/>
      <c r="B631" s="329" t="s">
        <v>233</v>
      </c>
      <c r="C631" s="331"/>
      <c r="D631" s="332">
        <v>14179017.561277451</v>
      </c>
      <c r="E631" s="332">
        <v>13266637.64315146</v>
      </c>
      <c r="F631" s="332">
        <v>12759188.977302765</v>
      </c>
      <c r="G631" s="332">
        <v>12000459.730001181</v>
      </c>
      <c r="H631" s="332">
        <v>11468193.314218888</v>
      </c>
      <c r="I631" s="332">
        <v>12174391.987041082</v>
      </c>
      <c r="J631" s="332">
        <v>13777966.543098999</v>
      </c>
      <c r="K631" s="332">
        <v>14283016.693958841</v>
      </c>
      <c r="L631" s="332">
        <v>14609521.665262409</v>
      </c>
      <c r="M631" s="332">
        <v>14477724.830331055</v>
      </c>
      <c r="N631" s="332">
        <v>14801514.395736596</v>
      </c>
      <c r="O631" s="332">
        <v>14725049.89448696</v>
      </c>
      <c r="P631" s="332">
        <v>14870138.415463051</v>
      </c>
      <c r="Q631" s="332">
        <v>15729662.786738317</v>
      </c>
      <c r="R631" s="332">
        <v>17893275.753683727</v>
      </c>
      <c r="S631" s="332">
        <v>17289270.365121163</v>
      </c>
      <c r="T631" s="332">
        <v>17384069.330737326</v>
      </c>
      <c r="U631" s="332">
        <v>18614278.516723134</v>
      </c>
      <c r="V631" s="332">
        <v>19454527.39112616</v>
      </c>
      <c r="W631" s="9"/>
    </row>
    <row r="632" spans="1:23" x14ac:dyDescent="0.2">
      <c r="A632" s="9"/>
      <c r="B632" s="9"/>
      <c r="C632" s="326"/>
      <c r="D632" s="9"/>
      <c r="E632" s="327"/>
      <c r="F632" s="319"/>
      <c r="G632" s="32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 ht="15.75" x14ac:dyDescent="0.25">
      <c r="A633" s="342" t="s">
        <v>206</v>
      </c>
      <c r="B633" s="343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x14ac:dyDescent="0.2">
      <c r="A634" s="290" t="s">
        <v>191</v>
      </c>
      <c r="B634" s="309"/>
      <c r="C634" s="344">
        <v>0</v>
      </c>
      <c r="D634" s="283"/>
      <c r="E634" s="283"/>
      <c r="F634" s="283"/>
      <c r="G634" s="283"/>
      <c r="H634" s="283"/>
      <c r="I634" s="283"/>
      <c r="J634" s="283"/>
      <c r="K634" s="283"/>
      <c r="L634" s="283"/>
      <c r="M634" s="283"/>
      <c r="N634" s="283"/>
      <c r="O634" s="283"/>
      <c r="P634" s="283"/>
      <c r="Q634" s="283"/>
      <c r="R634" s="283"/>
      <c r="S634" s="283"/>
      <c r="T634" s="283"/>
      <c r="U634" s="283"/>
      <c r="V634" s="283"/>
      <c r="W634" s="283"/>
    </row>
    <row r="635" spans="1:23" x14ac:dyDescent="0.2">
      <c r="A635" s="290" t="s">
        <v>192</v>
      </c>
      <c r="B635" s="309"/>
      <c r="C635" s="345">
        <v>0</v>
      </c>
      <c r="D635" s="283"/>
      <c r="E635" s="283"/>
      <c r="F635" s="283"/>
      <c r="G635" s="283"/>
      <c r="H635" s="283"/>
      <c r="I635" s="283"/>
      <c r="J635" s="283"/>
      <c r="K635" s="283"/>
      <c r="L635" s="283"/>
      <c r="M635" s="283"/>
      <c r="N635" s="283"/>
      <c r="O635" s="283"/>
      <c r="P635" s="283"/>
      <c r="Q635" s="283"/>
      <c r="R635" s="283"/>
      <c r="S635" s="283"/>
      <c r="T635" s="283"/>
      <c r="U635" s="283"/>
      <c r="V635" s="283"/>
      <c r="W635" s="283"/>
    </row>
    <row r="636" spans="1:23" x14ac:dyDescent="0.2">
      <c r="A636" s="290" t="s">
        <v>202</v>
      </c>
      <c r="B636" s="309"/>
      <c r="C636" s="290">
        <v>15</v>
      </c>
      <c r="D636" s="283"/>
      <c r="E636" s="283"/>
      <c r="F636" s="283"/>
      <c r="G636" s="283"/>
      <c r="H636" s="283"/>
      <c r="I636" s="283"/>
      <c r="J636" s="283"/>
      <c r="K636" s="283"/>
      <c r="L636" s="283"/>
      <c r="M636" s="283"/>
      <c r="N636" s="283"/>
      <c r="O636" s="283"/>
      <c r="P636" s="283"/>
      <c r="Q636" s="283"/>
      <c r="R636" s="283"/>
      <c r="S636" s="283"/>
      <c r="T636" s="283"/>
      <c r="U636" s="283"/>
      <c r="V636" s="283"/>
      <c r="W636" s="283"/>
    </row>
    <row r="637" spans="1:23" x14ac:dyDescent="0.2">
      <c r="A637" s="290" t="s">
        <v>193</v>
      </c>
      <c r="B637" s="309"/>
      <c r="C637" s="345">
        <v>0</v>
      </c>
      <c r="D637" s="283"/>
      <c r="E637" s="283"/>
      <c r="F637" s="283"/>
      <c r="G637" s="283"/>
      <c r="H637" s="283"/>
      <c r="I637" s="283"/>
      <c r="J637" s="283"/>
      <c r="K637" s="283"/>
      <c r="L637" s="283"/>
      <c r="M637" s="283"/>
      <c r="N637" s="283"/>
      <c r="O637" s="283"/>
      <c r="P637" s="283"/>
      <c r="Q637" s="283"/>
      <c r="R637" s="283"/>
      <c r="S637" s="283"/>
      <c r="T637" s="283"/>
      <c r="U637" s="283"/>
      <c r="V637" s="283"/>
      <c r="W637" s="283"/>
    </row>
    <row r="638" spans="1:23" x14ac:dyDescent="0.2">
      <c r="A638" s="290" t="s">
        <v>194</v>
      </c>
      <c r="B638" s="309"/>
      <c r="C638" s="346">
        <v>8.7499999999999994E-2</v>
      </c>
      <c r="D638" s="283"/>
      <c r="E638" s="283"/>
      <c r="F638" s="283"/>
      <c r="G638" s="283"/>
      <c r="H638" s="283"/>
      <c r="I638" s="283"/>
      <c r="J638" s="283"/>
      <c r="K638" s="283"/>
      <c r="L638" s="283"/>
      <c r="M638" s="283"/>
      <c r="N638" s="283"/>
      <c r="O638" s="283"/>
      <c r="P638" s="283"/>
      <c r="Q638" s="283"/>
      <c r="R638" s="283"/>
      <c r="S638" s="283"/>
      <c r="T638" s="283"/>
      <c r="U638" s="283"/>
      <c r="V638" s="283"/>
      <c r="W638" s="283"/>
    </row>
    <row r="639" spans="1:23" x14ac:dyDescent="0.2">
      <c r="A639" s="290"/>
      <c r="B639" s="309"/>
      <c r="C639" s="283"/>
      <c r="D639" s="312">
        <v>2001</v>
      </c>
      <c r="E639" s="312">
        <v>2002</v>
      </c>
      <c r="F639" s="312">
        <v>2003</v>
      </c>
      <c r="G639" s="312">
        <v>2004</v>
      </c>
      <c r="H639" s="312">
        <v>2005</v>
      </c>
      <c r="I639" s="312">
        <v>2006</v>
      </c>
      <c r="J639" s="312">
        <v>2007</v>
      </c>
      <c r="K639" s="312">
        <v>2008</v>
      </c>
      <c r="L639" s="312">
        <v>2009</v>
      </c>
      <c r="M639" s="312">
        <v>2010</v>
      </c>
      <c r="N639" s="312">
        <v>2011</v>
      </c>
      <c r="O639" s="312">
        <v>2012</v>
      </c>
      <c r="P639" s="312">
        <v>2013</v>
      </c>
      <c r="Q639" s="312">
        <v>2014</v>
      </c>
      <c r="R639" s="312">
        <v>2015</v>
      </c>
      <c r="S639" s="312">
        <v>2016</v>
      </c>
      <c r="T639" s="312">
        <v>2017</v>
      </c>
      <c r="U639" s="312">
        <v>2018</v>
      </c>
      <c r="V639" s="312">
        <v>2019</v>
      </c>
      <c r="W639" s="312" t="s">
        <v>154</v>
      </c>
    </row>
    <row r="640" spans="1:23" x14ac:dyDescent="0.2">
      <c r="A640" s="290" t="s">
        <v>195</v>
      </c>
      <c r="B640" s="309"/>
      <c r="C640" s="283"/>
      <c r="D640" s="347">
        <v>0</v>
      </c>
      <c r="E640" s="347">
        <v>0</v>
      </c>
      <c r="F640" s="347">
        <v>0</v>
      </c>
      <c r="G640" s="347">
        <v>0</v>
      </c>
      <c r="H640" s="347">
        <v>0</v>
      </c>
      <c r="I640" s="347">
        <v>0</v>
      </c>
      <c r="J640" s="347">
        <v>0</v>
      </c>
      <c r="K640" s="347">
        <v>0</v>
      </c>
      <c r="L640" s="347">
        <v>0</v>
      </c>
      <c r="M640" s="347">
        <v>0</v>
      </c>
      <c r="N640" s="347">
        <v>0</v>
      </c>
      <c r="O640" s="347">
        <v>0</v>
      </c>
      <c r="P640" s="347">
        <v>0</v>
      </c>
      <c r="Q640" s="347">
        <v>0</v>
      </c>
      <c r="R640" s="347">
        <v>0</v>
      </c>
      <c r="S640" s="347">
        <v>0</v>
      </c>
      <c r="T640" s="347">
        <v>0</v>
      </c>
      <c r="U640" s="347">
        <v>0</v>
      </c>
      <c r="V640" s="347">
        <v>0</v>
      </c>
      <c r="W640" s="347">
        <v>0</v>
      </c>
    </row>
    <row r="641" spans="1:23" x14ac:dyDescent="0.2">
      <c r="A641" s="290" t="s">
        <v>196</v>
      </c>
      <c r="B641" s="309"/>
      <c r="C641" s="283"/>
      <c r="D641" s="347">
        <v>0</v>
      </c>
      <c r="E641" s="347">
        <v>0</v>
      </c>
      <c r="F641" s="347">
        <v>0</v>
      </c>
      <c r="G641" s="347">
        <v>0</v>
      </c>
      <c r="H641" s="347">
        <v>0</v>
      </c>
      <c r="I641" s="347">
        <v>0</v>
      </c>
      <c r="J641" s="347">
        <v>0</v>
      </c>
      <c r="K641" s="347">
        <v>0</v>
      </c>
      <c r="L641" s="347">
        <v>0</v>
      </c>
      <c r="M641" s="347">
        <v>0</v>
      </c>
      <c r="N641" s="347">
        <v>0</v>
      </c>
      <c r="O641" s="347">
        <v>0</v>
      </c>
      <c r="P641" s="347">
        <v>0</v>
      </c>
      <c r="Q641" s="347">
        <v>0</v>
      </c>
      <c r="R641" s="347">
        <v>0</v>
      </c>
      <c r="S641" s="347">
        <v>0</v>
      </c>
      <c r="T641" s="347">
        <v>0</v>
      </c>
      <c r="U641" s="347">
        <v>0</v>
      </c>
      <c r="V641" s="347">
        <v>0</v>
      </c>
      <c r="W641" s="347">
        <v>0</v>
      </c>
    </row>
    <row r="642" spans="1:23" x14ac:dyDescent="0.2">
      <c r="A642" s="290" t="s">
        <v>197</v>
      </c>
      <c r="B642" s="309"/>
      <c r="C642" s="283"/>
      <c r="D642" s="347">
        <v>0</v>
      </c>
      <c r="E642" s="347">
        <v>0</v>
      </c>
      <c r="F642" s="347">
        <v>0</v>
      </c>
      <c r="G642" s="347">
        <v>0</v>
      </c>
      <c r="H642" s="347">
        <v>0</v>
      </c>
      <c r="I642" s="347">
        <v>0</v>
      </c>
      <c r="J642" s="347">
        <v>0</v>
      </c>
      <c r="K642" s="347">
        <v>0</v>
      </c>
      <c r="L642" s="347">
        <v>0</v>
      </c>
      <c r="M642" s="347">
        <v>0</v>
      </c>
      <c r="N642" s="347">
        <v>0</v>
      </c>
      <c r="O642" s="347">
        <v>0</v>
      </c>
      <c r="P642" s="347">
        <v>0</v>
      </c>
      <c r="Q642" s="347">
        <v>0</v>
      </c>
      <c r="R642" s="347">
        <v>0</v>
      </c>
      <c r="S642" s="347">
        <v>0</v>
      </c>
      <c r="T642" s="347">
        <v>0</v>
      </c>
      <c r="U642" s="347">
        <v>0</v>
      </c>
      <c r="V642" s="347">
        <v>0</v>
      </c>
      <c r="W642" s="347">
        <v>0</v>
      </c>
    </row>
    <row r="643" spans="1:23" x14ac:dyDescent="0.2">
      <c r="A643" s="290" t="s">
        <v>198</v>
      </c>
      <c r="B643" s="309"/>
      <c r="C643" s="283"/>
      <c r="D643" s="348">
        <v>0</v>
      </c>
      <c r="E643" s="348">
        <v>0</v>
      </c>
      <c r="F643" s="348">
        <v>0</v>
      </c>
      <c r="G643" s="348">
        <v>0</v>
      </c>
      <c r="H643" s="348">
        <v>0</v>
      </c>
      <c r="I643" s="348">
        <v>0</v>
      </c>
      <c r="J643" s="348">
        <v>0</v>
      </c>
      <c r="K643" s="348">
        <v>0</v>
      </c>
      <c r="L643" s="348">
        <v>0</v>
      </c>
      <c r="M643" s="348">
        <v>0</v>
      </c>
      <c r="N643" s="348">
        <v>0</v>
      </c>
      <c r="O643" s="348">
        <v>0</v>
      </c>
      <c r="P643" s="348">
        <v>0</v>
      </c>
      <c r="Q643" s="348">
        <v>0</v>
      </c>
      <c r="R643" s="348">
        <v>0</v>
      </c>
      <c r="S643" s="348">
        <v>0</v>
      </c>
      <c r="T643" s="348">
        <v>0</v>
      </c>
      <c r="U643" s="348">
        <v>0</v>
      </c>
      <c r="V643" s="348">
        <v>0</v>
      </c>
      <c r="W643" s="348">
        <v>0</v>
      </c>
    </row>
    <row r="644" spans="1:23" ht="13.5" thickBot="1" x14ac:dyDescent="0.25">
      <c r="A644" s="290" t="s">
        <v>199</v>
      </c>
      <c r="B644" s="309"/>
      <c r="C644" s="283"/>
      <c r="D644" s="349">
        <v>0</v>
      </c>
      <c r="E644" s="349">
        <v>0</v>
      </c>
      <c r="F644" s="349">
        <v>0</v>
      </c>
      <c r="G644" s="349">
        <v>0</v>
      </c>
      <c r="H644" s="349">
        <v>0</v>
      </c>
      <c r="I644" s="349">
        <v>0</v>
      </c>
      <c r="J644" s="349">
        <v>0</v>
      </c>
      <c r="K644" s="349">
        <v>0</v>
      </c>
      <c r="L644" s="349">
        <v>0</v>
      </c>
      <c r="M644" s="349">
        <v>0</v>
      </c>
      <c r="N644" s="349">
        <v>0</v>
      </c>
      <c r="O644" s="349">
        <v>0</v>
      </c>
      <c r="P644" s="349">
        <v>0</v>
      </c>
      <c r="Q644" s="349">
        <v>0</v>
      </c>
      <c r="R644" s="349">
        <v>0</v>
      </c>
      <c r="S644" s="349">
        <v>0</v>
      </c>
      <c r="T644" s="349">
        <v>0</v>
      </c>
      <c r="U644" s="349">
        <v>0</v>
      </c>
      <c r="V644" s="349">
        <v>0</v>
      </c>
      <c r="W644" s="349">
        <v>0</v>
      </c>
    </row>
    <row r="645" spans="1:23" ht="13.5" thickTop="1" x14ac:dyDescent="0.2">
      <c r="A645" s="290"/>
      <c r="B645" s="309"/>
      <c r="C645" s="283"/>
      <c r="D645" s="347"/>
      <c r="E645" s="347"/>
      <c r="F645" s="347"/>
      <c r="G645" s="347"/>
      <c r="H645" s="347"/>
      <c r="I645" s="347"/>
      <c r="J645" s="347"/>
      <c r="K645" s="347"/>
      <c r="L645" s="347"/>
      <c r="M645" s="347"/>
      <c r="N645" s="347"/>
      <c r="O645" s="347"/>
      <c r="P645" s="347"/>
      <c r="Q645" s="347"/>
      <c r="R645" s="347"/>
      <c r="S645" s="347"/>
      <c r="T645" s="347"/>
      <c r="U645" s="347"/>
      <c r="V645" s="347"/>
      <c r="W645" s="347"/>
    </row>
    <row r="646" spans="1:23" x14ac:dyDescent="0.2">
      <c r="A646" s="290" t="s">
        <v>200</v>
      </c>
      <c r="B646" s="309"/>
      <c r="C646" s="283"/>
      <c r="D646" s="347">
        <v>0</v>
      </c>
      <c r="E646" s="347">
        <v>0</v>
      </c>
      <c r="F646" s="347">
        <v>0</v>
      </c>
      <c r="G646" s="347">
        <v>0</v>
      </c>
      <c r="H646" s="347">
        <v>0</v>
      </c>
      <c r="I646" s="347">
        <v>0</v>
      </c>
      <c r="J646" s="347">
        <v>0</v>
      </c>
      <c r="K646" s="347">
        <v>0</v>
      </c>
      <c r="L646" s="347">
        <v>0</v>
      </c>
      <c r="M646" s="347">
        <v>0</v>
      </c>
      <c r="N646" s="347">
        <v>0</v>
      </c>
      <c r="O646" s="347">
        <v>0</v>
      </c>
      <c r="P646" s="347">
        <v>0</v>
      </c>
      <c r="Q646" s="347">
        <v>0</v>
      </c>
      <c r="R646" s="347">
        <v>0</v>
      </c>
      <c r="S646" s="347">
        <v>0</v>
      </c>
      <c r="T646" s="347">
        <v>0</v>
      </c>
      <c r="U646" s="347">
        <v>0</v>
      </c>
      <c r="V646" s="347">
        <v>0</v>
      </c>
      <c r="W646" s="347">
        <v>0</v>
      </c>
    </row>
    <row r="647" spans="1:23" x14ac:dyDescent="0.2">
      <c r="A647" s="290"/>
      <c r="B647" s="309"/>
      <c r="C647" s="283"/>
      <c r="D647" s="283"/>
      <c r="E647" s="283"/>
      <c r="F647" s="283"/>
      <c r="G647" s="283"/>
      <c r="H647" s="283"/>
      <c r="I647" s="283"/>
      <c r="J647" s="283"/>
      <c r="K647" s="283"/>
      <c r="L647" s="283"/>
      <c r="M647" s="283"/>
      <c r="N647" s="283"/>
      <c r="O647" s="283"/>
      <c r="P647" s="283"/>
      <c r="Q647" s="283"/>
      <c r="R647" s="283"/>
      <c r="S647" s="283"/>
      <c r="T647" s="283"/>
      <c r="U647" s="283"/>
      <c r="V647" s="283"/>
      <c r="W647" s="283"/>
    </row>
    <row r="648" spans="1:23" x14ac:dyDescent="0.2">
      <c r="A648" s="290" t="s">
        <v>201</v>
      </c>
      <c r="B648" s="309"/>
      <c r="C648" s="283"/>
      <c r="D648" s="347">
        <v>0</v>
      </c>
      <c r="E648" s="347">
        <v>0</v>
      </c>
      <c r="F648" s="347">
        <v>0</v>
      </c>
      <c r="G648" s="347">
        <v>0</v>
      </c>
      <c r="H648" s="347">
        <v>0</v>
      </c>
      <c r="I648" s="347">
        <v>0</v>
      </c>
      <c r="J648" s="347">
        <v>0</v>
      </c>
      <c r="K648" s="347">
        <v>0</v>
      </c>
      <c r="L648" s="347">
        <v>0</v>
      </c>
      <c r="M648" s="347">
        <v>0</v>
      </c>
      <c r="N648" s="347">
        <v>0</v>
      </c>
      <c r="O648" s="347">
        <v>0</v>
      </c>
      <c r="P648" s="347">
        <v>0</v>
      </c>
      <c r="Q648" s="347">
        <v>0</v>
      </c>
      <c r="R648" s="347">
        <v>0</v>
      </c>
      <c r="S648" s="347">
        <v>0</v>
      </c>
      <c r="T648" s="347">
        <v>0</v>
      </c>
      <c r="U648" s="347">
        <v>0</v>
      </c>
      <c r="V648" s="347">
        <v>0</v>
      </c>
      <c r="W648" s="347">
        <v>0</v>
      </c>
    </row>
    <row r="649" spans="1:23" x14ac:dyDescent="0.2">
      <c r="A649" s="283"/>
      <c r="B649" s="309"/>
      <c r="C649" s="283"/>
      <c r="D649" s="283"/>
      <c r="E649" s="283"/>
      <c r="F649" s="283"/>
      <c r="G649" s="283"/>
      <c r="H649" s="283"/>
      <c r="I649" s="283"/>
      <c r="J649" s="283"/>
      <c r="K649" s="283"/>
      <c r="L649" s="283"/>
      <c r="M649" s="283"/>
      <c r="N649" s="283"/>
      <c r="O649" s="283"/>
      <c r="P649" s="283"/>
      <c r="Q649" s="283"/>
      <c r="R649" s="283"/>
      <c r="S649" s="283"/>
      <c r="T649" s="283"/>
      <c r="U649" s="283"/>
      <c r="V649" s="283"/>
      <c r="W649" s="283"/>
    </row>
    <row r="650" spans="1:23" x14ac:dyDescent="0.2">
      <c r="A650" s="283"/>
      <c r="B650" s="309"/>
      <c r="C650" s="283"/>
      <c r="D650" s="283"/>
      <c r="E650" s="283"/>
      <c r="F650" s="283"/>
      <c r="G650" s="283"/>
      <c r="H650" s="283"/>
      <c r="I650" s="283"/>
      <c r="J650" s="283"/>
      <c r="K650" s="283"/>
      <c r="L650" s="283"/>
      <c r="M650" s="283"/>
      <c r="N650" s="283"/>
      <c r="O650" s="283"/>
      <c r="P650" s="283"/>
      <c r="Q650" s="283"/>
      <c r="R650" s="283"/>
      <c r="S650" s="283"/>
      <c r="T650" s="283"/>
      <c r="U650" s="283"/>
      <c r="V650" s="283"/>
      <c r="W650" s="283"/>
    </row>
    <row r="651" spans="1:23" x14ac:dyDescent="0.2">
      <c r="A651" s="290" t="s">
        <v>203</v>
      </c>
      <c r="B651" s="285"/>
      <c r="C651" s="284"/>
      <c r="D651" s="441">
        <v>15217547.264694026</v>
      </c>
      <c r="E651" s="441">
        <v>8155100.0230500903</v>
      </c>
      <c r="F651" s="441">
        <v>13663331.081480423</v>
      </c>
      <c r="G651" s="441">
        <v>13697830.161346823</v>
      </c>
      <c r="H651" s="441">
        <v>11464157.415338976</v>
      </c>
      <c r="I651" s="441">
        <v>12219142.086246941</v>
      </c>
      <c r="J651" s="441">
        <v>13703115.04760672</v>
      </c>
      <c r="K651" s="441">
        <v>14128458.790366203</v>
      </c>
      <c r="L651" s="441">
        <v>14441274.159190048</v>
      </c>
      <c r="M651" s="441">
        <v>14308308.838648923</v>
      </c>
      <c r="N651" s="441">
        <v>14637816.008960038</v>
      </c>
      <c r="O651" s="441">
        <v>14615359.229036916</v>
      </c>
      <c r="P651" s="441">
        <v>14547024.486342117</v>
      </c>
      <c r="Q651" s="441">
        <v>15141870.678681087</v>
      </c>
      <c r="R651" s="441">
        <v>16972189.052352648</v>
      </c>
      <c r="S651" s="441">
        <v>16316970.567693913</v>
      </c>
      <c r="T651" s="441">
        <v>16472713.72192182</v>
      </c>
      <c r="U651" s="441">
        <v>17767017.055234909</v>
      </c>
      <c r="V651" s="441">
        <v>18670208.937133279</v>
      </c>
      <c r="W651" s="441">
        <v>97974802.107988834</v>
      </c>
    </row>
    <row r="652" spans="1:23" x14ac:dyDescent="0.2">
      <c r="A652" s="9"/>
      <c r="B652" s="6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x14ac:dyDescent="0.2">
      <c r="B653" s="354"/>
      <c r="C653" s="355"/>
      <c r="D653" s="355"/>
      <c r="E653" s="355"/>
      <c r="F653" s="355"/>
      <c r="G653" s="355"/>
      <c r="H653" s="355"/>
      <c r="I653" s="355"/>
      <c r="J653" s="355"/>
      <c r="K653" s="355"/>
      <c r="L653" s="355"/>
      <c r="M653" s="355"/>
      <c r="N653" s="355"/>
      <c r="O653" s="355"/>
      <c r="P653" s="355"/>
      <c r="Q653" s="355"/>
      <c r="R653" s="355"/>
      <c r="S653" s="355"/>
      <c r="T653" s="355"/>
      <c r="U653" s="355"/>
      <c r="V653" s="355"/>
      <c r="W653" s="300"/>
    </row>
    <row r="654" spans="1:23" x14ac:dyDescent="0.2">
      <c r="B654" s="356"/>
      <c r="C654" s="359"/>
      <c r="D654" s="359"/>
      <c r="E654" s="359"/>
      <c r="F654" s="359"/>
      <c r="G654" s="359"/>
      <c r="H654" s="359"/>
      <c r="I654" s="359"/>
      <c r="J654" s="359"/>
      <c r="K654" s="359"/>
      <c r="L654" s="359"/>
      <c r="M654" s="359"/>
      <c r="N654" s="359"/>
      <c r="O654" s="359"/>
      <c r="P654" s="359"/>
      <c r="Q654" s="359"/>
      <c r="R654" s="359"/>
      <c r="S654" s="359"/>
      <c r="T654" s="359"/>
      <c r="U654" s="359"/>
      <c r="V654" s="359"/>
      <c r="W654" s="300"/>
    </row>
    <row r="655" spans="1:23" x14ac:dyDescent="0.2">
      <c r="B655" s="354"/>
      <c r="C655" s="355"/>
      <c r="D655" s="355"/>
      <c r="E655" s="355"/>
      <c r="F655" s="355"/>
      <c r="G655" s="355"/>
      <c r="H655" s="355"/>
      <c r="I655" s="355"/>
      <c r="J655" s="355"/>
      <c r="K655" s="355"/>
      <c r="L655" s="355"/>
      <c r="M655" s="355"/>
      <c r="N655" s="355"/>
      <c r="O655" s="355"/>
      <c r="P655" s="355"/>
      <c r="Q655" s="355"/>
      <c r="R655" s="355"/>
      <c r="S655" s="355"/>
      <c r="T655" s="355"/>
      <c r="U655" s="355"/>
      <c r="V655" s="355"/>
      <c r="W655" s="300"/>
    </row>
    <row r="656" spans="1:23" x14ac:dyDescent="0.2">
      <c r="B656" s="354"/>
      <c r="C656" s="355"/>
      <c r="D656" s="355"/>
      <c r="E656" s="355"/>
      <c r="F656" s="355"/>
      <c r="G656" s="355"/>
      <c r="H656" s="355"/>
      <c r="I656" s="355"/>
      <c r="J656" s="355"/>
      <c r="K656" s="355"/>
      <c r="L656" s="355"/>
      <c r="M656" s="355"/>
      <c r="N656" s="355"/>
      <c r="O656" s="355"/>
      <c r="P656" s="355"/>
      <c r="Q656" s="355"/>
      <c r="R656" s="355"/>
      <c r="S656" s="355"/>
      <c r="T656" s="355"/>
      <c r="U656" s="355"/>
      <c r="V656" s="355"/>
      <c r="W656" s="300"/>
    </row>
    <row r="657" spans="1:23" x14ac:dyDescent="0.2">
      <c r="B657" s="354"/>
      <c r="C657" s="355"/>
      <c r="D657" s="355"/>
      <c r="E657" s="355"/>
      <c r="F657" s="355"/>
      <c r="G657" s="355"/>
      <c r="H657" s="355"/>
      <c r="I657" s="355"/>
      <c r="J657" s="355"/>
      <c r="K657" s="355"/>
      <c r="L657" s="355"/>
      <c r="M657" s="355"/>
      <c r="N657" s="355"/>
      <c r="O657" s="355"/>
      <c r="P657" s="355"/>
      <c r="Q657" s="355"/>
      <c r="R657" s="355"/>
      <c r="S657" s="355"/>
      <c r="T657" s="355"/>
      <c r="U657" s="355"/>
      <c r="V657" s="355"/>
      <c r="W657" s="300"/>
    </row>
    <row r="658" spans="1:23" x14ac:dyDescent="0.2">
      <c r="B658" s="354"/>
      <c r="C658" s="300"/>
      <c r="D658" s="300"/>
      <c r="E658" s="300"/>
      <c r="F658" s="300"/>
      <c r="G658" s="300"/>
      <c r="H658" s="300"/>
      <c r="I658" s="300"/>
      <c r="J658" s="300"/>
      <c r="K658" s="300"/>
      <c r="L658" s="300"/>
      <c r="M658" s="300"/>
      <c r="N658" s="300"/>
      <c r="O658" s="300"/>
      <c r="P658" s="300"/>
      <c r="Q658" s="300"/>
      <c r="R658" s="300"/>
      <c r="S658" s="300"/>
      <c r="T658" s="300"/>
      <c r="U658" s="300"/>
      <c r="V658" s="300"/>
      <c r="W658" s="300"/>
    </row>
    <row r="659" spans="1:23" x14ac:dyDescent="0.2">
      <c r="B659" s="356"/>
      <c r="C659" s="359"/>
      <c r="D659" s="359"/>
      <c r="E659" s="359"/>
      <c r="F659" s="359"/>
      <c r="G659" s="359"/>
      <c r="H659" s="359"/>
      <c r="I659" s="359"/>
      <c r="J659" s="359"/>
      <c r="K659" s="359"/>
      <c r="L659" s="359"/>
      <c r="M659" s="359"/>
      <c r="N659" s="359"/>
      <c r="O659" s="359"/>
      <c r="P659" s="359"/>
      <c r="Q659" s="359"/>
      <c r="R659" s="359"/>
      <c r="S659" s="359"/>
      <c r="T659" s="359"/>
      <c r="U659" s="359"/>
      <c r="V659" s="359"/>
      <c r="W659" s="358"/>
    </row>
    <row r="660" spans="1:23" ht="15.75" x14ac:dyDescent="0.25">
      <c r="A660" s="308" t="s">
        <v>29</v>
      </c>
      <c r="B660" s="311" t="s">
        <v>64</v>
      </c>
      <c r="C660" s="312">
        <v>2000</v>
      </c>
      <c r="D660" s="312">
        <v>2001</v>
      </c>
      <c r="E660" s="312">
        <v>2002</v>
      </c>
      <c r="F660" s="312">
        <v>2003</v>
      </c>
      <c r="G660" s="312">
        <v>2004</v>
      </c>
      <c r="H660" s="312">
        <v>2005</v>
      </c>
      <c r="I660" s="312">
        <v>2006</v>
      </c>
      <c r="J660" s="312">
        <v>2007</v>
      </c>
      <c r="K660" s="312">
        <v>2008</v>
      </c>
      <c r="L660" s="312">
        <v>2009</v>
      </c>
      <c r="M660" s="312">
        <v>2010</v>
      </c>
      <c r="N660" s="312">
        <v>2011</v>
      </c>
      <c r="O660" s="312">
        <v>2012</v>
      </c>
      <c r="P660" s="312">
        <v>2013</v>
      </c>
      <c r="Q660" s="312">
        <v>2014</v>
      </c>
      <c r="R660" s="312">
        <v>2015</v>
      </c>
      <c r="S660" s="312">
        <v>2016</v>
      </c>
      <c r="T660" s="312">
        <v>2017</v>
      </c>
      <c r="U660" s="312">
        <v>2018</v>
      </c>
      <c r="V660" s="312">
        <v>2019</v>
      </c>
      <c r="W660" s="312" t="s">
        <v>154</v>
      </c>
    </row>
    <row r="661" spans="1:23" x14ac:dyDescent="0.2">
      <c r="A661" s="308" t="s">
        <v>26</v>
      </c>
      <c r="B661" s="309">
        <v>320</v>
      </c>
      <c r="C661" s="314"/>
      <c r="D661" s="314"/>
      <c r="E661" s="314"/>
      <c r="F661" s="314"/>
      <c r="G661" s="314"/>
      <c r="H661" s="314"/>
      <c r="I661" s="314"/>
      <c r="J661" s="314"/>
      <c r="K661" s="314"/>
      <c r="L661" s="314"/>
      <c r="M661" s="314"/>
      <c r="N661" s="314"/>
      <c r="O661" s="314"/>
      <c r="P661" s="314"/>
      <c r="Q661" s="314"/>
      <c r="R661" s="314"/>
      <c r="S661" s="314"/>
      <c r="T661" s="314"/>
      <c r="U661" s="314"/>
      <c r="V661" s="314"/>
      <c r="W661" s="314"/>
    </row>
    <row r="662" spans="1:23" x14ac:dyDescent="0.2">
      <c r="A662" s="9"/>
      <c r="B662" s="315" t="s">
        <v>27</v>
      </c>
      <c r="C662" s="449">
        <v>0</v>
      </c>
      <c r="D662" s="410">
        <v>91157149.553928941</v>
      </c>
      <c r="E662" s="410">
        <v>88868163.329465687</v>
      </c>
      <c r="F662" s="410">
        <v>89030638.201530039</v>
      </c>
      <c r="G662" s="410">
        <v>86724280.618235677</v>
      </c>
      <c r="H662" s="410">
        <v>85938019.303116977</v>
      </c>
      <c r="I662" s="410">
        <v>90730345.320798978</v>
      </c>
      <c r="J662" s="410">
        <v>97588777.95192416</v>
      </c>
      <c r="K662" s="410">
        <v>100217040.63695636</v>
      </c>
      <c r="L662" s="410">
        <v>102286467.07420604</v>
      </c>
      <c r="M662" s="410">
        <v>102653393.3656479</v>
      </c>
      <c r="N662" s="410">
        <v>104897394.45910044</v>
      </c>
      <c r="O662" s="410">
        <v>106032248.83383772</v>
      </c>
      <c r="P662" s="410">
        <v>107308174.10735166</v>
      </c>
      <c r="Q662" s="410">
        <v>111143178.14577809</v>
      </c>
      <c r="R662" s="410">
        <v>118983384.01753004</v>
      </c>
      <c r="S662" s="410">
        <v>118371153.09971371</v>
      </c>
      <c r="T662" s="410">
        <v>119978367.23186806</v>
      </c>
      <c r="U662" s="410">
        <v>125706307.44921598</v>
      </c>
      <c r="V662" s="410">
        <v>129473384.25090839</v>
      </c>
      <c r="W662" s="333"/>
    </row>
    <row r="663" spans="1:23" x14ac:dyDescent="0.2">
      <c r="A663" s="9"/>
      <c r="B663" s="315" t="s">
        <v>20</v>
      </c>
      <c r="C663" s="449">
        <v>0</v>
      </c>
      <c r="D663" s="410">
        <v>-28881358.280261856</v>
      </c>
      <c r="E663" s="410">
        <v>-28904034.577252585</v>
      </c>
      <c r="F663" s="410">
        <v>-28993941.577366844</v>
      </c>
      <c r="G663" s="410">
        <v>-29389528.262387499</v>
      </c>
      <c r="H663" s="410">
        <v>-29949254.500914533</v>
      </c>
      <c r="I663" s="410">
        <v>-30803953.146392304</v>
      </c>
      <c r="J663" s="410">
        <v>-31514459.362625733</v>
      </c>
      <c r="K663" s="410">
        <v>-32192071.772552077</v>
      </c>
      <c r="L663" s="410">
        <v>-32724951.434727158</v>
      </c>
      <c r="M663" s="410">
        <v>-32994680.646445382</v>
      </c>
      <c r="N663" s="410">
        <v>-33446422.25306296</v>
      </c>
      <c r="O663" s="410">
        <v>-34174471.832660176</v>
      </c>
      <c r="P663" s="410">
        <v>-34952958.581928305</v>
      </c>
      <c r="Q663" s="410">
        <v>-35698551.524889313</v>
      </c>
      <c r="R663" s="410">
        <v>-36207309.062439181</v>
      </c>
      <c r="S663" s="410">
        <v>-36950709.08497972</v>
      </c>
      <c r="T663" s="410">
        <v>-37794983.446862057</v>
      </c>
      <c r="U663" s="410">
        <v>-38722588.784722373</v>
      </c>
      <c r="V663" s="410">
        <v>-39680895.008469328</v>
      </c>
      <c r="W663" s="333"/>
    </row>
    <row r="664" spans="1:23" x14ac:dyDescent="0.2">
      <c r="A664" s="9"/>
      <c r="B664" s="315" t="s">
        <v>31</v>
      </c>
      <c r="C664" s="449">
        <v>0</v>
      </c>
      <c r="D664" s="410">
        <v>-1825188.5210389171</v>
      </c>
      <c r="E664" s="410">
        <v>-1836799.1600054437</v>
      </c>
      <c r="F664" s="410">
        <v>-3228796.4835970942</v>
      </c>
      <c r="G664" s="410">
        <v>-3252780.9896565378</v>
      </c>
      <c r="H664" s="410">
        <v>-3275274.6433507944</v>
      </c>
      <c r="I664" s="410">
        <v>-3316726.8578004502</v>
      </c>
      <c r="J664" s="410">
        <v>-3390560.5322441305</v>
      </c>
      <c r="K664" s="410">
        <v>-3466056.6838302393</v>
      </c>
      <c r="L664" s="410">
        <v>-3543253.1733886385</v>
      </c>
      <c r="M664" s="410">
        <v>-3622188.7335656406</v>
      </c>
      <c r="N664" s="410">
        <v>-3702902.9891115669</v>
      </c>
      <c r="O664" s="410">
        <v>-3785436.4776450521</v>
      </c>
      <c r="P664" s="410">
        <v>-3869830.6709054122</v>
      </c>
      <c r="Q664" s="410">
        <v>-3956127.9965046383</v>
      </c>
      <c r="R664" s="410">
        <v>-4044371.8601908833</v>
      </c>
      <c r="S664" s="410">
        <v>-4134606.6686355625</v>
      </c>
      <c r="T664" s="410">
        <v>-4226877.8527565002</v>
      </c>
      <c r="U664" s="410">
        <v>-4321231.8915898409</v>
      </c>
      <c r="V664" s="410">
        <v>-4417716.336723756</v>
      </c>
      <c r="W664" s="333"/>
    </row>
    <row r="665" spans="1:23" x14ac:dyDescent="0.2">
      <c r="A665" s="9"/>
      <c r="B665" s="315" t="s">
        <v>32</v>
      </c>
      <c r="C665" s="449">
        <v>0</v>
      </c>
      <c r="D665" s="410">
        <v>0</v>
      </c>
      <c r="E665" s="410">
        <v>0</v>
      </c>
      <c r="F665" s="410">
        <v>0</v>
      </c>
      <c r="G665" s="410">
        <v>0</v>
      </c>
      <c r="H665" s="410">
        <v>0</v>
      </c>
      <c r="I665" s="410">
        <v>-716642.86185084097</v>
      </c>
      <c r="J665" s="410">
        <v>-794341.36409506202</v>
      </c>
      <c r="K665" s="410">
        <v>-1064535.2703158646</v>
      </c>
      <c r="L665" s="410">
        <v>-962721.64363304619</v>
      </c>
      <c r="M665" s="410">
        <v>-1070694.486641027</v>
      </c>
      <c r="N665" s="410">
        <v>-1179450.9469789984</v>
      </c>
      <c r="O665" s="410">
        <v>-1306796.2882440556</v>
      </c>
      <c r="P665" s="410">
        <v>-1465262.4045976987</v>
      </c>
      <c r="Q665" s="410">
        <v>-1631065.7061464414</v>
      </c>
      <c r="R665" s="410">
        <v>-1806722.540659951</v>
      </c>
      <c r="S665" s="410">
        <v>-1983779.1278084759</v>
      </c>
      <c r="T665" s="410">
        <v>-1948966.2791772839</v>
      </c>
      <c r="U665" s="410">
        <v>-1667446.0665816106</v>
      </c>
      <c r="V665" s="410">
        <v>-1728833.9330197424</v>
      </c>
      <c r="W665" s="333"/>
    </row>
    <row r="666" spans="1:23" ht="13.5" thickBot="1" x14ac:dyDescent="0.25">
      <c r="A666" s="9"/>
      <c r="B666" s="316" t="s">
        <v>33</v>
      </c>
      <c r="C666" s="450">
        <v>0</v>
      </c>
      <c r="D666" s="412">
        <v>0</v>
      </c>
      <c r="E666" s="412">
        <v>0</v>
      </c>
      <c r="F666" s="412">
        <v>-1523108.3664765928</v>
      </c>
      <c r="G666" s="412">
        <v>-1278974.2128920599</v>
      </c>
      <c r="H666" s="412">
        <v>-1307832.5057000127</v>
      </c>
      <c r="I666" s="412">
        <v>-1345544.2965761041</v>
      </c>
      <c r="J666" s="412">
        <v>-1766113.1801269941</v>
      </c>
      <c r="K666" s="412">
        <v>-1542236.3704951964</v>
      </c>
      <c r="L666" s="412">
        <v>-1632817.8545393059</v>
      </c>
      <c r="M666" s="412">
        <v>-1553688.7238198349</v>
      </c>
      <c r="N666" s="412">
        <v>-1598187.6493861342</v>
      </c>
      <c r="O666" s="412">
        <v>-1639630.0486952839</v>
      </c>
      <c r="P666" s="412">
        <v>-1464533.6393341376</v>
      </c>
      <c r="Q666" s="412">
        <v>-1516897.568804126</v>
      </c>
      <c r="R666" s="412">
        <v>-1548244.8353072938</v>
      </c>
      <c r="S666" s="412">
        <v>-1644127.2381263722</v>
      </c>
      <c r="T666" s="412">
        <v>-1545650.1271504695</v>
      </c>
      <c r="U666" s="412">
        <v>-1702343.5638237388</v>
      </c>
      <c r="V666" s="412">
        <v>-926841.89708171145</v>
      </c>
      <c r="W666" s="333"/>
    </row>
    <row r="667" spans="1:23" ht="13.5" thickTop="1" x14ac:dyDescent="0.2">
      <c r="A667" s="9"/>
      <c r="B667" s="317" t="s">
        <v>38</v>
      </c>
      <c r="C667" s="451">
        <v>0</v>
      </c>
      <c r="D667" s="414">
        <v>60450602.752628163</v>
      </c>
      <c r="E667" s="414">
        <v>58127329.592207663</v>
      </c>
      <c r="F667" s="414">
        <v>55284791.774089508</v>
      </c>
      <c r="G667" s="414">
        <v>52802997.153299578</v>
      </c>
      <c r="H667" s="414">
        <v>51405657.653151639</v>
      </c>
      <c r="I667" s="414">
        <v>54547478.158179276</v>
      </c>
      <c r="J667" s="414">
        <v>60123303.512832239</v>
      </c>
      <c r="K667" s="414">
        <v>61952140.539762989</v>
      </c>
      <c r="L667" s="414">
        <v>63422722.967917889</v>
      </c>
      <c r="M667" s="414">
        <v>63412140.775176011</v>
      </c>
      <c r="N667" s="414">
        <v>64970430.620560765</v>
      </c>
      <c r="O667" s="414">
        <v>65125914.18659316</v>
      </c>
      <c r="P667" s="414">
        <v>65555588.810586102</v>
      </c>
      <c r="Q667" s="414">
        <v>68340535.349433556</v>
      </c>
      <c r="R667" s="414">
        <v>75376735.718932718</v>
      </c>
      <c r="S667" s="414">
        <v>73657930.980163589</v>
      </c>
      <c r="T667" s="414">
        <v>74461889.525921747</v>
      </c>
      <c r="U667" s="414">
        <v>79292697.142498419</v>
      </c>
      <c r="V667" s="414">
        <v>82719097.075613841</v>
      </c>
      <c r="W667" s="333"/>
    </row>
    <row r="668" spans="1:23" x14ac:dyDescent="0.2">
      <c r="A668" s="9"/>
      <c r="B668" s="315" t="s">
        <v>34</v>
      </c>
      <c r="C668" s="449">
        <v>0</v>
      </c>
      <c r="D668" s="410">
        <v>-3823941.674911805</v>
      </c>
      <c r="E668" s="410">
        <v>-3900420.5084100412</v>
      </c>
      <c r="F668" s="410">
        <v>-4047349.918578242</v>
      </c>
      <c r="G668" s="410">
        <v>-4128641.5219498067</v>
      </c>
      <c r="H668" s="410">
        <v>-4211567.5725138029</v>
      </c>
      <c r="I668" s="410">
        <v>-4296160.9745922042</v>
      </c>
      <c r="J668" s="410">
        <v>-4382455.2959778765</v>
      </c>
      <c r="K668" s="410">
        <v>-4470484.7813386088</v>
      </c>
      <c r="L668" s="410">
        <v>-4560284.3658925835</v>
      </c>
      <c r="M668" s="410">
        <v>-4651889.6893608188</v>
      </c>
      <c r="N668" s="410">
        <v>-4745337.1102021774</v>
      </c>
      <c r="O668" s="410">
        <v>-4840663.7201367179</v>
      </c>
      <c r="P668" s="410">
        <v>-4937907.3589632111</v>
      </c>
      <c r="Q668" s="410">
        <v>-5037106.6296768291</v>
      </c>
      <c r="R668" s="410">
        <v>-5138300.9138930766</v>
      </c>
      <c r="S668" s="410">
        <v>-5241530.3875842178</v>
      </c>
      <c r="T668" s="410">
        <v>-5346836.0371345133</v>
      </c>
      <c r="U668" s="410">
        <v>-5454259.6757207802</v>
      </c>
      <c r="V668" s="410">
        <v>-5563843.9600248616</v>
      </c>
      <c r="W668" s="333"/>
    </row>
    <row r="669" spans="1:23" x14ac:dyDescent="0.2">
      <c r="A669" s="9"/>
      <c r="B669" s="315" t="s">
        <v>35</v>
      </c>
      <c r="C669" s="449">
        <v>0</v>
      </c>
      <c r="D669" s="410">
        <v>-695592.31143923826</v>
      </c>
      <c r="E669" s="410">
        <v>-709213.75904706703</v>
      </c>
      <c r="F669" s="410">
        <v>-723133.51635750732</v>
      </c>
      <c r="G669" s="410">
        <v>-737367.86018316343</v>
      </c>
      <c r="H669" s="410">
        <v>-751940.98139187018</v>
      </c>
      <c r="I669" s="410">
        <v>-767475.72838574066</v>
      </c>
      <c r="J669" s="410">
        <v>-782784.56555551931</v>
      </c>
      <c r="K669" s="410">
        <v>-799107.37012358126</v>
      </c>
      <c r="L669" s="410">
        <v>-815191.40508521721</v>
      </c>
      <c r="M669" s="410">
        <v>-831685.58293837484</v>
      </c>
      <c r="N669" s="410">
        <v>-848578.91989557899</v>
      </c>
      <c r="O669" s="410">
        <v>-865897.96894410462</v>
      </c>
      <c r="P669" s="410">
        <v>-883656.92183846282</v>
      </c>
      <c r="Q669" s="410">
        <v>-901859.84855517989</v>
      </c>
      <c r="R669" s="410">
        <v>-920519.66873248655</v>
      </c>
      <c r="S669" s="410">
        <v>-939645.98441422591</v>
      </c>
      <c r="T669" s="410">
        <v>-959246.63272487244</v>
      </c>
      <c r="U669" s="410">
        <v>-979339.25730811618</v>
      </c>
      <c r="V669" s="410">
        <v>-999936.20676839934</v>
      </c>
      <c r="W669" s="333"/>
    </row>
    <row r="670" spans="1:23" ht="13.5" thickBot="1" x14ac:dyDescent="0.25">
      <c r="A670" s="9"/>
      <c r="B670" s="316" t="s">
        <v>36</v>
      </c>
      <c r="C670" s="450">
        <v>0</v>
      </c>
      <c r="D670" s="412">
        <v>-657011.69461646595</v>
      </c>
      <c r="E670" s="412">
        <v>-670874.64137287706</v>
      </c>
      <c r="F670" s="412">
        <v>-685566.79601894401</v>
      </c>
      <c r="G670" s="412">
        <v>-701060.60560896702</v>
      </c>
      <c r="H670" s="412">
        <v>-717745.84802246199</v>
      </c>
      <c r="I670" s="412">
        <v>-735732.63113018498</v>
      </c>
      <c r="J670" s="412">
        <v>-753980.85003889306</v>
      </c>
      <c r="K670" s="412">
        <v>-773065.66351075401</v>
      </c>
      <c r="L670" s="412">
        <v>-792160.38539946999</v>
      </c>
      <c r="M670" s="412">
        <v>-812360.47522715398</v>
      </c>
      <c r="N670" s="412">
        <v>-832019.59872765501</v>
      </c>
      <c r="O670" s="412">
        <v>-852986.49261558906</v>
      </c>
      <c r="P670" s="412">
        <v>-874652.34952802304</v>
      </c>
      <c r="Q670" s="412">
        <v>-896518.65826622397</v>
      </c>
      <c r="R670" s="412">
        <v>-919021.27658870595</v>
      </c>
      <c r="S670" s="412">
        <v>-941996.80850342498</v>
      </c>
      <c r="T670" s="412">
        <v>-965358.32935430901</v>
      </c>
      <c r="U670" s="412">
        <v>-989588.823421104</v>
      </c>
      <c r="V670" s="412">
        <v>-1014427.50288897</v>
      </c>
      <c r="W670" s="333"/>
    </row>
    <row r="671" spans="1:23" ht="13.5" thickTop="1" x14ac:dyDescent="0.2">
      <c r="A671" s="9"/>
      <c r="B671" s="317" t="s">
        <v>221</v>
      </c>
      <c r="C671" s="452">
        <v>0</v>
      </c>
      <c r="D671" s="416">
        <v>55274057.071660653</v>
      </c>
      <c r="E671" s="416">
        <v>52846820.683377676</v>
      </c>
      <c r="F671" s="416">
        <v>49828741.543134816</v>
      </c>
      <c r="G671" s="416">
        <v>47235927.165557638</v>
      </c>
      <c r="H671" s="416">
        <v>45724403.251223505</v>
      </c>
      <c r="I671" s="416">
        <v>48748108.824071154</v>
      </c>
      <c r="J671" s="416">
        <v>54204082.80125995</v>
      </c>
      <c r="K671" s="416">
        <v>55909482.724790044</v>
      </c>
      <c r="L671" s="416">
        <v>57255086.811540626</v>
      </c>
      <c r="M671" s="416">
        <v>57116205.027649663</v>
      </c>
      <c r="N671" s="416">
        <v>58544494.991735347</v>
      </c>
      <c r="O671" s="416">
        <v>58566366.004896753</v>
      </c>
      <c r="P671" s="416">
        <v>58859372.180256404</v>
      </c>
      <c r="Q671" s="416">
        <v>61505050.212935328</v>
      </c>
      <c r="R671" s="416">
        <v>68398893.859718457</v>
      </c>
      <c r="S671" s="416">
        <v>66534757.799661718</v>
      </c>
      <c r="T671" s="416">
        <v>67190448.526708052</v>
      </c>
      <c r="U671" s="416">
        <v>71869509.386048421</v>
      </c>
      <c r="V671" s="416">
        <v>75140889.405931622</v>
      </c>
      <c r="W671" s="333"/>
    </row>
    <row r="672" spans="1:23" x14ac:dyDescent="0.2">
      <c r="A672" s="9"/>
      <c r="B672" s="315" t="s">
        <v>37</v>
      </c>
      <c r="C672" s="449">
        <v>0</v>
      </c>
      <c r="D672" s="410">
        <v>-3441938.1990569998</v>
      </c>
      <c r="E672" s="410">
        <v>-5877737.6589121995</v>
      </c>
      <c r="F672" s="410">
        <v>-6266087.4678223999</v>
      </c>
      <c r="G672" s="410">
        <v>-6345796.2965719998</v>
      </c>
      <c r="H672" s="410">
        <v>-6231939.0057114996</v>
      </c>
      <c r="I672" s="410">
        <v>-4498514.4227202805</v>
      </c>
      <c r="J672" s="410">
        <v>-2680917.0459073605</v>
      </c>
      <c r="K672" s="410">
        <v>-2519655.5977036236</v>
      </c>
      <c r="L672" s="410">
        <v>-2620192.4501547031</v>
      </c>
      <c r="M672" s="410">
        <v>-2608450.180386764</v>
      </c>
      <c r="N672" s="410">
        <v>-2606053.8853047974</v>
      </c>
      <c r="O672" s="410">
        <v>-2736589.4111257922</v>
      </c>
      <c r="P672" s="410">
        <v>-2870456.9868748188</v>
      </c>
      <c r="Q672" s="410">
        <v>-2844880.3098963164</v>
      </c>
      <c r="R672" s="410">
        <v>-2823270.4726084592</v>
      </c>
      <c r="S672" s="410">
        <v>-2969737.1852019657</v>
      </c>
      <c r="T672" s="410">
        <v>-3120495.3841732782</v>
      </c>
      <c r="U672" s="410">
        <v>-3152091.8441137294</v>
      </c>
      <c r="V672" s="410">
        <v>-3177925.7928523952</v>
      </c>
      <c r="W672" s="333"/>
    </row>
    <row r="673" spans="1:23" ht="13.5" thickBot="1" x14ac:dyDescent="0.25">
      <c r="A673" s="9"/>
      <c r="B673" s="316" t="s">
        <v>222</v>
      </c>
      <c r="C673" s="450">
        <v>0</v>
      </c>
      <c r="D673" s="412">
        <v>-20732847.549041465</v>
      </c>
      <c r="E673" s="412">
        <v>-18787633.209786192</v>
      </c>
      <c r="F673" s="412">
        <v>-17425061.630124968</v>
      </c>
      <c r="G673" s="412">
        <v>-16356052.347594256</v>
      </c>
      <c r="H673" s="412">
        <v>-15796985.698204804</v>
      </c>
      <c r="I673" s="412">
        <v>-17699837.760540348</v>
      </c>
      <c r="J673" s="412">
        <v>-20609266.302141037</v>
      </c>
      <c r="K673" s="412">
        <v>-21355930.850834571</v>
      </c>
      <c r="L673" s="412">
        <v>-21853957.744554371</v>
      </c>
      <c r="M673" s="412">
        <v>-21803101.938905161</v>
      </c>
      <c r="N673" s="412">
        <v>-22375376.442572221</v>
      </c>
      <c r="O673" s="412">
        <v>-22331910.637508385</v>
      </c>
      <c r="P673" s="412">
        <v>-22395566.077352636</v>
      </c>
      <c r="Q673" s="412">
        <v>-23464067.961215604</v>
      </c>
      <c r="R673" s="412">
        <v>-26230249.354844</v>
      </c>
      <c r="S673" s="412">
        <v>-25426008.245783903</v>
      </c>
      <c r="T673" s="412">
        <v>-25627981.25701391</v>
      </c>
      <c r="U673" s="412">
        <v>-27486967.01677388</v>
      </c>
      <c r="V673" s="412">
        <v>-28785185.445231691</v>
      </c>
      <c r="W673" s="333"/>
    </row>
    <row r="674" spans="1:23" ht="13.5" thickTop="1" x14ac:dyDescent="0.2">
      <c r="A674" s="9"/>
      <c r="B674" s="317" t="s">
        <v>183</v>
      </c>
      <c r="C674" s="452">
        <v>0</v>
      </c>
      <c r="D674" s="416">
        <v>31099271.32356219</v>
      </c>
      <c r="E674" s="416">
        <v>28181449.814679287</v>
      </c>
      <c r="F674" s="416">
        <v>26137592.445187446</v>
      </c>
      <c r="G674" s="416">
        <v>24534078.521391384</v>
      </c>
      <c r="H674" s="416">
        <v>23695478.547307204</v>
      </c>
      <c r="I674" s="416">
        <v>26549756.640810523</v>
      </c>
      <c r="J674" s="416">
        <v>30913899.45321155</v>
      </c>
      <c r="K674" s="416">
        <v>32033896.276251853</v>
      </c>
      <c r="L674" s="416">
        <v>32780936.616831556</v>
      </c>
      <c r="M674" s="416">
        <v>32704652.908357736</v>
      </c>
      <c r="N674" s="416">
        <v>33563064.663858324</v>
      </c>
      <c r="O674" s="416">
        <v>33497865.956262574</v>
      </c>
      <c r="P674" s="416">
        <v>33593349.11602895</v>
      </c>
      <c r="Q674" s="416">
        <v>35196101.941823408</v>
      </c>
      <c r="R674" s="416">
        <v>39345374.032265991</v>
      </c>
      <c r="S674" s="416">
        <v>38139012.36867585</v>
      </c>
      <c r="T674" s="416">
        <v>38441971.885520861</v>
      </c>
      <c r="U674" s="416">
        <v>41230450.525160819</v>
      </c>
      <c r="V674" s="416">
        <v>43177778.167847529</v>
      </c>
      <c r="W674" s="333"/>
    </row>
    <row r="675" spans="1:23" x14ac:dyDescent="0.2">
      <c r="A675" s="9"/>
      <c r="B675" s="315" t="s">
        <v>37</v>
      </c>
      <c r="C675" s="449">
        <v>0</v>
      </c>
      <c r="D675" s="410">
        <v>3441938.1990569998</v>
      </c>
      <c r="E675" s="410">
        <v>5877737.6589121995</v>
      </c>
      <c r="F675" s="410">
        <v>6266087.4678223999</v>
      </c>
      <c r="G675" s="410">
        <v>6345796.2965719998</v>
      </c>
      <c r="H675" s="410">
        <v>6231939.0057114996</v>
      </c>
      <c r="I675" s="410">
        <v>4498514.4227202805</v>
      </c>
      <c r="J675" s="410">
        <v>2680917.0459073605</v>
      </c>
      <c r="K675" s="410">
        <v>2519655.5977036236</v>
      </c>
      <c r="L675" s="410">
        <v>2620192.4501547031</v>
      </c>
      <c r="M675" s="410">
        <v>2608450.180386764</v>
      </c>
      <c r="N675" s="410">
        <v>2606053.8853047974</v>
      </c>
      <c r="O675" s="410">
        <v>2736589.4111257922</v>
      </c>
      <c r="P675" s="410">
        <v>2870456.9868748188</v>
      </c>
      <c r="Q675" s="410">
        <v>2844880.3098963164</v>
      </c>
      <c r="R675" s="410">
        <v>2823270.4726084592</v>
      </c>
      <c r="S675" s="410">
        <v>2969737.1852019657</v>
      </c>
      <c r="T675" s="410">
        <v>3120495.3841732782</v>
      </c>
      <c r="U675" s="410">
        <v>3152091.8441137294</v>
      </c>
      <c r="V675" s="410">
        <v>3177925.7928523952</v>
      </c>
      <c r="W675" s="333"/>
    </row>
    <row r="676" spans="1:23" x14ac:dyDescent="0.2">
      <c r="A676" s="9"/>
      <c r="B676" s="315" t="s">
        <v>39</v>
      </c>
      <c r="C676" s="449">
        <v>0</v>
      </c>
      <c r="D676" s="410">
        <v>-2140736.38</v>
      </c>
      <c r="E676" s="410">
        <v>-2090891.7</v>
      </c>
      <c r="F676" s="410">
        <v>-3759535.24</v>
      </c>
      <c r="G676" s="410">
        <v>-1669261.97</v>
      </c>
      <c r="H676" s="410">
        <v>-2255300.8720000004</v>
      </c>
      <c r="I676" s="410">
        <v>-2322959.8981600003</v>
      </c>
      <c r="J676" s="410">
        <v>-2392648.6951048006</v>
      </c>
      <c r="K676" s="410">
        <v>-2464428.1559579447</v>
      </c>
      <c r="L676" s="410">
        <v>-2538361.0006366833</v>
      </c>
      <c r="M676" s="410">
        <v>-2614511.8306557839</v>
      </c>
      <c r="N676" s="410">
        <v>-2692947.1855754573</v>
      </c>
      <c r="O676" s="410">
        <v>-2773735.6011427213</v>
      </c>
      <c r="P676" s="410">
        <v>-2856947.6691770027</v>
      </c>
      <c r="Q676" s="410">
        <v>-2942656.0992523129</v>
      </c>
      <c r="R676" s="410">
        <v>-3030935.7822298822</v>
      </c>
      <c r="S676" s="410">
        <v>-3121863.8556967787</v>
      </c>
      <c r="T676" s="410">
        <v>-3215519.7713676821</v>
      </c>
      <c r="U676" s="410">
        <v>-3311985.3645087127</v>
      </c>
      <c r="V676" s="410">
        <v>-3411344.9254439743</v>
      </c>
      <c r="W676" s="333"/>
    </row>
    <row r="677" spans="1:23" ht="13.5" thickBot="1" x14ac:dyDescent="0.25">
      <c r="A677" s="9"/>
      <c r="B677" s="316" t="s">
        <v>40</v>
      </c>
      <c r="C677" s="450">
        <v>0</v>
      </c>
      <c r="D677" s="412">
        <v>-27587393.209999997</v>
      </c>
      <c r="E677" s="412">
        <v>-3755790.25</v>
      </c>
      <c r="F677" s="412">
        <v>0</v>
      </c>
      <c r="G677" s="412">
        <v>0</v>
      </c>
      <c r="H677" s="412">
        <v>0</v>
      </c>
      <c r="I677" s="412">
        <v>0</v>
      </c>
      <c r="J677" s="412">
        <v>0</v>
      </c>
      <c r="K677" s="412">
        <v>0</v>
      </c>
      <c r="L677" s="412">
        <v>0</v>
      </c>
      <c r="M677" s="412">
        <v>0</v>
      </c>
      <c r="N677" s="412">
        <v>0</v>
      </c>
      <c r="O677" s="412">
        <v>0</v>
      </c>
      <c r="P677" s="412">
        <v>0</v>
      </c>
      <c r="Q677" s="412">
        <v>0</v>
      </c>
      <c r="R677" s="412">
        <v>0</v>
      </c>
      <c r="S677" s="412">
        <v>0</v>
      </c>
      <c r="T677" s="412">
        <v>0</v>
      </c>
      <c r="U677" s="412">
        <v>0</v>
      </c>
      <c r="V677" s="412">
        <v>0</v>
      </c>
      <c r="W677" s="333"/>
    </row>
    <row r="678" spans="1:23" ht="13.5" thickTop="1" x14ac:dyDescent="0.2">
      <c r="A678" s="9"/>
      <c r="B678" s="315"/>
      <c r="C678" s="453"/>
      <c r="D678" s="333"/>
      <c r="E678" s="333"/>
      <c r="F678" s="333"/>
      <c r="G678" s="333"/>
      <c r="H678" s="333"/>
      <c r="I678" s="333"/>
      <c r="J678" s="333"/>
      <c r="K678" s="333"/>
      <c r="L678" s="333"/>
      <c r="M678" s="333"/>
      <c r="N678" s="333"/>
      <c r="O678" s="333"/>
      <c r="P678" s="333"/>
      <c r="Q678" s="333"/>
      <c r="R678" s="333"/>
      <c r="S678" s="333"/>
      <c r="T678" s="333"/>
      <c r="U678" s="333"/>
      <c r="V678" s="333"/>
      <c r="W678" s="333"/>
    </row>
    <row r="679" spans="1:23" x14ac:dyDescent="0.2">
      <c r="A679" s="9"/>
      <c r="B679" s="317" t="s">
        <v>234</v>
      </c>
      <c r="C679" s="452">
        <v>0</v>
      </c>
      <c r="D679" s="416">
        <v>4813079.9326191917</v>
      </c>
      <c r="E679" s="416">
        <v>28212505.523591485</v>
      </c>
      <c r="F679" s="416">
        <v>28644144.673009843</v>
      </c>
      <c r="G679" s="416">
        <v>29210612.847963385</v>
      </c>
      <c r="H679" s="416">
        <v>27672116.681018703</v>
      </c>
      <c r="I679" s="416">
        <v>28725311.165370803</v>
      </c>
      <c r="J679" s="416">
        <v>31202167.804014109</v>
      </c>
      <c r="K679" s="416">
        <v>32089123.717997529</v>
      </c>
      <c r="L679" s="416">
        <v>32862768.066349581</v>
      </c>
      <c r="M679" s="416">
        <v>32698591.258088715</v>
      </c>
      <c r="N679" s="416">
        <v>33476171.363587663</v>
      </c>
      <c r="O679" s="416">
        <v>33460719.766245648</v>
      </c>
      <c r="P679" s="416">
        <v>33606858.433726765</v>
      </c>
      <c r="Q679" s="416">
        <v>35098326.152467415</v>
      </c>
      <c r="R679" s="416">
        <v>39137708.722644567</v>
      </c>
      <c r="S679" s="416">
        <v>37986885.698181033</v>
      </c>
      <c r="T679" s="416">
        <v>38346947.498326458</v>
      </c>
      <c r="U679" s="416">
        <v>41070557.004765838</v>
      </c>
      <c r="V679" s="416">
        <v>42944359.035255946</v>
      </c>
      <c r="W679" s="414">
        <v>226013845.24510217</v>
      </c>
    </row>
    <row r="680" spans="1:23" x14ac:dyDescent="0.2">
      <c r="A680" s="9"/>
      <c r="B680" s="292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x14ac:dyDescent="0.2">
      <c r="A681" s="308" t="s">
        <v>219</v>
      </c>
      <c r="B681" s="306" t="s">
        <v>170</v>
      </c>
      <c r="C681" s="439">
        <v>90560308.522712961</v>
      </c>
      <c r="D681" s="9"/>
      <c r="E681" s="137" t="s">
        <v>220</v>
      </c>
      <c r="F681" s="319" t="s">
        <v>170</v>
      </c>
      <c r="G681" s="443">
        <v>90560308.522712961</v>
      </c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x14ac:dyDescent="0.2">
      <c r="A682" s="9"/>
      <c r="B682" s="306" t="s">
        <v>180</v>
      </c>
      <c r="C682" s="439">
        <v>162296450.18596491</v>
      </c>
      <c r="D682" s="9"/>
      <c r="E682" s="321"/>
      <c r="F682" s="319" t="s">
        <v>180</v>
      </c>
      <c r="G682" s="443">
        <v>162296450.18596491</v>
      </c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ht="13.5" thickBot="1" x14ac:dyDescent="0.25">
      <c r="A683" s="9"/>
      <c r="B683" s="322" t="s">
        <v>137</v>
      </c>
      <c r="C683" s="440">
        <v>35235276.475295231</v>
      </c>
      <c r="D683" s="323"/>
      <c r="E683" s="321"/>
      <c r="F683" s="319" t="s">
        <v>137</v>
      </c>
      <c r="G683" s="443">
        <v>35235276.475295231</v>
      </c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ht="14.25" thickTop="1" thickBot="1" x14ac:dyDescent="0.25">
      <c r="A684" s="9"/>
      <c r="B684" s="306" t="s">
        <v>28</v>
      </c>
      <c r="C684" s="438">
        <v>288092035.18397313</v>
      </c>
      <c r="D684" s="305"/>
      <c r="E684" s="321"/>
      <c r="F684" s="324" t="s">
        <v>204</v>
      </c>
      <c r="G684" s="325">
        <v>0</v>
      </c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ht="13.5" thickTop="1" x14ac:dyDescent="0.2">
      <c r="A685" s="9"/>
      <c r="B685" s="292"/>
      <c r="C685" s="326"/>
      <c r="D685" s="9"/>
      <c r="E685" s="327"/>
      <c r="F685" s="319" t="s">
        <v>28</v>
      </c>
      <c r="G685" s="368">
        <v>288092035.18397313</v>
      </c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 x14ac:dyDescent="0.2">
      <c r="A686" s="9"/>
      <c r="B686" s="292"/>
      <c r="C686" s="326"/>
      <c r="D686" s="9"/>
      <c r="E686" s="327"/>
      <c r="F686" s="319"/>
      <c r="G686" s="32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x14ac:dyDescent="0.2">
      <c r="A687" s="9"/>
      <c r="B687" s="292"/>
      <c r="C687" s="326"/>
      <c r="D687" s="9"/>
      <c r="E687" s="327"/>
      <c r="F687" s="319"/>
      <c r="G687" s="32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 x14ac:dyDescent="0.2">
      <c r="A688" s="9"/>
      <c r="B688" s="329" t="s">
        <v>223</v>
      </c>
      <c r="C688" s="326"/>
      <c r="D688" s="9"/>
      <c r="E688" s="327"/>
      <c r="F688" s="319"/>
      <c r="G688" s="32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 x14ac:dyDescent="0.2">
      <c r="A689" s="330" t="s">
        <v>225</v>
      </c>
      <c r="B689" s="329" t="s">
        <v>224</v>
      </c>
      <c r="C689" s="331"/>
      <c r="D689" s="332">
        <v>31099271.32356219</v>
      </c>
      <c r="E689" s="332">
        <v>28181449.814679287</v>
      </c>
      <c r="F689" s="332">
        <v>26137592.445187446</v>
      </c>
      <c r="G689" s="332">
        <v>24534078.521391384</v>
      </c>
      <c r="H689" s="332">
        <v>23695478.547307204</v>
      </c>
      <c r="I689" s="332">
        <v>26549756.640810523</v>
      </c>
      <c r="J689" s="332">
        <v>30913899.45321155</v>
      </c>
      <c r="K689" s="332">
        <v>32033896.276251853</v>
      </c>
      <c r="L689" s="332">
        <v>32780936.616831556</v>
      </c>
      <c r="M689" s="332">
        <v>32704652.908357736</v>
      </c>
      <c r="N689" s="332">
        <v>33563064.663858324</v>
      </c>
      <c r="O689" s="332">
        <v>33497865.956262574</v>
      </c>
      <c r="P689" s="332">
        <v>33593349.11602895</v>
      </c>
      <c r="Q689" s="332">
        <v>35196101.941823408</v>
      </c>
      <c r="R689" s="332">
        <v>39345374.032265991</v>
      </c>
      <c r="S689" s="332">
        <v>38139012.36867585</v>
      </c>
      <c r="T689" s="332">
        <v>38441971.885520861</v>
      </c>
      <c r="U689" s="332">
        <v>41230450.525160819</v>
      </c>
      <c r="V689" s="332">
        <v>43177778.167847529</v>
      </c>
      <c r="W689" s="9"/>
    </row>
    <row r="690" spans="1:23" x14ac:dyDescent="0.2">
      <c r="A690" s="9"/>
      <c r="B690" s="292" t="s">
        <v>226</v>
      </c>
      <c r="C690" s="326"/>
      <c r="D690" s="333">
        <v>20732847.549041465</v>
      </c>
      <c r="E690" s="333">
        <v>18787633.209786192</v>
      </c>
      <c r="F690" s="333">
        <v>17425061.630124968</v>
      </c>
      <c r="G690" s="333">
        <v>16356052.347594256</v>
      </c>
      <c r="H690" s="333">
        <v>15796985.698204804</v>
      </c>
      <c r="I690" s="333">
        <v>17699837.760540348</v>
      </c>
      <c r="J690" s="333">
        <v>20609266.302141037</v>
      </c>
      <c r="K690" s="333">
        <v>21355930.850834571</v>
      </c>
      <c r="L690" s="333">
        <v>21853957.744554371</v>
      </c>
      <c r="M690" s="333">
        <v>21803101.938905161</v>
      </c>
      <c r="N690" s="333">
        <v>22375376.442572221</v>
      </c>
      <c r="O690" s="333">
        <v>22331910.637508385</v>
      </c>
      <c r="P690" s="333">
        <v>22395566.077352636</v>
      </c>
      <c r="Q690" s="333">
        <v>23464067.961215604</v>
      </c>
      <c r="R690" s="333">
        <v>26230249.354844</v>
      </c>
      <c r="S690" s="333">
        <v>25426008.245783903</v>
      </c>
      <c r="T690" s="333">
        <v>25627981.25701391</v>
      </c>
      <c r="U690" s="333">
        <v>27486967.01677388</v>
      </c>
      <c r="V690" s="333">
        <v>28785185.445231691</v>
      </c>
      <c r="W690" s="9"/>
    </row>
    <row r="691" spans="1:23" x14ac:dyDescent="0.2">
      <c r="A691" s="9"/>
      <c r="B691" s="334" t="s">
        <v>227</v>
      </c>
      <c r="C691" s="335"/>
      <c r="D691" s="333">
        <v>3441938.1990569998</v>
      </c>
      <c r="E691" s="333">
        <v>5877737.6589121995</v>
      </c>
      <c r="F691" s="333">
        <v>6266087.4678223999</v>
      </c>
      <c r="G691" s="333">
        <v>6345796.2965719998</v>
      </c>
      <c r="H691" s="333">
        <v>6231939.0057114996</v>
      </c>
      <c r="I691" s="333">
        <v>4498514.4227202805</v>
      </c>
      <c r="J691" s="333">
        <v>2680917.0459073605</v>
      </c>
      <c r="K691" s="333">
        <v>2519655.5977036236</v>
      </c>
      <c r="L691" s="333">
        <v>2620192.4501547031</v>
      </c>
      <c r="M691" s="333">
        <v>2608450.180386764</v>
      </c>
      <c r="N691" s="333">
        <v>2606053.8853047974</v>
      </c>
      <c r="O691" s="333">
        <v>2736589.4111257922</v>
      </c>
      <c r="P691" s="333">
        <v>2870456.9868748188</v>
      </c>
      <c r="Q691" s="333">
        <v>2844880.3098963164</v>
      </c>
      <c r="R691" s="333">
        <v>2823270.4726084592</v>
      </c>
      <c r="S691" s="333">
        <v>2969737.1852019657</v>
      </c>
      <c r="T691" s="333">
        <v>3120495.3841732782</v>
      </c>
      <c r="U691" s="333">
        <v>3152091.8441137294</v>
      </c>
      <c r="V691" s="333">
        <v>3177925.7928523952</v>
      </c>
      <c r="W691" s="9"/>
    </row>
    <row r="692" spans="1:23" ht="13.5" thickBot="1" x14ac:dyDescent="0.25">
      <c r="A692" s="9"/>
      <c r="B692" s="336" t="s">
        <v>228</v>
      </c>
      <c r="C692" s="337"/>
      <c r="D692" s="338">
        <v>55274057.071660653</v>
      </c>
      <c r="E692" s="338">
        <v>52846820.683377676</v>
      </c>
      <c r="F692" s="338">
        <v>49828741.543134816</v>
      </c>
      <c r="G692" s="338">
        <v>47235927.165557638</v>
      </c>
      <c r="H692" s="338">
        <v>45724403.251223505</v>
      </c>
      <c r="I692" s="338">
        <v>48748108.824071154</v>
      </c>
      <c r="J692" s="338">
        <v>54204082.80125995</v>
      </c>
      <c r="K692" s="338">
        <v>55909482.724790044</v>
      </c>
      <c r="L692" s="338">
        <v>57255086.811540633</v>
      </c>
      <c r="M692" s="338">
        <v>57116205.027649663</v>
      </c>
      <c r="N692" s="338">
        <v>58544494.991735339</v>
      </c>
      <c r="O692" s="338">
        <v>58566366.004896753</v>
      </c>
      <c r="P692" s="338">
        <v>58859372.180256404</v>
      </c>
      <c r="Q692" s="338">
        <v>61505050.212935328</v>
      </c>
      <c r="R692" s="338">
        <v>68398893.859718457</v>
      </c>
      <c r="S692" s="338">
        <v>66534757.799661718</v>
      </c>
      <c r="T692" s="338">
        <v>67190448.526708052</v>
      </c>
      <c r="U692" s="338">
        <v>71869509.386048421</v>
      </c>
      <c r="V692" s="338">
        <v>75140889.405931622</v>
      </c>
      <c r="W692" s="9"/>
    </row>
    <row r="693" spans="1:23" ht="13.5" thickTop="1" x14ac:dyDescent="0.2">
      <c r="A693" s="330" t="s">
        <v>229</v>
      </c>
      <c r="B693" s="292" t="s">
        <v>230</v>
      </c>
      <c r="C693" s="326"/>
      <c r="D693" s="333">
        <v>-5117325.7095361836</v>
      </c>
      <c r="E693" s="333">
        <v>-5402298.0977363326</v>
      </c>
      <c r="F693" s="333">
        <v>-5563651.4658227339</v>
      </c>
      <c r="G693" s="333">
        <v>-5646743.8811986642</v>
      </c>
      <c r="H693" s="333">
        <v>-5759130.1718725096</v>
      </c>
      <c r="I693" s="333">
        <v>-5875278.16678051</v>
      </c>
      <c r="J693" s="333">
        <v>-5446499.5489713708</v>
      </c>
      <c r="K693" s="333">
        <v>-5155855.6305296468</v>
      </c>
      <c r="L693" s="333">
        <v>-5085898.6960967015</v>
      </c>
      <c r="M693" s="333">
        <v>-5199533.7951842891</v>
      </c>
      <c r="N693" s="333">
        <v>-5334181.1544630621</v>
      </c>
      <c r="O693" s="333">
        <v>-5472867.934520198</v>
      </c>
      <c r="P693" s="333">
        <v>-5144330.8838441288</v>
      </c>
      <c r="Q693" s="333">
        <v>-4647406.8869340029</v>
      </c>
      <c r="R693" s="333">
        <v>-3819977.345762454</v>
      </c>
      <c r="S693" s="333">
        <v>-3914454.4670427209</v>
      </c>
      <c r="T693" s="333">
        <v>-4071025.1251152549</v>
      </c>
      <c r="U693" s="333">
        <v>-4236624.393340691</v>
      </c>
      <c r="V693" s="333">
        <v>-4403595.0275677731</v>
      </c>
      <c r="W693" s="9"/>
    </row>
    <row r="694" spans="1:23" x14ac:dyDescent="0.2">
      <c r="A694" s="9"/>
      <c r="B694" s="292" t="s">
        <v>231</v>
      </c>
      <c r="C694" s="326"/>
      <c r="D694" s="333">
        <v>0</v>
      </c>
      <c r="E694" s="333">
        <v>0</v>
      </c>
      <c r="F694" s="333">
        <v>0</v>
      </c>
      <c r="G694" s="333">
        <v>0</v>
      </c>
      <c r="H694" s="333">
        <v>0</v>
      </c>
      <c r="I694" s="333">
        <v>0</v>
      </c>
      <c r="J694" s="333">
        <v>0</v>
      </c>
      <c r="K694" s="333">
        <v>0</v>
      </c>
      <c r="L694" s="333">
        <v>0</v>
      </c>
      <c r="M694" s="333">
        <v>0</v>
      </c>
      <c r="N694" s="333">
        <v>0</v>
      </c>
      <c r="O694" s="333">
        <v>0</v>
      </c>
      <c r="P694" s="333">
        <v>0</v>
      </c>
      <c r="Q694" s="333">
        <v>0</v>
      </c>
      <c r="R694" s="333">
        <v>0</v>
      </c>
      <c r="S694" s="333">
        <v>0</v>
      </c>
      <c r="T694" s="333">
        <v>0</v>
      </c>
      <c r="U694" s="333">
        <v>0</v>
      </c>
      <c r="V694" s="333">
        <v>0</v>
      </c>
      <c r="W694" s="9"/>
    </row>
    <row r="695" spans="1:23" x14ac:dyDescent="0.2">
      <c r="A695" s="9"/>
      <c r="B695" s="329" t="s">
        <v>232</v>
      </c>
      <c r="C695" s="331"/>
      <c r="D695" s="332">
        <v>50156731.362124473</v>
      </c>
      <c r="E695" s="332">
        <v>47444522.585641339</v>
      </c>
      <c r="F695" s="332">
        <v>44265090.077312082</v>
      </c>
      <c r="G695" s="332">
        <v>41589183.284358971</v>
      </c>
      <c r="H695" s="332">
        <v>39965273.079350993</v>
      </c>
      <c r="I695" s="332">
        <v>42872830.657290645</v>
      </c>
      <c r="J695" s="332">
        <v>48757583.25228858</v>
      </c>
      <c r="K695" s="332">
        <v>50753627.094260395</v>
      </c>
      <c r="L695" s="332">
        <v>52169188.11544393</v>
      </c>
      <c r="M695" s="332">
        <v>51916671.232465371</v>
      </c>
      <c r="N695" s="332">
        <v>53210313.837272279</v>
      </c>
      <c r="O695" s="332">
        <v>53093498.070376553</v>
      </c>
      <c r="P695" s="332">
        <v>53715041.296412274</v>
      </c>
      <c r="Q695" s="332">
        <v>56857643.326001324</v>
      </c>
      <c r="R695" s="332">
        <v>64578916.513956003</v>
      </c>
      <c r="S695" s="332">
        <v>62620303.332618997</v>
      </c>
      <c r="T695" s="332">
        <v>63119423.401592799</v>
      </c>
      <c r="U695" s="332">
        <v>67632884.992707729</v>
      </c>
      <c r="V695" s="332">
        <v>70737294.378363848</v>
      </c>
      <c r="W695" s="9"/>
    </row>
    <row r="696" spans="1:23" ht="13.5" thickBot="1" x14ac:dyDescent="0.25">
      <c r="A696" s="9"/>
      <c r="B696" s="339" t="s">
        <v>238</v>
      </c>
      <c r="C696" s="340"/>
      <c r="D696" s="341">
        <v>-20062692.544849791</v>
      </c>
      <c r="E696" s="341">
        <v>-18977809.034256537</v>
      </c>
      <c r="F696" s="341">
        <v>-17706036.030924834</v>
      </c>
      <c r="G696" s="341">
        <v>-16635673.313743589</v>
      </c>
      <c r="H696" s="341">
        <v>-15986109.231740398</v>
      </c>
      <c r="I696" s="341">
        <v>-17149132.262916259</v>
      </c>
      <c r="J696" s="341">
        <v>-19503033.300915431</v>
      </c>
      <c r="K696" s="341">
        <v>-20301450.837704159</v>
      </c>
      <c r="L696" s="341">
        <v>-20867675.246177573</v>
      </c>
      <c r="M696" s="341">
        <v>-20766668.49298615</v>
      </c>
      <c r="N696" s="341">
        <v>-21284125.534908913</v>
      </c>
      <c r="O696" s="341">
        <v>-21237399.228150621</v>
      </c>
      <c r="P696" s="341">
        <v>-21486016.51856491</v>
      </c>
      <c r="Q696" s="341">
        <v>-22743057.33040053</v>
      </c>
      <c r="R696" s="341">
        <v>-25831566.605582401</v>
      </c>
      <c r="S696" s="341">
        <v>-25048121.333047599</v>
      </c>
      <c r="T696" s="341">
        <v>-25247769.360637121</v>
      </c>
      <c r="U696" s="341">
        <v>-27053153.997083094</v>
      </c>
      <c r="V696" s="341">
        <v>-28294917.751345541</v>
      </c>
      <c r="W696" s="9"/>
    </row>
    <row r="697" spans="1:23" ht="13.5" thickTop="1" x14ac:dyDescent="0.2">
      <c r="A697" s="9"/>
      <c r="B697" s="329" t="s">
        <v>233</v>
      </c>
      <c r="C697" s="331"/>
      <c r="D697" s="332">
        <v>30094038.817274682</v>
      </c>
      <c r="E697" s="332">
        <v>28466713.551384803</v>
      </c>
      <c r="F697" s="332">
        <v>26559054.046387248</v>
      </c>
      <c r="G697" s="332">
        <v>24953509.97061538</v>
      </c>
      <c r="H697" s="332">
        <v>23979163.847610593</v>
      </c>
      <c r="I697" s="332">
        <v>25723698.394374385</v>
      </c>
      <c r="J697" s="332">
        <v>29254549.951373149</v>
      </c>
      <c r="K697" s="332">
        <v>30452176.256556235</v>
      </c>
      <c r="L697" s="332">
        <v>31301512.869266357</v>
      </c>
      <c r="M697" s="332">
        <v>31150002.739479221</v>
      </c>
      <c r="N697" s="332">
        <v>31926188.302363366</v>
      </c>
      <c r="O697" s="332">
        <v>31856098.842225932</v>
      </c>
      <c r="P697" s="332">
        <v>32229024.777847365</v>
      </c>
      <c r="Q697" s="332">
        <v>34114585.99560079</v>
      </c>
      <c r="R697" s="332">
        <v>38747349.908373602</v>
      </c>
      <c r="S697" s="332">
        <v>37572181.999571398</v>
      </c>
      <c r="T697" s="332">
        <v>37871654.040955678</v>
      </c>
      <c r="U697" s="332">
        <v>40579730.995624632</v>
      </c>
      <c r="V697" s="332">
        <v>42442376.627018303</v>
      </c>
      <c r="W697" s="9"/>
    </row>
    <row r="698" spans="1:23" x14ac:dyDescent="0.2">
      <c r="A698" s="9"/>
      <c r="B698" s="9"/>
      <c r="C698" s="326"/>
      <c r="D698" s="9"/>
      <c r="E698" s="327"/>
      <c r="F698" s="319"/>
      <c r="G698" s="32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 ht="15.75" x14ac:dyDescent="0.25">
      <c r="A699" s="342" t="s">
        <v>206</v>
      </c>
      <c r="B699" s="343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x14ac:dyDescent="0.2">
      <c r="A700" s="290" t="s">
        <v>191</v>
      </c>
      <c r="B700" s="309"/>
      <c r="C700" s="344">
        <v>0</v>
      </c>
      <c r="D700" s="283"/>
      <c r="E700" s="283"/>
      <c r="F700" s="283"/>
      <c r="G700" s="283"/>
      <c r="H700" s="283"/>
      <c r="I700" s="283"/>
      <c r="J700" s="283"/>
      <c r="K700" s="283"/>
      <c r="L700" s="283"/>
      <c r="M700" s="283"/>
      <c r="N700" s="283"/>
      <c r="O700" s="283"/>
      <c r="P700" s="283"/>
      <c r="Q700" s="283"/>
      <c r="R700" s="283"/>
      <c r="S700" s="283"/>
      <c r="T700" s="283"/>
      <c r="U700" s="283"/>
      <c r="V700" s="283"/>
      <c r="W700" s="283"/>
    </row>
    <row r="701" spans="1:23" x14ac:dyDescent="0.2">
      <c r="A701" s="290" t="s">
        <v>192</v>
      </c>
      <c r="B701" s="309"/>
      <c r="C701" s="345">
        <v>0</v>
      </c>
      <c r="D701" s="283"/>
      <c r="E701" s="283"/>
      <c r="F701" s="283"/>
      <c r="G701" s="283"/>
      <c r="H701" s="283"/>
      <c r="I701" s="283"/>
      <c r="J701" s="283"/>
      <c r="K701" s="283"/>
      <c r="L701" s="283"/>
      <c r="M701" s="283"/>
      <c r="N701" s="283"/>
      <c r="O701" s="283"/>
      <c r="P701" s="283"/>
      <c r="Q701" s="283"/>
      <c r="R701" s="283"/>
      <c r="S701" s="283"/>
      <c r="T701" s="283"/>
      <c r="U701" s="283"/>
      <c r="V701" s="283"/>
      <c r="W701" s="283"/>
    </row>
    <row r="702" spans="1:23" x14ac:dyDescent="0.2">
      <c r="A702" s="290" t="s">
        <v>202</v>
      </c>
      <c r="B702" s="309"/>
      <c r="C702" s="290">
        <v>15</v>
      </c>
      <c r="D702" s="283"/>
      <c r="E702" s="283"/>
      <c r="F702" s="283"/>
      <c r="G702" s="283"/>
      <c r="H702" s="283"/>
      <c r="I702" s="283"/>
      <c r="J702" s="283"/>
      <c r="K702" s="283"/>
      <c r="L702" s="283"/>
      <c r="M702" s="283"/>
      <c r="N702" s="283"/>
      <c r="O702" s="283"/>
      <c r="P702" s="283"/>
      <c r="Q702" s="283"/>
      <c r="R702" s="283"/>
      <c r="S702" s="283"/>
      <c r="T702" s="283"/>
      <c r="U702" s="283"/>
      <c r="V702" s="283"/>
      <c r="W702" s="283"/>
    </row>
    <row r="703" spans="1:23" x14ac:dyDescent="0.2">
      <c r="A703" s="290" t="s">
        <v>193</v>
      </c>
      <c r="B703" s="309"/>
      <c r="C703" s="345">
        <v>0</v>
      </c>
      <c r="D703" s="283"/>
      <c r="E703" s="283"/>
      <c r="F703" s="283"/>
      <c r="G703" s="283"/>
      <c r="H703" s="283"/>
      <c r="I703" s="283"/>
      <c r="J703" s="283"/>
      <c r="K703" s="283"/>
      <c r="L703" s="283"/>
      <c r="M703" s="283"/>
      <c r="N703" s="283"/>
      <c r="O703" s="283"/>
      <c r="P703" s="283"/>
      <c r="Q703" s="283"/>
      <c r="R703" s="283"/>
      <c r="S703" s="283"/>
      <c r="T703" s="283"/>
      <c r="U703" s="283"/>
      <c r="V703" s="283"/>
      <c r="W703" s="283"/>
    </row>
    <row r="704" spans="1:23" x14ac:dyDescent="0.2">
      <c r="A704" s="290" t="s">
        <v>194</v>
      </c>
      <c r="B704" s="309"/>
      <c r="C704" s="346">
        <v>8.7499999999999994E-2</v>
      </c>
      <c r="D704" s="283"/>
      <c r="E704" s="283"/>
      <c r="F704" s="283"/>
      <c r="G704" s="283"/>
      <c r="H704" s="283"/>
      <c r="I704" s="283"/>
      <c r="J704" s="283"/>
      <c r="K704" s="283"/>
      <c r="L704" s="283"/>
      <c r="M704" s="283"/>
      <c r="N704" s="283"/>
      <c r="O704" s="283"/>
      <c r="P704" s="283"/>
      <c r="Q704" s="283"/>
      <c r="R704" s="283"/>
      <c r="S704" s="283"/>
      <c r="T704" s="283"/>
      <c r="U704" s="283"/>
      <c r="V704" s="283"/>
      <c r="W704" s="283"/>
    </row>
    <row r="705" spans="1:23" x14ac:dyDescent="0.2">
      <c r="A705" s="290"/>
      <c r="B705" s="309"/>
      <c r="C705" s="283"/>
      <c r="D705" s="312">
        <v>2001</v>
      </c>
      <c r="E705" s="312">
        <v>2002</v>
      </c>
      <c r="F705" s="312">
        <v>2003</v>
      </c>
      <c r="G705" s="312">
        <v>2004</v>
      </c>
      <c r="H705" s="312">
        <v>2005</v>
      </c>
      <c r="I705" s="312">
        <v>2006</v>
      </c>
      <c r="J705" s="312">
        <v>2007</v>
      </c>
      <c r="K705" s="312">
        <v>2008</v>
      </c>
      <c r="L705" s="312">
        <v>2009</v>
      </c>
      <c r="M705" s="312">
        <v>2010</v>
      </c>
      <c r="N705" s="312">
        <v>2011</v>
      </c>
      <c r="O705" s="312">
        <v>2012</v>
      </c>
      <c r="P705" s="312">
        <v>2013</v>
      </c>
      <c r="Q705" s="312">
        <v>2014</v>
      </c>
      <c r="R705" s="312">
        <v>2015</v>
      </c>
      <c r="S705" s="312">
        <v>2016</v>
      </c>
      <c r="T705" s="312">
        <v>2017</v>
      </c>
      <c r="U705" s="312">
        <v>2018</v>
      </c>
      <c r="V705" s="312">
        <v>2019</v>
      </c>
      <c r="W705" s="312" t="s">
        <v>154</v>
      </c>
    </row>
    <row r="706" spans="1:23" x14ac:dyDescent="0.2">
      <c r="A706" s="290" t="s">
        <v>195</v>
      </c>
      <c r="B706" s="309"/>
      <c r="C706" s="283"/>
      <c r="D706" s="347">
        <v>0</v>
      </c>
      <c r="E706" s="347">
        <v>0</v>
      </c>
      <c r="F706" s="347">
        <v>0</v>
      </c>
      <c r="G706" s="347">
        <v>0</v>
      </c>
      <c r="H706" s="347">
        <v>0</v>
      </c>
      <c r="I706" s="347">
        <v>0</v>
      </c>
      <c r="J706" s="347">
        <v>0</v>
      </c>
      <c r="K706" s="347">
        <v>0</v>
      </c>
      <c r="L706" s="347">
        <v>0</v>
      </c>
      <c r="M706" s="347">
        <v>0</v>
      </c>
      <c r="N706" s="347">
        <v>0</v>
      </c>
      <c r="O706" s="347">
        <v>0</v>
      </c>
      <c r="P706" s="347">
        <v>0</v>
      </c>
      <c r="Q706" s="347">
        <v>0</v>
      </c>
      <c r="R706" s="347">
        <v>0</v>
      </c>
      <c r="S706" s="347">
        <v>0</v>
      </c>
      <c r="T706" s="347">
        <v>0</v>
      </c>
      <c r="U706" s="347">
        <v>0</v>
      </c>
      <c r="V706" s="347">
        <v>0</v>
      </c>
      <c r="W706" s="347">
        <v>0</v>
      </c>
    </row>
    <row r="707" spans="1:23" x14ac:dyDescent="0.2">
      <c r="A707" s="290" t="s">
        <v>196</v>
      </c>
      <c r="B707" s="309"/>
      <c r="C707" s="283"/>
      <c r="D707" s="347">
        <v>0</v>
      </c>
      <c r="E707" s="347">
        <v>0</v>
      </c>
      <c r="F707" s="347">
        <v>0</v>
      </c>
      <c r="G707" s="347">
        <v>0</v>
      </c>
      <c r="H707" s="347">
        <v>0</v>
      </c>
      <c r="I707" s="347">
        <v>0</v>
      </c>
      <c r="J707" s="347">
        <v>0</v>
      </c>
      <c r="K707" s="347">
        <v>0</v>
      </c>
      <c r="L707" s="347">
        <v>0</v>
      </c>
      <c r="M707" s="347">
        <v>0</v>
      </c>
      <c r="N707" s="347">
        <v>0</v>
      </c>
      <c r="O707" s="347">
        <v>0</v>
      </c>
      <c r="P707" s="347">
        <v>0</v>
      </c>
      <c r="Q707" s="347">
        <v>0</v>
      </c>
      <c r="R707" s="347">
        <v>0</v>
      </c>
      <c r="S707" s="347">
        <v>0</v>
      </c>
      <c r="T707" s="347">
        <v>0</v>
      </c>
      <c r="U707" s="347">
        <v>0</v>
      </c>
      <c r="V707" s="347">
        <v>0</v>
      </c>
      <c r="W707" s="347">
        <v>0</v>
      </c>
    </row>
    <row r="708" spans="1:23" x14ac:dyDescent="0.2">
      <c r="A708" s="290" t="s">
        <v>197</v>
      </c>
      <c r="B708" s="309"/>
      <c r="C708" s="283"/>
      <c r="D708" s="347">
        <v>0</v>
      </c>
      <c r="E708" s="347">
        <v>0</v>
      </c>
      <c r="F708" s="347">
        <v>0</v>
      </c>
      <c r="G708" s="347">
        <v>0</v>
      </c>
      <c r="H708" s="347">
        <v>0</v>
      </c>
      <c r="I708" s="347">
        <v>0</v>
      </c>
      <c r="J708" s="347">
        <v>0</v>
      </c>
      <c r="K708" s="347">
        <v>0</v>
      </c>
      <c r="L708" s="347">
        <v>0</v>
      </c>
      <c r="M708" s="347">
        <v>0</v>
      </c>
      <c r="N708" s="347">
        <v>0</v>
      </c>
      <c r="O708" s="347">
        <v>0</v>
      </c>
      <c r="P708" s="347">
        <v>0</v>
      </c>
      <c r="Q708" s="347">
        <v>0</v>
      </c>
      <c r="R708" s="347">
        <v>0</v>
      </c>
      <c r="S708" s="347">
        <v>0</v>
      </c>
      <c r="T708" s="347">
        <v>0</v>
      </c>
      <c r="U708" s="347">
        <v>0</v>
      </c>
      <c r="V708" s="347">
        <v>0</v>
      </c>
      <c r="W708" s="347">
        <v>0</v>
      </c>
    </row>
    <row r="709" spans="1:23" x14ac:dyDescent="0.2">
      <c r="A709" s="290" t="s">
        <v>198</v>
      </c>
      <c r="B709" s="309"/>
      <c r="C709" s="283"/>
      <c r="D709" s="348">
        <v>0</v>
      </c>
      <c r="E709" s="348">
        <v>0</v>
      </c>
      <c r="F709" s="348">
        <v>0</v>
      </c>
      <c r="G709" s="348">
        <v>0</v>
      </c>
      <c r="H709" s="348">
        <v>0</v>
      </c>
      <c r="I709" s="348">
        <v>0</v>
      </c>
      <c r="J709" s="348">
        <v>0</v>
      </c>
      <c r="K709" s="348">
        <v>0</v>
      </c>
      <c r="L709" s="348">
        <v>0</v>
      </c>
      <c r="M709" s="348">
        <v>0</v>
      </c>
      <c r="N709" s="348">
        <v>0</v>
      </c>
      <c r="O709" s="348">
        <v>0</v>
      </c>
      <c r="P709" s="348">
        <v>0</v>
      </c>
      <c r="Q709" s="348">
        <v>0</v>
      </c>
      <c r="R709" s="348">
        <v>0</v>
      </c>
      <c r="S709" s="348">
        <v>0</v>
      </c>
      <c r="T709" s="348">
        <v>0</v>
      </c>
      <c r="U709" s="348">
        <v>0</v>
      </c>
      <c r="V709" s="348">
        <v>0</v>
      </c>
      <c r="W709" s="348">
        <v>0</v>
      </c>
    </row>
    <row r="710" spans="1:23" ht="13.5" thickBot="1" x14ac:dyDescent="0.25">
      <c r="A710" s="290" t="s">
        <v>199</v>
      </c>
      <c r="B710" s="309"/>
      <c r="C710" s="283"/>
      <c r="D710" s="349">
        <v>0</v>
      </c>
      <c r="E710" s="349">
        <v>0</v>
      </c>
      <c r="F710" s="349">
        <v>0</v>
      </c>
      <c r="G710" s="349">
        <v>0</v>
      </c>
      <c r="H710" s="349">
        <v>0</v>
      </c>
      <c r="I710" s="349">
        <v>0</v>
      </c>
      <c r="J710" s="349">
        <v>0</v>
      </c>
      <c r="K710" s="349">
        <v>0</v>
      </c>
      <c r="L710" s="349">
        <v>0</v>
      </c>
      <c r="M710" s="349">
        <v>0</v>
      </c>
      <c r="N710" s="349">
        <v>0</v>
      </c>
      <c r="O710" s="349">
        <v>0</v>
      </c>
      <c r="P710" s="349">
        <v>0</v>
      </c>
      <c r="Q710" s="349">
        <v>0</v>
      </c>
      <c r="R710" s="349">
        <v>0</v>
      </c>
      <c r="S710" s="349">
        <v>0</v>
      </c>
      <c r="T710" s="349">
        <v>0</v>
      </c>
      <c r="U710" s="349">
        <v>0</v>
      </c>
      <c r="V710" s="349">
        <v>0</v>
      </c>
      <c r="W710" s="349">
        <v>0</v>
      </c>
    </row>
    <row r="711" spans="1:23" ht="13.5" thickTop="1" x14ac:dyDescent="0.2">
      <c r="A711" s="290"/>
      <c r="B711" s="309"/>
      <c r="C711" s="283"/>
      <c r="D711" s="347"/>
      <c r="E711" s="347"/>
      <c r="F711" s="347"/>
      <c r="G711" s="347"/>
      <c r="H711" s="347"/>
      <c r="I711" s="347"/>
      <c r="J711" s="347"/>
      <c r="K711" s="347"/>
      <c r="L711" s="347"/>
      <c r="M711" s="347"/>
      <c r="N711" s="347"/>
      <c r="O711" s="347"/>
      <c r="P711" s="347"/>
      <c r="Q711" s="347"/>
      <c r="R711" s="347"/>
      <c r="S711" s="347"/>
      <c r="T711" s="347"/>
      <c r="U711" s="347"/>
      <c r="V711" s="347"/>
      <c r="W711" s="347"/>
    </row>
    <row r="712" spans="1:23" x14ac:dyDescent="0.2">
      <c r="A712" s="290" t="s">
        <v>200</v>
      </c>
      <c r="B712" s="309"/>
      <c r="C712" s="283"/>
      <c r="D712" s="347">
        <v>0</v>
      </c>
      <c r="E712" s="347">
        <v>0</v>
      </c>
      <c r="F712" s="347">
        <v>0</v>
      </c>
      <c r="G712" s="347">
        <v>0</v>
      </c>
      <c r="H712" s="347">
        <v>0</v>
      </c>
      <c r="I712" s="347">
        <v>0</v>
      </c>
      <c r="J712" s="347">
        <v>0</v>
      </c>
      <c r="K712" s="347">
        <v>0</v>
      </c>
      <c r="L712" s="347">
        <v>0</v>
      </c>
      <c r="M712" s="347">
        <v>0</v>
      </c>
      <c r="N712" s="347">
        <v>0</v>
      </c>
      <c r="O712" s="347">
        <v>0</v>
      </c>
      <c r="P712" s="347">
        <v>0</v>
      </c>
      <c r="Q712" s="347">
        <v>0</v>
      </c>
      <c r="R712" s="347">
        <v>0</v>
      </c>
      <c r="S712" s="347">
        <v>0</v>
      </c>
      <c r="T712" s="347">
        <v>0</v>
      </c>
      <c r="U712" s="347">
        <v>0</v>
      </c>
      <c r="V712" s="347">
        <v>0</v>
      </c>
      <c r="W712" s="347">
        <v>0</v>
      </c>
    </row>
    <row r="713" spans="1:23" x14ac:dyDescent="0.2">
      <c r="A713" s="290"/>
      <c r="B713" s="309"/>
      <c r="C713" s="283"/>
      <c r="D713" s="283"/>
      <c r="E713" s="283"/>
      <c r="F713" s="283"/>
      <c r="G713" s="283"/>
      <c r="H713" s="283"/>
      <c r="I713" s="283"/>
      <c r="J713" s="283"/>
      <c r="K713" s="283"/>
      <c r="L713" s="283"/>
      <c r="M713" s="283"/>
      <c r="N713" s="283"/>
      <c r="O713" s="283"/>
      <c r="P713" s="283"/>
      <c r="Q713" s="283"/>
      <c r="R713" s="283"/>
      <c r="S713" s="283"/>
      <c r="T713" s="283"/>
      <c r="U713" s="283"/>
      <c r="V713" s="283"/>
      <c r="W713" s="283"/>
    </row>
    <row r="714" spans="1:23" x14ac:dyDescent="0.2">
      <c r="A714" s="290" t="s">
        <v>201</v>
      </c>
      <c r="B714" s="309"/>
      <c r="C714" s="283"/>
      <c r="D714" s="347">
        <v>0</v>
      </c>
      <c r="E714" s="347">
        <v>0</v>
      </c>
      <c r="F714" s="347">
        <v>0</v>
      </c>
      <c r="G714" s="347">
        <v>0</v>
      </c>
      <c r="H714" s="347">
        <v>0</v>
      </c>
      <c r="I714" s="347">
        <v>0</v>
      </c>
      <c r="J714" s="347">
        <v>0</v>
      </c>
      <c r="K714" s="347">
        <v>0</v>
      </c>
      <c r="L714" s="347">
        <v>0</v>
      </c>
      <c r="M714" s="347">
        <v>0</v>
      </c>
      <c r="N714" s="347">
        <v>0</v>
      </c>
      <c r="O714" s="347">
        <v>0</v>
      </c>
      <c r="P714" s="347">
        <v>0</v>
      </c>
      <c r="Q714" s="347">
        <v>0</v>
      </c>
      <c r="R714" s="347">
        <v>0</v>
      </c>
      <c r="S714" s="347">
        <v>0</v>
      </c>
      <c r="T714" s="347">
        <v>0</v>
      </c>
      <c r="U714" s="347">
        <v>0</v>
      </c>
      <c r="V714" s="347">
        <v>0</v>
      </c>
      <c r="W714" s="347">
        <v>0</v>
      </c>
    </row>
    <row r="715" spans="1:23" x14ac:dyDescent="0.2">
      <c r="A715" s="283"/>
      <c r="B715" s="309"/>
      <c r="C715" s="283"/>
      <c r="D715" s="283"/>
      <c r="E715" s="283"/>
      <c r="F715" s="283"/>
      <c r="G715" s="283"/>
      <c r="H715" s="283"/>
      <c r="I715" s="283"/>
      <c r="J715" s="283"/>
      <c r="K715" s="283"/>
      <c r="L715" s="283"/>
      <c r="M715" s="283"/>
      <c r="N715" s="283"/>
      <c r="O715" s="283"/>
      <c r="P715" s="283"/>
      <c r="Q715" s="283"/>
      <c r="R715" s="283"/>
      <c r="S715" s="283"/>
      <c r="T715" s="283"/>
      <c r="U715" s="283"/>
      <c r="V715" s="283"/>
      <c r="W715" s="283"/>
    </row>
    <row r="716" spans="1:23" x14ac:dyDescent="0.2">
      <c r="A716" s="283"/>
      <c r="B716" s="309"/>
      <c r="C716" s="283"/>
      <c r="D716" s="283"/>
      <c r="E716" s="283"/>
      <c r="F716" s="283"/>
      <c r="G716" s="283"/>
      <c r="H716" s="283"/>
      <c r="I716" s="283"/>
      <c r="J716" s="283"/>
      <c r="K716" s="283"/>
      <c r="L716" s="283"/>
      <c r="M716" s="283"/>
      <c r="N716" s="283"/>
      <c r="O716" s="283"/>
      <c r="P716" s="283"/>
      <c r="Q716" s="283"/>
      <c r="R716" s="283"/>
      <c r="S716" s="283"/>
      <c r="T716" s="283"/>
      <c r="U716" s="283"/>
      <c r="V716" s="283"/>
      <c r="W716" s="283"/>
    </row>
    <row r="717" spans="1:23" x14ac:dyDescent="0.2">
      <c r="A717" s="290" t="s">
        <v>203</v>
      </c>
      <c r="B717" s="285"/>
      <c r="C717" s="284"/>
      <c r="D717" s="441">
        <v>4813079.9326191917</v>
      </c>
      <c r="E717" s="441">
        <v>28212505.523591485</v>
      </c>
      <c r="F717" s="441">
        <v>28644144.673009843</v>
      </c>
      <c r="G717" s="441">
        <v>29210612.847963385</v>
      </c>
      <c r="H717" s="441">
        <v>27672116.681018703</v>
      </c>
      <c r="I717" s="441">
        <v>28725311.165370803</v>
      </c>
      <c r="J717" s="441">
        <v>31202167.804014109</v>
      </c>
      <c r="K717" s="441">
        <v>32089123.717997529</v>
      </c>
      <c r="L717" s="441">
        <v>32862768.066349581</v>
      </c>
      <c r="M717" s="441">
        <v>32698591.258088715</v>
      </c>
      <c r="N717" s="441">
        <v>33476171.363587663</v>
      </c>
      <c r="O717" s="441">
        <v>33460719.766245648</v>
      </c>
      <c r="P717" s="441">
        <v>33606858.433726765</v>
      </c>
      <c r="Q717" s="441">
        <v>35098326.152467415</v>
      </c>
      <c r="R717" s="441">
        <v>39137708.722644567</v>
      </c>
      <c r="S717" s="441">
        <v>37986885.698181033</v>
      </c>
      <c r="T717" s="441">
        <v>38346947.498326458</v>
      </c>
      <c r="U717" s="441">
        <v>41070557.004765838</v>
      </c>
      <c r="V717" s="441">
        <v>42944359.035255946</v>
      </c>
      <c r="W717" s="441">
        <v>226013845.24510217</v>
      </c>
    </row>
    <row r="718" spans="1:23" x14ac:dyDescent="0.2">
      <c r="A718" s="9"/>
      <c r="B718" s="6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x14ac:dyDescent="0.2">
      <c r="B719" s="354"/>
      <c r="C719" s="355"/>
      <c r="D719" s="355"/>
      <c r="E719" s="355"/>
      <c r="F719" s="355"/>
      <c r="G719" s="355"/>
      <c r="H719" s="355"/>
      <c r="I719" s="355"/>
      <c r="J719" s="355"/>
      <c r="K719" s="355"/>
      <c r="L719" s="355"/>
      <c r="M719" s="355"/>
      <c r="N719" s="355"/>
      <c r="O719" s="355"/>
      <c r="P719" s="355"/>
      <c r="Q719" s="355"/>
      <c r="R719" s="355"/>
      <c r="S719" s="355"/>
      <c r="T719" s="355"/>
      <c r="U719" s="355"/>
      <c r="V719" s="355"/>
      <c r="W719" s="300"/>
    </row>
    <row r="720" spans="1:23" x14ac:dyDescent="0.2">
      <c r="B720" s="354"/>
      <c r="C720" s="355"/>
      <c r="D720" s="355"/>
      <c r="E720" s="355"/>
      <c r="F720" s="355"/>
      <c r="G720" s="355"/>
      <c r="H720" s="355"/>
      <c r="I720" s="355"/>
      <c r="J720" s="355"/>
      <c r="K720" s="355"/>
      <c r="L720" s="355"/>
      <c r="M720" s="355"/>
      <c r="N720" s="355"/>
      <c r="O720" s="355"/>
      <c r="P720" s="355"/>
      <c r="Q720" s="355"/>
      <c r="R720" s="355"/>
      <c r="S720" s="355"/>
      <c r="T720" s="355"/>
      <c r="U720" s="355"/>
      <c r="V720" s="355"/>
      <c r="W720" s="300"/>
    </row>
    <row r="721" spans="1:23" x14ac:dyDescent="0.2">
      <c r="B721" s="354"/>
      <c r="C721" s="355"/>
      <c r="D721" s="355"/>
      <c r="E721" s="355"/>
      <c r="F721" s="355"/>
      <c r="G721" s="355"/>
      <c r="H721" s="355"/>
      <c r="I721" s="355"/>
      <c r="J721" s="355"/>
      <c r="K721" s="355"/>
      <c r="L721" s="355"/>
      <c r="M721" s="355"/>
      <c r="N721" s="355"/>
      <c r="O721" s="355"/>
      <c r="P721" s="355"/>
      <c r="Q721" s="355"/>
      <c r="R721" s="355"/>
      <c r="S721" s="355"/>
      <c r="T721" s="355"/>
      <c r="U721" s="355"/>
      <c r="V721" s="355"/>
      <c r="W721" s="300"/>
    </row>
    <row r="722" spans="1:23" x14ac:dyDescent="0.2">
      <c r="B722" s="354"/>
      <c r="C722" s="300"/>
      <c r="D722" s="300"/>
      <c r="E722" s="300"/>
      <c r="F722" s="300"/>
      <c r="G722" s="300"/>
      <c r="H722" s="300"/>
      <c r="I722" s="300"/>
      <c r="J722" s="300"/>
      <c r="K722" s="300"/>
      <c r="L722" s="300"/>
      <c r="M722" s="300"/>
      <c r="N722" s="300"/>
      <c r="O722" s="300"/>
      <c r="P722" s="300"/>
      <c r="Q722" s="300"/>
      <c r="R722" s="300"/>
      <c r="S722" s="300"/>
      <c r="T722" s="300"/>
      <c r="U722" s="300"/>
      <c r="V722" s="300"/>
      <c r="W722" s="300"/>
    </row>
    <row r="723" spans="1:23" x14ac:dyDescent="0.2">
      <c r="B723" s="356"/>
      <c r="C723" s="359"/>
      <c r="D723" s="359"/>
      <c r="E723" s="359"/>
      <c r="F723" s="359"/>
      <c r="G723" s="359"/>
      <c r="H723" s="359"/>
      <c r="I723" s="359"/>
      <c r="J723" s="359"/>
      <c r="K723" s="359"/>
      <c r="L723" s="359"/>
      <c r="M723" s="359"/>
      <c r="N723" s="359"/>
      <c r="O723" s="359"/>
      <c r="P723" s="359"/>
      <c r="Q723" s="359"/>
      <c r="R723" s="359"/>
      <c r="S723" s="359"/>
      <c r="T723" s="359"/>
      <c r="U723" s="359"/>
      <c r="V723" s="359"/>
      <c r="W723" s="358"/>
    </row>
    <row r="724" spans="1:23" x14ac:dyDescent="0.2">
      <c r="B724" s="295"/>
    </row>
    <row r="725" spans="1:23" x14ac:dyDescent="0.2">
      <c r="A725" s="45"/>
      <c r="B725" s="306"/>
      <c r="C725" s="318"/>
      <c r="E725" s="367"/>
      <c r="F725" s="319"/>
      <c r="G725" s="320"/>
    </row>
    <row r="726" spans="1:23" ht="15.75" x14ac:dyDescent="0.25">
      <c r="A726" s="308" t="s">
        <v>29</v>
      </c>
      <c r="B726" s="311" t="s">
        <v>65</v>
      </c>
      <c r="C726" s="312">
        <v>2000</v>
      </c>
      <c r="D726" s="312">
        <v>2001</v>
      </c>
      <c r="E726" s="312">
        <v>2002</v>
      </c>
      <c r="F726" s="312">
        <v>2003</v>
      </c>
      <c r="G726" s="312">
        <v>2004</v>
      </c>
      <c r="H726" s="312">
        <v>2005</v>
      </c>
      <c r="I726" s="312">
        <v>2006</v>
      </c>
      <c r="J726" s="312">
        <v>2007</v>
      </c>
      <c r="K726" s="312">
        <v>2008</v>
      </c>
      <c r="L726" s="312">
        <v>2009</v>
      </c>
      <c r="M726" s="312">
        <v>2010</v>
      </c>
      <c r="N726" s="312">
        <v>2011</v>
      </c>
      <c r="O726" s="312">
        <v>2012</v>
      </c>
      <c r="P726" s="312">
        <v>2013</v>
      </c>
      <c r="Q726" s="312">
        <v>2014</v>
      </c>
      <c r="R726" s="312">
        <v>2015</v>
      </c>
      <c r="S726" s="312">
        <v>2016</v>
      </c>
      <c r="T726" s="312">
        <v>2017</v>
      </c>
      <c r="U726" s="312">
        <v>2018</v>
      </c>
      <c r="V726" s="312">
        <v>2019</v>
      </c>
      <c r="W726" s="312" t="s">
        <v>154</v>
      </c>
    </row>
    <row r="727" spans="1:23" x14ac:dyDescent="0.2">
      <c r="A727" s="308" t="s">
        <v>26</v>
      </c>
      <c r="B727" s="309">
        <v>320</v>
      </c>
      <c r="C727" s="314"/>
      <c r="D727" s="314"/>
      <c r="E727" s="314"/>
      <c r="F727" s="314"/>
      <c r="G727" s="314"/>
      <c r="H727" s="314"/>
      <c r="I727" s="314"/>
      <c r="J727" s="314"/>
      <c r="K727" s="314"/>
      <c r="L727" s="314"/>
      <c r="M727" s="314"/>
      <c r="N727" s="314"/>
      <c r="O727" s="314"/>
      <c r="P727" s="314"/>
      <c r="Q727" s="314"/>
      <c r="R727" s="314"/>
      <c r="S727" s="314"/>
      <c r="T727" s="314"/>
      <c r="U727" s="314"/>
      <c r="V727" s="314"/>
      <c r="W727" s="314"/>
    </row>
    <row r="728" spans="1:23" x14ac:dyDescent="0.2">
      <c r="A728" s="9"/>
      <c r="B728" s="315" t="s">
        <v>27</v>
      </c>
      <c r="C728" s="449">
        <v>0</v>
      </c>
      <c r="D728" s="410">
        <v>97761596.57045725</v>
      </c>
      <c r="E728" s="410">
        <v>95306770.49344258</v>
      </c>
      <c r="F728" s="410">
        <v>95481016.868777022</v>
      </c>
      <c r="G728" s="410">
        <v>93007560.856729954</v>
      </c>
      <c r="H728" s="410">
        <v>92164333.947335243</v>
      </c>
      <c r="I728" s="410">
        <v>97303869.848439291</v>
      </c>
      <c r="J728" s="410">
        <v>104659204.31502497</v>
      </c>
      <c r="K728" s="410">
        <v>107477887.8472838</v>
      </c>
      <c r="L728" s="410">
        <v>109697246.76186836</v>
      </c>
      <c r="M728" s="410">
        <v>110090757.31206192</v>
      </c>
      <c r="N728" s="410">
        <v>112497339.03028451</v>
      </c>
      <c r="O728" s="410">
        <v>113714414.99297293</v>
      </c>
      <c r="P728" s="410">
        <v>115082782.61365563</v>
      </c>
      <c r="Q728" s="410">
        <v>119195637.38681769</v>
      </c>
      <c r="R728" s="410">
        <v>127603875.76651932</v>
      </c>
      <c r="S728" s="410">
        <v>126947287.96963879</v>
      </c>
      <c r="T728" s="410">
        <v>128670946.7321043</v>
      </c>
      <c r="U728" s="410">
        <v>134813883.22636998</v>
      </c>
      <c r="V728" s="410">
        <v>138853889.35138714</v>
      </c>
      <c r="W728" s="333"/>
    </row>
    <row r="729" spans="1:23" x14ac:dyDescent="0.2">
      <c r="A729" s="9"/>
      <c r="B729" s="315" t="s">
        <v>20</v>
      </c>
      <c r="C729" s="449">
        <v>0</v>
      </c>
      <c r="D729" s="410">
        <v>-30373840.689466059</v>
      </c>
      <c r="E729" s="410">
        <v>-30397688.814112399</v>
      </c>
      <c r="F729" s="410">
        <v>-30492241.877435759</v>
      </c>
      <c r="G729" s="410">
        <v>-30908271.027903508</v>
      </c>
      <c r="H729" s="410">
        <v>-31496921.860518694</v>
      </c>
      <c r="I729" s="410">
        <v>-32395788.189564805</v>
      </c>
      <c r="J729" s="410">
        <v>-33143010.754768696</v>
      </c>
      <c r="K729" s="410">
        <v>-33855639.682694606</v>
      </c>
      <c r="L729" s="410">
        <v>-34416056.606597528</v>
      </c>
      <c r="M729" s="410">
        <v>-34699724.432276763</v>
      </c>
      <c r="N729" s="410">
        <v>-35174810.384227395</v>
      </c>
      <c r="O729" s="410">
        <v>-35940482.889312848</v>
      </c>
      <c r="P729" s="410">
        <v>-36759198.971557871</v>
      </c>
      <c r="Q729" s="410">
        <v>-37543321.416524909</v>
      </c>
      <c r="R729" s="410">
        <v>-38078369.673090652</v>
      </c>
      <c r="S729" s="410">
        <v>-38860185.875572488</v>
      </c>
      <c r="T729" s="410">
        <v>-39748089.232373409</v>
      </c>
      <c r="U729" s="410">
        <v>-40723629.803611808</v>
      </c>
      <c r="V729" s="410">
        <v>-41731457.769642979</v>
      </c>
      <c r="W729" s="333"/>
    </row>
    <row r="730" spans="1:23" x14ac:dyDescent="0.2">
      <c r="A730" s="9"/>
      <c r="B730" s="315" t="s">
        <v>31</v>
      </c>
      <c r="C730" s="449">
        <v>0</v>
      </c>
      <c r="D730" s="410">
        <v>-1658054.6788386307</v>
      </c>
      <c r="E730" s="410">
        <v>-1668602.1231386841</v>
      </c>
      <c r="F730" s="410">
        <v>-3047519.6023330307</v>
      </c>
      <c r="G730" s="410">
        <v>-3070468.1692063403</v>
      </c>
      <c r="H730" s="410">
        <v>-3092014.0915968255</v>
      </c>
      <c r="I730" s="410">
        <v>-3131464.1113086436</v>
      </c>
      <c r="J730" s="410">
        <v>-3201498.0910968971</v>
      </c>
      <c r="K730" s="410">
        <v>-3273116.3465020331</v>
      </c>
      <c r="L730" s="410">
        <v>-3346355.1222280739</v>
      </c>
      <c r="M730" s="410">
        <v>-3421251.5012330799</v>
      </c>
      <c r="N730" s="410">
        <v>-3497843.4243157124</v>
      </c>
      <c r="O730" s="410">
        <v>-3576169.7101638219</v>
      </c>
      <c r="P730" s="410">
        <v>-3656270.075876039</v>
      </c>
      <c r="Q730" s="410">
        <v>-3738185.1579676303</v>
      </c>
      <c r="R730" s="410">
        <v>-3821956.5338721508</v>
      </c>
      <c r="S730" s="410">
        <v>-3907626.7439506762</v>
      </c>
      <c r="T730" s="410">
        <v>-3995239.314020725</v>
      </c>
      <c r="U730" s="410">
        <v>-4084838.7784172297</v>
      </c>
      <c r="V730" s="410">
        <v>-4176470.7035982236</v>
      </c>
      <c r="W730" s="333"/>
    </row>
    <row r="731" spans="1:23" x14ac:dyDescent="0.2">
      <c r="A731" s="9"/>
      <c r="B731" s="315" t="s">
        <v>32</v>
      </c>
      <c r="C731" s="449">
        <v>0</v>
      </c>
      <c r="D731" s="410">
        <v>0</v>
      </c>
      <c r="E731" s="410">
        <v>0</v>
      </c>
      <c r="F731" s="410">
        <v>0</v>
      </c>
      <c r="G731" s="410">
        <v>0</v>
      </c>
      <c r="H731" s="410">
        <v>0</v>
      </c>
      <c r="I731" s="410">
        <v>-615561.16228822758</v>
      </c>
      <c r="J731" s="410">
        <v>-682300.37493591104</v>
      </c>
      <c r="K731" s="410">
        <v>-950618.49372763932</v>
      </c>
      <c r="L731" s="410">
        <v>-826930.79839555267</v>
      </c>
      <c r="M731" s="410">
        <v>-919674.18882841617</v>
      </c>
      <c r="N731" s="410">
        <v>-1013090.6682155086</v>
      </c>
      <c r="O731" s="410">
        <v>-1122474.0870060874</v>
      </c>
      <c r="P731" s="410">
        <v>-1258588.7292618174</v>
      </c>
      <c r="Q731" s="410">
        <v>-1401005.654686816</v>
      </c>
      <c r="R731" s="410">
        <v>-1551886.2829229664</v>
      </c>
      <c r="S731" s="410">
        <v>-1703969.2302008495</v>
      </c>
      <c r="T731" s="410">
        <v>-1674066.6961678788</v>
      </c>
      <c r="U731" s="410">
        <v>-1432254.6046813782</v>
      </c>
      <c r="V731" s="410">
        <v>-1484983.7790395189</v>
      </c>
      <c r="W731" s="333"/>
    </row>
    <row r="732" spans="1:23" ht="13.5" thickBot="1" x14ac:dyDescent="0.25">
      <c r="A732" s="9"/>
      <c r="B732" s="316" t="s">
        <v>33</v>
      </c>
      <c r="C732" s="450">
        <v>0</v>
      </c>
      <c r="D732" s="412">
        <v>0</v>
      </c>
      <c r="E732" s="412">
        <v>0</v>
      </c>
      <c r="F732" s="412">
        <v>-1569780.6667775183</v>
      </c>
      <c r="G732" s="412">
        <v>-1318165.5599131028</v>
      </c>
      <c r="H732" s="412">
        <v>-1347908.1515258872</v>
      </c>
      <c r="I732" s="412">
        <v>-1386775.5371497946</v>
      </c>
      <c r="J732" s="412">
        <v>-1820231.8275735909</v>
      </c>
      <c r="K732" s="412">
        <v>-1589494.8063379929</v>
      </c>
      <c r="L732" s="412">
        <v>-1682851.9603988</v>
      </c>
      <c r="M732" s="412">
        <v>-1601298.0917993626</v>
      </c>
      <c r="N732" s="412">
        <v>-1647160.5889031896</v>
      </c>
      <c r="O732" s="412">
        <v>-1689872.8992366104</v>
      </c>
      <c r="P732" s="412">
        <v>-1509411.0461689059</v>
      </c>
      <c r="Q732" s="412">
        <v>-1563379.552893508</v>
      </c>
      <c r="R732" s="412">
        <v>-1595687.3873168919</v>
      </c>
      <c r="S732" s="412">
        <v>-1694507.8951299686</v>
      </c>
      <c r="T732" s="412">
        <v>-1593013.1700450538</v>
      </c>
      <c r="U732" s="412">
        <v>-1754508.1318708088</v>
      </c>
      <c r="V732" s="412">
        <v>-955242.92507431994</v>
      </c>
      <c r="W732" s="333"/>
    </row>
    <row r="733" spans="1:23" ht="13.5" thickTop="1" x14ac:dyDescent="0.2">
      <c r="A733" s="9"/>
      <c r="B733" s="317" t="s">
        <v>38</v>
      </c>
      <c r="C733" s="451">
        <v>0</v>
      </c>
      <c r="D733" s="414">
        <v>65729701.202152558</v>
      </c>
      <c r="E733" s="414">
        <v>63240479.556191504</v>
      </c>
      <c r="F733" s="414">
        <v>60371474.72223071</v>
      </c>
      <c r="G733" s="414">
        <v>57710656.099706993</v>
      </c>
      <c r="H733" s="414">
        <v>56227489.843693838</v>
      </c>
      <c r="I733" s="414">
        <v>59774280.84812782</v>
      </c>
      <c r="J733" s="414">
        <v>65812163.26664988</v>
      </c>
      <c r="K733" s="414">
        <v>67809018.518021524</v>
      </c>
      <c r="L733" s="414">
        <v>69425052.274248406</v>
      </c>
      <c r="M733" s="414">
        <v>69448809.097924277</v>
      </c>
      <c r="N733" s="414">
        <v>71164433.964622706</v>
      </c>
      <c r="O733" s="414">
        <v>71385415.407253563</v>
      </c>
      <c r="P733" s="414">
        <v>71899313.79079099</v>
      </c>
      <c r="Q733" s="414">
        <v>74949745.604744837</v>
      </c>
      <c r="R733" s="414">
        <v>82555975.889316648</v>
      </c>
      <c r="S733" s="414">
        <v>80780998.224784806</v>
      </c>
      <c r="T733" s="414">
        <v>81660538.319497228</v>
      </c>
      <c r="U733" s="414">
        <v>86818651.907788754</v>
      </c>
      <c r="V733" s="414">
        <v>90505734.174032092</v>
      </c>
      <c r="W733" s="333"/>
    </row>
    <row r="734" spans="1:23" x14ac:dyDescent="0.2">
      <c r="A734" s="9"/>
      <c r="B734" s="315" t="s">
        <v>34</v>
      </c>
      <c r="C734" s="449">
        <v>0</v>
      </c>
      <c r="D734" s="410">
        <v>-4712996.9325145325</v>
      </c>
      <c r="E734" s="410">
        <v>-4807256.871164823</v>
      </c>
      <c r="F734" s="410">
        <v>-4972323.0085881194</v>
      </c>
      <c r="G734" s="410">
        <v>-5072114.0737598827</v>
      </c>
      <c r="H734" s="410">
        <v>-5173909.5753600802</v>
      </c>
      <c r="I734" s="410">
        <v>-5277749.8174954066</v>
      </c>
      <c r="J734" s="410">
        <v>-5383675.9157391423</v>
      </c>
      <c r="K734" s="410">
        <v>-5491729.8134950995</v>
      </c>
      <c r="L734" s="410">
        <v>-5601954.2986922041</v>
      </c>
      <c r="M734" s="410">
        <v>-5714393.0208164323</v>
      </c>
      <c r="N734" s="410">
        <v>-5829090.5082869036</v>
      </c>
      <c r="O734" s="410">
        <v>-5946092.1861831388</v>
      </c>
      <c r="P734" s="410">
        <v>-6065444.3943305602</v>
      </c>
      <c r="Q734" s="410">
        <v>-6187194.4057515245</v>
      </c>
      <c r="R734" s="410">
        <v>-6311390.445489266</v>
      </c>
      <c r="S734" s="410">
        <v>-6438081.709812331</v>
      </c>
      <c r="T734" s="410">
        <v>-6567318.3858071892</v>
      </c>
      <c r="U734" s="410">
        <v>-6699151.6713669095</v>
      </c>
      <c r="V734" s="410">
        <v>-6833633.795583914</v>
      </c>
      <c r="W734" s="333"/>
    </row>
    <row r="735" spans="1:23" x14ac:dyDescent="0.2">
      <c r="A735" s="9"/>
      <c r="B735" s="315" t="s">
        <v>35</v>
      </c>
      <c r="C735" s="449">
        <v>0</v>
      </c>
      <c r="D735" s="410">
        <v>-695592.31143923826</v>
      </c>
      <c r="E735" s="410">
        <v>-709213.75904706703</v>
      </c>
      <c r="F735" s="410">
        <v>-723133.51635750732</v>
      </c>
      <c r="G735" s="410">
        <v>-737367.86018316343</v>
      </c>
      <c r="H735" s="410">
        <v>-751940.98139187018</v>
      </c>
      <c r="I735" s="410">
        <v>-767475.72838574066</v>
      </c>
      <c r="J735" s="410">
        <v>-783396.23767347389</v>
      </c>
      <c r="K735" s="410">
        <v>-799092.57314886758</v>
      </c>
      <c r="L735" s="410">
        <v>-815819.43590521172</v>
      </c>
      <c r="M735" s="410">
        <v>-832313.61375836935</v>
      </c>
      <c r="N735" s="410">
        <v>-849206.9507155735</v>
      </c>
      <c r="O735" s="410">
        <v>-866525.99976409914</v>
      </c>
      <c r="P735" s="410">
        <v>-884284.95265845733</v>
      </c>
      <c r="Q735" s="410">
        <v>-902487.87937517441</v>
      </c>
      <c r="R735" s="410">
        <v>-921147.69955248106</v>
      </c>
      <c r="S735" s="410">
        <v>-940274.01523422042</v>
      </c>
      <c r="T735" s="410">
        <v>-959874.66354486695</v>
      </c>
      <c r="U735" s="410">
        <v>-979967.2881281107</v>
      </c>
      <c r="V735" s="410">
        <v>-1000564.2375883939</v>
      </c>
      <c r="W735" s="333"/>
    </row>
    <row r="736" spans="1:23" ht="13.5" thickBot="1" x14ac:dyDescent="0.25">
      <c r="A736" s="9"/>
      <c r="B736" s="316" t="s">
        <v>36</v>
      </c>
      <c r="C736" s="450">
        <v>0</v>
      </c>
      <c r="D736" s="412">
        <v>-657011.69461646595</v>
      </c>
      <c r="E736" s="412">
        <v>-670874.64137287706</v>
      </c>
      <c r="F736" s="412">
        <v>-685566.79601894401</v>
      </c>
      <c r="G736" s="412">
        <v>-701060.60560896702</v>
      </c>
      <c r="H736" s="412">
        <v>-717745.84802246199</v>
      </c>
      <c r="I736" s="412">
        <v>-735732.63113018498</v>
      </c>
      <c r="J736" s="412">
        <v>-753980.85003889306</v>
      </c>
      <c r="K736" s="412">
        <v>-773065.66351075401</v>
      </c>
      <c r="L736" s="412">
        <v>-792160.38539946999</v>
      </c>
      <c r="M736" s="412">
        <v>-812360.47522715398</v>
      </c>
      <c r="N736" s="412">
        <v>-832019.59872765501</v>
      </c>
      <c r="O736" s="412">
        <v>-852986.49261558906</v>
      </c>
      <c r="P736" s="412">
        <v>-874652.34952802304</v>
      </c>
      <c r="Q736" s="412">
        <v>-896518.65826622397</v>
      </c>
      <c r="R736" s="412">
        <v>-919021.27658870595</v>
      </c>
      <c r="S736" s="412">
        <v>-941996.80850342498</v>
      </c>
      <c r="T736" s="412">
        <v>-965358.32935430901</v>
      </c>
      <c r="U736" s="412">
        <v>-989588.823421104</v>
      </c>
      <c r="V736" s="412">
        <v>-1014427.50288897</v>
      </c>
      <c r="W736" s="333"/>
    </row>
    <row r="737" spans="1:23" ht="13.5" thickTop="1" x14ac:dyDescent="0.2">
      <c r="A737" s="9"/>
      <c r="B737" s="317" t="s">
        <v>221</v>
      </c>
      <c r="C737" s="452">
        <v>0</v>
      </c>
      <c r="D737" s="416">
        <v>59664100.263582319</v>
      </c>
      <c r="E737" s="416">
        <v>57053134.28460674</v>
      </c>
      <c r="F737" s="416">
        <v>53990451.401266143</v>
      </c>
      <c r="G737" s="416">
        <v>51200113.560154974</v>
      </c>
      <c r="H737" s="416">
        <v>49583893.438919425</v>
      </c>
      <c r="I737" s="416">
        <v>52993322.671116486</v>
      </c>
      <c r="J737" s="416">
        <v>58891110.263198368</v>
      </c>
      <c r="K737" s="416">
        <v>60745130.467866801</v>
      </c>
      <c r="L737" s="416">
        <v>62215118.154251523</v>
      </c>
      <c r="M737" s="416">
        <v>62089741.988122322</v>
      </c>
      <c r="N737" s="416">
        <v>63654116.906892575</v>
      </c>
      <c r="O737" s="416">
        <v>63719810.728690736</v>
      </c>
      <c r="P737" s="416">
        <v>64074932.094273947</v>
      </c>
      <c r="Q737" s="416">
        <v>66963544.661351912</v>
      </c>
      <c r="R737" s="416">
        <v>74404416.467686191</v>
      </c>
      <c r="S737" s="416">
        <v>72460645.691234842</v>
      </c>
      <c r="T737" s="416">
        <v>73167986.940790862</v>
      </c>
      <c r="U737" s="416">
        <v>78149944.124872625</v>
      </c>
      <c r="V737" s="416">
        <v>81657108.63797082</v>
      </c>
      <c r="W737" s="333"/>
    </row>
    <row r="738" spans="1:23" x14ac:dyDescent="0.2">
      <c r="A738" s="9"/>
      <c r="B738" s="315" t="s">
        <v>37</v>
      </c>
      <c r="C738" s="449">
        <v>0</v>
      </c>
      <c r="D738" s="410">
        <v>-4804319.869399</v>
      </c>
      <c r="E738" s="410">
        <v>-6492054.9141273992</v>
      </c>
      <c r="F738" s="410">
        <v>-6517620.5654608998</v>
      </c>
      <c r="G738" s="410">
        <v>-6660545.6649592994</v>
      </c>
      <c r="H738" s="410">
        <v>-5999973.8414612003</v>
      </c>
      <c r="I738" s="410">
        <v>-4459776.1983774994</v>
      </c>
      <c r="J738" s="410">
        <v>-3772298.7757747001</v>
      </c>
      <c r="K738" s="410">
        <v>-3952014.4475989994</v>
      </c>
      <c r="L738" s="410">
        <v>-4201247.2218108997</v>
      </c>
      <c r="M738" s="410">
        <v>-4335295.9199423194</v>
      </c>
      <c r="N738" s="410">
        <v>-4471702.103696702</v>
      </c>
      <c r="O738" s="410">
        <v>-4748077.2956081927</v>
      </c>
      <c r="P738" s="410">
        <v>-5033130.1301406845</v>
      </c>
      <c r="Q738" s="410">
        <v>-5163274.2697091503</v>
      </c>
      <c r="R738" s="410">
        <v>-5302056.873464671</v>
      </c>
      <c r="S738" s="410">
        <v>-5613727.8003328582</v>
      </c>
      <c r="T738" s="410">
        <v>-5934646.34000709</v>
      </c>
      <c r="U738" s="410">
        <v>-6141507.9508715486</v>
      </c>
      <c r="V738" s="410">
        <v>-6347865.0050619412</v>
      </c>
      <c r="W738" s="333"/>
    </row>
    <row r="739" spans="1:23" ht="13.5" thickBot="1" x14ac:dyDescent="0.25">
      <c r="A739" s="9"/>
      <c r="B739" s="316" t="s">
        <v>222</v>
      </c>
      <c r="C739" s="450">
        <v>0</v>
      </c>
      <c r="D739" s="412">
        <v>-21943912.157673329</v>
      </c>
      <c r="E739" s="412">
        <v>-20224431.748191737</v>
      </c>
      <c r="F739" s="412">
        <v>-18989132.334322099</v>
      </c>
      <c r="G739" s="412">
        <v>-17815827.158078272</v>
      </c>
      <c r="H739" s="412">
        <v>-17433567.838983294</v>
      </c>
      <c r="I739" s="412">
        <v>-19413418.589095596</v>
      </c>
      <c r="J739" s="412">
        <v>-22047524.594969466</v>
      </c>
      <c r="K739" s="412">
        <v>-22717246.408107121</v>
      </c>
      <c r="L739" s="412">
        <v>-23205548.372976251</v>
      </c>
      <c r="M739" s="412">
        <v>-23101778.427272003</v>
      </c>
      <c r="N739" s="412">
        <v>-23672965.92127835</v>
      </c>
      <c r="O739" s="412">
        <v>-23588693.37323302</v>
      </c>
      <c r="P739" s="412">
        <v>-23616720.785653308</v>
      </c>
      <c r="Q739" s="412">
        <v>-24720108.156657107</v>
      </c>
      <c r="R739" s="412">
        <v>-27640943.83768861</v>
      </c>
      <c r="S739" s="412">
        <v>-26738767.156360794</v>
      </c>
      <c r="T739" s="412">
        <v>-26893336.240313508</v>
      </c>
      <c r="U739" s="412">
        <v>-28803374.469600435</v>
      </c>
      <c r="V739" s="412">
        <v>-30123697.453163553</v>
      </c>
      <c r="W739" s="333"/>
    </row>
    <row r="740" spans="1:23" ht="13.5" thickTop="1" x14ac:dyDescent="0.2">
      <c r="A740" s="9"/>
      <c r="B740" s="317" t="s">
        <v>183</v>
      </c>
      <c r="C740" s="452">
        <v>0</v>
      </c>
      <c r="D740" s="416">
        <v>32915868.236509994</v>
      </c>
      <c r="E740" s="416">
        <v>30336647.622287601</v>
      </c>
      <c r="F740" s="416">
        <v>28483698.501483146</v>
      </c>
      <c r="G740" s="416">
        <v>26723740.737117406</v>
      </c>
      <c r="H740" s="416">
        <v>26150351.758474935</v>
      </c>
      <c r="I740" s="416">
        <v>29120127.883643392</v>
      </c>
      <c r="J740" s="416">
        <v>33071286.892454199</v>
      </c>
      <c r="K740" s="416">
        <v>34075869.612160683</v>
      </c>
      <c r="L740" s="416">
        <v>34808322.559464373</v>
      </c>
      <c r="M740" s="416">
        <v>34652667.640908003</v>
      </c>
      <c r="N740" s="416">
        <v>35509448.881917521</v>
      </c>
      <c r="O740" s="416">
        <v>35383040.059849523</v>
      </c>
      <c r="P740" s="416">
        <v>35425081.178479955</v>
      </c>
      <c r="Q740" s="416">
        <v>37080162.234985657</v>
      </c>
      <c r="R740" s="416">
        <v>41461415.756532907</v>
      </c>
      <c r="S740" s="416">
        <v>40108150.734541193</v>
      </c>
      <c r="T740" s="416">
        <v>40340004.360470258</v>
      </c>
      <c r="U740" s="416">
        <v>43205061.704400644</v>
      </c>
      <c r="V740" s="416">
        <v>45185546.179745331</v>
      </c>
      <c r="W740" s="333"/>
    </row>
    <row r="741" spans="1:23" x14ac:dyDescent="0.2">
      <c r="A741" s="9"/>
      <c r="B741" s="315" t="s">
        <v>37</v>
      </c>
      <c r="C741" s="449">
        <v>0</v>
      </c>
      <c r="D741" s="410">
        <v>4804319.869399</v>
      </c>
      <c r="E741" s="410">
        <v>6492054.9141273992</v>
      </c>
      <c r="F741" s="410">
        <v>6517620.5654608998</v>
      </c>
      <c r="G741" s="410">
        <v>6660545.6649592994</v>
      </c>
      <c r="H741" s="410">
        <v>5999973.8414612003</v>
      </c>
      <c r="I741" s="410">
        <v>4459776.1983774994</v>
      </c>
      <c r="J741" s="410">
        <v>3772298.7757747001</v>
      </c>
      <c r="K741" s="410">
        <v>3952014.4475989994</v>
      </c>
      <c r="L741" s="410">
        <v>4201247.2218108997</v>
      </c>
      <c r="M741" s="410">
        <v>4335295.9199423194</v>
      </c>
      <c r="N741" s="410">
        <v>4471702.103696702</v>
      </c>
      <c r="O741" s="410">
        <v>4748077.2956081927</v>
      </c>
      <c r="P741" s="410">
        <v>5033130.1301406845</v>
      </c>
      <c r="Q741" s="410">
        <v>5163274.2697091503</v>
      </c>
      <c r="R741" s="410">
        <v>5302056.873464671</v>
      </c>
      <c r="S741" s="410">
        <v>5613727.8003328582</v>
      </c>
      <c r="T741" s="410">
        <v>5934646.34000709</v>
      </c>
      <c r="U741" s="410">
        <v>6141507.9508715486</v>
      </c>
      <c r="V741" s="410">
        <v>6347865.0050619412</v>
      </c>
      <c r="W741" s="333"/>
    </row>
    <row r="742" spans="1:23" x14ac:dyDescent="0.2">
      <c r="A742" s="9"/>
      <c r="B742" s="315" t="s">
        <v>39</v>
      </c>
      <c r="C742" s="449">
        <v>0</v>
      </c>
      <c r="D742" s="410">
        <v>-17423162.359999992</v>
      </c>
      <c r="E742" s="410">
        <v>-2384312.89</v>
      </c>
      <c r="F742" s="410">
        <v>-3137634.37</v>
      </c>
      <c r="G742" s="410">
        <v>-5659421.9600000009</v>
      </c>
      <c r="H742" s="410">
        <v>-4800000</v>
      </c>
      <c r="I742" s="410">
        <v>-4944000</v>
      </c>
      <c r="J742" s="410">
        <v>-5092320</v>
      </c>
      <c r="K742" s="410">
        <v>-5245089.5999999996</v>
      </c>
      <c r="L742" s="410">
        <v>-5402442.2880000006</v>
      </c>
      <c r="M742" s="410">
        <v>-5564515.556640001</v>
      </c>
      <c r="N742" s="410">
        <v>-5731451.0233392008</v>
      </c>
      <c r="O742" s="410">
        <v>-5903394.5540393768</v>
      </c>
      <c r="P742" s="410">
        <v>-6080496.3906605579</v>
      </c>
      <c r="Q742" s="410">
        <v>-6262911.2823803751</v>
      </c>
      <c r="R742" s="410">
        <v>-6450798.6208517868</v>
      </c>
      <c r="S742" s="410">
        <v>-6644322.5794773409</v>
      </c>
      <c r="T742" s="410">
        <v>-6843652.2568616616</v>
      </c>
      <c r="U742" s="410">
        <v>-7048961.8245675117</v>
      </c>
      <c r="V742" s="410">
        <v>-7260430.6793045374</v>
      </c>
      <c r="W742" s="333"/>
    </row>
    <row r="743" spans="1:23" ht="13.5" thickBot="1" x14ac:dyDescent="0.25">
      <c r="A743" s="9"/>
      <c r="B743" s="316" t="s">
        <v>40</v>
      </c>
      <c r="C743" s="450">
        <v>0</v>
      </c>
      <c r="D743" s="412">
        <v>-14239251.33</v>
      </c>
      <c r="E743" s="412">
        <v>-71334.62</v>
      </c>
      <c r="F743" s="412">
        <v>0</v>
      </c>
      <c r="G743" s="412">
        <v>0</v>
      </c>
      <c r="H743" s="412">
        <v>0</v>
      </c>
      <c r="I743" s="412">
        <v>0</v>
      </c>
      <c r="J743" s="412">
        <v>0</v>
      </c>
      <c r="K743" s="412">
        <v>0</v>
      </c>
      <c r="L743" s="412">
        <v>0</v>
      </c>
      <c r="M743" s="412">
        <v>0</v>
      </c>
      <c r="N743" s="412">
        <v>0</v>
      </c>
      <c r="O743" s="412">
        <v>0</v>
      </c>
      <c r="P743" s="412">
        <v>0</v>
      </c>
      <c r="Q743" s="412">
        <v>0</v>
      </c>
      <c r="R743" s="412">
        <v>0</v>
      </c>
      <c r="S743" s="412">
        <v>0</v>
      </c>
      <c r="T743" s="412">
        <v>0</v>
      </c>
      <c r="U743" s="412">
        <v>0</v>
      </c>
      <c r="V743" s="412">
        <v>0</v>
      </c>
      <c r="W743" s="333"/>
    </row>
    <row r="744" spans="1:23" ht="13.5" thickTop="1" x14ac:dyDescent="0.2">
      <c r="A744" s="9"/>
      <c r="B744" s="315"/>
      <c r="C744" s="453"/>
      <c r="D744" s="333"/>
      <c r="E744" s="333"/>
      <c r="F744" s="333"/>
      <c r="G744" s="333"/>
      <c r="H744" s="333"/>
      <c r="I744" s="333"/>
      <c r="J744" s="333"/>
      <c r="K744" s="333"/>
      <c r="L744" s="333"/>
      <c r="M744" s="333"/>
      <c r="N744" s="333"/>
      <c r="O744" s="333"/>
      <c r="P744" s="333"/>
      <c r="Q744" s="333"/>
      <c r="R744" s="333"/>
      <c r="S744" s="333"/>
      <c r="T744" s="333"/>
      <c r="U744" s="333"/>
      <c r="V744" s="333"/>
      <c r="W744" s="333"/>
    </row>
    <row r="745" spans="1:23" x14ac:dyDescent="0.2">
      <c r="A745" s="9"/>
      <c r="B745" s="317" t="s">
        <v>234</v>
      </c>
      <c r="C745" s="452">
        <v>0</v>
      </c>
      <c r="D745" s="416">
        <v>6057774.4159089979</v>
      </c>
      <c r="E745" s="416">
        <v>34373055.026415005</v>
      </c>
      <c r="F745" s="416">
        <v>31863684.696944047</v>
      </c>
      <c r="G745" s="416">
        <v>27724864.442076705</v>
      </c>
      <c r="H745" s="416">
        <v>27350325.599936135</v>
      </c>
      <c r="I745" s="416">
        <v>28635904.082020894</v>
      </c>
      <c r="J745" s="416">
        <v>31751265.668228902</v>
      </c>
      <c r="K745" s="416">
        <v>32782794.459759682</v>
      </c>
      <c r="L745" s="416">
        <v>33607127.49327527</v>
      </c>
      <c r="M745" s="416">
        <v>33423448.004210323</v>
      </c>
      <c r="N745" s="416">
        <v>34249699.962275028</v>
      </c>
      <c r="O745" s="416">
        <v>34227722.801418342</v>
      </c>
      <c r="P745" s="416">
        <v>34377714.917960078</v>
      </c>
      <c r="Q745" s="416">
        <v>35980525.222314432</v>
      </c>
      <c r="R745" s="416">
        <v>40312674.009145796</v>
      </c>
      <c r="S745" s="416">
        <v>39077555.955396712</v>
      </c>
      <c r="T745" s="416">
        <v>39430998.443615682</v>
      </c>
      <c r="U745" s="416">
        <v>42297607.830704682</v>
      </c>
      <c r="V745" s="416">
        <v>44272980.505502731</v>
      </c>
      <c r="W745" s="414">
        <v>232050146.74926805</v>
      </c>
    </row>
    <row r="746" spans="1:23" x14ac:dyDescent="0.2">
      <c r="A746" s="9"/>
      <c r="B746" s="292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x14ac:dyDescent="0.2">
      <c r="A747" s="308" t="s">
        <v>219</v>
      </c>
      <c r="B747" s="306" t="s">
        <v>170</v>
      </c>
      <c r="C747" s="439">
        <v>98350020.174073651</v>
      </c>
      <c r="D747" s="9"/>
      <c r="E747" s="137" t="s">
        <v>220</v>
      </c>
      <c r="F747" s="319" t="s">
        <v>170</v>
      </c>
      <c r="G747" s="443">
        <v>98350020.174073651</v>
      </c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x14ac:dyDescent="0.2">
      <c r="A748" s="9"/>
      <c r="B748" s="306" t="s">
        <v>180</v>
      </c>
      <c r="C748" s="439">
        <v>165749349.35666582</v>
      </c>
      <c r="D748" s="9"/>
      <c r="E748" s="321"/>
      <c r="F748" s="319" t="s">
        <v>180</v>
      </c>
      <c r="G748" s="443">
        <v>165749349.35666582</v>
      </c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 ht="13.5" thickBot="1" x14ac:dyDescent="0.25">
      <c r="A749" s="9"/>
      <c r="B749" s="322" t="s">
        <v>137</v>
      </c>
      <c r="C749" s="440">
        <v>36176328.348276168</v>
      </c>
      <c r="D749" s="323"/>
      <c r="E749" s="321"/>
      <c r="F749" s="319" t="s">
        <v>137</v>
      </c>
      <c r="G749" s="443">
        <v>36176328.348276168</v>
      </c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ht="14.25" thickTop="1" thickBot="1" x14ac:dyDescent="0.25">
      <c r="A750" s="9"/>
      <c r="B750" s="306" t="s">
        <v>28</v>
      </c>
      <c r="C750" s="438">
        <v>300275697.87901556</v>
      </c>
      <c r="D750" s="305"/>
      <c r="E750" s="321"/>
      <c r="F750" s="324" t="s">
        <v>204</v>
      </c>
      <c r="G750" s="325">
        <v>0</v>
      </c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ht="13.5" thickTop="1" x14ac:dyDescent="0.2">
      <c r="A751" s="9"/>
      <c r="B751" s="292"/>
      <c r="C751" s="326"/>
      <c r="D751" s="9"/>
      <c r="E751" s="327"/>
      <c r="F751" s="319" t="s">
        <v>28</v>
      </c>
      <c r="G751" s="368">
        <v>300275697.87901556</v>
      </c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x14ac:dyDescent="0.2">
      <c r="A752" s="9"/>
      <c r="B752" s="292"/>
      <c r="C752" s="326"/>
      <c r="D752" s="9"/>
      <c r="E752" s="327"/>
      <c r="F752" s="319"/>
      <c r="G752" s="32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 x14ac:dyDescent="0.2">
      <c r="A753" s="9"/>
      <c r="B753" s="292"/>
      <c r="C753" s="326"/>
      <c r="D753" s="9"/>
      <c r="E753" s="327"/>
      <c r="F753" s="319"/>
      <c r="G753" s="32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 x14ac:dyDescent="0.2">
      <c r="A754" s="9"/>
      <c r="B754" s="329" t="s">
        <v>223</v>
      </c>
      <c r="C754" s="326"/>
      <c r="D754" s="9"/>
      <c r="E754" s="327"/>
      <c r="F754" s="319"/>
      <c r="G754" s="32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x14ac:dyDescent="0.2">
      <c r="A755" s="330" t="s">
        <v>225</v>
      </c>
      <c r="B755" s="329" t="s">
        <v>224</v>
      </c>
      <c r="C755" s="331"/>
      <c r="D755" s="332">
        <v>32915868.236509994</v>
      </c>
      <c r="E755" s="332">
        <v>30336647.622287601</v>
      </c>
      <c r="F755" s="332">
        <v>28483698.501483146</v>
      </c>
      <c r="G755" s="332">
        <v>26723740.737117406</v>
      </c>
      <c r="H755" s="332">
        <v>26150351.758474935</v>
      </c>
      <c r="I755" s="332">
        <v>29120127.883643392</v>
      </c>
      <c r="J755" s="332">
        <v>33071286.892454199</v>
      </c>
      <c r="K755" s="332">
        <v>34075869.612160683</v>
      </c>
      <c r="L755" s="332">
        <v>34808322.559464373</v>
      </c>
      <c r="M755" s="332">
        <v>34652667.640908003</v>
      </c>
      <c r="N755" s="332">
        <v>35509448.881917521</v>
      </c>
      <c r="O755" s="332">
        <v>35383040.059849523</v>
      </c>
      <c r="P755" s="332">
        <v>35425081.178479955</v>
      </c>
      <c r="Q755" s="332">
        <v>37080162.234985657</v>
      </c>
      <c r="R755" s="332">
        <v>41461415.756532907</v>
      </c>
      <c r="S755" s="332">
        <v>40108150.734541193</v>
      </c>
      <c r="T755" s="332">
        <v>40340004.360470258</v>
      </c>
      <c r="U755" s="332">
        <v>43205061.704400644</v>
      </c>
      <c r="V755" s="332">
        <v>45185546.179745331</v>
      </c>
      <c r="W755" s="9"/>
    </row>
    <row r="756" spans="1:23" x14ac:dyDescent="0.2">
      <c r="A756" s="9"/>
      <c r="B756" s="292" t="s">
        <v>226</v>
      </c>
      <c r="C756" s="326"/>
      <c r="D756" s="333">
        <v>21943912.157673329</v>
      </c>
      <c r="E756" s="333">
        <v>20224431.748191737</v>
      </c>
      <c r="F756" s="333">
        <v>18989132.334322099</v>
      </c>
      <c r="G756" s="333">
        <v>17815827.158078272</v>
      </c>
      <c r="H756" s="333">
        <v>17433567.838983294</v>
      </c>
      <c r="I756" s="333">
        <v>19413418.589095596</v>
      </c>
      <c r="J756" s="333">
        <v>22047524.594969466</v>
      </c>
      <c r="K756" s="333">
        <v>22717246.408107121</v>
      </c>
      <c r="L756" s="333">
        <v>23205548.372976251</v>
      </c>
      <c r="M756" s="333">
        <v>23101778.427272003</v>
      </c>
      <c r="N756" s="333">
        <v>23672965.92127835</v>
      </c>
      <c r="O756" s="333">
        <v>23588693.37323302</v>
      </c>
      <c r="P756" s="333">
        <v>23616720.785653308</v>
      </c>
      <c r="Q756" s="333">
        <v>24720108.156657107</v>
      </c>
      <c r="R756" s="333">
        <v>27640943.83768861</v>
      </c>
      <c r="S756" s="333">
        <v>26738767.156360794</v>
      </c>
      <c r="T756" s="333">
        <v>26893336.240313508</v>
      </c>
      <c r="U756" s="333">
        <v>28803374.469600435</v>
      </c>
      <c r="V756" s="333">
        <v>30123697.453163553</v>
      </c>
      <c r="W756" s="9"/>
    </row>
    <row r="757" spans="1:23" x14ac:dyDescent="0.2">
      <c r="A757" s="9"/>
      <c r="B757" s="334" t="s">
        <v>227</v>
      </c>
      <c r="C757" s="335"/>
      <c r="D757" s="333">
        <v>4804319.869399</v>
      </c>
      <c r="E757" s="333">
        <v>6492054.9141273992</v>
      </c>
      <c r="F757" s="333">
        <v>6517620.5654608998</v>
      </c>
      <c r="G757" s="333">
        <v>6660545.6649592994</v>
      </c>
      <c r="H757" s="333">
        <v>5999973.8414612003</v>
      </c>
      <c r="I757" s="333">
        <v>4459776.1983774994</v>
      </c>
      <c r="J757" s="333">
        <v>3772298.7757747001</v>
      </c>
      <c r="K757" s="333">
        <v>3952014.4475989994</v>
      </c>
      <c r="L757" s="333">
        <v>4201247.2218108997</v>
      </c>
      <c r="M757" s="333">
        <v>4335295.9199423194</v>
      </c>
      <c r="N757" s="333">
        <v>4471702.103696702</v>
      </c>
      <c r="O757" s="333">
        <v>4748077.2956081927</v>
      </c>
      <c r="P757" s="333">
        <v>5033130.1301406845</v>
      </c>
      <c r="Q757" s="333">
        <v>5163274.2697091503</v>
      </c>
      <c r="R757" s="333">
        <v>5302056.873464671</v>
      </c>
      <c r="S757" s="333">
        <v>5613727.8003328582</v>
      </c>
      <c r="T757" s="333">
        <v>5934646.34000709</v>
      </c>
      <c r="U757" s="333">
        <v>6141507.9508715486</v>
      </c>
      <c r="V757" s="333">
        <v>6347865.0050619412</v>
      </c>
      <c r="W757" s="9"/>
    </row>
    <row r="758" spans="1:23" ht="13.5" thickBot="1" x14ac:dyDescent="0.25">
      <c r="A758" s="9"/>
      <c r="B758" s="336" t="s">
        <v>228</v>
      </c>
      <c r="C758" s="337"/>
      <c r="D758" s="338">
        <v>59664100.263582319</v>
      </c>
      <c r="E758" s="338">
        <v>57053134.28460674</v>
      </c>
      <c r="F758" s="338">
        <v>53990451.401266143</v>
      </c>
      <c r="G758" s="338">
        <v>51200113.560154974</v>
      </c>
      <c r="H758" s="338">
        <v>49583893.438919425</v>
      </c>
      <c r="I758" s="338">
        <v>52993322.671116486</v>
      </c>
      <c r="J758" s="338">
        <v>58891110.263198368</v>
      </c>
      <c r="K758" s="338">
        <v>60745130.467866801</v>
      </c>
      <c r="L758" s="338">
        <v>62215118.154251523</v>
      </c>
      <c r="M758" s="338">
        <v>62089741.988122329</v>
      </c>
      <c r="N758" s="338">
        <v>63654116.906892575</v>
      </c>
      <c r="O758" s="338">
        <v>63719810.728690736</v>
      </c>
      <c r="P758" s="338">
        <v>64074932.094273947</v>
      </c>
      <c r="Q758" s="338">
        <v>66963544.661351912</v>
      </c>
      <c r="R758" s="338">
        <v>74404416.467686191</v>
      </c>
      <c r="S758" s="338">
        <v>72460645.691234842</v>
      </c>
      <c r="T758" s="338">
        <v>73167986.940790862</v>
      </c>
      <c r="U758" s="338">
        <v>78149944.124872625</v>
      </c>
      <c r="V758" s="338">
        <v>81657108.63797082</v>
      </c>
      <c r="W758" s="9"/>
    </row>
    <row r="759" spans="1:23" ht="13.5" thickTop="1" x14ac:dyDescent="0.2">
      <c r="A759" s="330" t="s">
        <v>229</v>
      </c>
      <c r="B759" s="292" t="s">
        <v>230</v>
      </c>
      <c r="C759" s="326"/>
      <c r="D759" s="333">
        <v>-5815249.228536183</v>
      </c>
      <c r="E759" s="333">
        <v>-5930669.8947363319</v>
      </c>
      <c r="F759" s="333">
        <v>-6060928.2193227336</v>
      </c>
      <c r="G759" s="333">
        <v>-6343528.6341986647</v>
      </c>
      <c r="H759" s="333">
        <v>-6583149.8812725097</v>
      </c>
      <c r="I759" s="333">
        <v>-6830349.8812725097</v>
      </c>
      <c r="J759" s="333">
        <v>-6536554.8287081309</v>
      </c>
      <c r="K759" s="333">
        <v>-6384943.98246851</v>
      </c>
      <c r="L759" s="333">
        <v>-6458191.1124037299</v>
      </c>
      <c r="M759" s="333">
        <v>-6719326.3977905288</v>
      </c>
      <c r="N759" s="333">
        <v>-7005898.9489574889</v>
      </c>
      <c r="O759" s="333">
        <v>-7301068.6766594583</v>
      </c>
      <c r="P759" s="333">
        <v>-7133709.0620575659</v>
      </c>
      <c r="Q759" s="333">
        <v>-6802797.8243038431</v>
      </c>
      <c r="R759" s="333">
        <v>-6146361.4250633894</v>
      </c>
      <c r="S759" s="333">
        <v>-6416961.4825326847</v>
      </c>
      <c r="T759" s="333">
        <v>-6754938.7648799177</v>
      </c>
      <c r="U759" s="333">
        <v>-7107386.8561082929</v>
      </c>
      <c r="V759" s="333">
        <v>-7466811.7780284043</v>
      </c>
      <c r="W759" s="9"/>
    </row>
    <row r="760" spans="1:23" x14ac:dyDescent="0.2">
      <c r="A760" s="9"/>
      <c r="B760" s="292" t="s">
        <v>231</v>
      </c>
      <c r="C760" s="326"/>
      <c r="D760" s="333">
        <v>0</v>
      </c>
      <c r="E760" s="333">
        <v>0</v>
      </c>
      <c r="F760" s="333">
        <v>0</v>
      </c>
      <c r="G760" s="333">
        <v>0</v>
      </c>
      <c r="H760" s="333">
        <v>0</v>
      </c>
      <c r="I760" s="333">
        <v>0</v>
      </c>
      <c r="J760" s="333">
        <v>0</v>
      </c>
      <c r="K760" s="333">
        <v>0</v>
      </c>
      <c r="L760" s="333">
        <v>0</v>
      </c>
      <c r="M760" s="333">
        <v>0</v>
      </c>
      <c r="N760" s="333">
        <v>0</v>
      </c>
      <c r="O760" s="333">
        <v>0</v>
      </c>
      <c r="P760" s="333">
        <v>0</v>
      </c>
      <c r="Q760" s="333">
        <v>0</v>
      </c>
      <c r="R760" s="333">
        <v>0</v>
      </c>
      <c r="S760" s="333">
        <v>0</v>
      </c>
      <c r="T760" s="333">
        <v>0</v>
      </c>
      <c r="U760" s="333">
        <v>0</v>
      </c>
      <c r="V760" s="333">
        <v>0</v>
      </c>
      <c r="W760" s="9"/>
    </row>
    <row r="761" spans="1:23" x14ac:dyDescent="0.2">
      <c r="A761" s="9"/>
      <c r="B761" s="329" t="s">
        <v>232</v>
      </c>
      <c r="C761" s="331"/>
      <c r="D761" s="332">
        <v>53848851.035046138</v>
      </c>
      <c r="E761" s="332">
        <v>51122464.389870405</v>
      </c>
      <c r="F761" s="332">
        <v>47929523.181943409</v>
      </c>
      <c r="G761" s="332">
        <v>44856584.925956309</v>
      </c>
      <c r="H761" s="332">
        <v>43000743.557646915</v>
      </c>
      <c r="I761" s="332">
        <v>46162972.789843976</v>
      </c>
      <c r="J761" s="332">
        <v>52354555.434490234</v>
      </c>
      <c r="K761" s="332">
        <v>54360186.485398293</v>
      </c>
      <c r="L761" s="332">
        <v>55756927.041847795</v>
      </c>
      <c r="M761" s="332">
        <v>55370415.5903318</v>
      </c>
      <c r="N761" s="332">
        <v>56648217.957935087</v>
      </c>
      <c r="O761" s="332">
        <v>56418742.052031279</v>
      </c>
      <c r="P761" s="332">
        <v>56941223.032216385</v>
      </c>
      <c r="Q761" s="332">
        <v>60160746.837048069</v>
      </c>
      <c r="R761" s="332">
        <v>68258055.042622805</v>
      </c>
      <c r="S761" s="332">
        <v>66043684.208702154</v>
      </c>
      <c r="T761" s="332">
        <v>66413048.175910942</v>
      </c>
      <c r="U761" s="332">
        <v>71042557.268764332</v>
      </c>
      <c r="V761" s="332">
        <v>74190296.859942421</v>
      </c>
      <c r="W761" s="9"/>
    </row>
    <row r="762" spans="1:23" ht="13.5" thickBot="1" x14ac:dyDescent="0.25">
      <c r="A762" s="9"/>
      <c r="B762" s="339" t="s">
        <v>238</v>
      </c>
      <c r="C762" s="340"/>
      <c r="D762" s="341">
        <v>-21539540.414018456</v>
      </c>
      <c r="E762" s="341">
        <v>-20448985.755948164</v>
      </c>
      <c r="F762" s="341">
        <v>-19171809.272777364</v>
      </c>
      <c r="G762" s="341">
        <v>-17942633.970382523</v>
      </c>
      <c r="H762" s="341">
        <v>-17200297.423058767</v>
      </c>
      <c r="I762" s="341">
        <v>-18465189.115937591</v>
      </c>
      <c r="J762" s="341">
        <v>-20941822.173796095</v>
      </c>
      <c r="K762" s="341">
        <v>-21744074.59415932</v>
      </c>
      <c r="L762" s="341">
        <v>-22302770.81673912</v>
      </c>
      <c r="M762" s="341">
        <v>-22148166.236132722</v>
      </c>
      <c r="N762" s="341">
        <v>-22659287.183174036</v>
      </c>
      <c r="O762" s="341">
        <v>-22567496.820812512</v>
      </c>
      <c r="P762" s="341">
        <v>-22776489.212886557</v>
      </c>
      <c r="Q762" s="341">
        <v>-24064298.73481923</v>
      </c>
      <c r="R762" s="341">
        <v>-27303222.017049123</v>
      </c>
      <c r="S762" s="341">
        <v>-26417473.683480863</v>
      </c>
      <c r="T762" s="341">
        <v>-26565219.270364378</v>
      </c>
      <c r="U762" s="341">
        <v>-28417022.907505736</v>
      </c>
      <c r="V762" s="341">
        <v>-29676118.743976969</v>
      </c>
      <c r="W762" s="9"/>
    </row>
    <row r="763" spans="1:23" ht="13.5" thickTop="1" x14ac:dyDescent="0.2">
      <c r="A763" s="9"/>
      <c r="B763" s="329" t="s">
        <v>233</v>
      </c>
      <c r="C763" s="331"/>
      <c r="D763" s="332">
        <v>32309310.621027682</v>
      </c>
      <c r="E763" s="332">
        <v>30673478.633922242</v>
      </c>
      <c r="F763" s="332">
        <v>28757713.909166045</v>
      </c>
      <c r="G763" s="332">
        <v>26913950.955573786</v>
      </c>
      <c r="H763" s="332">
        <v>25800446.134588148</v>
      </c>
      <c r="I763" s="332">
        <v>27697783.673906386</v>
      </c>
      <c r="J763" s="332">
        <v>31412733.260694139</v>
      </c>
      <c r="K763" s="332">
        <v>32616111.891238973</v>
      </c>
      <c r="L763" s="332">
        <v>33454156.225108676</v>
      </c>
      <c r="M763" s="332">
        <v>33222249.354199078</v>
      </c>
      <c r="N763" s="332">
        <v>33988930.774761051</v>
      </c>
      <c r="O763" s="332">
        <v>33851245.23121877</v>
      </c>
      <c r="P763" s="332">
        <v>34164733.819329828</v>
      </c>
      <c r="Q763" s="332">
        <v>36096448.102228835</v>
      </c>
      <c r="R763" s="332">
        <v>40954833.025573686</v>
      </c>
      <c r="S763" s="332">
        <v>39626210.525221288</v>
      </c>
      <c r="T763" s="332">
        <v>39847828.905546561</v>
      </c>
      <c r="U763" s="332">
        <v>42625534.361258596</v>
      </c>
      <c r="V763" s="332">
        <v>44514178.115965456</v>
      </c>
      <c r="W763" s="9"/>
    </row>
    <row r="764" spans="1:23" x14ac:dyDescent="0.2">
      <c r="A764" s="9"/>
      <c r="B764" s="9"/>
      <c r="C764" s="326"/>
      <c r="D764" s="9"/>
      <c r="E764" s="327"/>
      <c r="F764" s="319"/>
      <c r="G764" s="32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ht="15.75" x14ac:dyDescent="0.25">
      <c r="A765" s="342" t="s">
        <v>206</v>
      </c>
      <c r="B765" s="343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x14ac:dyDescent="0.2">
      <c r="A766" s="290" t="s">
        <v>191</v>
      </c>
      <c r="B766" s="309"/>
      <c r="C766" s="344">
        <v>0</v>
      </c>
      <c r="D766" s="283"/>
      <c r="E766" s="283"/>
      <c r="F766" s="283"/>
      <c r="G766" s="283"/>
      <c r="H766" s="283"/>
      <c r="I766" s="283"/>
      <c r="J766" s="283"/>
      <c r="K766" s="283"/>
      <c r="L766" s="283"/>
      <c r="M766" s="283"/>
      <c r="N766" s="283"/>
      <c r="O766" s="283"/>
      <c r="P766" s="283"/>
      <c r="Q766" s="283"/>
      <c r="R766" s="283"/>
      <c r="S766" s="283"/>
      <c r="T766" s="283"/>
      <c r="U766" s="283"/>
      <c r="V766" s="283"/>
      <c r="W766" s="283"/>
    </row>
    <row r="767" spans="1:23" x14ac:dyDescent="0.2">
      <c r="A767" s="290" t="s">
        <v>192</v>
      </c>
      <c r="B767" s="309"/>
      <c r="C767" s="345">
        <v>0</v>
      </c>
      <c r="D767" s="283"/>
      <c r="E767" s="283"/>
      <c r="F767" s="283"/>
      <c r="G767" s="283"/>
      <c r="H767" s="283"/>
      <c r="I767" s="283"/>
      <c r="J767" s="283"/>
      <c r="K767" s="283"/>
      <c r="L767" s="283"/>
      <c r="M767" s="283"/>
      <c r="N767" s="283"/>
      <c r="O767" s="283"/>
      <c r="P767" s="283"/>
      <c r="Q767" s="283"/>
      <c r="R767" s="283"/>
      <c r="S767" s="283"/>
      <c r="T767" s="283"/>
      <c r="U767" s="283"/>
      <c r="V767" s="283"/>
      <c r="W767" s="283"/>
    </row>
    <row r="768" spans="1:23" x14ac:dyDescent="0.2">
      <c r="A768" s="290" t="s">
        <v>202</v>
      </c>
      <c r="B768" s="309"/>
      <c r="C768" s="290">
        <v>15</v>
      </c>
      <c r="D768" s="283"/>
      <c r="E768" s="283"/>
      <c r="F768" s="283"/>
      <c r="G768" s="283"/>
      <c r="H768" s="283"/>
      <c r="I768" s="283"/>
      <c r="J768" s="283"/>
      <c r="K768" s="283"/>
      <c r="L768" s="283"/>
      <c r="M768" s="283"/>
      <c r="N768" s="283"/>
      <c r="O768" s="283"/>
      <c r="P768" s="283"/>
      <c r="Q768" s="283"/>
      <c r="R768" s="283"/>
      <c r="S768" s="283"/>
      <c r="T768" s="283"/>
      <c r="U768" s="283"/>
      <c r="V768" s="283"/>
      <c r="W768" s="283"/>
    </row>
    <row r="769" spans="1:23" x14ac:dyDescent="0.2">
      <c r="A769" s="290" t="s">
        <v>193</v>
      </c>
      <c r="B769" s="309"/>
      <c r="C769" s="345">
        <v>0</v>
      </c>
      <c r="D769" s="283"/>
      <c r="E769" s="283"/>
      <c r="F769" s="283"/>
      <c r="G769" s="283"/>
      <c r="H769" s="283"/>
      <c r="I769" s="283"/>
      <c r="J769" s="283"/>
      <c r="K769" s="283"/>
      <c r="L769" s="283"/>
      <c r="M769" s="283"/>
      <c r="N769" s="283"/>
      <c r="O769" s="283"/>
      <c r="P769" s="283"/>
      <c r="Q769" s="283"/>
      <c r="R769" s="283"/>
      <c r="S769" s="283"/>
      <c r="T769" s="283"/>
      <c r="U769" s="283"/>
      <c r="V769" s="283"/>
      <c r="W769" s="283"/>
    </row>
    <row r="770" spans="1:23" x14ac:dyDescent="0.2">
      <c r="A770" s="290" t="s">
        <v>194</v>
      </c>
      <c r="B770" s="309"/>
      <c r="C770" s="346">
        <v>8.7499999999999994E-2</v>
      </c>
      <c r="D770" s="283"/>
      <c r="E770" s="283"/>
      <c r="F770" s="283"/>
      <c r="G770" s="283"/>
      <c r="H770" s="283"/>
      <c r="I770" s="283"/>
      <c r="J770" s="283"/>
      <c r="K770" s="283"/>
      <c r="L770" s="283"/>
      <c r="M770" s="283"/>
      <c r="N770" s="283"/>
      <c r="O770" s="283"/>
      <c r="P770" s="283"/>
      <c r="Q770" s="283"/>
      <c r="R770" s="283"/>
      <c r="S770" s="283"/>
      <c r="T770" s="283"/>
      <c r="U770" s="283"/>
      <c r="V770" s="283"/>
      <c r="W770" s="283"/>
    </row>
    <row r="771" spans="1:23" x14ac:dyDescent="0.2">
      <c r="A771" s="290"/>
      <c r="B771" s="309"/>
      <c r="C771" s="283"/>
      <c r="D771" s="312">
        <v>2001</v>
      </c>
      <c r="E771" s="312">
        <v>2002</v>
      </c>
      <c r="F771" s="312">
        <v>2003</v>
      </c>
      <c r="G771" s="312">
        <v>2004</v>
      </c>
      <c r="H771" s="312">
        <v>2005</v>
      </c>
      <c r="I771" s="312">
        <v>2006</v>
      </c>
      <c r="J771" s="312">
        <v>2007</v>
      </c>
      <c r="K771" s="312">
        <v>2008</v>
      </c>
      <c r="L771" s="312">
        <v>2009</v>
      </c>
      <c r="M771" s="312">
        <v>2010</v>
      </c>
      <c r="N771" s="312">
        <v>2011</v>
      </c>
      <c r="O771" s="312">
        <v>2012</v>
      </c>
      <c r="P771" s="312">
        <v>2013</v>
      </c>
      <c r="Q771" s="312">
        <v>2014</v>
      </c>
      <c r="R771" s="312">
        <v>2015</v>
      </c>
      <c r="S771" s="312">
        <v>2016</v>
      </c>
      <c r="T771" s="312">
        <v>2017</v>
      </c>
      <c r="U771" s="312">
        <v>2018</v>
      </c>
      <c r="V771" s="312">
        <v>2019</v>
      </c>
      <c r="W771" s="312" t="s">
        <v>154</v>
      </c>
    </row>
    <row r="772" spans="1:23" x14ac:dyDescent="0.2">
      <c r="A772" s="290" t="s">
        <v>195</v>
      </c>
      <c r="B772" s="309"/>
      <c r="C772" s="283"/>
      <c r="D772" s="347">
        <v>0</v>
      </c>
      <c r="E772" s="347">
        <v>0</v>
      </c>
      <c r="F772" s="347">
        <v>0</v>
      </c>
      <c r="G772" s="347">
        <v>0</v>
      </c>
      <c r="H772" s="347">
        <v>0</v>
      </c>
      <c r="I772" s="347">
        <v>0</v>
      </c>
      <c r="J772" s="347">
        <v>0</v>
      </c>
      <c r="K772" s="347">
        <v>0</v>
      </c>
      <c r="L772" s="347">
        <v>0</v>
      </c>
      <c r="M772" s="347">
        <v>0</v>
      </c>
      <c r="N772" s="347">
        <v>0</v>
      </c>
      <c r="O772" s="347">
        <v>0</v>
      </c>
      <c r="P772" s="347">
        <v>0</v>
      </c>
      <c r="Q772" s="347">
        <v>0</v>
      </c>
      <c r="R772" s="347">
        <v>0</v>
      </c>
      <c r="S772" s="347">
        <v>0</v>
      </c>
      <c r="T772" s="347">
        <v>0</v>
      </c>
      <c r="U772" s="347">
        <v>0</v>
      </c>
      <c r="V772" s="347">
        <v>0</v>
      </c>
      <c r="W772" s="347">
        <v>0</v>
      </c>
    </row>
    <row r="773" spans="1:23" x14ac:dyDescent="0.2">
      <c r="A773" s="290" t="s">
        <v>196</v>
      </c>
      <c r="B773" s="309"/>
      <c r="C773" s="283"/>
      <c r="D773" s="347">
        <v>0</v>
      </c>
      <c r="E773" s="347">
        <v>0</v>
      </c>
      <c r="F773" s="347">
        <v>0</v>
      </c>
      <c r="G773" s="347">
        <v>0</v>
      </c>
      <c r="H773" s="347">
        <v>0</v>
      </c>
      <c r="I773" s="347">
        <v>0</v>
      </c>
      <c r="J773" s="347">
        <v>0</v>
      </c>
      <c r="K773" s="347">
        <v>0</v>
      </c>
      <c r="L773" s="347">
        <v>0</v>
      </c>
      <c r="M773" s="347">
        <v>0</v>
      </c>
      <c r="N773" s="347">
        <v>0</v>
      </c>
      <c r="O773" s="347">
        <v>0</v>
      </c>
      <c r="P773" s="347">
        <v>0</v>
      </c>
      <c r="Q773" s="347">
        <v>0</v>
      </c>
      <c r="R773" s="347">
        <v>0</v>
      </c>
      <c r="S773" s="347">
        <v>0</v>
      </c>
      <c r="T773" s="347">
        <v>0</v>
      </c>
      <c r="U773" s="347">
        <v>0</v>
      </c>
      <c r="V773" s="347">
        <v>0</v>
      </c>
      <c r="W773" s="347">
        <v>0</v>
      </c>
    </row>
    <row r="774" spans="1:23" x14ac:dyDescent="0.2">
      <c r="A774" s="290" t="s">
        <v>197</v>
      </c>
      <c r="B774" s="309"/>
      <c r="C774" s="283"/>
      <c r="D774" s="347">
        <v>0</v>
      </c>
      <c r="E774" s="347">
        <v>0</v>
      </c>
      <c r="F774" s="347">
        <v>0</v>
      </c>
      <c r="G774" s="347">
        <v>0</v>
      </c>
      <c r="H774" s="347">
        <v>0</v>
      </c>
      <c r="I774" s="347">
        <v>0</v>
      </c>
      <c r="J774" s="347">
        <v>0</v>
      </c>
      <c r="K774" s="347">
        <v>0</v>
      </c>
      <c r="L774" s="347">
        <v>0</v>
      </c>
      <c r="M774" s="347">
        <v>0</v>
      </c>
      <c r="N774" s="347">
        <v>0</v>
      </c>
      <c r="O774" s="347">
        <v>0</v>
      </c>
      <c r="P774" s="347">
        <v>0</v>
      </c>
      <c r="Q774" s="347">
        <v>0</v>
      </c>
      <c r="R774" s="347">
        <v>0</v>
      </c>
      <c r="S774" s="347">
        <v>0</v>
      </c>
      <c r="T774" s="347">
        <v>0</v>
      </c>
      <c r="U774" s="347">
        <v>0</v>
      </c>
      <c r="V774" s="347">
        <v>0</v>
      </c>
      <c r="W774" s="347">
        <v>0</v>
      </c>
    </row>
    <row r="775" spans="1:23" x14ac:dyDescent="0.2">
      <c r="A775" s="290" t="s">
        <v>198</v>
      </c>
      <c r="B775" s="309"/>
      <c r="C775" s="283"/>
      <c r="D775" s="348">
        <v>0</v>
      </c>
      <c r="E775" s="348">
        <v>0</v>
      </c>
      <c r="F775" s="348">
        <v>0</v>
      </c>
      <c r="G775" s="348">
        <v>0</v>
      </c>
      <c r="H775" s="348">
        <v>0</v>
      </c>
      <c r="I775" s="348">
        <v>0</v>
      </c>
      <c r="J775" s="348">
        <v>0</v>
      </c>
      <c r="K775" s="348">
        <v>0</v>
      </c>
      <c r="L775" s="348">
        <v>0</v>
      </c>
      <c r="M775" s="348">
        <v>0</v>
      </c>
      <c r="N775" s="348">
        <v>0</v>
      </c>
      <c r="O775" s="348">
        <v>0</v>
      </c>
      <c r="P775" s="348">
        <v>0</v>
      </c>
      <c r="Q775" s="348">
        <v>0</v>
      </c>
      <c r="R775" s="348">
        <v>0</v>
      </c>
      <c r="S775" s="348">
        <v>0</v>
      </c>
      <c r="T775" s="348">
        <v>0</v>
      </c>
      <c r="U775" s="348">
        <v>0</v>
      </c>
      <c r="V775" s="348">
        <v>0</v>
      </c>
      <c r="W775" s="348">
        <v>0</v>
      </c>
    </row>
    <row r="776" spans="1:23" ht="13.5" thickBot="1" x14ac:dyDescent="0.25">
      <c r="A776" s="290" t="s">
        <v>199</v>
      </c>
      <c r="B776" s="309"/>
      <c r="C776" s="283"/>
      <c r="D776" s="349">
        <v>0</v>
      </c>
      <c r="E776" s="349">
        <v>0</v>
      </c>
      <c r="F776" s="349">
        <v>0</v>
      </c>
      <c r="G776" s="349">
        <v>0</v>
      </c>
      <c r="H776" s="349">
        <v>0</v>
      </c>
      <c r="I776" s="349">
        <v>0</v>
      </c>
      <c r="J776" s="349">
        <v>0</v>
      </c>
      <c r="K776" s="349">
        <v>0</v>
      </c>
      <c r="L776" s="349">
        <v>0</v>
      </c>
      <c r="M776" s="349">
        <v>0</v>
      </c>
      <c r="N776" s="349">
        <v>0</v>
      </c>
      <c r="O776" s="349">
        <v>0</v>
      </c>
      <c r="P776" s="349">
        <v>0</v>
      </c>
      <c r="Q776" s="349">
        <v>0</v>
      </c>
      <c r="R776" s="349">
        <v>0</v>
      </c>
      <c r="S776" s="349">
        <v>0</v>
      </c>
      <c r="T776" s="349">
        <v>0</v>
      </c>
      <c r="U776" s="349">
        <v>0</v>
      </c>
      <c r="V776" s="349">
        <v>0</v>
      </c>
      <c r="W776" s="349">
        <v>0</v>
      </c>
    </row>
    <row r="777" spans="1:23" ht="13.5" thickTop="1" x14ac:dyDescent="0.2">
      <c r="A777" s="290"/>
      <c r="B777" s="309"/>
      <c r="C777" s="283"/>
      <c r="D777" s="347"/>
      <c r="E777" s="347"/>
      <c r="F777" s="347"/>
      <c r="G777" s="347"/>
      <c r="H777" s="347"/>
      <c r="I777" s="347"/>
      <c r="J777" s="347"/>
      <c r="K777" s="347"/>
      <c r="L777" s="347"/>
      <c r="M777" s="347"/>
      <c r="N777" s="347"/>
      <c r="O777" s="347"/>
      <c r="P777" s="347"/>
      <c r="Q777" s="347"/>
      <c r="R777" s="347"/>
      <c r="S777" s="347"/>
      <c r="T777" s="347"/>
      <c r="U777" s="347"/>
      <c r="V777" s="347"/>
      <c r="W777" s="347"/>
    </row>
    <row r="778" spans="1:23" x14ac:dyDescent="0.2">
      <c r="A778" s="290" t="s">
        <v>200</v>
      </c>
      <c r="B778" s="309"/>
      <c r="C778" s="283"/>
      <c r="D778" s="347">
        <v>0</v>
      </c>
      <c r="E778" s="347">
        <v>0</v>
      </c>
      <c r="F778" s="347">
        <v>0</v>
      </c>
      <c r="G778" s="347">
        <v>0</v>
      </c>
      <c r="H778" s="347">
        <v>0</v>
      </c>
      <c r="I778" s="347">
        <v>0</v>
      </c>
      <c r="J778" s="347">
        <v>0</v>
      </c>
      <c r="K778" s="347">
        <v>0</v>
      </c>
      <c r="L778" s="347">
        <v>0</v>
      </c>
      <c r="M778" s="347">
        <v>0</v>
      </c>
      <c r="N778" s="347">
        <v>0</v>
      </c>
      <c r="O778" s="347">
        <v>0</v>
      </c>
      <c r="P778" s="347">
        <v>0</v>
      </c>
      <c r="Q778" s="347">
        <v>0</v>
      </c>
      <c r="R778" s="347">
        <v>0</v>
      </c>
      <c r="S778" s="347">
        <v>0</v>
      </c>
      <c r="T778" s="347">
        <v>0</v>
      </c>
      <c r="U778" s="347">
        <v>0</v>
      </c>
      <c r="V778" s="347">
        <v>0</v>
      </c>
      <c r="W778" s="347">
        <v>0</v>
      </c>
    </row>
    <row r="779" spans="1:23" x14ac:dyDescent="0.2">
      <c r="A779" s="290"/>
      <c r="B779" s="309"/>
      <c r="C779" s="283"/>
      <c r="D779" s="283"/>
      <c r="E779" s="283"/>
      <c r="F779" s="283"/>
      <c r="G779" s="283"/>
      <c r="H779" s="283"/>
      <c r="I779" s="283"/>
      <c r="J779" s="283"/>
      <c r="K779" s="283"/>
      <c r="L779" s="283"/>
      <c r="M779" s="283"/>
      <c r="N779" s="283"/>
      <c r="O779" s="283"/>
      <c r="P779" s="283"/>
      <c r="Q779" s="283"/>
      <c r="R779" s="283"/>
      <c r="S779" s="283"/>
      <c r="T779" s="283"/>
      <c r="U779" s="283"/>
      <c r="V779" s="283"/>
      <c r="W779" s="283"/>
    </row>
    <row r="780" spans="1:23" x14ac:dyDescent="0.2">
      <c r="A780" s="290" t="s">
        <v>201</v>
      </c>
      <c r="B780" s="309"/>
      <c r="C780" s="283"/>
      <c r="D780" s="347">
        <v>0</v>
      </c>
      <c r="E780" s="347">
        <v>0</v>
      </c>
      <c r="F780" s="347">
        <v>0</v>
      </c>
      <c r="G780" s="347">
        <v>0</v>
      </c>
      <c r="H780" s="347">
        <v>0</v>
      </c>
      <c r="I780" s="347">
        <v>0</v>
      </c>
      <c r="J780" s="347">
        <v>0</v>
      </c>
      <c r="K780" s="347">
        <v>0</v>
      </c>
      <c r="L780" s="347">
        <v>0</v>
      </c>
      <c r="M780" s="347">
        <v>0</v>
      </c>
      <c r="N780" s="347">
        <v>0</v>
      </c>
      <c r="O780" s="347">
        <v>0</v>
      </c>
      <c r="P780" s="347">
        <v>0</v>
      </c>
      <c r="Q780" s="347">
        <v>0</v>
      </c>
      <c r="R780" s="347">
        <v>0</v>
      </c>
      <c r="S780" s="347">
        <v>0</v>
      </c>
      <c r="T780" s="347">
        <v>0</v>
      </c>
      <c r="U780" s="347">
        <v>0</v>
      </c>
      <c r="V780" s="347">
        <v>0</v>
      </c>
      <c r="W780" s="347">
        <v>0</v>
      </c>
    </row>
    <row r="781" spans="1:23" x14ac:dyDescent="0.2">
      <c r="A781" s="283"/>
      <c r="B781" s="309"/>
      <c r="C781" s="283"/>
      <c r="D781" s="283"/>
      <c r="E781" s="283"/>
      <c r="F781" s="283"/>
      <c r="G781" s="283"/>
      <c r="H781" s="283"/>
      <c r="I781" s="283"/>
      <c r="J781" s="283"/>
      <c r="K781" s="283"/>
      <c r="L781" s="283"/>
      <c r="M781" s="283"/>
      <c r="N781" s="283"/>
      <c r="O781" s="283"/>
      <c r="P781" s="283"/>
      <c r="Q781" s="283"/>
      <c r="R781" s="283"/>
      <c r="S781" s="283"/>
      <c r="T781" s="283"/>
      <c r="U781" s="283"/>
      <c r="V781" s="283"/>
      <c r="W781" s="283"/>
    </row>
    <row r="782" spans="1:23" x14ac:dyDescent="0.2">
      <c r="A782" s="283"/>
      <c r="B782" s="309"/>
      <c r="C782" s="283"/>
      <c r="D782" s="283"/>
      <c r="E782" s="283"/>
      <c r="F782" s="283"/>
      <c r="G782" s="283"/>
      <c r="H782" s="283"/>
      <c r="I782" s="283"/>
      <c r="J782" s="283"/>
      <c r="K782" s="283"/>
      <c r="L782" s="283"/>
      <c r="M782" s="283"/>
      <c r="N782" s="283"/>
      <c r="O782" s="283"/>
      <c r="P782" s="283"/>
      <c r="Q782" s="283"/>
      <c r="R782" s="283"/>
      <c r="S782" s="283"/>
      <c r="T782" s="283"/>
      <c r="U782" s="283"/>
      <c r="V782" s="283"/>
      <c r="W782" s="283"/>
    </row>
    <row r="783" spans="1:23" x14ac:dyDescent="0.2">
      <c r="A783" s="290" t="s">
        <v>203</v>
      </c>
      <c r="B783" s="285"/>
      <c r="C783" s="284"/>
      <c r="D783" s="441">
        <v>6057774.4159089979</v>
      </c>
      <c r="E783" s="441">
        <v>34373055.026415005</v>
      </c>
      <c r="F783" s="441">
        <v>31863684.696944047</v>
      </c>
      <c r="G783" s="441">
        <v>27724864.442076705</v>
      </c>
      <c r="H783" s="441">
        <v>27350325.599936135</v>
      </c>
      <c r="I783" s="441">
        <v>28635904.082020894</v>
      </c>
      <c r="J783" s="441">
        <v>31751265.668228902</v>
      </c>
      <c r="K783" s="441">
        <v>32782794.459759682</v>
      </c>
      <c r="L783" s="441">
        <v>33607127.49327527</v>
      </c>
      <c r="M783" s="441">
        <v>33423448.004210323</v>
      </c>
      <c r="N783" s="441">
        <v>34249699.962275028</v>
      </c>
      <c r="O783" s="441">
        <v>34227722.801418342</v>
      </c>
      <c r="P783" s="441">
        <v>34377714.917960078</v>
      </c>
      <c r="Q783" s="441">
        <v>35980525.222314432</v>
      </c>
      <c r="R783" s="441">
        <v>40312674.009145796</v>
      </c>
      <c r="S783" s="441">
        <v>39077555.955396712</v>
      </c>
      <c r="T783" s="441">
        <v>39430998.443615682</v>
      </c>
      <c r="U783" s="441">
        <v>42297607.830704682</v>
      </c>
      <c r="V783" s="441">
        <v>44272980.505502731</v>
      </c>
      <c r="W783" s="441">
        <v>232050146.74926805</v>
      </c>
    </row>
    <row r="784" spans="1:23" x14ac:dyDescent="0.2">
      <c r="A784" s="9"/>
      <c r="B784" s="6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 x14ac:dyDescent="0.2">
      <c r="B785" s="354"/>
      <c r="C785" s="355"/>
      <c r="D785" s="355"/>
      <c r="E785" s="355"/>
      <c r="F785" s="355"/>
      <c r="G785" s="355"/>
      <c r="H785" s="355"/>
      <c r="I785" s="355"/>
      <c r="J785" s="355"/>
      <c r="K785" s="355"/>
      <c r="L785" s="355"/>
      <c r="M785" s="355"/>
      <c r="N785" s="355"/>
      <c r="O785" s="355"/>
      <c r="P785" s="355"/>
      <c r="Q785" s="355"/>
      <c r="R785" s="355"/>
      <c r="S785" s="355"/>
      <c r="T785" s="355"/>
      <c r="U785" s="355"/>
      <c r="V785" s="355"/>
      <c r="W785" s="300"/>
    </row>
    <row r="786" spans="1:23" x14ac:dyDescent="0.2">
      <c r="B786" s="354"/>
      <c r="C786" s="300"/>
      <c r="D786" s="300"/>
      <c r="E786" s="300"/>
      <c r="F786" s="300"/>
      <c r="G786" s="300"/>
      <c r="H786" s="300"/>
      <c r="I786" s="300"/>
      <c r="J786" s="300"/>
      <c r="K786" s="300"/>
      <c r="L786" s="300"/>
      <c r="M786" s="300"/>
      <c r="N786" s="300"/>
      <c r="O786" s="300"/>
      <c r="P786" s="300"/>
      <c r="Q786" s="300"/>
      <c r="R786" s="300"/>
      <c r="S786" s="300"/>
      <c r="T786" s="300"/>
      <c r="U786" s="300"/>
      <c r="V786" s="300"/>
      <c r="W786" s="300"/>
    </row>
    <row r="787" spans="1:23" x14ac:dyDescent="0.2">
      <c r="B787" s="356"/>
      <c r="C787" s="359"/>
      <c r="D787" s="359"/>
      <c r="E787" s="359"/>
      <c r="F787" s="359"/>
      <c r="G787" s="359"/>
      <c r="H787" s="359"/>
      <c r="I787" s="359"/>
      <c r="J787" s="359"/>
      <c r="K787" s="359"/>
      <c r="L787" s="359"/>
      <c r="M787" s="359"/>
      <c r="N787" s="359"/>
      <c r="O787" s="359"/>
      <c r="P787" s="359"/>
      <c r="Q787" s="359"/>
      <c r="R787" s="359"/>
      <c r="S787" s="359"/>
      <c r="T787" s="359"/>
      <c r="U787" s="359"/>
      <c r="V787" s="359"/>
      <c r="W787" s="358"/>
    </row>
    <row r="788" spans="1:23" x14ac:dyDescent="0.2">
      <c r="B788" s="295"/>
    </row>
    <row r="789" spans="1:23" x14ac:dyDescent="0.2">
      <c r="A789" s="45"/>
      <c r="B789" s="306"/>
      <c r="C789" s="318"/>
      <c r="E789" s="367"/>
      <c r="F789" s="319"/>
      <c r="G789" s="320"/>
    </row>
    <row r="790" spans="1:23" x14ac:dyDescent="0.2">
      <c r="B790" s="306"/>
      <c r="C790" s="318"/>
      <c r="E790" s="91"/>
      <c r="F790" s="319"/>
      <c r="G790" s="320"/>
    </row>
    <row r="791" spans="1:23" x14ac:dyDescent="0.2">
      <c r="B791" s="306"/>
      <c r="C791" s="318"/>
      <c r="D791" s="323"/>
      <c r="E791" s="91"/>
      <c r="F791" s="319"/>
      <c r="G791" s="320"/>
    </row>
    <row r="792" spans="1:23" ht="15.75" x14ac:dyDescent="0.25">
      <c r="A792" s="308" t="s">
        <v>29</v>
      </c>
      <c r="B792" s="311" t="s">
        <v>66</v>
      </c>
      <c r="C792" s="312">
        <v>2000</v>
      </c>
      <c r="D792" s="312">
        <v>2001</v>
      </c>
      <c r="E792" s="312">
        <v>2002</v>
      </c>
      <c r="F792" s="312">
        <v>2003</v>
      </c>
      <c r="G792" s="312">
        <v>2004</v>
      </c>
      <c r="H792" s="312">
        <v>2005</v>
      </c>
      <c r="I792" s="312">
        <v>2006</v>
      </c>
      <c r="J792" s="312">
        <v>2007</v>
      </c>
      <c r="K792" s="312">
        <v>2008</v>
      </c>
      <c r="L792" s="312">
        <v>2009</v>
      </c>
      <c r="M792" s="312">
        <v>2010</v>
      </c>
      <c r="N792" s="312">
        <v>2011</v>
      </c>
      <c r="O792" s="312">
        <v>2012</v>
      </c>
      <c r="P792" s="312">
        <v>2013</v>
      </c>
      <c r="Q792" s="312">
        <v>2014</v>
      </c>
      <c r="R792" s="312">
        <v>2015</v>
      </c>
      <c r="S792" s="312">
        <v>2016</v>
      </c>
      <c r="T792" s="312">
        <v>2017</v>
      </c>
      <c r="U792" s="312">
        <v>2018</v>
      </c>
      <c r="V792" s="312">
        <v>2019</v>
      </c>
      <c r="W792" s="312" t="s">
        <v>154</v>
      </c>
    </row>
    <row r="793" spans="1:23" x14ac:dyDescent="0.2">
      <c r="A793" s="308" t="s">
        <v>26</v>
      </c>
      <c r="B793" s="309">
        <v>94</v>
      </c>
      <c r="C793" s="314"/>
      <c r="D793" s="314"/>
      <c r="E793" s="314"/>
      <c r="F793" s="314"/>
      <c r="G793" s="314"/>
      <c r="H793" s="314"/>
      <c r="I793" s="314"/>
      <c r="J793" s="314"/>
      <c r="K793" s="314"/>
      <c r="L793" s="314"/>
      <c r="M793" s="314"/>
      <c r="N793" s="314"/>
      <c r="O793" s="314"/>
      <c r="P793" s="314"/>
      <c r="Q793" s="314"/>
      <c r="R793" s="314"/>
      <c r="S793" s="314"/>
      <c r="T793" s="314"/>
      <c r="U793" s="314"/>
      <c r="V793" s="314"/>
      <c r="W793" s="314"/>
    </row>
    <row r="794" spans="1:23" x14ac:dyDescent="0.2">
      <c r="A794" s="9"/>
      <c r="B794" s="315" t="s">
        <v>27</v>
      </c>
      <c r="C794" s="449">
        <v>0</v>
      </c>
      <c r="D794" s="410">
        <v>28228226.506626334</v>
      </c>
      <c r="E794" s="410">
        <v>27519406.387404963</v>
      </c>
      <c r="F794" s="410">
        <v>27569719.25384178</v>
      </c>
      <c r="G794" s="410">
        <v>26855519.82368087</v>
      </c>
      <c r="H794" s="410">
        <v>26612041.801329616</v>
      </c>
      <c r="I794" s="410">
        <v>28096059.950017922</v>
      </c>
      <c r="J794" s="410">
        <v>30219880.086334288</v>
      </c>
      <c r="K794" s="410">
        <v>31033762.428586718</v>
      </c>
      <c r="L794" s="410">
        <v>31674592.451194253</v>
      </c>
      <c r="M794" s="410">
        <v>31788216.873598244</v>
      </c>
      <c r="N794" s="410">
        <v>32280157.31888457</v>
      </c>
      <c r="O794" s="410">
        <v>32834531.923552588</v>
      </c>
      <c r="P794" s="410">
        <v>33229641.992291361</v>
      </c>
      <c r="Q794" s="410">
        <v>34417210.528388262</v>
      </c>
      <c r="R794" s="410">
        <v>36616512.670563184</v>
      </c>
      <c r="S794" s="410">
        <v>36655465.181833856</v>
      </c>
      <c r="T794" s="410">
        <v>37153163.988664858</v>
      </c>
      <c r="U794" s="410">
        <v>38926909.598997429</v>
      </c>
      <c r="V794" s="410">
        <v>40093443.41171959</v>
      </c>
      <c r="W794" s="333"/>
    </row>
    <row r="795" spans="1:23" x14ac:dyDescent="0.2">
      <c r="A795" s="9"/>
      <c r="B795" s="315" t="s">
        <v>20</v>
      </c>
      <c r="C795" s="449">
        <v>0</v>
      </c>
      <c r="D795" s="410">
        <v>-9614799.45892887</v>
      </c>
      <c r="E795" s="410">
        <v>-9620985.7954781856</v>
      </c>
      <c r="F795" s="410">
        <v>-9651497.2322851233</v>
      </c>
      <c r="G795" s="410">
        <v>-9783632.2080202531</v>
      </c>
      <c r="H795" s="410">
        <v>-9971979.8633914609</v>
      </c>
      <c r="I795" s="410">
        <v>-10257621.531527659</v>
      </c>
      <c r="J795" s="410">
        <v>-10494210.755261898</v>
      </c>
      <c r="K795" s="410">
        <v>-10719709.859133596</v>
      </c>
      <c r="L795" s="410">
        <v>-10896412.43561011</v>
      </c>
      <c r="M795" s="410">
        <v>-10983654.71186211</v>
      </c>
      <c r="N795" s="410">
        <v>-10993203.693302358</v>
      </c>
      <c r="O795" s="410">
        <v>-11374766.272347771</v>
      </c>
      <c r="P795" s="410">
        <v>-11634275.077131273</v>
      </c>
      <c r="Q795" s="410">
        <v>-11881215.079403885</v>
      </c>
      <c r="R795" s="410">
        <v>-11898474.816937292</v>
      </c>
      <c r="S795" s="410">
        <v>-12296724.90358714</v>
      </c>
      <c r="T795" s="410">
        <v>-12577674.606771557</v>
      </c>
      <c r="U795" s="410">
        <v>-12885979.938950233</v>
      </c>
      <c r="V795" s="410">
        <v>-13204636.049667293</v>
      </c>
      <c r="W795" s="333"/>
    </row>
    <row r="796" spans="1:23" x14ac:dyDescent="0.2">
      <c r="A796" s="9"/>
      <c r="B796" s="315" t="s">
        <v>31</v>
      </c>
      <c r="C796" s="449">
        <v>0</v>
      </c>
      <c r="D796" s="410">
        <v>-751380.81773093459</v>
      </c>
      <c r="E796" s="410">
        <v>-756160.60420257098</v>
      </c>
      <c r="F796" s="410">
        <v>-760615.30591720995</v>
      </c>
      <c r="G796" s="410">
        <v>-764721.25088549976</v>
      </c>
      <c r="H796" s="410">
        <v>-768453.59483809059</v>
      </c>
      <c r="I796" s="410">
        <v>-776602.63208800345</v>
      </c>
      <c r="J796" s="410">
        <v>-792277.85583725816</v>
      </c>
      <c r="K796" s="410">
        <v>-808269.473878055</v>
      </c>
      <c r="L796" s="410">
        <v>-824583.87242531008</v>
      </c>
      <c r="M796" s="410">
        <v>-841227.56659557286</v>
      </c>
      <c r="N796" s="410">
        <v>-847439.77572570881</v>
      </c>
      <c r="O796" s="410">
        <v>-875529.56244277884</v>
      </c>
      <c r="P796" s="410">
        <v>-893201.56254079356</v>
      </c>
      <c r="Q796" s="410">
        <v>-911230.26057439018</v>
      </c>
      <c r="R796" s="410">
        <v>-917939.97919582203</v>
      </c>
      <c r="S796" s="410">
        <v>-948386.69464200782</v>
      </c>
      <c r="T796" s="410">
        <v>-967529.26901026606</v>
      </c>
      <c r="U796" s="410">
        <v>-987058.22390823276</v>
      </c>
      <c r="V796" s="410">
        <v>-1006981.358177948</v>
      </c>
      <c r="W796" s="333"/>
    </row>
    <row r="797" spans="1:23" x14ac:dyDescent="0.2">
      <c r="A797" s="9"/>
      <c r="B797" s="315" t="s">
        <v>32</v>
      </c>
      <c r="C797" s="449">
        <v>0</v>
      </c>
      <c r="D797" s="410">
        <v>0</v>
      </c>
      <c r="E797" s="410">
        <v>0</v>
      </c>
      <c r="F797" s="410">
        <v>0</v>
      </c>
      <c r="G797" s="410">
        <v>0</v>
      </c>
      <c r="H797" s="410">
        <v>0</v>
      </c>
      <c r="I797" s="410">
        <v>-794316.94174508494</v>
      </c>
      <c r="J797" s="410">
        <v>-880436.87674507883</v>
      </c>
      <c r="K797" s="410">
        <v>-1034913.7956178662</v>
      </c>
      <c r="L797" s="410">
        <v>-1067067.2275272957</v>
      </c>
      <c r="M797" s="410">
        <v>-1186742.8191157207</v>
      </c>
      <c r="N797" s="410">
        <v>-1278771.836176554</v>
      </c>
      <c r="O797" s="410">
        <v>-1448434.7593737622</v>
      </c>
      <c r="P797" s="410">
        <v>-1624076.3901117849</v>
      </c>
      <c r="Q797" s="410">
        <v>-1807850.4544725199</v>
      </c>
      <c r="R797" s="410">
        <v>-1958865.6117484418</v>
      </c>
      <c r="S797" s="410">
        <v>-2198793.0861809552</v>
      </c>
      <c r="T797" s="410">
        <v>-2160207.0108424686</v>
      </c>
      <c r="U797" s="410">
        <v>-1848173.9380077</v>
      </c>
      <c r="V797" s="410">
        <v>-1916215.3920221296</v>
      </c>
      <c r="W797" s="333"/>
    </row>
    <row r="798" spans="1:23" ht="13.5" thickBot="1" x14ac:dyDescent="0.25">
      <c r="A798" s="9"/>
      <c r="B798" s="316" t="s">
        <v>33</v>
      </c>
      <c r="C798" s="450">
        <v>0</v>
      </c>
      <c r="D798" s="412">
        <v>0</v>
      </c>
      <c r="E798" s="412">
        <v>0</v>
      </c>
      <c r="F798" s="412">
        <v>-2190996.21809352</v>
      </c>
      <c r="G798" s="412">
        <v>-1839808.4635094178</v>
      </c>
      <c r="H798" s="412">
        <v>-1881321.2092828033</v>
      </c>
      <c r="I798" s="412">
        <v>-1935569.7401199038</v>
      </c>
      <c r="J798" s="412">
        <v>-2540559.4135989081</v>
      </c>
      <c r="K798" s="412">
        <v>-2218511.912568619</v>
      </c>
      <c r="L798" s="412">
        <v>-2348813.6647867155</v>
      </c>
      <c r="M798" s="412">
        <v>-2234986.1591651356</v>
      </c>
      <c r="N798" s="412">
        <v>-2270129.3083829158</v>
      </c>
      <c r="O798" s="412">
        <v>-2358613.0276956037</v>
      </c>
      <c r="P798" s="412">
        <v>-2106736.2872378691</v>
      </c>
      <c r="Q798" s="412">
        <v>-2182061.9659344316</v>
      </c>
      <c r="R798" s="412">
        <v>-2199188.5486873696</v>
      </c>
      <c r="S798" s="412">
        <v>-2365082.2489620829</v>
      </c>
      <c r="T798" s="412">
        <v>-2223422.6123492909</v>
      </c>
      <c r="U798" s="412">
        <v>-2448826.6182017438</v>
      </c>
      <c r="V798" s="412">
        <v>-1333265.0098786401</v>
      </c>
      <c r="W798" s="333"/>
    </row>
    <row r="799" spans="1:23" ht="13.5" thickTop="1" x14ac:dyDescent="0.2">
      <c r="A799" s="9"/>
      <c r="B799" s="317" t="s">
        <v>38</v>
      </c>
      <c r="C799" s="451">
        <v>0</v>
      </c>
      <c r="D799" s="414">
        <v>17862046.229966529</v>
      </c>
      <c r="E799" s="414">
        <v>17142259.987724204</v>
      </c>
      <c r="F799" s="414">
        <v>14966610.497545926</v>
      </c>
      <c r="G799" s="414">
        <v>14467357.901265698</v>
      </c>
      <c r="H799" s="414">
        <v>13990287.133817263</v>
      </c>
      <c r="I799" s="414">
        <v>14331949.104537269</v>
      </c>
      <c r="J799" s="414">
        <v>15512395.184891144</v>
      </c>
      <c r="K799" s="414">
        <v>16252357.387388578</v>
      </c>
      <c r="L799" s="414">
        <v>16537715.250844821</v>
      </c>
      <c r="M799" s="414">
        <v>16541605.616859704</v>
      </c>
      <c r="N799" s="414">
        <v>16890612.705297031</v>
      </c>
      <c r="O799" s="414">
        <v>16777188.301692672</v>
      </c>
      <c r="P799" s="414">
        <v>16971352.675269645</v>
      </c>
      <c r="Q799" s="414">
        <v>17634852.768003035</v>
      </c>
      <c r="R799" s="414">
        <v>19642043.713994261</v>
      </c>
      <c r="S799" s="414">
        <v>18846478.248461671</v>
      </c>
      <c r="T799" s="414">
        <v>19224330.489691276</v>
      </c>
      <c r="U799" s="414">
        <v>20756870.879929516</v>
      </c>
      <c r="V799" s="414">
        <v>22632345.601973582</v>
      </c>
      <c r="W799" s="333"/>
    </row>
    <row r="800" spans="1:23" x14ac:dyDescent="0.2">
      <c r="A800" s="9"/>
      <c r="B800" s="315" t="s">
        <v>34</v>
      </c>
      <c r="C800" s="449">
        <v>0</v>
      </c>
      <c r="D800" s="410">
        <v>-2882633.3373826668</v>
      </c>
      <c r="E800" s="410">
        <v>-2940286.0041303202</v>
      </c>
      <c r="F800" s="410">
        <v>-2999091.7242129268</v>
      </c>
      <c r="G800" s="410">
        <v>-3059073.5586971855</v>
      </c>
      <c r="H800" s="410">
        <v>-3120255.0298711294</v>
      </c>
      <c r="I800" s="410">
        <v>-3182660.130468552</v>
      </c>
      <c r="J800" s="410">
        <v>-3246313.3330779229</v>
      </c>
      <c r="K800" s="410">
        <v>-3311239.5997394812</v>
      </c>
      <c r="L800" s="410">
        <v>-3377464.3917342708</v>
      </c>
      <c r="M800" s="410">
        <v>-3445013.6795689561</v>
      </c>
      <c r="N800" s="410">
        <v>-3513913.9531603353</v>
      </c>
      <c r="O800" s="410">
        <v>-3584192.2322235419</v>
      </c>
      <c r="P800" s="410">
        <v>-3655876.076868013</v>
      </c>
      <c r="Q800" s="410">
        <v>-3728993.5984053733</v>
      </c>
      <c r="R800" s="410">
        <v>-3803573.470373481</v>
      </c>
      <c r="S800" s="410">
        <v>-3879644.9397809505</v>
      </c>
      <c r="T800" s="410">
        <v>-3957237.8385765697</v>
      </c>
      <c r="U800" s="410">
        <v>-4036382.5953481011</v>
      </c>
      <c r="V800" s="410">
        <v>-4117110.2472550632</v>
      </c>
      <c r="W800" s="333"/>
    </row>
    <row r="801" spans="1:23" x14ac:dyDescent="0.2">
      <c r="A801" s="9"/>
      <c r="B801" s="315" t="s">
        <v>35</v>
      </c>
      <c r="C801" s="449">
        <v>0</v>
      </c>
      <c r="D801" s="410">
        <v>-246782.10002979756</v>
      </c>
      <c r="E801" s="410">
        <v>-252279.40785605877</v>
      </c>
      <c r="F801" s="410">
        <v>-258194.95159471416</v>
      </c>
      <c r="G801" s="410">
        <v>-269260.24904317735</v>
      </c>
      <c r="H801" s="410">
        <v>-319346.27472927398</v>
      </c>
      <c r="I801" s="410">
        <v>-397860.88812231994</v>
      </c>
      <c r="J801" s="410">
        <v>-444395.53228181263</v>
      </c>
      <c r="K801" s="410">
        <v>-491727.39472005737</v>
      </c>
      <c r="L801" s="410">
        <v>-528611.10408568254</v>
      </c>
      <c r="M801" s="410">
        <v>-547568.39356061188</v>
      </c>
      <c r="N801" s="410">
        <v>-554386.16184341395</v>
      </c>
      <c r="O801" s="410">
        <v>-561746.13690852013</v>
      </c>
      <c r="P801" s="410">
        <v>-568913.2481835545</v>
      </c>
      <c r="Q801" s="410">
        <v>-576259.53724046471</v>
      </c>
      <c r="R801" s="410">
        <v>-583790.21815270325</v>
      </c>
      <c r="S801" s="410">
        <v>-591509.1660877479</v>
      </c>
      <c r="T801" s="410">
        <v>-599419.54393158155</v>
      </c>
      <c r="U801" s="410">
        <v>-607528.47225929552</v>
      </c>
      <c r="V801" s="410">
        <v>-615840.93468803505</v>
      </c>
      <c r="W801" s="333"/>
    </row>
    <row r="802" spans="1:23" ht="13.5" thickBot="1" x14ac:dyDescent="0.25">
      <c r="A802" s="9"/>
      <c r="B802" s="316" t="s">
        <v>36</v>
      </c>
      <c r="C802" s="450">
        <v>0</v>
      </c>
      <c r="D802" s="412">
        <v>-307061.97203451901</v>
      </c>
      <c r="E802" s="412">
        <v>-313540.97964444902</v>
      </c>
      <c r="F802" s="412">
        <v>-320407.52709866298</v>
      </c>
      <c r="G802" s="412">
        <v>-327648.73721109098</v>
      </c>
      <c r="H802" s="412">
        <v>-335446.77715671499</v>
      </c>
      <c r="I802" s="412">
        <v>-343853.10711533</v>
      </c>
      <c r="J802" s="412">
        <v>-352381.62210241298</v>
      </c>
      <c r="K802" s="412">
        <v>-361301.12918059598</v>
      </c>
      <c r="L802" s="412">
        <v>-370225.267071357</v>
      </c>
      <c r="M802" s="412">
        <v>-379666.01138167601</v>
      </c>
      <c r="N802" s="412">
        <v>-388853.92885711399</v>
      </c>
      <c r="O802" s="412">
        <v>-398653.04786431202</v>
      </c>
      <c r="P802" s="412">
        <v>-408778.83528006502</v>
      </c>
      <c r="Q802" s="412">
        <v>-418998.306162066</v>
      </c>
      <c r="R802" s="412">
        <v>-429515.16364673403</v>
      </c>
      <c r="S802" s="412">
        <v>-440253.04273790302</v>
      </c>
      <c r="T802" s="412">
        <v>-451171.318197802</v>
      </c>
      <c r="U802" s="412">
        <v>-462495.71828456799</v>
      </c>
      <c r="V802" s="412">
        <v>-474104.36081351101</v>
      </c>
      <c r="W802" s="333"/>
    </row>
    <row r="803" spans="1:23" ht="13.5" thickTop="1" x14ac:dyDescent="0.2">
      <c r="A803" s="9"/>
      <c r="B803" s="317" t="s">
        <v>221</v>
      </c>
      <c r="C803" s="452">
        <v>0</v>
      </c>
      <c r="D803" s="416">
        <v>14425568.820519544</v>
      </c>
      <c r="E803" s="416">
        <v>13636153.596093375</v>
      </c>
      <c r="F803" s="416">
        <v>11388916.294639621</v>
      </c>
      <c r="G803" s="416">
        <v>10811375.356314244</v>
      </c>
      <c r="H803" s="416">
        <v>10215239.052060146</v>
      </c>
      <c r="I803" s="416">
        <v>10407574.978831066</v>
      </c>
      <c r="J803" s="416">
        <v>11469304.697428996</v>
      </c>
      <c r="K803" s="416">
        <v>12088089.263748445</v>
      </c>
      <c r="L803" s="416">
        <v>12261414.487953512</v>
      </c>
      <c r="M803" s="416">
        <v>12169357.53234846</v>
      </c>
      <c r="N803" s="416">
        <v>12433458.661436168</v>
      </c>
      <c r="O803" s="416">
        <v>12232596.884696297</v>
      </c>
      <c r="P803" s="416">
        <v>12337784.514938014</v>
      </c>
      <c r="Q803" s="416">
        <v>12910601.326195132</v>
      </c>
      <c r="R803" s="416">
        <v>14825164.861821342</v>
      </c>
      <c r="S803" s="416">
        <v>13935071.099855069</v>
      </c>
      <c r="T803" s="416">
        <v>14216501.788985323</v>
      </c>
      <c r="U803" s="416">
        <v>15650464.094037551</v>
      </c>
      <c r="V803" s="416">
        <v>17425290.059216972</v>
      </c>
      <c r="W803" s="333"/>
    </row>
    <row r="804" spans="1:23" x14ac:dyDescent="0.2">
      <c r="A804" s="9"/>
      <c r="B804" s="315" t="s">
        <v>37</v>
      </c>
      <c r="C804" s="449">
        <v>0</v>
      </c>
      <c r="D804" s="410">
        <v>-890142.18401136366</v>
      </c>
      <c r="E804" s="410">
        <v>-1111218.8981599</v>
      </c>
      <c r="F804" s="410">
        <v>-1122040.2795633909</v>
      </c>
      <c r="G804" s="410">
        <v>-1124456.4769947091</v>
      </c>
      <c r="H804" s="410">
        <v>-1180782.1679812819</v>
      </c>
      <c r="I804" s="410">
        <v>-1271626.2023928072</v>
      </c>
      <c r="J804" s="410">
        <v>-1299362.1017424823</v>
      </c>
      <c r="K804" s="410">
        <v>-1258793.7336673783</v>
      </c>
      <c r="L804" s="410">
        <v>-1241521.5279243542</v>
      </c>
      <c r="M804" s="410">
        <v>-1293522.7680581792</v>
      </c>
      <c r="N804" s="410">
        <v>-1360727.683296995</v>
      </c>
      <c r="O804" s="410">
        <v>-1399709.7473519172</v>
      </c>
      <c r="P804" s="410">
        <v>-1474496.9588034637</v>
      </c>
      <c r="Q804" s="410">
        <v>-1528857.7104621932</v>
      </c>
      <c r="R804" s="410">
        <v>-1586338.9483354571</v>
      </c>
      <c r="S804" s="410">
        <v>-1667153.2512142372</v>
      </c>
      <c r="T804" s="410">
        <v>-1751318.2290032443</v>
      </c>
      <c r="U804" s="410">
        <v>-1870089.9008134219</v>
      </c>
      <c r="V804" s="410">
        <v>-1986353.9250506319</v>
      </c>
      <c r="W804" s="333"/>
    </row>
    <row r="805" spans="1:23" ht="13.5" thickBot="1" x14ac:dyDescent="0.25">
      <c r="A805" s="9"/>
      <c r="B805" s="316" t="s">
        <v>222</v>
      </c>
      <c r="C805" s="450">
        <v>0</v>
      </c>
      <c r="D805" s="412">
        <v>-5414170.6546032727</v>
      </c>
      <c r="E805" s="412">
        <v>-5009973.8791733896</v>
      </c>
      <c r="F805" s="412">
        <v>-4106750.4060304919</v>
      </c>
      <c r="G805" s="412">
        <v>-3874767.5517278137</v>
      </c>
      <c r="H805" s="412">
        <v>-3613782.7536315457</v>
      </c>
      <c r="I805" s="412">
        <v>-3654379.5105753038</v>
      </c>
      <c r="J805" s="412">
        <v>-4067977.0382746058</v>
      </c>
      <c r="K805" s="412">
        <v>-4331718.2120324271</v>
      </c>
      <c r="L805" s="412">
        <v>-4407957.1840116633</v>
      </c>
      <c r="M805" s="412">
        <v>-4350333.9057161128</v>
      </c>
      <c r="N805" s="412">
        <v>-4429092.3912556693</v>
      </c>
      <c r="O805" s="412">
        <v>-4333154.8549377527</v>
      </c>
      <c r="P805" s="412">
        <v>-4345315.0224538203</v>
      </c>
      <c r="Q805" s="412">
        <v>-4552697.4462931752</v>
      </c>
      <c r="R805" s="412">
        <v>-5295530.3653943539</v>
      </c>
      <c r="S805" s="412">
        <v>-4907167.1394563327</v>
      </c>
      <c r="T805" s="412">
        <v>-4986073.4239928313</v>
      </c>
      <c r="U805" s="412">
        <v>-5512149.6772896526</v>
      </c>
      <c r="V805" s="412">
        <v>-6175574.4536665371</v>
      </c>
      <c r="W805" s="333"/>
    </row>
    <row r="806" spans="1:23" ht="13.5" thickTop="1" x14ac:dyDescent="0.2">
      <c r="A806" s="9"/>
      <c r="B806" s="317" t="s">
        <v>183</v>
      </c>
      <c r="C806" s="452">
        <v>0</v>
      </c>
      <c r="D806" s="416">
        <v>8121255.9819049072</v>
      </c>
      <c r="E806" s="416">
        <v>7514960.8187600849</v>
      </c>
      <c r="F806" s="416">
        <v>6160125.6090457374</v>
      </c>
      <c r="G806" s="416">
        <v>5812151.32759172</v>
      </c>
      <c r="H806" s="416">
        <v>5420674.1304473188</v>
      </c>
      <c r="I806" s="416">
        <v>5481569.2658629548</v>
      </c>
      <c r="J806" s="416">
        <v>6101965.5574119082</v>
      </c>
      <c r="K806" s="416">
        <v>6497577.3180486402</v>
      </c>
      <c r="L806" s="416">
        <v>6611935.7760174954</v>
      </c>
      <c r="M806" s="416">
        <v>6525500.8585741678</v>
      </c>
      <c r="N806" s="416">
        <v>6643638.5868835039</v>
      </c>
      <c r="O806" s="416">
        <v>6499732.2824066281</v>
      </c>
      <c r="P806" s="416">
        <v>6517972.5336807296</v>
      </c>
      <c r="Q806" s="416">
        <v>6829046.1694397628</v>
      </c>
      <c r="R806" s="416">
        <v>7943295.5480915308</v>
      </c>
      <c r="S806" s="416">
        <v>7360750.7091844985</v>
      </c>
      <c r="T806" s="416">
        <v>7479110.1359892469</v>
      </c>
      <c r="U806" s="416">
        <v>8268224.5159344776</v>
      </c>
      <c r="V806" s="416">
        <v>9263361.6804998033</v>
      </c>
      <c r="W806" s="333"/>
    </row>
    <row r="807" spans="1:23" x14ac:dyDescent="0.2">
      <c r="A807" s="9"/>
      <c r="B807" s="315" t="s">
        <v>37</v>
      </c>
      <c r="C807" s="449">
        <v>0</v>
      </c>
      <c r="D807" s="410">
        <v>890142.18401136366</v>
      </c>
      <c r="E807" s="410">
        <v>1111218.8981599</v>
      </c>
      <c r="F807" s="410">
        <v>1122040.2795633909</v>
      </c>
      <c r="G807" s="410">
        <v>1124456.4769947091</v>
      </c>
      <c r="H807" s="410">
        <v>1180782.1679812819</v>
      </c>
      <c r="I807" s="410">
        <v>1271626.2023928072</v>
      </c>
      <c r="J807" s="410">
        <v>1299362.1017424823</v>
      </c>
      <c r="K807" s="410">
        <v>1258793.7336673783</v>
      </c>
      <c r="L807" s="410">
        <v>1241521.5279243542</v>
      </c>
      <c r="M807" s="410">
        <v>1293522.7680581792</v>
      </c>
      <c r="N807" s="410">
        <v>1360727.683296995</v>
      </c>
      <c r="O807" s="410">
        <v>1399709.7473519172</v>
      </c>
      <c r="P807" s="410">
        <v>1474496.9588034637</v>
      </c>
      <c r="Q807" s="410">
        <v>1528857.7104621932</v>
      </c>
      <c r="R807" s="410">
        <v>1586338.9483354571</v>
      </c>
      <c r="S807" s="410">
        <v>1667153.2512142372</v>
      </c>
      <c r="T807" s="410">
        <v>1751318.2290032443</v>
      </c>
      <c r="U807" s="410">
        <v>1870089.9008134219</v>
      </c>
      <c r="V807" s="410">
        <v>1986353.9250506319</v>
      </c>
      <c r="W807" s="333"/>
    </row>
    <row r="808" spans="1:23" x14ac:dyDescent="0.2">
      <c r="A808" s="9"/>
      <c r="B808" s="315" t="s">
        <v>39</v>
      </c>
      <c r="C808" s="449">
        <v>0</v>
      </c>
      <c r="D808" s="410">
        <v>-5440512.71</v>
      </c>
      <c r="E808" s="410">
        <v>-1207895.95</v>
      </c>
      <c r="F808" s="410">
        <v>-294093.09999999998</v>
      </c>
      <c r="G808" s="410">
        <v>-776726.04</v>
      </c>
      <c r="H808" s="410">
        <v>-1724501.2119999998</v>
      </c>
      <c r="I808" s="410">
        <v>-1776236.2483599999</v>
      </c>
      <c r="J808" s="410">
        <v>-1829523.3358107999</v>
      </c>
      <c r="K808" s="410">
        <v>-1884409.035885124</v>
      </c>
      <c r="L808" s="410">
        <v>-1940941.3069616777</v>
      </c>
      <c r="M808" s="410">
        <v>-1999169.546170528</v>
      </c>
      <c r="N808" s="410">
        <v>-2059144.632555644</v>
      </c>
      <c r="O808" s="410">
        <v>-2120918.9715323136</v>
      </c>
      <c r="P808" s="410">
        <v>-2184546.5406782832</v>
      </c>
      <c r="Q808" s="410">
        <v>-2250082.936898632</v>
      </c>
      <c r="R808" s="410">
        <v>-2317585.425005591</v>
      </c>
      <c r="S808" s="410">
        <v>-2387112.9877557587</v>
      </c>
      <c r="T808" s="410">
        <v>-2458726.3773884317</v>
      </c>
      <c r="U808" s="410">
        <v>-2532488.1687100846</v>
      </c>
      <c r="V808" s="410">
        <v>-2608462.8137713871</v>
      </c>
      <c r="W808" s="333"/>
    </row>
    <row r="809" spans="1:23" ht="13.5" thickBot="1" x14ac:dyDescent="0.25">
      <c r="A809" s="9"/>
      <c r="B809" s="316" t="s">
        <v>40</v>
      </c>
      <c r="C809" s="450">
        <v>0</v>
      </c>
      <c r="D809" s="412">
        <v>0</v>
      </c>
      <c r="E809" s="412">
        <v>0</v>
      </c>
      <c r="F809" s="412">
        <v>0</v>
      </c>
      <c r="G809" s="412">
        <v>0</v>
      </c>
      <c r="H809" s="412">
        <v>0</v>
      </c>
      <c r="I809" s="412">
        <v>0</v>
      </c>
      <c r="J809" s="412">
        <v>0</v>
      </c>
      <c r="K809" s="412">
        <v>0</v>
      </c>
      <c r="L809" s="412">
        <v>0</v>
      </c>
      <c r="M809" s="412">
        <v>0</v>
      </c>
      <c r="N809" s="412">
        <v>0</v>
      </c>
      <c r="O809" s="412">
        <v>0</v>
      </c>
      <c r="P809" s="412">
        <v>0</v>
      </c>
      <c r="Q809" s="412">
        <v>0</v>
      </c>
      <c r="R809" s="412">
        <v>0</v>
      </c>
      <c r="S809" s="412">
        <v>0</v>
      </c>
      <c r="T809" s="412">
        <v>0</v>
      </c>
      <c r="U809" s="412">
        <v>0</v>
      </c>
      <c r="V809" s="412">
        <v>0</v>
      </c>
      <c r="W809" s="333"/>
    </row>
    <row r="810" spans="1:23" ht="13.5" thickTop="1" x14ac:dyDescent="0.2">
      <c r="A810" s="9"/>
      <c r="B810" s="315"/>
      <c r="C810" s="453"/>
      <c r="D810" s="333"/>
      <c r="E810" s="333"/>
      <c r="F810" s="333"/>
      <c r="G810" s="333"/>
      <c r="H810" s="333"/>
      <c r="I810" s="333"/>
      <c r="J810" s="333"/>
      <c r="K810" s="333"/>
      <c r="L810" s="333"/>
      <c r="M810" s="333"/>
      <c r="N810" s="333"/>
      <c r="O810" s="333"/>
      <c r="P810" s="333"/>
      <c r="Q810" s="333"/>
      <c r="R810" s="333"/>
      <c r="S810" s="333"/>
      <c r="T810" s="333"/>
      <c r="U810" s="333"/>
      <c r="V810" s="333"/>
      <c r="W810" s="333"/>
    </row>
    <row r="811" spans="1:23" x14ac:dyDescent="0.2">
      <c r="A811" s="9"/>
      <c r="B811" s="317" t="s">
        <v>234</v>
      </c>
      <c r="C811" s="452">
        <v>0</v>
      </c>
      <c r="D811" s="416">
        <v>3570885.4559162715</v>
      </c>
      <c r="E811" s="416">
        <v>7418283.7669199845</v>
      </c>
      <c r="F811" s="416">
        <v>6988072.7886091284</v>
      </c>
      <c r="G811" s="416">
        <v>6159881.7645864291</v>
      </c>
      <c r="H811" s="416">
        <v>4876955.0864286013</v>
      </c>
      <c r="I811" s="416">
        <v>4976959.2198957624</v>
      </c>
      <c r="J811" s="416">
        <v>5571804.3233435908</v>
      </c>
      <c r="K811" s="416">
        <v>5871962.0158308949</v>
      </c>
      <c r="L811" s="416">
        <v>5912515.9969801717</v>
      </c>
      <c r="M811" s="416">
        <v>5819854.0804618187</v>
      </c>
      <c r="N811" s="416">
        <v>5945221.6376248552</v>
      </c>
      <c r="O811" s="416">
        <v>5778523.0582262315</v>
      </c>
      <c r="P811" s="416">
        <v>5807922.9518059101</v>
      </c>
      <c r="Q811" s="416">
        <v>6107820.9430033239</v>
      </c>
      <c r="R811" s="416">
        <v>7212049.0714213978</v>
      </c>
      <c r="S811" s="416">
        <v>6640790.9726429768</v>
      </c>
      <c r="T811" s="416">
        <v>6771701.9876040602</v>
      </c>
      <c r="U811" s="416">
        <v>7605826.2480378151</v>
      </c>
      <c r="V811" s="416">
        <v>8641252.7917790469</v>
      </c>
      <c r="W811" s="414">
        <v>40757505.790251575</v>
      </c>
    </row>
    <row r="812" spans="1:23" x14ac:dyDescent="0.2">
      <c r="A812" s="9"/>
      <c r="B812" s="292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x14ac:dyDescent="0.2">
      <c r="A813" s="308" t="s">
        <v>219</v>
      </c>
      <c r="B813" s="306" t="s">
        <v>170</v>
      </c>
      <c r="C813" s="439">
        <v>22929900.79714055</v>
      </c>
      <c r="D813" s="9"/>
      <c r="E813" s="137" t="s">
        <v>220</v>
      </c>
      <c r="F813" s="319" t="s">
        <v>170</v>
      </c>
      <c r="G813" s="443">
        <v>22929900.79714055</v>
      </c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 x14ac:dyDescent="0.2">
      <c r="A814" s="9"/>
      <c r="B814" s="306" t="s">
        <v>180</v>
      </c>
      <c r="C814" s="439">
        <v>29017669.329193015</v>
      </c>
      <c r="D814" s="9"/>
      <c r="E814" s="321"/>
      <c r="F814" s="319" t="s">
        <v>180</v>
      </c>
      <c r="G814" s="443">
        <v>29017669.329193015</v>
      </c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 ht="13.5" thickBot="1" x14ac:dyDescent="0.25">
      <c r="A815" s="9"/>
      <c r="B815" s="322" t="s">
        <v>137</v>
      </c>
      <c r="C815" s="440">
        <v>6354044.2993904669</v>
      </c>
      <c r="D815" s="323"/>
      <c r="E815" s="321"/>
      <c r="F815" s="319" t="s">
        <v>137</v>
      </c>
      <c r="G815" s="443">
        <v>6354044.2993904669</v>
      </c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 ht="14.25" thickTop="1" thickBot="1" x14ac:dyDescent="0.25">
      <c r="A816" s="9"/>
      <c r="B816" s="306" t="s">
        <v>28</v>
      </c>
      <c r="C816" s="438">
        <v>58301614.425724022</v>
      </c>
      <c r="D816" s="305"/>
      <c r="E816" s="321"/>
      <c r="F816" s="324" t="s">
        <v>204</v>
      </c>
      <c r="G816" s="325">
        <v>0</v>
      </c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ht="13.5" thickTop="1" x14ac:dyDescent="0.2">
      <c r="A817" s="9"/>
      <c r="B817" s="292"/>
      <c r="C817" s="326"/>
      <c r="D817" s="9"/>
      <c r="E817" s="327"/>
      <c r="F817" s="319" t="s">
        <v>28</v>
      </c>
      <c r="G817" s="368">
        <v>58301614.425724022</v>
      </c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x14ac:dyDescent="0.2">
      <c r="A818" s="9"/>
      <c r="B818" s="292"/>
      <c r="C818" s="326"/>
      <c r="D818" s="9"/>
      <c r="E818" s="327"/>
      <c r="F818" s="319"/>
      <c r="G818" s="32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x14ac:dyDescent="0.2">
      <c r="A819" s="9"/>
      <c r="B819" s="292"/>
      <c r="C819" s="326"/>
      <c r="D819" s="9"/>
      <c r="E819" s="327"/>
      <c r="F819" s="319"/>
      <c r="G819" s="32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 x14ac:dyDescent="0.2">
      <c r="A820" s="9"/>
      <c r="B820" s="329" t="s">
        <v>223</v>
      </c>
      <c r="C820" s="326"/>
      <c r="D820" s="9"/>
      <c r="E820" s="327"/>
      <c r="F820" s="319"/>
      <c r="G820" s="32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 x14ac:dyDescent="0.2">
      <c r="A821" s="330" t="s">
        <v>225</v>
      </c>
      <c r="B821" s="329" t="s">
        <v>224</v>
      </c>
      <c r="C821" s="331"/>
      <c r="D821" s="332">
        <v>8121255.9819049072</v>
      </c>
      <c r="E821" s="332">
        <v>7514960.8187600849</v>
      </c>
      <c r="F821" s="332">
        <v>6160125.6090457374</v>
      </c>
      <c r="G821" s="332">
        <v>5812151.32759172</v>
      </c>
      <c r="H821" s="332">
        <v>5420674.1304473188</v>
      </c>
      <c r="I821" s="332">
        <v>5481569.2658629548</v>
      </c>
      <c r="J821" s="332">
        <v>6101965.5574119082</v>
      </c>
      <c r="K821" s="332">
        <v>6497577.3180486402</v>
      </c>
      <c r="L821" s="332">
        <v>6611935.7760174954</v>
      </c>
      <c r="M821" s="332">
        <v>6525500.8585741678</v>
      </c>
      <c r="N821" s="332">
        <v>6643638.5868835039</v>
      </c>
      <c r="O821" s="332">
        <v>6499732.2824066281</v>
      </c>
      <c r="P821" s="332">
        <v>6517972.5336807296</v>
      </c>
      <c r="Q821" s="332">
        <v>6829046.1694397628</v>
      </c>
      <c r="R821" s="332">
        <v>7943295.5480915308</v>
      </c>
      <c r="S821" s="332">
        <v>7360750.7091844985</v>
      </c>
      <c r="T821" s="332">
        <v>7479110.1359892469</v>
      </c>
      <c r="U821" s="332">
        <v>8268224.5159344776</v>
      </c>
      <c r="V821" s="332">
        <v>9263361.6804998033</v>
      </c>
      <c r="W821" s="9"/>
    </row>
    <row r="822" spans="1:23" x14ac:dyDescent="0.2">
      <c r="A822" s="9"/>
      <c r="B822" s="292" t="s">
        <v>226</v>
      </c>
      <c r="C822" s="326"/>
      <c r="D822" s="333">
        <v>5414170.6546032727</v>
      </c>
      <c r="E822" s="333">
        <v>5009973.8791733896</v>
      </c>
      <c r="F822" s="333">
        <v>4106750.4060304919</v>
      </c>
      <c r="G822" s="333">
        <v>3874767.5517278137</v>
      </c>
      <c r="H822" s="333">
        <v>3613782.7536315457</v>
      </c>
      <c r="I822" s="333">
        <v>3654379.5105753038</v>
      </c>
      <c r="J822" s="333">
        <v>4067977.0382746058</v>
      </c>
      <c r="K822" s="333">
        <v>4331718.2120324271</v>
      </c>
      <c r="L822" s="333">
        <v>4407957.1840116633</v>
      </c>
      <c r="M822" s="333">
        <v>4350333.9057161128</v>
      </c>
      <c r="N822" s="333">
        <v>4429092.3912556693</v>
      </c>
      <c r="O822" s="333">
        <v>4333154.8549377527</v>
      </c>
      <c r="P822" s="333">
        <v>4345315.0224538203</v>
      </c>
      <c r="Q822" s="333">
        <v>4552697.4462931752</v>
      </c>
      <c r="R822" s="333">
        <v>5295530.3653943539</v>
      </c>
      <c r="S822" s="333">
        <v>4907167.1394563327</v>
      </c>
      <c r="T822" s="333">
        <v>4986073.4239928313</v>
      </c>
      <c r="U822" s="333">
        <v>5512149.6772896526</v>
      </c>
      <c r="V822" s="333">
        <v>6175574.4536665371</v>
      </c>
      <c r="W822" s="9"/>
    </row>
    <row r="823" spans="1:23" x14ac:dyDescent="0.2">
      <c r="A823" s="9"/>
      <c r="B823" s="334" t="s">
        <v>227</v>
      </c>
      <c r="C823" s="335"/>
      <c r="D823" s="333">
        <v>890142.18401136366</v>
      </c>
      <c r="E823" s="333">
        <v>1111218.8981599</v>
      </c>
      <c r="F823" s="333">
        <v>1122040.2795633909</v>
      </c>
      <c r="G823" s="333">
        <v>1124456.4769947091</v>
      </c>
      <c r="H823" s="333">
        <v>1180782.1679812819</v>
      </c>
      <c r="I823" s="333">
        <v>1271626.2023928072</v>
      </c>
      <c r="J823" s="333">
        <v>1299362.1017424823</v>
      </c>
      <c r="K823" s="333">
        <v>1258793.7336673783</v>
      </c>
      <c r="L823" s="333">
        <v>1241521.5279243542</v>
      </c>
      <c r="M823" s="333">
        <v>1293522.7680581792</v>
      </c>
      <c r="N823" s="333">
        <v>1360727.683296995</v>
      </c>
      <c r="O823" s="333">
        <v>1399709.7473519172</v>
      </c>
      <c r="P823" s="333">
        <v>1474496.9588034637</v>
      </c>
      <c r="Q823" s="333">
        <v>1528857.7104621932</v>
      </c>
      <c r="R823" s="333">
        <v>1586338.9483354571</v>
      </c>
      <c r="S823" s="333">
        <v>1667153.2512142372</v>
      </c>
      <c r="T823" s="333">
        <v>1751318.2290032443</v>
      </c>
      <c r="U823" s="333">
        <v>1870089.9008134219</v>
      </c>
      <c r="V823" s="333">
        <v>1986353.9250506319</v>
      </c>
      <c r="W823" s="9"/>
    </row>
    <row r="824" spans="1:23" ht="13.5" thickBot="1" x14ac:dyDescent="0.25">
      <c r="A824" s="9"/>
      <c r="B824" s="336" t="s">
        <v>228</v>
      </c>
      <c r="C824" s="337"/>
      <c r="D824" s="338">
        <v>14425568.820519544</v>
      </c>
      <c r="E824" s="338">
        <v>13636153.596093375</v>
      </c>
      <c r="F824" s="338">
        <v>11388916.294639621</v>
      </c>
      <c r="G824" s="338">
        <v>10811375.356314242</v>
      </c>
      <c r="H824" s="338">
        <v>10215239.052060146</v>
      </c>
      <c r="I824" s="338">
        <v>10407574.978831066</v>
      </c>
      <c r="J824" s="338">
        <v>11469304.697428996</v>
      </c>
      <c r="K824" s="338">
        <v>12088089.263748445</v>
      </c>
      <c r="L824" s="338">
        <v>12261414.487953514</v>
      </c>
      <c r="M824" s="338">
        <v>12169357.53234846</v>
      </c>
      <c r="N824" s="338">
        <v>12433458.661436168</v>
      </c>
      <c r="O824" s="338">
        <v>12232596.884696297</v>
      </c>
      <c r="P824" s="338">
        <v>12337784.514938014</v>
      </c>
      <c r="Q824" s="338">
        <v>12910601.326195132</v>
      </c>
      <c r="R824" s="338">
        <v>14825164.861821342</v>
      </c>
      <c r="S824" s="338">
        <v>13935071.099855069</v>
      </c>
      <c r="T824" s="338">
        <v>14216501.788985323</v>
      </c>
      <c r="U824" s="338">
        <v>15650464.094037551</v>
      </c>
      <c r="V824" s="338">
        <v>17425290.059216972</v>
      </c>
      <c r="W824" s="9"/>
    </row>
    <row r="825" spans="1:23" ht="13.5" thickTop="1" x14ac:dyDescent="0.2">
      <c r="A825" s="330" t="s">
        <v>229</v>
      </c>
      <c r="B825" s="292" t="s">
        <v>230</v>
      </c>
      <c r="C825" s="326"/>
      <c r="D825" s="333">
        <v>-1321672.1290020463</v>
      </c>
      <c r="E825" s="333">
        <v>-1380157.1210422898</v>
      </c>
      <c r="F825" s="333">
        <v>-1387955.0236859489</v>
      </c>
      <c r="G825" s="333">
        <v>-1397144.3678698516</v>
      </c>
      <c r="H825" s="333">
        <v>-1398252.0420111758</v>
      </c>
      <c r="I825" s="333">
        <v>-1487063.8544291756</v>
      </c>
      <c r="J825" s="333">
        <v>-1169901.5243348777</v>
      </c>
      <c r="K825" s="333">
        <v>-909027.65032920009</v>
      </c>
      <c r="L825" s="333">
        <v>-1005717.4388272157</v>
      </c>
      <c r="M825" s="333">
        <v>-1092124.3270552556</v>
      </c>
      <c r="N825" s="333">
        <v>-1093012.4163628761</v>
      </c>
      <c r="O825" s="333">
        <v>-1199058.3649394917</v>
      </c>
      <c r="P825" s="333">
        <v>-1308285.6919734059</v>
      </c>
      <c r="Q825" s="333">
        <v>-1420789.8388183375</v>
      </c>
      <c r="R825" s="333">
        <v>-1536669.1100686172</v>
      </c>
      <c r="S825" s="333">
        <v>-1655381.7840863916</v>
      </c>
      <c r="T825" s="333">
        <v>-1776579.8745481637</v>
      </c>
      <c r="U825" s="333">
        <v>-1903204.2829836679</v>
      </c>
      <c r="V825" s="333">
        <v>-2033627.4236722372</v>
      </c>
      <c r="W825" s="9"/>
    </row>
    <row r="826" spans="1:23" x14ac:dyDescent="0.2">
      <c r="A826" s="9"/>
      <c r="B826" s="292" t="s">
        <v>231</v>
      </c>
      <c r="C826" s="326"/>
      <c r="D826" s="333">
        <v>0</v>
      </c>
      <c r="E826" s="333">
        <v>0</v>
      </c>
      <c r="F826" s="333">
        <v>0</v>
      </c>
      <c r="G826" s="333">
        <v>0</v>
      </c>
      <c r="H826" s="333">
        <v>0</v>
      </c>
      <c r="I826" s="333">
        <v>0</v>
      </c>
      <c r="J826" s="333">
        <v>0</v>
      </c>
      <c r="K826" s="333">
        <v>0</v>
      </c>
      <c r="L826" s="333">
        <v>0</v>
      </c>
      <c r="M826" s="333">
        <v>0</v>
      </c>
      <c r="N826" s="333">
        <v>0</v>
      </c>
      <c r="O826" s="333">
        <v>0</v>
      </c>
      <c r="P826" s="333">
        <v>0</v>
      </c>
      <c r="Q826" s="333">
        <v>0</v>
      </c>
      <c r="R826" s="333">
        <v>0</v>
      </c>
      <c r="S826" s="333">
        <v>0</v>
      </c>
      <c r="T826" s="333">
        <v>0</v>
      </c>
      <c r="U826" s="333">
        <v>0</v>
      </c>
      <c r="V826" s="333">
        <v>0</v>
      </c>
      <c r="W826" s="9"/>
    </row>
    <row r="827" spans="1:23" x14ac:dyDescent="0.2">
      <c r="A827" s="9"/>
      <c r="B827" s="329" t="s">
        <v>232</v>
      </c>
      <c r="C827" s="331"/>
      <c r="D827" s="332">
        <v>13103896.691517498</v>
      </c>
      <c r="E827" s="332">
        <v>12255996.475051086</v>
      </c>
      <c r="F827" s="332">
        <v>10000961.270953672</v>
      </c>
      <c r="G827" s="332">
        <v>9414230.9884443898</v>
      </c>
      <c r="H827" s="332">
        <v>8816987.0100489706</v>
      </c>
      <c r="I827" s="332">
        <v>8920511.1244018897</v>
      </c>
      <c r="J827" s="332">
        <v>10299403.173094118</v>
      </c>
      <c r="K827" s="332">
        <v>11179061.613419244</v>
      </c>
      <c r="L827" s="332">
        <v>11255697.049126297</v>
      </c>
      <c r="M827" s="332">
        <v>11077233.205293205</v>
      </c>
      <c r="N827" s="332">
        <v>11340446.245073292</v>
      </c>
      <c r="O827" s="332">
        <v>11033538.519756805</v>
      </c>
      <c r="P827" s="332">
        <v>11029498.822964609</v>
      </c>
      <c r="Q827" s="332">
        <v>11489811.487376794</v>
      </c>
      <c r="R827" s="332">
        <v>13288495.751752725</v>
      </c>
      <c r="S827" s="332">
        <v>12279689.315768678</v>
      </c>
      <c r="T827" s="332">
        <v>12439921.91443716</v>
      </c>
      <c r="U827" s="332">
        <v>13747259.811053883</v>
      </c>
      <c r="V827" s="332">
        <v>15391662.635544736</v>
      </c>
      <c r="W827" s="9"/>
    </row>
    <row r="828" spans="1:23" ht="13.5" thickBot="1" x14ac:dyDescent="0.25">
      <c r="A828" s="9"/>
      <c r="B828" s="339" t="s">
        <v>238</v>
      </c>
      <c r="C828" s="340"/>
      <c r="D828" s="341">
        <v>-5241558.6766069997</v>
      </c>
      <c r="E828" s="341">
        <v>-4902398.5900204349</v>
      </c>
      <c r="F828" s="341">
        <v>-4000384.5083814692</v>
      </c>
      <c r="G828" s="341">
        <v>-3765692.3953777561</v>
      </c>
      <c r="H828" s="341">
        <v>-3526794.8040195885</v>
      </c>
      <c r="I828" s="341">
        <v>-3568204.449760756</v>
      </c>
      <c r="J828" s="341">
        <v>-4119761.2692376473</v>
      </c>
      <c r="K828" s="341">
        <v>-4471624.6453676978</v>
      </c>
      <c r="L828" s="341">
        <v>-4502278.8196505187</v>
      </c>
      <c r="M828" s="341">
        <v>-4430893.282117282</v>
      </c>
      <c r="N828" s="341">
        <v>-4536178.4980293168</v>
      </c>
      <c r="O828" s="341">
        <v>-4413415.4079027222</v>
      </c>
      <c r="P828" s="341">
        <v>-4411799.5291858437</v>
      </c>
      <c r="Q828" s="341">
        <v>-4595924.5949507179</v>
      </c>
      <c r="R828" s="341">
        <v>-5315398.3007010901</v>
      </c>
      <c r="S828" s="341">
        <v>-4911875.7263074713</v>
      </c>
      <c r="T828" s="341">
        <v>-4975968.7657748638</v>
      </c>
      <c r="U828" s="341">
        <v>-5498903.9244215535</v>
      </c>
      <c r="V828" s="341">
        <v>-6156665.0542178946</v>
      </c>
      <c r="W828" s="9"/>
    </row>
    <row r="829" spans="1:23" ht="13.5" thickTop="1" x14ac:dyDescent="0.2">
      <c r="A829" s="9"/>
      <c r="B829" s="329" t="s">
        <v>233</v>
      </c>
      <c r="C829" s="331"/>
      <c r="D829" s="332">
        <v>7862338.0149104986</v>
      </c>
      <c r="E829" s="332">
        <v>7353597.8850306515</v>
      </c>
      <c r="F829" s="332">
        <v>6000576.7625722028</v>
      </c>
      <c r="G829" s="332">
        <v>5648538.5930666337</v>
      </c>
      <c r="H829" s="332">
        <v>5290192.2060293816</v>
      </c>
      <c r="I829" s="332">
        <v>5352306.6746411342</v>
      </c>
      <c r="J829" s="332">
        <v>6179641.9038564712</v>
      </c>
      <c r="K829" s="332">
        <v>6707436.9680515463</v>
      </c>
      <c r="L829" s="332">
        <v>6753418.2294757785</v>
      </c>
      <c r="M829" s="332">
        <v>6646339.9231759226</v>
      </c>
      <c r="N829" s="332">
        <v>6804267.7470439756</v>
      </c>
      <c r="O829" s="332">
        <v>6620123.1118540829</v>
      </c>
      <c r="P829" s="332">
        <v>6617699.293778765</v>
      </c>
      <c r="Q829" s="332">
        <v>6893886.8924260763</v>
      </c>
      <c r="R829" s="332">
        <v>7973097.4510516347</v>
      </c>
      <c r="S829" s="332">
        <v>7367813.5894612065</v>
      </c>
      <c r="T829" s="332">
        <v>7463953.1486622961</v>
      </c>
      <c r="U829" s="332">
        <v>8248355.8866323298</v>
      </c>
      <c r="V829" s="332">
        <v>9234997.5813268423</v>
      </c>
      <c r="W829" s="9"/>
    </row>
    <row r="830" spans="1:23" x14ac:dyDescent="0.2">
      <c r="A830" s="9"/>
      <c r="B830" s="9"/>
      <c r="C830" s="326"/>
      <c r="D830" s="9"/>
      <c r="E830" s="327"/>
      <c r="F830" s="319"/>
      <c r="G830" s="32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 ht="15.75" x14ac:dyDescent="0.25">
      <c r="A831" s="342" t="s">
        <v>206</v>
      </c>
      <c r="B831" s="343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 x14ac:dyDescent="0.2">
      <c r="A832" s="290" t="s">
        <v>191</v>
      </c>
      <c r="B832" s="309"/>
      <c r="C832" s="344">
        <v>0</v>
      </c>
      <c r="D832" s="283"/>
      <c r="E832" s="283"/>
      <c r="F832" s="283"/>
      <c r="G832" s="283"/>
      <c r="H832" s="283"/>
      <c r="I832" s="283"/>
      <c r="J832" s="283"/>
      <c r="K832" s="283"/>
      <c r="L832" s="283"/>
      <c r="M832" s="283"/>
      <c r="N832" s="283"/>
      <c r="O832" s="283"/>
      <c r="P832" s="283"/>
      <c r="Q832" s="283"/>
      <c r="R832" s="283"/>
      <c r="S832" s="283"/>
      <c r="T832" s="283"/>
      <c r="U832" s="283"/>
      <c r="V832" s="283"/>
      <c r="W832" s="283"/>
    </row>
    <row r="833" spans="1:23" x14ac:dyDescent="0.2">
      <c r="A833" s="290" t="s">
        <v>192</v>
      </c>
      <c r="B833" s="309"/>
      <c r="C833" s="345">
        <v>0</v>
      </c>
      <c r="D833" s="283"/>
      <c r="E833" s="283"/>
      <c r="F833" s="283"/>
      <c r="G833" s="283"/>
      <c r="H833" s="283"/>
      <c r="I833" s="283"/>
      <c r="J833" s="283"/>
      <c r="K833" s="283"/>
      <c r="L833" s="283"/>
      <c r="M833" s="283"/>
      <c r="N833" s="283"/>
      <c r="O833" s="283"/>
      <c r="P833" s="283"/>
      <c r="Q833" s="283"/>
      <c r="R833" s="283"/>
      <c r="S833" s="283"/>
      <c r="T833" s="283"/>
      <c r="U833" s="283"/>
      <c r="V833" s="283"/>
      <c r="W833" s="283"/>
    </row>
    <row r="834" spans="1:23" x14ac:dyDescent="0.2">
      <c r="A834" s="290" t="s">
        <v>202</v>
      </c>
      <c r="B834" s="309"/>
      <c r="C834" s="290">
        <v>15</v>
      </c>
      <c r="D834" s="283"/>
      <c r="E834" s="283"/>
      <c r="F834" s="283"/>
      <c r="G834" s="283"/>
      <c r="H834" s="283"/>
      <c r="I834" s="283"/>
      <c r="J834" s="283"/>
      <c r="K834" s="283"/>
      <c r="L834" s="283"/>
      <c r="M834" s="283"/>
      <c r="N834" s="283"/>
      <c r="O834" s="283"/>
      <c r="P834" s="283"/>
      <c r="Q834" s="283"/>
      <c r="R834" s="283"/>
      <c r="S834" s="283"/>
      <c r="T834" s="283"/>
      <c r="U834" s="283"/>
      <c r="V834" s="283"/>
      <c r="W834" s="283"/>
    </row>
    <row r="835" spans="1:23" x14ac:dyDescent="0.2">
      <c r="A835" s="290" t="s">
        <v>193</v>
      </c>
      <c r="B835" s="309"/>
      <c r="C835" s="345">
        <v>0</v>
      </c>
      <c r="D835" s="283"/>
      <c r="E835" s="283"/>
      <c r="F835" s="283"/>
      <c r="G835" s="283"/>
      <c r="H835" s="283"/>
      <c r="I835" s="283"/>
      <c r="J835" s="283"/>
      <c r="K835" s="283"/>
      <c r="L835" s="283"/>
      <c r="M835" s="283"/>
      <c r="N835" s="283"/>
      <c r="O835" s="283"/>
      <c r="P835" s="283"/>
      <c r="Q835" s="283"/>
      <c r="R835" s="283"/>
      <c r="S835" s="283"/>
      <c r="T835" s="283"/>
      <c r="U835" s="283"/>
      <c r="V835" s="283"/>
      <c r="W835" s="283"/>
    </row>
    <row r="836" spans="1:23" x14ac:dyDescent="0.2">
      <c r="A836" s="290" t="s">
        <v>194</v>
      </c>
      <c r="B836" s="309"/>
      <c r="C836" s="346">
        <v>8.7499999999999994E-2</v>
      </c>
      <c r="D836" s="283"/>
      <c r="E836" s="283"/>
      <c r="F836" s="283"/>
      <c r="G836" s="283"/>
      <c r="H836" s="283"/>
      <c r="I836" s="283"/>
      <c r="J836" s="283"/>
      <c r="K836" s="283"/>
      <c r="L836" s="283"/>
      <c r="M836" s="283"/>
      <c r="N836" s="283"/>
      <c r="O836" s="283"/>
      <c r="P836" s="283"/>
      <c r="Q836" s="283"/>
      <c r="R836" s="283"/>
      <c r="S836" s="283"/>
      <c r="T836" s="283"/>
      <c r="U836" s="283"/>
      <c r="V836" s="283"/>
      <c r="W836" s="283"/>
    </row>
    <row r="837" spans="1:23" x14ac:dyDescent="0.2">
      <c r="A837" s="290"/>
      <c r="B837" s="309"/>
      <c r="C837" s="283"/>
      <c r="D837" s="312">
        <v>2001</v>
      </c>
      <c r="E837" s="312">
        <v>2002</v>
      </c>
      <c r="F837" s="312">
        <v>2003</v>
      </c>
      <c r="G837" s="312">
        <v>2004</v>
      </c>
      <c r="H837" s="312">
        <v>2005</v>
      </c>
      <c r="I837" s="312">
        <v>2006</v>
      </c>
      <c r="J837" s="312">
        <v>2007</v>
      </c>
      <c r="K837" s="312">
        <v>2008</v>
      </c>
      <c r="L837" s="312">
        <v>2009</v>
      </c>
      <c r="M837" s="312">
        <v>2010</v>
      </c>
      <c r="N837" s="312">
        <v>2011</v>
      </c>
      <c r="O837" s="312">
        <v>2012</v>
      </c>
      <c r="P837" s="312">
        <v>2013</v>
      </c>
      <c r="Q837" s="312">
        <v>2014</v>
      </c>
      <c r="R837" s="312">
        <v>2015</v>
      </c>
      <c r="S837" s="312">
        <v>2016</v>
      </c>
      <c r="T837" s="312">
        <v>2017</v>
      </c>
      <c r="U837" s="312">
        <v>2018</v>
      </c>
      <c r="V837" s="312">
        <v>2019</v>
      </c>
      <c r="W837" s="312" t="s">
        <v>154</v>
      </c>
    </row>
    <row r="838" spans="1:23" x14ac:dyDescent="0.2">
      <c r="A838" s="290" t="s">
        <v>195</v>
      </c>
      <c r="B838" s="309"/>
      <c r="C838" s="283"/>
      <c r="D838" s="347">
        <v>0</v>
      </c>
      <c r="E838" s="347">
        <v>0</v>
      </c>
      <c r="F838" s="347">
        <v>0</v>
      </c>
      <c r="G838" s="347">
        <v>0</v>
      </c>
      <c r="H838" s="347">
        <v>0</v>
      </c>
      <c r="I838" s="347">
        <v>0</v>
      </c>
      <c r="J838" s="347">
        <v>0</v>
      </c>
      <c r="K838" s="347">
        <v>0</v>
      </c>
      <c r="L838" s="347">
        <v>0</v>
      </c>
      <c r="M838" s="347">
        <v>0</v>
      </c>
      <c r="N838" s="347">
        <v>0</v>
      </c>
      <c r="O838" s="347">
        <v>0</v>
      </c>
      <c r="P838" s="347">
        <v>0</v>
      </c>
      <c r="Q838" s="347">
        <v>0</v>
      </c>
      <c r="R838" s="347">
        <v>0</v>
      </c>
      <c r="S838" s="347">
        <v>0</v>
      </c>
      <c r="T838" s="347">
        <v>0</v>
      </c>
      <c r="U838" s="347">
        <v>0</v>
      </c>
      <c r="V838" s="347">
        <v>0</v>
      </c>
      <c r="W838" s="347">
        <v>0</v>
      </c>
    </row>
    <row r="839" spans="1:23" x14ac:dyDescent="0.2">
      <c r="A839" s="290" t="s">
        <v>196</v>
      </c>
      <c r="B839" s="309"/>
      <c r="C839" s="283"/>
      <c r="D839" s="347">
        <v>0</v>
      </c>
      <c r="E839" s="347">
        <v>0</v>
      </c>
      <c r="F839" s="347">
        <v>0</v>
      </c>
      <c r="G839" s="347">
        <v>0</v>
      </c>
      <c r="H839" s="347">
        <v>0</v>
      </c>
      <c r="I839" s="347">
        <v>0</v>
      </c>
      <c r="J839" s="347">
        <v>0</v>
      </c>
      <c r="K839" s="347">
        <v>0</v>
      </c>
      <c r="L839" s="347">
        <v>0</v>
      </c>
      <c r="M839" s="347">
        <v>0</v>
      </c>
      <c r="N839" s="347">
        <v>0</v>
      </c>
      <c r="O839" s="347">
        <v>0</v>
      </c>
      <c r="P839" s="347">
        <v>0</v>
      </c>
      <c r="Q839" s="347">
        <v>0</v>
      </c>
      <c r="R839" s="347">
        <v>0</v>
      </c>
      <c r="S839" s="347">
        <v>0</v>
      </c>
      <c r="T839" s="347">
        <v>0</v>
      </c>
      <c r="U839" s="347">
        <v>0</v>
      </c>
      <c r="V839" s="347">
        <v>0</v>
      </c>
      <c r="W839" s="347">
        <v>0</v>
      </c>
    </row>
    <row r="840" spans="1:23" x14ac:dyDescent="0.2">
      <c r="A840" s="290" t="s">
        <v>197</v>
      </c>
      <c r="B840" s="309"/>
      <c r="C840" s="283"/>
      <c r="D840" s="347">
        <v>0</v>
      </c>
      <c r="E840" s="347">
        <v>0</v>
      </c>
      <c r="F840" s="347">
        <v>0</v>
      </c>
      <c r="G840" s="347">
        <v>0</v>
      </c>
      <c r="H840" s="347">
        <v>0</v>
      </c>
      <c r="I840" s="347">
        <v>0</v>
      </c>
      <c r="J840" s="347">
        <v>0</v>
      </c>
      <c r="K840" s="347">
        <v>0</v>
      </c>
      <c r="L840" s="347">
        <v>0</v>
      </c>
      <c r="M840" s="347">
        <v>0</v>
      </c>
      <c r="N840" s="347">
        <v>0</v>
      </c>
      <c r="O840" s="347">
        <v>0</v>
      </c>
      <c r="P840" s="347">
        <v>0</v>
      </c>
      <c r="Q840" s="347">
        <v>0</v>
      </c>
      <c r="R840" s="347">
        <v>0</v>
      </c>
      <c r="S840" s="347">
        <v>0</v>
      </c>
      <c r="T840" s="347">
        <v>0</v>
      </c>
      <c r="U840" s="347">
        <v>0</v>
      </c>
      <c r="V840" s="347">
        <v>0</v>
      </c>
      <c r="W840" s="347">
        <v>0</v>
      </c>
    </row>
    <row r="841" spans="1:23" x14ac:dyDescent="0.2">
      <c r="A841" s="290" t="s">
        <v>198</v>
      </c>
      <c r="B841" s="309"/>
      <c r="C841" s="283"/>
      <c r="D841" s="348">
        <v>0</v>
      </c>
      <c r="E841" s="348">
        <v>0</v>
      </c>
      <c r="F841" s="348">
        <v>0</v>
      </c>
      <c r="G841" s="348">
        <v>0</v>
      </c>
      <c r="H841" s="348">
        <v>0</v>
      </c>
      <c r="I841" s="348">
        <v>0</v>
      </c>
      <c r="J841" s="348">
        <v>0</v>
      </c>
      <c r="K841" s="348">
        <v>0</v>
      </c>
      <c r="L841" s="348">
        <v>0</v>
      </c>
      <c r="M841" s="348">
        <v>0</v>
      </c>
      <c r="N841" s="348">
        <v>0</v>
      </c>
      <c r="O841" s="348">
        <v>0</v>
      </c>
      <c r="P841" s="348">
        <v>0</v>
      </c>
      <c r="Q841" s="348">
        <v>0</v>
      </c>
      <c r="R841" s="348">
        <v>0</v>
      </c>
      <c r="S841" s="348">
        <v>0</v>
      </c>
      <c r="T841" s="348">
        <v>0</v>
      </c>
      <c r="U841" s="348">
        <v>0</v>
      </c>
      <c r="V841" s="348">
        <v>0</v>
      </c>
      <c r="W841" s="348">
        <v>0</v>
      </c>
    </row>
    <row r="842" spans="1:23" ht="13.5" thickBot="1" x14ac:dyDescent="0.25">
      <c r="A842" s="290" t="s">
        <v>199</v>
      </c>
      <c r="B842" s="309"/>
      <c r="C842" s="283"/>
      <c r="D842" s="349">
        <v>0</v>
      </c>
      <c r="E842" s="349">
        <v>0</v>
      </c>
      <c r="F842" s="349">
        <v>0</v>
      </c>
      <c r="G842" s="349">
        <v>0</v>
      </c>
      <c r="H842" s="349">
        <v>0</v>
      </c>
      <c r="I842" s="349">
        <v>0</v>
      </c>
      <c r="J842" s="349">
        <v>0</v>
      </c>
      <c r="K842" s="349">
        <v>0</v>
      </c>
      <c r="L842" s="349">
        <v>0</v>
      </c>
      <c r="M842" s="349">
        <v>0</v>
      </c>
      <c r="N842" s="349">
        <v>0</v>
      </c>
      <c r="O842" s="349">
        <v>0</v>
      </c>
      <c r="P842" s="349">
        <v>0</v>
      </c>
      <c r="Q842" s="349">
        <v>0</v>
      </c>
      <c r="R842" s="349">
        <v>0</v>
      </c>
      <c r="S842" s="349">
        <v>0</v>
      </c>
      <c r="T842" s="349">
        <v>0</v>
      </c>
      <c r="U842" s="349">
        <v>0</v>
      </c>
      <c r="V842" s="349">
        <v>0</v>
      </c>
      <c r="W842" s="349">
        <v>0</v>
      </c>
    </row>
    <row r="843" spans="1:23" ht="13.5" thickTop="1" x14ac:dyDescent="0.2">
      <c r="A843" s="290"/>
      <c r="B843" s="309"/>
      <c r="C843" s="283"/>
      <c r="D843" s="347"/>
      <c r="E843" s="347"/>
      <c r="F843" s="347"/>
      <c r="G843" s="347"/>
      <c r="H843" s="347"/>
      <c r="I843" s="347"/>
      <c r="J843" s="347"/>
      <c r="K843" s="347"/>
      <c r="L843" s="347"/>
      <c r="M843" s="347"/>
      <c r="N843" s="347"/>
      <c r="O843" s="347"/>
      <c r="P843" s="347"/>
      <c r="Q843" s="347"/>
      <c r="R843" s="347"/>
      <c r="S843" s="347"/>
      <c r="T843" s="347"/>
      <c r="U843" s="347"/>
      <c r="V843" s="347"/>
      <c r="W843" s="347"/>
    </row>
    <row r="844" spans="1:23" x14ac:dyDescent="0.2">
      <c r="A844" s="290" t="s">
        <v>200</v>
      </c>
      <c r="B844" s="309"/>
      <c r="C844" s="283"/>
      <c r="D844" s="347">
        <v>0</v>
      </c>
      <c r="E844" s="347">
        <v>0</v>
      </c>
      <c r="F844" s="347">
        <v>0</v>
      </c>
      <c r="G844" s="347">
        <v>0</v>
      </c>
      <c r="H844" s="347">
        <v>0</v>
      </c>
      <c r="I844" s="347">
        <v>0</v>
      </c>
      <c r="J844" s="347">
        <v>0</v>
      </c>
      <c r="K844" s="347">
        <v>0</v>
      </c>
      <c r="L844" s="347">
        <v>0</v>
      </c>
      <c r="M844" s="347">
        <v>0</v>
      </c>
      <c r="N844" s="347">
        <v>0</v>
      </c>
      <c r="O844" s="347">
        <v>0</v>
      </c>
      <c r="P844" s="347">
        <v>0</v>
      </c>
      <c r="Q844" s="347">
        <v>0</v>
      </c>
      <c r="R844" s="347">
        <v>0</v>
      </c>
      <c r="S844" s="347">
        <v>0</v>
      </c>
      <c r="T844" s="347">
        <v>0</v>
      </c>
      <c r="U844" s="347">
        <v>0</v>
      </c>
      <c r="V844" s="347">
        <v>0</v>
      </c>
      <c r="W844" s="347">
        <v>0</v>
      </c>
    </row>
    <row r="845" spans="1:23" x14ac:dyDescent="0.2">
      <c r="A845" s="290"/>
      <c r="B845" s="309"/>
      <c r="C845" s="283"/>
      <c r="D845" s="283"/>
      <c r="E845" s="283"/>
      <c r="F845" s="283"/>
      <c r="G845" s="283"/>
      <c r="H845" s="283"/>
      <c r="I845" s="283"/>
      <c r="J845" s="283"/>
      <c r="K845" s="283"/>
      <c r="L845" s="283"/>
      <c r="M845" s="283"/>
      <c r="N845" s="283"/>
      <c r="O845" s="283"/>
      <c r="P845" s="283"/>
      <c r="Q845" s="283"/>
      <c r="R845" s="283"/>
      <c r="S845" s="283"/>
      <c r="T845" s="283"/>
      <c r="U845" s="283"/>
      <c r="V845" s="283"/>
      <c r="W845" s="283"/>
    </row>
    <row r="846" spans="1:23" x14ac:dyDescent="0.2">
      <c r="A846" s="290" t="s">
        <v>201</v>
      </c>
      <c r="B846" s="309"/>
      <c r="C846" s="283"/>
      <c r="D846" s="347">
        <v>0</v>
      </c>
      <c r="E846" s="347">
        <v>0</v>
      </c>
      <c r="F846" s="347">
        <v>0</v>
      </c>
      <c r="G846" s="347">
        <v>0</v>
      </c>
      <c r="H846" s="347">
        <v>0</v>
      </c>
      <c r="I846" s="347">
        <v>0</v>
      </c>
      <c r="J846" s="347">
        <v>0</v>
      </c>
      <c r="K846" s="347">
        <v>0</v>
      </c>
      <c r="L846" s="347">
        <v>0</v>
      </c>
      <c r="M846" s="347">
        <v>0</v>
      </c>
      <c r="N846" s="347">
        <v>0</v>
      </c>
      <c r="O846" s="347">
        <v>0</v>
      </c>
      <c r="P846" s="347">
        <v>0</v>
      </c>
      <c r="Q846" s="347">
        <v>0</v>
      </c>
      <c r="R846" s="347">
        <v>0</v>
      </c>
      <c r="S846" s="347">
        <v>0</v>
      </c>
      <c r="T846" s="347">
        <v>0</v>
      </c>
      <c r="U846" s="347">
        <v>0</v>
      </c>
      <c r="V846" s="347">
        <v>0</v>
      </c>
      <c r="W846" s="347">
        <v>0</v>
      </c>
    </row>
    <row r="847" spans="1:23" x14ac:dyDescent="0.2">
      <c r="A847" s="283"/>
      <c r="B847" s="309"/>
      <c r="C847" s="283"/>
      <c r="D847" s="283"/>
      <c r="E847" s="283"/>
      <c r="F847" s="283"/>
      <c r="G847" s="283"/>
      <c r="H847" s="283"/>
      <c r="I847" s="283"/>
      <c r="J847" s="283"/>
      <c r="K847" s="283"/>
      <c r="L847" s="283"/>
      <c r="M847" s="283"/>
      <c r="N847" s="283"/>
      <c r="O847" s="283"/>
      <c r="P847" s="283"/>
      <c r="Q847" s="283"/>
      <c r="R847" s="283"/>
      <c r="S847" s="283"/>
      <c r="T847" s="283"/>
      <c r="U847" s="283"/>
      <c r="V847" s="283"/>
      <c r="W847" s="283"/>
    </row>
    <row r="848" spans="1:23" x14ac:dyDescent="0.2">
      <c r="A848" s="283"/>
      <c r="B848" s="309"/>
      <c r="C848" s="283"/>
      <c r="D848" s="283"/>
      <c r="E848" s="283"/>
      <c r="F848" s="283"/>
      <c r="G848" s="283"/>
      <c r="H848" s="283"/>
      <c r="I848" s="283"/>
      <c r="J848" s="283"/>
      <c r="K848" s="283"/>
      <c r="L848" s="283"/>
      <c r="M848" s="283"/>
      <c r="N848" s="283"/>
      <c r="O848" s="283"/>
      <c r="P848" s="283"/>
      <c r="Q848" s="283"/>
      <c r="R848" s="283"/>
      <c r="S848" s="283"/>
      <c r="T848" s="283"/>
      <c r="U848" s="283"/>
      <c r="V848" s="283"/>
      <c r="W848" s="283"/>
    </row>
    <row r="849" spans="1:23" x14ac:dyDescent="0.2">
      <c r="A849" s="290" t="s">
        <v>203</v>
      </c>
      <c r="B849" s="285"/>
      <c r="C849" s="284"/>
      <c r="D849" s="441">
        <v>3570885.4559162715</v>
      </c>
      <c r="E849" s="441">
        <v>7418283.7669199845</v>
      </c>
      <c r="F849" s="441">
        <v>6988072.7886091284</v>
      </c>
      <c r="G849" s="441">
        <v>6159881.7645864291</v>
      </c>
      <c r="H849" s="441">
        <v>4876955.0864286013</v>
      </c>
      <c r="I849" s="441">
        <v>4976959.2198957624</v>
      </c>
      <c r="J849" s="441">
        <v>5571804.3233435908</v>
      </c>
      <c r="K849" s="441">
        <v>5871962.0158308949</v>
      </c>
      <c r="L849" s="441">
        <v>5912515.9969801717</v>
      </c>
      <c r="M849" s="441">
        <v>5819854.0804618187</v>
      </c>
      <c r="N849" s="441">
        <v>5945221.6376248552</v>
      </c>
      <c r="O849" s="441">
        <v>5778523.0582262315</v>
      </c>
      <c r="P849" s="441">
        <v>5807922.9518059101</v>
      </c>
      <c r="Q849" s="441">
        <v>6107820.9430033239</v>
      </c>
      <c r="R849" s="441">
        <v>7212049.0714213978</v>
      </c>
      <c r="S849" s="441">
        <v>6640790.9726429768</v>
      </c>
      <c r="T849" s="441">
        <v>6771701.9876040602</v>
      </c>
      <c r="U849" s="441">
        <v>7605826.2480378151</v>
      </c>
      <c r="V849" s="441">
        <v>8641252.7917790469</v>
      </c>
      <c r="W849" s="441">
        <v>40757505.790251575</v>
      </c>
    </row>
    <row r="850" spans="1:23" x14ac:dyDescent="0.2">
      <c r="A850" s="9"/>
      <c r="B850" s="6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 x14ac:dyDescent="0.2">
      <c r="B851" s="356"/>
      <c r="C851" s="359"/>
      <c r="D851" s="359"/>
      <c r="E851" s="359"/>
      <c r="F851" s="359"/>
      <c r="G851" s="359"/>
      <c r="H851" s="359"/>
      <c r="I851" s="359"/>
      <c r="J851" s="359"/>
      <c r="K851" s="359"/>
      <c r="L851" s="359"/>
      <c r="M851" s="359"/>
      <c r="N851" s="359"/>
      <c r="O851" s="359"/>
      <c r="P851" s="359"/>
      <c r="Q851" s="359"/>
      <c r="R851" s="359"/>
      <c r="S851" s="359"/>
      <c r="T851" s="359"/>
      <c r="U851" s="359"/>
      <c r="V851" s="359"/>
      <c r="W851" s="358"/>
    </row>
    <row r="852" spans="1:23" x14ac:dyDescent="0.2">
      <c r="B852" s="295"/>
    </row>
    <row r="853" spans="1:23" x14ac:dyDescent="0.2">
      <c r="A853" s="45"/>
      <c r="B853" s="306"/>
      <c r="C853" s="318"/>
      <c r="E853" s="367"/>
      <c r="F853" s="319"/>
      <c r="G853" s="320"/>
    </row>
    <row r="854" spans="1:23" x14ac:dyDescent="0.2">
      <c r="B854" s="306"/>
      <c r="C854" s="318"/>
      <c r="E854" s="91"/>
      <c r="F854" s="319"/>
      <c r="G854" s="320"/>
    </row>
    <row r="855" spans="1:23" x14ac:dyDescent="0.2">
      <c r="B855" s="306"/>
      <c r="C855" s="318"/>
      <c r="D855" s="323"/>
      <c r="E855" s="91"/>
      <c r="F855" s="319"/>
      <c r="G855" s="320"/>
    </row>
    <row r="856" spans="1:23" x14ac:dyDescent="0.2">
      <c r="B856" s="306"/>
      <c r="C856" s="307"/>
      <c r="D856" s="351"/>
      <c r="E856" s="91"/>
      <c r="F856" s="357"/>
      <c r="G856" s="368"/>
    </row>
    <row r="857" spans="1:23" x14ac:dyDescent="0.2">
      <c r="B857" s="295"/>
      <c r="C857" s="360"/>
      <c r="E857" s="369"/>
      <c r="F857" s="319"/>
      <c r="G857" s="328"/>
    </row>
    <row r="858" spans="1:23" ht="15.75" x14ac:dyDescent="0.25">
      <c r="A858" s="308" t="s">
        <v>29</v>
      </c>
      <c r="B858" s="311" t="s">
        <v>67</v>
      </c>
      <c r="C858" s="312">
        <v>2000</v>
      </c>
      <c r="D858" s="312">
        <v>2001</v>
      </c>
      <c r="E858" s="312">
        <v>2002</v>
      </c>
      <c r="F858" s="312">
        <v>2003</v>
      </c>
      <c r="G858" s="312">
        <v>2004</v>
      </c>
      <c r="H858" s="312">
        <v>2005</v>
      </c>
      <c r="I858" s="312">
        <v>2006</v>
      </c>
      <c r="J858" s="312">
        <v>2007</v>
      </c>
      <c r="K858" s="312">
        <v>2008</v>
      </c>
      <c r="L858" s="312">
        <v>2009</v>
      </c>
      <c r="M858" s="312">
        <v>2010</v>
      </c>
      <c r="N858" s="312">
        <v>2011</v>
      </c>
      <c r="O858" s="312">
        <v>2012</v>
      </c>
      <c r="P858" s="312">
        <v>2013</v>
      </c>
      <c r="Q858" s="312">
        <v>2014</v>
      </c>
      <c r="R858" s="312">
        <v>2015</v>
      </c>
      <c r="S858" s="312">
        <v>2016</v>
      </c>
      <c r="T858" s="312">
        <v>2017</v>
      </c>
      <c r="U858" s="312">
        <v>2018</v>
      </c>
      <c r="V858" s="312">
        <v>2019</v>
      </c>
      <c r="W858" s="312" t="s">
        <v>154</v>
      </c>
    </row>
    <row r="859" spans="1:23" x14ac:dyDescent="0.2">
      <c r="A859" s="308" t="s">
        <v>26</v>
      </c>
      <c r="B859" s="309">
        <v>94</v>
      </c>
      <c r="C859" s="314"/>
      <c r="D859" s="314"/>
      <c r="E859" s="314"/>
      <c r="F859" s="314"/>
      <c r="G859" s="314"/>
      <c r="H859" s="314"/>
      <c r="I859" s="314"/>
      <c r="J859" s="314"/>
      <c r="K859" s="314"/>
      <c r="L859" s="314"/>
      <c r="M859" s="314"/>
      <c r="N859" s="314"/>
      <c r="O859" s="314"/>
      <c r="P859" s="314"/>
      <c r="Q859" s="314"/>
      <c r="R859" s="314"/>
      <c r="S859" s="314"/>
      <c r="T859" s="314"/>
      <c r="U859" s="314"/>
      <c r="V859" s="314"/>
      <c r="W859" s="314"/>
    </row>
    <row r="860" spans="1:23" x14ac:dyDescent="0.2">
      <c r="A860" s="9"/>
      <c r="B860" s="315" t="s">
        <v>27</v>
      </c>
      <c r="C860" s="449">
        <v>0</v>
      </c>
      <c r="D860" s="410">
        <v>27254126.550614528</v>
      </c>
      <c r="E860" s="410">
        <v>26569766.403995112</v>
      </c>
      <c r="F860" s="410">
        <v>26618343.073474199</v>
      </c>
      <c r="G860" s="410">
        <v>25928789.245237309</v>
      </c>
      <c r="H860" s="410">
        <v>25693713.165204555</v>
      </c>
      <c r="I860" s="410">
        <v>27126520.799019765</v>
      </c>
      <c r="J860" s="410">
        <v>29177052.12631809</v>
      </c>
      <c r="K860" s="410">
        <v>29962849.007601138</v>
      </c>
      <c r="L860" s="410">
        <v>30581565.260621108</v>
      </c>
      <c r="M860" s="410">
        <v>30691268.730185922</v>
      </c>
      <c r="N860" s="410">
        <v>31362179.241099723</v>
      </c>
      <c r="O860" s="410">
        <v>31701477.528693814</v>
      </c>
      <c r="P860" s="410">
        <v>32082953.13476143</v>
      </c>
      <c r="Q860" s="410">
        <v>33229541.042532247</v>
      </c>
      <c r="R860" s="410">
        <v>35573602.523800775</v>
      </c>
      <c r="S860" s="410">
        <v>35390557.979362778</v>
      </c>
      <c r="T860" s="410">
        <v>35871082.190201052</v>
      </c>
      <c r="U860" s="410">
        <v>37583619.367173694</v>
      </c>
      <c r="V860" s="410">
        <v>38709898.418039188</v>
      </c>
      <c r="W860" s="333"/>
    </row>
    <row r="861" spans="1:23" x14ac:dyDescent="0.2">
      <c r="A861" s="9"/>
      <c r="B861" s="315" t="s">
        <v>20</v>
      </c>
      <c r="C861" s="449">
        <v>0</v>
      </c>
      <c r="D861" s="410">
        <v>-8954364.9179163408</v>
      </c>
      <c r="E861" s="410">
        <v>-8960126.3188903499</v>
      </c>
      <c r="F861" s="410">
        <v>-8988541.9442506395</v>
      </c>
      <c r="G861" s="410">
        <v>-9111600.65142457</v>
      </c>
      <c r="H861" s="410">
        <v>-9287010.8245469574</v>
      </c>
      <c r="I861" s="410">
        <v>-9553031.945754908</v>
      </c>
      <c r="J861" s="410">
        <v>-9773370.0041837357</v>
      </c>
      <c r="K861" s="410">
        <v>-9983379.7161237188</v>
      </c>
      <c r="L861" s="410">
        <v>-10147944.703512747</v>
      </c>
      <c r="M861" s="410">
        <v>-10229194.362558378</v>
      </c>
      <c r="N861" s="410">
        <v>-10368282.761941576</v>
      </c>
      <c r="O861" s="410">
        <v>-10593440.715398535</v>
      </c>
      <c r="P861" s="410">
        <v>-10835124.023237655</v>
      </c>
      <c r="Q861" s="410">
        <v>-11065101.871722747</v>
      </c>
      <c r="R861" s="410">
        <v>-11222092.73835329</v>
      </c>
      <c r="S861" s="410">
        <v>-11452070.586838378</v>
      </c>
      <c r="T861" s="410">
        <v>-11713722.031222612</v>
      </c>
      <c r="U861" s="410">
        <v>-12000850.063612679</v>
      </c>
      <c r="V861" s="410">
        <v>-12297617.886059007</v>
      </c>
      <c r="W861" s="333"/>
    </row>
    <row r="862" spans="1:23" x14ac:dyDescent="0.2">
      <c r="A862" s="9"/>
      <c r="B862" s="315" t="s">
        <v>31</v>
      </c>
      <c r="C862" s="449">
        <v>0</v>
      </c>
      <c r="D862" s="410">
        <v>-725452.16006878891</v>
      </c>
      <c r="E862" s="410">
        <v>-730067.00561540236</v>
      </c>
      <c r="F862" s="410">
        <v>-734367.98443344829</v>
      </c>
      <c r="G862" s="410">
        <v>-738332.24140684912</v>
      </c>
      <c r="H862" s="410">
        <v>-741935.78959257947</v>
      </c>
      <c r="I862" s="410">
        <v>-749803.61977392843</v>
      </c>
      <c r="J862" s="410">
        <v>-764937.92272672302</v>
      </c>
      <c r="K862" s="410">
        <v>-780377.70183330821</v>
      </c>
      <c r="L862" s="410">
        <v>-796129.12293302477</v>
      </c>
      <c r="M862" s="410">
        <v>-812198.47631870711</v>
      </c>
      <c r="N862" s="410">
        <v>-828592.17924869782</v>
      </c>
      <c r="O862" s="410">
        <v>-845316.77850956388</v>
      </c>
      <c r="P862" s="410">
        <v>-862378.95303054235</v>
      </c>
      <c r="Q862" s="410">
        <v>-879785.51655075187</v>
      </c>
      <c r="R862" s="410">
        <v>-897543.42034024606</v>
      </c>
      <c r="S862" s="410">
        <v>-915659.75597598497</v>
      </c>
      <c r="T862" s="410">
        <v>-934141.75817384152</v>
      </c>
      <c r="U862" s="410">
        <v>-952996.80767776573</v>
      </c>
      <c r="V862" s="410">
        <v>-972232.43420726969</v>
      </c>
      <c r="W862" s="333"/>
    </row>
    <row r="863" spans="1:23" x14ac:dyDescent="0.2">
      <c r="A863" s="9"/>
      <c r="B863" s="315" t="s">
        <v>32</v>
      </c>
      <c r="C863" s="449">
        <v>0</v>
      </c>
      <c r="D863" s="410">
        <v>0</v>
      </c>
      <c r="E863" s="410">
        <v>0</v>
      </c>
      <c r="F863" s="410">
        <v>0</v>
      </c>
      <c r="G863" s="410">
        <v>0</v>
      </c>
      <c r="H863" s="410">
        <v>0</v>
      </c>
      <c r="I863" s="410">
        <v>-692182.50465341902</v>
      </c>
      <c r="J863" s="410">
        <v>-767229.01213181089</v>
      </c>
      <c r="K863" s="410">
        <v>-905639.51960231073</v>
      </c>
      <c r="L863" s="410">
        <v>-929862.15875080705</v>
      </c>
      <c r="M863" s="410">
        <v>-1034149.6872901898</v>
      </c>
      <c r="N863" s="410">
        <v>-1139194.0868388801</v>
      </c>
      <c r="O863" s="410">
        <v>-1262192.8941459691</v>
      </c>
      <c r="P863" s="410">
        <v>-1415250.2664570229</v>
      </c>
      <c r="Q863" s="410">
        <v>-1575394.3921508382</v>
      </c>
      <c r="R863" s="410">
        <v>-1745055.7313554676</v>
      </c>
      <c r="S863" s="410">
        <v>-1916069.0470275651</v>
      </c>
      <c r="T863" s="410">
        <v>-1882444.4258356006</v>
      </c>
      <c r="U863" s="410">
        <v>-1610533.0230459725</v>
      </c>
      <c r="V863" s="410">
        <v>-1669825.6071327436</v>
      </c>
      <c r="W863" s="333"/>
    </row>
    <row r="864" spans="1:23" ht="13.5" thickBot="1" x14ac:dyDescent="0.25">
      <c r="A864" s="9"/>
      <c r="B864" s="316" t="s">
        <v>33</v>
      </c>
      <c r="C864" s="450">
        <v>0</v>
      </c>
      <c r="D864" s="412">
        <v>0</v>
      </c>
      <c r="E864" s="412">
        <v>0</v>
      </c>
      <c r="F864" s="412">
        <v>-2040498.0628446338</v>
      </c>
      <c r="G864" s="412">
        <v>-1713433.1747330697</v>
      </c>
      <c r="H864" s="412">
        <v>-1752094.4360508376</v>
      </c>
      <c r="I864" s="412">
        <v>-1802616.6693487067</v>
      </c>
      <c r="J864" s="412">
        <v>-2366049.9818210984</v>
      </c>
      <c r="K864" s="412">
        <v>-2066123.7215338659</v>
      </c>
      <c r="L864" s="412">
        <v>-2187475.1281636967</v>
      </c>
      <c r="M864" s="412">
        <v>-2081466.3624701744</v>
      </c>
      <c r="N864" s="412">
        <v>-2141081.2745901491</v>
      </c>
      <c r="O864" s="412">
        <v>-2196601.3789840178</v>
      </c>
      <c r="P864" s="412">
        <v>-1962025.8937616658</v>
      </c>
      <c r="Q864" s="412">
        <v>-2032177.498859612</v>
      </c>
      <c r="R864" s="412">
        <v>-2074173.2215429286</v>
      </c>
      <c r="S864" s="412">
        <v>-2202626.2335014986</v>
      </c>
      <c r="T864" s="412">
        <v>-2070697.1084283406</v>
      </c>
      <c r="U864" s="412">
        <v>-2280618.2545723361</v>
      </c>
      <c r="V864" s="412">
        <v>-1241683.8730480059</v>
      </c>
      <c r="W864" s="333"/>
    </row>
    <row r="865" spans="1:23" ht="13.5" thickTop="1" x14ac:dyDescent="0.2">
      <c r="A865" s="9"/>
      <c r="B865" s="317" t="s">
        <v>38</v>
      </c>
      <c r="C865" s="451">
        <v>0</v>
      </c>
      <c r="D865" s="414">
        <v>17574309.472629398</v>
      </c>
      <c r="E865" s="414">
        <v>16879573.079489361</v>
      </c>
      <c r="F865" s="414">
        <v>14854935.081945475</v>
      </c>
      <c r="G865" s="414">
        <v>14365423.177672822</v>
      </c>
      <c r="H865" s="414">
        <v>13912672.115014181</v>
      </c>
      <c r="I865" s="414">
        <v>14328886.059488803</v>
      </c>
      <c r="J865" s="414">
        <v>15505465.205454722</v>
      </c>
      <c r="K865" s="414">
        <v>16227328.348507935</v>
      </c>
      <c r="L865" s="414">
        <v>16520154.147260832</v>
      </c>
      <c r="M865" s="414">
        <v>16534259.841548478</v>
      </c>
      <c r="N865" s="414">
        <v>16885028.938480422</v>
      </c>
      <c r="O865" s="414">
        <v>16803925.761655726</v>
      </c>
      <c r="P865" s="414">
        <v>17008173.99827455</v>
      </c>
      <c r="Q865" s="414">
        <v>17677081.763248298</v>
      </c>
      <c r="R865" s="414">
        <v>19634737.412208844</v>
      </c>
      <c r="S865" s="414">
        <v>18904132.356019352</v>
      </c>
      <c r="T865" s="414">
        <v>19270076.866540655</v>
      </c>
      <c r="U865" s="414">
        <v>20738621.218264945</v>
      </c>
      <c r="V865" s="414">
        <v>22528538.61759216</v>
      </c>
      <c r="W865" s="333"/>
    </row>
    <row r="866" spans="1:23" x14ac:dyDescent="0.2">
      <c r="A866" s="9"/>
      <c r="B866" s="315" t="s">
        <v>34</v>
      </c>
      <c r="C866" s="449">
        <v>0</v>
      </c>
      <c r="D866" s="410">
        <v>-3115421.8129559057</v>
      </c>
      <c r="E866" s="410">
        <v>-3177730.2492150241</v>
      </c>
      <c r="F866" s="410">
        <v>-3241284.8541993247</v>
      </c>
      <c r="G866" s="410">
        <v>-3306110.5512833111</v>
      </c>
      <c r="H866" s="410">
        <v>-3372232.7623089775</v>
      </c>
      <c r="I866" s="410">
        <v>-3439677.4175551571</v>
      </c>
      <c r="J866" s="410">
        <v>-3508470.9659062601</v>
      </c>
      <c r="K866" s="410">
        <v>-3578640.3852243852</v>
      </c>
      <c r="L866" s="410">
        <v>-3650213.192928873</v>
      </c>
      <c r="M866" s="410">
        <v>-3723217.4567874507</v>
      </c>
      <c r="N866" s="410">
        <v>-3797681.8059231997</v>
      </c>
      <c r="O866" s="410">
        <v>-3873635.4420416639</v>
      </c>
      <c r="P866" s="410">
        <v>-3951108.1508824974</v>
      </c>
      <c r="Q866" s="410">
        <v>-4030130.3139001476</v>
      </c>
      <c r="R866" s="410">
        <v>-4110732.9201781508</v>
      </c>
      <c r="S866" s="410">
        <v>-4192947.5785817141</v>
      </c>
      <c r="T866" s="410">
        <v>-4276806.5301533481</v>
      </c>
      <c r="U866" s="410">
        <v>-4362342.6607564148</v>
      </c>
      <c r="V866" s="410">
        <v>-4449589.5139715429</v>
      </c>
      <c r="W866" s="333"/>
    </row>
    <row r="867" spans="1:23" x14ac:dyDescent="0.2">
      <c r="A867" s="9"/>
      <c r="B867" s="315" t="s">
        <v>35</v>
      </c>
      <c r="C867" s="449">
        <v>0</v>
      </c>
      <c r="D867" s="410">
        <v>-246782.10002979756</v>
      </c>
      <c r="E867" s="410">
        <v>-252279.40785605877</v>
      </c>
      <c r="F867" s="410">
        <v>-257897.10672371511</v>
      </c>
      <c r="G867" s="410">
        <v>-268962.4041721783</v>
      </c>
      <c r="H867" s="410">
        <v>-318736.43470004259</v>
      </c>
      <c r="I867" s="410">
        <v>-402826.88221865153</v>
      </c>
      <c r="J867" s="410">
        <v>-443315.6150709971</v>
      </c>
      <c r="K867" s="410">
        <v>-490647.4775092419</v>
      </c>
      <c r="L867" s="410">
        <v>-533196.673363126</v>
      </c>
      <c r="M867" s="410">
        <v>-552153.96283805545</v>
      </c>
      <c r="N867" s="410">
        <v>-558971.73112085753</v>
      </c>
      <c r="O867" s="410">
        <v>-565961.30716438626</v>
      </c>
      <c r="P867" s="410">
        <v>-573128.41843942064</v>
      </c>
      <c r="Q867" s="410">
        <v>-580474.70749633084</v>
      </c>
      <c r="R867" s="410">
        <v>-588005.38840856939</v>
      </c>
      <c r="S867" s="410">
        <v>-595724.33634361404</v>
      </c>
      <c r="T867" s="410">
        <v>-603634.71418744768</v>
      </c>
      <c r="U867" s="410">
        <v>-611743.64251516166</v>
      </c>
      <c r="V867" s="410">
        <v>-620056.10494390118</v>
      </c>
      <c r="W867" s="333"/>
    </row>
    <row r="868" spans="1:23" ht="13.5" thickBot="1" x14ac:dyDescent="0.25">
      <c r="A868" s="9"/>
      <c r="B868" s="316" t="s">
        <v>36</v>
      </c>
      <c r="C868" s="450">
        <v>0</v>
      </c>
      <c r="D868" s="412">
        <v>-307061.97203451901</v>
      </c>
      <c r="E868" s="412">
        <v>-313540.97964444902</v>
      </c>
      <c r="F868" s="412">
        <v>-320407.52709866298</v>
      </c>
      <c r="G868" s="412">
        <v>-327648.73721109098</v>
      </c>
      <c r="H868" s="412">
        <v>-335446.77715671499</v>
      </c>
      <c r="I868" s="412">
        <v>-343853.10711533</v>
      </c>
      <c r="J868" s="412">
        <v>-352381.62210241298</v>
      </c>
      <c r="K868" s="412">
        <v>-361301.12918059598</v>
      </c>
      <c r="L868" s="412">
        <v>-370225.267071357</v>
      </c>
      <c r="M868" s="412">
        <v>-379666.01138167601</v>
      </c>
      <c r="N868" s="412">
        <v>-388853.92885711399</v>
      </c>
      <c r="O868" s="412">
        <v>-398653.04786431202</v>
      </c>
      <c r="P868" s="412">
        <v>-408778.83528006502</v>
      </c>
      <c r="Q868" s="412">
        <v>-418998.306162066</v>
      </c>
      <c r="R868" s="412">
        <v>-429515.16364673403</v>
      </c>
      <c r="S868" s="412">
        <v>-440253.04273790302</v>
      </c>
      <c r="T868" s="412">
        <v>-451171.318197802</v>
      </c>
      <c r="U868" s="412">
        <v>-462495.71828456799</v>
      </c>
      <c r="V868" s="412">
        <v>-474104.36081351101</v>
      </c>
      <c r="W868" s="333"/>
    </row>
    <row r="869" spans="1:23" ht="13.5" thickTop="1" x14ac:dyDescent="0.2">
      <c r="A869" s="9"/>
      <c r="B869" s="317" t="s">
        <v>221</v>
      </c>
      <c r="C869" s="452">
        <v>0</v>
      </c>
      <c r="D869" s="416">
        <v>13905043.587609176</v>
      </c>
      <c r="E869" s="416">
        <v>13136022.44277383</v>
      </c>
      <c r="F869" s="416">
        <v>11035345.593923774</v>
      </c>
      <c r="G869" s="416">
        <v>10462701.485006241</v>
      </c>
      <c r="H869" s="416">
        <v>9886256.1408484466</v>
      </c>
      <c r="I869" s="416">
        <v>10142528.652599664</v>
      </c>
      <c r="J869" s="416">
        <v>11201297.002375051</v>
      </c>
      <c r="K869" s="416">
        <v>11796739.356593713</v>
      </c>
      <c r="L869" s="416">
        <v>11966519.013897475</v>
      </c>
      <c r="M869" s="416">
        <v>11879222.410541296</v>
      </c>
      <c r="N869" s="416">
        <v>12139521.47257925</v>
      </c>
      <c r="O869" s="416">
        <v>11965675.964585364</v>
      </c>
      <c r="P869" s="416">
        <v>12075158.593672568</v>
      </c>
      <c r="Q869" s="416">
        <v>12647478.435689755</v>
      </c>
      <c r="R869" s="416">
        <v>14506483.93997539</v>
      </c>
      <c r="S869" s="416">
        <v>13675207.398356121</v>
      </c>
      <c r="T869" s="416">
        <v>13938464.304002058</v>
      </c>
      <c r="U869" s="416">
        <v>15302039.1967088</v>
      </c>
      <c r="V869" s="416">
        <v>16984788.637863208</v>
      </c>
      <c r="W869" s="333"/>
    </row>
    <row r="870" spans="1:23" x14ac:dyDescent="0.2">
      <c r="A870" s="9"/>
      <c r="B870" s="315" t="s">
        <v>37</v>
      </c>
      <c r="C870" s="449">
        <v>0</v>
      </c>
      <c r="D870" s="410">
        <v>-711001.6772613636</v>
      </c>
      <c r="E870" s="410">
        <v>-942429.15271569998</v>
      </c>
      <c r="F870" s="410">
        <v>-1141876.5495315909</v>
      </c>
      <c r="G870" s="410">
        <v>-1142692.0462151091</v>
      </c>
      <c r="H870" s="410">
        <v>-1196917.0704136817</v>
      </c>
      <c r="I870" s="410">
        <v>-1285050.2224619973</v>
      </c>
      <c r="J870" s="410">
        <v>-1310158.9788502064</v>
      </c>
      <c r="K870" s="410">
        <v>-1267185.0875576418</v>
      </c>
      <c r="L870" s="410">
        <v>-1234350.7476310555</v>
      </c>
      <c r="M870" s="410">
        <v>-1282194.9518166699</v>
      </c>
      <c r="N870" s="410">
        <v>-1348188.5074241564</v>
      </c>
      <c r="O870" s="410">
        <v>-1385995.3034249335</v>
      </c>
      <c r="P870" s="410">
        <v>-1459584.4909157904</v>
      </c>
      <c r="Q870" s="410">
        <v>-1512711.2778950096</v>
      </c>
      <c r="R870" s="410">
        <v>-1568921.532148378</v>
      </c>
      <c r="S870" s="410">
        <v>-1648426.7218986659</v>
      </c>
      <c r="T870" s="410">
        <v>-1731243.3131653254</v>
      </c>
      <c r="U870" s="410">
        <v>-1848626.1468574854</v>
      </c>
      <c r="V870" s="410">
        <v>-1963459.6678331373</v>
      </c>
      <c r="W870" s="333"/>
    </row>
    <row r="871" spans="1:23" ht="13.5" thickBot="1" x14ac:dyDescent="0.25">
      <c r="A871" s="9"/>
      <c r="B871" s="316" t="s">
        <v>222</v>
      </c>
      <c r="C871" s="450">
        <v>0</v>
      </c>
      <c r="D871" s="412">
        <v>-5277616.7641391251</v>
      </c>
      <c r="E871" s="412">
        <v>-4877437.316023252</v>
      </c>
      <c r="F871" s="412">
        <v>-3957387.6177568734</v>
      </c>
      <c r="G871" s="412">
        <v>-3728003.7755164527</v>
      </c>
      <c r="H871" s="412">
        <v>-3475735.6281739059</v>
      </c>
      <c r="I871" s="412">
        <v>-3542991.3720550672</v>
      </c>
      <c r="J871" s="412">
        <v>-3956455.2094099382</v>
      </c>
      <c r="K871" s="412">
        <v>-4211821.7076144284</v>
      </c>
      <c r="L871" s="412">
        <v>-4292867.3065065676</v>
      </c>
      <c r="M871" s="412">
        <v>-4238810.9834898505</v>
      </c>
      <c r="N871" s="412">
        <v>-4316533.186062037</v>
      </c>
      <c r="O871" s="412">
        <v>-4231872.2644641725</v>
      </c>
      <c r="P871" s="412">
        <v>-4246229.6411027117</v>
      </c>
      <c r="Q871" s="412">
        <v>-4453906.8631178988</v>
      </c>
      <c r="R871" s="412">
        <v>-5175024.9631308056</v>
      </c>
      <c r="S871" s="412">
        <v>-4810712.2705829823</v>
      </c>
      <c r="T871" s="412">
        <v>-4882888.3963346928</v>
      </c>
      <c r="U871" s="412">
        <v>-5381365.2199405264</v>
      </c>
      <c r="V871" s="412">
        <v>-6008531.5880120285</v>
      </c>
      <c r="W871" s="333"/>
    </row>
    <row r="872" spans="1:23" ht="13.5" thickTop="1" x14ac:dyDescent="0.2">
      <c r="A872" s="9"/>
      <c r="B872" s="317" t="s">
        <v>183</v>
      </c>
      <c r="C872" s="452">
        <v>0</v>
      </c>
      <c r="D872" s="416">
        <v>7916425.1462086868</v>
      </c>
      <c r="E872" s="416">
        <v>7316155.9740348784</v>
      </c>
      <c r="F872" s="416">
        <v>5936081.4266353101</v>
      </c>
      <c r="G872" s="416">
        <v>5592005.6632746793</v>
      </c>
      <c r="H872" s="416">
        <v>5213603.4422608577</v>
      </c>
      <c r="I872" s="416">
        <v>5314487.0580826011</v>
      </c>
      <c r="J872" s="416">
        <v>5934682.8141149068</v>
      </c>
      <c r="K872" s="416">
        <v>6317732.561421643</v>
      </c>
      <c r="L872" s="416">
        <v>6439300.959759851</v>
      </c>
      <c r="M872" s="416">
        <v>6358216.4752347749</v>
      </c>
      <c r="N872" s="416">
        <v>6474799.779093056</v>
      </c>
      <c r="O872" s="416">
        <v>6347808.3966962574</v>
      </c>
      <c r="P872" s="416">
        <v>6369344.4616540661</v>
      </c>
      <c r="Q872" s="416">
        <v>6680860.2946768468</v>
      </c>
      <c r="R872" s="416">
        <v>7762537.4446962066</v>
      </c>
      <c r="S872" s="416">
        <v>7216068.405874473</v>
      </c>
      <c r="T872" s="416">
        <v>7324332.5945020393</v>
      </c>
      <c r="U872" s="416">
        <v>8072047.8299107887</v>
      </c>
      <c r="V872" s="416">
        <v>9012797.3820180409</v>
      </c>
      <c r="W872" s="333"/>
    </row>
    <row r="873" spans="1:23" x14ac:dyDescent="0.2">
      <c r="A873" s="9"/>
      <c r="B873" s="315" t="s">
        <v>37</v>
      </c>
      <c r="C873" s="449">
        <v>0</v>
      </c>
      <c r="D873" s="410">
        <v>711001.6772613636</v>
      </c>
      <c r="E873" s="410">
        <v>942429.15271569998</v>
      </c>
      <c r="F873" s="410">
        <v>1141876.5495315909</v>
      </c>
      <c r="G873" s="410">
        <v>1142692.0462151091</v>
      </c>
      <c r="H873" s="410">
        <v>1196917.0704136817</v>
      </c>
      <c r="I873" s="410">
        <v>1285050.2224619973</v>
      </c>
      <c r="J873" s="410">
        <v>1310158.9788502064</v>
      </c>
      <c r="K873" s="410">
        <v>1267185.0875576418</v>
      </c>
      <c r="L873" s="410">
        <v>1234350.7476310555</v>
      </c>
      <c r="M873" s="410">
        <v>1282194.9518166699</v>
      </c>
      <c r="N873" s="410">
        <v>1348188.5074241564</v>
      </c>
      <c r="O873" s="410">
        <v>1385995.3034249335</v>
      </c>
      <c r="P873" s="410">
        <v>1459584.4909157904</v>
      </c>
      <c r="Q873" s="410">
        <v>1512711.2778950096</v>
      </c>
      <c r="R873" s="410">
        <v>1568921.532148378</v>
      </c>
      <c r="S873" s="410">
        <v>1648426.7218986659</v>
      </c>
      <c r="T873" s="410">
        <v>1731243.3131653254</v>
      </c>
      <c r="U873" s="410">
        <v>1848626.1468574854</v>
      </c>
      <c r="V873" s="410">
        <v>1963459.6678331373</v>
      </c>
      <c r="W873" s="333"/>
    </row>
    <row r="874" spans="1:23" x14ac:dyDescent="0.2">
      <c r="A874" s="9"/>
      <c r="B874" s="315" t="s">
        <v>39</v>
      </c>
      <c r="C874" s="449">
        <v>0</v>
      </c>
      <c r="D874" s="410">
        <v>-663432.53</v>
      </c>
      <c r="E874" s="410">
        <v>-5903033.8899999997</v>
      </c>
      <c r="F874" s="410">
        <v>-291631.14</v>
      </c>
      <c r="G874" s="410">
        <v>-776726.04</v>
      </c>
      <c r="H874" s="410">
        <v>-1704336.4780000001</v>
      </c>
      <c r="I874" s="410">
        <v>-1755466.5723400002</v>
      </c>
      <c r="J874" s="410">
        <v>-1808130.5695102003</v>
      </c>
      <c r="K874" s="410">
        <v>-1862374.4865955063</v>
      </c>
      <c r="L874" s="410">
        <v>-1918245.7211933716</v>
      </c>
      <c r="M874" s="410">
        <v>-1975793.0928291727</v>
      </c>
      <c r="N874" s="410">
        <v>-2035066.885614048</v>
      </c>
      <c r="O874" s="410">
        <v>-2096118.8921824696</v>
      </c>
      <c r="P874" s="410">
        <v>-2159002.4589479435</v>
      </c>
      <c r="Q874" s="410">
        <v>-2223772.5327163818</v>
      </c>
      <c r="R874" s="410">
        <v>-2290485.7086978732</v>
      </c>
      <c r="S874" s="410">
        <v>-2359200.2799588093</v>
      </c>
      <c r="T874" s="410">
        <v>-2429976.2883575736</v>
      </c>
      <c r="U874" s="410">
        <v>-2502875.5770083009</v>
      </c>
      <c r="V874" s="410">
        <v>-2577961.8443185501</v>
      </c>
      <c r="W874" s="333"/>
    </row>
    <row r="875" spans="1:23" ht="13.5" thickBot="1" x14ac:dyDescent="0.25">
      <c r="A875" s="9"/>
      <c r="B875" s="316" t="s">
        <v>40</v>
      </c>
      <c r="C875" s="450">
        <v>0</v>
      </c>
      <c r="D875" s="412">
        <v>0</v>
      </c>
      <c r="E875" s="412">
        <v>0</v>
      </c>
      <c r="F875" s="412">
        <v>0</v>
      </c>
      <c r="G875" s="412">
        <v>0</v>
      </c>
      <c r="H875" s="412">
        <v>0</v>
      </c>
      <c r="I875" s="412">
        <v>0</v>
      </c>
      <c r="J875" s="412">
        <v>0</v>
      </c>
      <c r="K875" s="412">
        <v>0</v>
      </c>
      <c r="L875" s="412">
        <v>0</v>
      </c>
      <c r="M875" s="412">
        <v>0</v>
      </c>
      <c r="N875" s="412">
        <v>0</v>
      </c>
      <c r="O875" s="412">
        <v>0</v>
      </c>
      <c r="P875" s="412">
        <v>0</v>
      </c>
      <c r="Q875" s="412">
        <v>0</v>
      </c>
      <c r="R875" s="412">
        <v>0</v>
      </c>
      <c r="S875" s="412">
        <v>0</v>
      </c>
      <c r="T875" s="412">
        <v>0</v>
      </c>
      <c r="U875" s="412">
        <v>0</v>
      </c>
      <c r="V875" s="412">
        <v>0</v>
      </c>
      <c r="W875" s="333"/>
    </row>
    <row r="876" spans="1:23" ht="13.5" thickTop="1" x14ac:dyDescent="0.2">
      <c r="A876" s="9"/>
      <c r="B876" s="315"/>
      <c r="C876" s="453"/>
      <c r="D876" s="333"/>
      <c r="E876" s="333"/>
      <c r="F876" s="333"/>
      <c r="G876" s="333"/>
      <c r="H876" s="333"/>
      <c r="I876" s="333"/>
      <c r="J876" s="333"/>
      <c r="K876" s="333"/>
      <c r="L876" s="333"/>
      <c r="M876" s="333"/>
      <c r="N876" s="333"/>
      <c r="O876" s="333"/>
      <c r="P876" s="333"/>
      <c r="Q876" s="333"/>
      <c r="R876" s="333"/>
      <c r="S876" s="333"/>
      <c r="T876" s="333"/>
      <c r="U876" s="333"/>
      <c r="V876" s="333"/>
      <c r="W876" s="333"/>
    </row>
    <row r="877" spans="1:23" x14ac:dyDescent="0.2">
      <c r="A877" s="9"/>
      <c r="B877" s="317" t="s">
        <v>234</v>
      </c>
      <c r="C877" s="452">
        <v>0</v>
      </c>
      <c r="D877" s="416">
        <v>7963994.2934700502</v>
      </c>
      <c r="E877" s="416">
        <v>2355551.2367505785</v>
      </c>
      <c r="F877" s="416">
        <v>6786326.8361669015</v>
      </c>
      <c r="G877" s="416">
        <v>5957971.6694897888</v>
      </c>
      <c r="H877" s="416">
        <v>4706184.0346745392</v>
      </c>
      <c r="I877" s="416">
        <v>4844070.7082045982</v>
      </c>
      <c r="J877" s="416">
        <v>5436711.2234549131</v>
      </c>
      <c r="K877" s="416">
        <v>5722543.162383778</v>
      </c>
      <c r="L877" s="416">
        <v>5755405.9861975349</v>
      </c>
      <c r="M877" s="416">
        <v>5664618.334222272</v>
      </c>
      <c r="N877" s="416">
        <v>5787921.4009031644</v>
      </c>
      <c r="O877" s="416">
        <v>5637684.807938721</v>
      </c>
      <c r="P877" s="416">
        <v>5669926.4936219128</v>
      </c>
      <c r="Q877" s="416">
        <v>5969799.0398554746</v>
      </c>
      <c r="R877" s="416">
        <v>7040973.2681467114</v>
      </c>
      <c r="S877" s="416">
        <v>6505294.8478143308</v>
      </c>
      <c r="T877" s="416">
        <v>6625599.6193097914</v>
      </c>
      <c r="U877" s="416">
        <v>7417798.3997599725</v>
      </c>
      <c r="V877" s="416">
        <v>8398295.205532629</v>
      </c>
      <c r="W877" s="414">
        <v>39766354.964345291</v>
      </c>
    </row>
    <row r="878" spans="1:23" x14ac:dyDescent="0.2">
      <c r="A878" s="9"/>
      <c r="B878" s="292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 x14ac:dyDescent="0.2">
      <c r="A879" s="308" t="s">
        <v>219</v>
      </c>
      <c r="B879" s="306" t="s">
        <v>170</v>
      </c>
      <c r="C879" s="439">
        <v>22315447.130926885</v>
      </c>
      <c r="D879" s="9"/>
      <c r="E879" s="137" t="s">
        <v>220</v>
      </c>
      <c r="F879" s="319" t="s">
        <v>170</v>
      </c>
      <c r="G879" s="443">
        <v>22315447.130926885</v>
      </c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 x14ac:dyDescent="0.2">
      <c r="A880" s="9"/>
      <c r="B880" s="306" t="s">
        <v>180</v>
      </c>
      <c r="C880" s="439">
        <v>28294264.695761558</v>
      </c>
      <c r="D880" s="9"/>
      <c r="E880" s="321"/>
      <c r="F880" s="319" t="s">
        <v>180</v>
      </c>
      <c r="G880" s="443">
        <v>28294264.695761558</v>
      </c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 ht="13.5" thickBot="1" x14ac:dyDescent="0.25">
      <c r="A881" s="9"/>
      <c r="B881" s="322" t="s">
        <v>137</v>
      </c>
      <c r="C881" s="440">
        <v>6199525.1222946905</v>
      </c>
      <c r="D881" s="323"/>
      <c r="E881" s="321"/>
      <c r="F881" s="319" t="s">
        <v>137</v>
      </c>
      <c r="G881" s="443">
        <v>6199525.1222946905</v>
      </c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 ht="14.25" thickTop="1" thickBot="1" x14ac:dyDescent="0.25">
      <c r="A882" s="9"/>
      <c r="B882" s="306" t="s">
        <v>28</v>
      </c>
      <c r="C882" s="438">
        <v>56809236.948983118</v>
      </c>
      <c r="D882" s="305"/>
      <c r="E882" s="321"/>
      <c r="F882" s="324" t="s">
        <v>204</v>
      </c>
      <c r="G882" s="325">
        <v>0</v>
      </c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 ht="13.5" thickTop="1" x14ac:dyDescent="0.2">
      <c r="A883" s="9"/>
      <c r="B883" s="292"/>
      <c r="C883" s="326"/>
      <c r="D883" s="9"/>
      <c r="E883" s="327"/>
      <c r="F883" s="319" t="s">
        <v>28</v>
      </c>
      <c r="G883" s="368">
        <v>56809236.948983118</v>
      </c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 x14ac:dyDescent="0.2">
      <c r="A884" s="9"/>
      <c r="B884" s="292"/>
      <c r="C884" s="326"/>
      <c r="D884" s="9"/>
      <c r="E884" s="327"/>
      <c r="F884" s="319"/>
      <c r="G884" s="32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 x14ac:dyDescent="0.2">
      <c r="A885" s="9"/>
      <c r="B885" s="292"/>
      <c r="C885" s="326"/>
      <c r="D885" s="9"/>
      <c r="E885" s="327"/>
      <c r="F885" s="319"/>
      <c r="G885" s="32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 x14ac:dyDescent="0.2">
      <c r="A886" s="9"/>
      <c r="B886" s="329" t="s">
        <v>223</v>
      </c>
      <c r="C886" s="326"/>
      <c r="D886" s="9"/>
      <c r="E886" s="327"/>
      <c r="F886" s="319"/>
      <c r="G886" s="32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 x14ac:dyDescent="0.2">
      <c r="A887" s="330" t="s">
        <v>225</v>
      </c>
      <c r="B887" s="329" t="s">
        <v>224</v>
      </c>
      <c r="C887" s="331"/>
      <c r="D887" s="332">
        <v>7916425.1462086868</v>
      </c>
      <c r="E887" s="332">
        <v>7316155.9740348784</v>
      </c>
      <c r="F887" s="332">
        <v>5936081.4266353101</v>
      </c>
      <c r="G887" s="332">
        <v>5592005.6632746793</v>
      </c>
      <c r="H887" s="332">
        <v>5213603.4422608577</v>
      </c>
      <c r="I887" s="332">
        <v>5314487.0580826011</v>
      </c>
      <c r="J887" s="332">
        <v>5934682.8141149068</v>
      </c>
      <c r="K887" s="332">
        <v>6317732.561421643</v>
      </c>
      <c r="L887" s="332">
        <v>6439300.959759851</v>
      </c>
      <c r="M887" s="332">
        <v>6358216.4752347749</v>
      </c>
      <c r="N887" s="332">
        <v>6474799.779093056</v>
      </c>
      <c r="O887" s="332">
        <v>6347808.3966962574</v>
      </c>
      <c r="P887" s="332">
        <v>6369344.4616540661</v>
      </c>
      <c r="Q887" s="332">
        <v>6680860.2946768468</v>
      </c>
      <c r="R887" s="332">
        <v>7762537.4446962066</v>
      </c>
      <c r="S887" s="332">
        <v>7216068.405874473</v>
      </c>
      <c r="T887" s="332">
        <v>7324332.5945020393</v>
      </c>
      <c r="U887" s="332">
        <v>8072047.8299107887</v>
      </c>
      <c r="V887" s="332">
        <v>9012797.3820180409</v>
      </c>
      <c r="W887" s="9"/>
    </row>
    <row r="888" spans="1:23" x14ac:dyDescent="0.2">
      <c r="A888" s="9"/>
      <c r="B888" s="292" t="s">
        <v>226</v>
      </c>
      <c r="C888" s="326"/>
      <c r="D888" s="333">
        <v>5277616.7641391251</v>
      </c>
      <c r="E888" s="333">
        <v>4877437.316023252</v>
      </c>
      <c r="F888" s="333">
        <v>3957387.6177568734</v>
      </c>
      <c r="G888" s="333">
        <v>3728003.7755164527</v>
      </c>
      <c r="H888" s="333">
        <v>3475735.6281739059</v>
      </c>
      <c r="I888" s="333">
        <v>3542991.3720550672</v>
      </c>
      <c r="J888" s="333">
        <v>3956455.2094099382</v>
      </c>
      <c r="K888" s="333">
        <v>4211821.7076144284</v>
      </c>
      <c r="L888" s="333">
        <v>4292867.3065065676</v>
      </c>
      <c r="M888" s="333">
        <v>4238810.9834898505</v>
      </c>
      <c r="N888" s="333">
        <v>4316533.186062037</v>
      </c>
      <c r="O888" s="333">
        <v>4231872.2644641725</v>
      </c>
      <c r="P888" s="333">
        <v>4246229.6411027117</v>
      </c>
      <c r="Q888" s="333">
        <v>4453906.8631178988</v>
      </c>
      <c r="R888" s="333">
        <v>5175024.9631308056</v>
      </c>
      <c r="S888" s="333">
        <v>4810712.2705829823</v>
      </c>
      <c r="T888" s="333">
        <v>4882888.3963346928</v>
      </c>
      <c r="U888" s="333">
        <v>5381365.2199405264</v>
      </c>
      <c r="V888" s="333">
        <v>6008531.5880120285</v>
      </c>
      <c r="W888" s="9"/>
    </row>
    <row r="889" spans="1:23" x14ac:dyDescent="0.2">
      <c r="A889" s="9"/>
      <c r="B889" s="334" t="s">
        <v>227</v>
      </c>
      <c r="C889" s="335"/>
      <c r="D889" s="333">
        <v>711001.6772613636</v>
      </c>
      <c r="E889" s="333">
        <v>942429.15271569998</v>
      </c>
      <c r="F889" s="333">
        <v>1141876.5495315909</v>
      </c>
      <c r="G889" s="333">
        <v>1142692.0462151091</v>
      </c>
      <c r="H889" s="333">
        <v>1196917.0704136817</v>
      </c>
      <c r="I889" s="333">
        <v>1285050.2224619973</v>
      </c>
      <c r="J889" s="333">
        <v>1310158.9788502064</v>
      </c>
      <c r="K889" s="333">
        <v>1267185.0875576418</v>
      </c>
      <c r="L889" s="333">
        <v>1234350.7476310555</v>
      </c>
      <c r="M889" s="333">
        <v>1282194.9518166699</v>
      </c>
      <c r="N889" s="333">
        <v>1348188.5074241564</v>
      </c>
      <c r="O889" s="333">
        <v>1385995.3034249335</v>
      </c>
      <c r="P889" s="333">
        <v>1459584.4909157904</v>
      </c>
      <c r="Q889" s="333">
        <v>1512711.2778950096</v>
      </c>
      <c r="R889" s="333">
        <v>1568921.532148378</v>
      </c>
      <c r="S889" s="333">
        <v>1648426.7218986659</v>
      </c>
      <c r="T889" s="333">
        <v>1731243.3131653254</v>
      </c>
      <c r="U889" s="333">
        <v>1848626.1468574854</v>
      </c>
      <c r="V889" s="333">
        <v>1963459.6678331373</v>
      </c>
      <c r="W889" s="9"/>
    </row>
    <row r="890" spans="1:23" ht="13.5" thickBot="1" x14ac:dyDescent="0.25">
      <c r="A890" s="9"/>
      <c r="B890" s="336" t="s">
        <v>228</v>
      </c>
      <c r="C890" s="337"/>
      <c r="D890" s="338">
        <v>13905043.587609176</v>
      </c>
      <c r="E890" s="338">
        <v>13136022.44277383</v>
      </c>
      <c r="F890" s="338">
        <v>11035345.593923774</v>
      </c>
      <c r="G890" s="338">
        <v>10462701.485006241</v>
      </c>
      <c r="H890" s="338">
        <v>9886256.1408484466</v>
      </c>
      <c r="I890" s="338">
        <v>10142528.652599664</v>
      </c>
      <c r="J890" s="338">
        <v>11201297.002375051</v>
      </c>
      <c r="K890" s="338">
        <v>11796739.356593713</v>
      </c>
      <c r="L890" s="338">
        <v>11966519.013897475</v>
      </c>
      <c r="M890" s="338">
        <v>11879222.410541296</v>
      </c>
      <c r="N890" s="338">
        <v>12139521.47257925</v>
      </c>
      <c r="O890" s="338">
        <v>11965675.964585364</v>
      </c>
      <c r="P890" s="338">
        <v>12075158.593672568</v>
      </c>
      <c r="Q890" s="338">
        <v>12647478.435689755</v>
      </c>
      <c r="R890" s="338">
        <v>14506483.93997539</v>
      </c>
      <c r="S890" s="338">
        <v>13675207.398356121</v>
      </c>
      <c r="T890" s="338">
        <v>13938464.304002058</v>
      </c>
      <c r="U890" s="338">
        <v>15302039.1967088</v>
      </c>
      <c r="V890" s="338">
        <v>16984788.637863208</v>
      </c>
      <c r="W890" s="9"/>
    </row>
    <row r="891" spans="1:23" ht="13.5" thickTop="1" x14ac:dyDescent="0.2">
      <c r="A891" s="330" t="s">
        <v>229</v>
      </c>
      <c r="B891" s="292" t="s">
        <v>230</v>
      </c>
      <c r="C891" s="326"/>
      <c r="D891" s="333">
        <v>-1082818.1200020462</v>
      </c>
      <c r="E891" s="333">
        <v>-1376060.0090422896</v>
      </c>
      <c r="F891" s="333">
        <v>-1383734.813685949</v>
      </c>
      <c r="G891" s="333">
        <v>-1392924.1578698517</v>
      </c>
      <c r="H891" s="333">
        <v>-1393023.5953111758</v>
      </c>
      <c r="I891" s="333">
        <v>-1480796.9239281756</v>
      </c>
      <c r="J891" s="333">
        <v>-1162564.9555188478</v>
      </c>
      <c r="K891" s="333">
        <v>-900589.35404868936</v>
      </c>
      <c r="L891" s="333">
        <v>-996144.36325828987</v>
      </c>
      <c r="M891" s="333">
        <v>-1081382.428819262</v>
      </c>
      <c r="N891" s="333">
        <v>-1081066.6307798026</v>
      </c>
      <c r="O891" s="333">
        <v>-1185872.5753889261</v>
      </c>
      <c r="P891" s="333">
        <v>-1293822.6983363233</v>
      </c>
      <c r="Q891" s="333">
        <v>-1405011.3249721422</v>
      </c>
      <c r="R891" s="333">
        <v>-1519535.6104070358</v>
      </c>
      <c r="S891" s="333">
        <v>-1636852.6490349628</v>
      </c>
      <c r="T891" s="333">
        <v>-1756613.2350451921</v>
      </c>
      <c r="U891" s="333">
        <v>-1881757.0138956071</v>
      </c>
      <c r="V891" s="333">
        <v>-2010655.1061115346</v>
      </c>
      <c r="W891" s="9"/>
    </row>
    <row r="892" spans="1:23" x14ac:dyDescent="0.2">
      <c r="A892" s="9"/>
      <c r="B892" s="292" t="s">
        <v>231</v>
      </c>
      <c r="C892" s="326"/>
      <c r="D892" s="333">
        <v>0</v>
      </c>
      <c r="E892" s="333">
        <v>0</v>
      </c>
      <c r="F892" s="333">
        <v>0</v>
      </c>
      <c r="G892" s="333">
        <v>0</v>
      </c>
      <c r="H892" s="333">
        <v>0</v>
      </c>
      <c r="I892" s="333">
        <v>0</v>
      </c>
      <c r="J892" s="333">
        <v>0</v>
      </c>
      <c r="K892" s="333">
        <v>0</v>
      </c>
      <c r="L892" s="333">
        <v>0</v>
      </c>
      <c r="M892" s="333">
        <v>0</v>
      </c>
      <c r="N892" s="333">
        <v>0</v>
      </c>
      <c r="O892" s="333">
        <v>0</v>
      </c>
      <c r="P892" s="333">
        <v>0</v>
      </c>
      <c r="Q892" s="333">
        <v>0</v>
      </c>
      <c r="R892" s="333">
        <v>0</v>
      </c>
      <c r="S892" s="333">
        <v>0</v>
      </c>
      <c r="T892" s="333">
        <v>0</v>
      </c>
      <c r="U892" s="333">
        <v>0</v>
      </c>
      <c r="V892" s="333">
        <v>0</v>
      </c>
      <c r="W892" s="9"/>
    </row>
    <row r="893" spans="1:23" x14ac:dyDescent="0.2">
      <c r="A893" s="9"/>
      <c r="B893" s="329" t="s">
        <v>232</v>
      </c>
      <c r="C893" s="331"/>
      <c r="D893" s="332">
        <v>12822225.467607129</v>
      </c>
      <c r="E893" s="332">
        <v>11759962.433731541</v>
      </c>
      <c r="F893" s="332">
        <v>9651610.7802378237</v>
      </c>
      <c r="G893" s="332">
        <v>9069777.3271363899</v>
      </c>
      <c r="H893" s="332">
        <v>8493232.5455372706</v>
      </c>
      <c r="I893" s="332">
        <v>8661731.7286714893</v>
      </c>
      <c r="J893" s="332">
        <v>10038732.046856204</v>
      </c>
      <c r="K893" s="332">
        <v>10896150.002545023</v>
      </c>
      <c r="L893" s="332">
        <v>10970374.650639186</v>
      </c>
      <c r="M893" s="332">
        <v>10797839.981722035</v>
      </c>
      <c r="N893" s="332">
        <v>11058454.841799447</v>
      </c>
      <c r="O893" s="332">
        <v>10779803.389196437</v>
      </c>
      <c r="P893" s="332">
        <v>10781335.895336244</v>
      </c>
      <c r="Q893" s="332">
        <v>11242467.110717613</v>
      </c>
      <c r="R893" s="332">
        <v>12986948.329568354</v>
      </c>
      <c r="S893" s="332">
        <v>12038354.749321159</v>
      </c>
      <c r="T893" s="332">
        <v>12181851.068956865</v>
      </c>
      <c r="U893" s="332">
        <v>13420282.182813194</v>
      </c>
      <c r="V893" s="332">
        <v>14974133.531751674</v>
      </c>
      <c r="W893" s="9"/>
    </row>
    <row r="894" spans="1:23" ht="13.5" thickBot="1" x14ac:dyDescent="0.25">
      <c r="A894" s="9"/>
      <c r="B894" s="339" t="s">
        <v>238</v>
      </c>
      <c r="C894" s="340"/>
      <c r="D894" s="341">
        <v>-5128890.1870428519</v>
      </c>
      <c r="E894" s="341">
        <v>-4703984.9734926168</v>
      </c>
      <c r="F894" s="341">
        <v>-3860644.3120951299</v>
      </c>
      <c r="G894" s="341">
        <v>-3627910.9308545562</v>
      </c>
      <c r="H894" s="341">
        <v>-3397293.0182149084</v>
      </c>
      <c r="I894" s="341">
        <v>-3464692.691468596</v>
      </c>
      <c r="J894" s="341">
        <v>-4015492.818742482</v>
      </c>
      <c r="K894" s="341">
        <v>-4358460.0010180091</v>
      </c>
      <c r="L894" s="341">
        <v>-4388149.8602556745</v>
      </c>
      <c r="M894" s="341">
        <v>-4319135.9926888142</v>
      </c>
      <c r="N894" s="341">
        <v>-4423381.9367197789</v>
      </c>
      <c r="O894" s="341">
        <v>-4311921.3556785751</v>
      </c>
      <c r="P894" s="341">
        <v>-4312534.3581344979</v>
      </c>
      <c r="Q894" s="341">
        <v>-4496986.8442870453</v>
      </c>
      <c r="R894" s="341">
        <v>-5194779.3318273425</v>
      </c>
      <c r="S894" s="341">
        <v>-4815341.899728464</v>
      </c>
      <c r="T894" s="341">
        <v>-4872740.4275827464</v>
      </c>
      <c r="U894" s="341">
        <v>-5368112.8731252775</v>
      </c>
      <c r="V894" s="341">
        <v>-5989653.4127006698</v>
      </c>
      <c r="W894" s="9"/>
    </row>
    <row r="895" spans="1:23" ht="13.5" thickTop="1" x14ac:dyDescent="0.2">
      <c r="A895" s="9"/>
      <c r="B895" s="329" t="s">
        <v>233</v>
      </c>
      <c r="C895" s="331"/>
      <c r="D895" s="332">
        <v>7693335.2805642774</v>
      </c>
      <c r="E895" s="332">
        <v>7055977.4602389243</v>
      </c>
      <c r="F895" s="332">
        <v>5790966.4681426939</v>
      </c>
      <c r="G895" s="332">
        <v>5441866.3962818338</v>
      </c>
      <c r="H895" s="332">
        <v>5095939.5273223622</v>
      </c>
      <c r="I895" s="332">
        <v>5197039.0372028928</v>
      </c>
      <c r="J895" s="332">
        <v>6023239.2281137221</v>
      </c>
      <c r="K895" s="332">
        <v>6537690.0015270142</v>
      </c>
      <c r="L895" s="332">
        <v>6582224.7903835112</v>
      </c>
      <c r="M895" s="332">
        <v>6478703.9890332203</v>
      </c>
      <c r="N895" s="332">
        <v>6635072.9050796684</v>
      </c>
      <c r="O895" s="332">
        <v>6467882.0335178617</v>
      </c>
      <c r="P895" s="332">
        <v>6468801.5372017464</v>
      </c>
      <c r="Q895" s="332">
        <v>6745480.266430568</v>
      </c>
      <c r="R895" s="332">
        <v>7792168.9977410119</v>
      </c>
      <c r="S895" s="332">
        <v>7223012.849592695</v>
      </c>
      <c r="T895" s="332">
        <v>7309110.6413741186</v>
      </c>
      <c r="U895" s="332">
        <v>8052169.3096879162</v>
      </c>
      <c r="V895" s="332">
        <v>8984480.1190510038</v>
      </c>
      <c r="W895" s="9"/>
    </row>
    <row r="896" spans="1:23" x14ac:dyDescent="0.2">
      <c r="A896" s="9"/>
      <c r="B896" s="9"/>
      <c r="C896" s="326"/>
      <c r="D896" s="9"/>
      <c r="E896" s="327"/>
      <c r="F896" s="319"/>
      <c r="G896" s="32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 ht="15.75" x14ac:dyDescent="0.25">
      <c r="A897" s="342" t="s">
        <v>206</v>
      </c>
      <c r="B897" s="343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 x14ac:dyDescent="0.2">
      <c r="A898" s="290" t="s">
        <v>191</v>
      </c>
      <c r="B898" s="309"/>
      <c r="C898" s="344">
        <v>0</v>
      </c>
      <c r="D898" s="283"/>
      <c r="E898" s="283"/>
      <c r="F898" s="283"/>
      <c r="G898" s="283"/>
      <c r="H898" s="283"/>
      <c r="I898" s="283"/>
      <c r="J898" s="283"/>
      <c r="K898" s="283"/>
      <c r="L898" s="283"/>
      <c r="M898" s="283"/>
      <c r="N898" s="283"/>
      <c r="O898" s="283"/>
      <c r="P898" s="283"/>
      <c r="Q898" s="283"/>
      <c r="R898" s="283"/>
      <c r="S898" s="283"/>
      <c r="T898" s="283"/>
      <c r="U898" s="283"/>
      <c r="V898" s="283"/>
      <c r="W898" s="283"/>
    </row>
    <row r="899" spans="1:23" x14ac:dyDescent="0.2">
      <c r="A899" s="290" t="s">
        <v>192</v>
      </c>
      <c r="B899" s="309"/>
      <c r="C899" s="345">
        <v>0</v>
      </c>
      <c r="D899" s="283"/>
      <c r="E899" s="283"/>
      <c r="F899" s="283"/>
      <c r="G899" s="283"/>
      <c r="H899" s="283"/>
      <c r="I899" s="283"/>
      <c r="J899" s="283"/>
      <c r="K899" s="283"/>
      <c r="L899" s="283"/>
      <c r="M899" s="283"/>
      <c r="N899" s="283"/>
      <c r="O899" s="283"/>
      <c r="P899" s="283"/>
      <c r="Q899" s="283"/>
      <c r="R899" s="283"/>
      <c r="S899" s="283"/>
      <c r="T899" s="283"/>
      <c r="U899" s="283"/>
      <c r="V899" s="283"/>
      <c r="W899" s="283"/>
    </row>
    <row r="900" spans="1:23" x14ac:dyDescent="0.2">
      <c r="A900" s="290" t="s">
        <v>202</v>
      </c>
      <c r="B900" s="309"/>
      <c r="C900" s="290">
        <v>15</v>
      </c>
      <c r="D900" s="283"/>
      <c r="E900" s="283"/>
      <c r="F900" s="283"/>
      <c r="G900" s="283"/>
      <c r="H900" s="283"/>
      <c r="I900" s="283"/>
      <c r="J900" s="283"/>
      <c r="K900" s="283"/>
      <c r="L900" s="283"/>
      <c r="M900" s="283"/>
      <c r="N900" s="283"/>
      <c r="O900" s="283"/>
      <c r="P900" s="283"/>
      <c r="Q900" s="283"/>
      <c r="R900" s="283"/>
      <c r="S900" s="283"/>
      <c r="T900" s="283"/>
      <c r="U900" s="283"/>
      <c r="V900" s="283"/>
      <c r="W900" s="283"/>
    </row>
    <row r="901" spans="1:23" x14ac:dyDescent="0.2">
      <c r="A901" s="290" t="s">
        <v>193</v>
      </c>
      <c r="B901" s="309"/>
      <c r="C901" s="345">
        <v>0</v>
      </c>
      <c r="D901" s="283"/>
      <c r="E901" s="283"/>
      <c r="F901" s="283"/>
      <c r="G901" s="283"/>
      <c r="H901" s="283"/>
      <c r="I901" s="283"/>
      <c r="J901" s="283"/>
      <c r="K901" s="283"/>
      <c r="L901" s="283"/>
      <c r="M901" s="283"/>
      <c r="N901" s="283"/>
      <c r="O901" s="283"/>
      <c r="P901" s="283"/>
      <c r="Q901" s="283"/>
      <c r="R901" s="283"/>
      <c r="S901" s="283"/>
      <c r="T901" s="283"/>
      <c r="U901" s="283"/>
      <c r="V901" s="283"/>
      <c r="W901" s="283"/>
    </row>
    <row r="902" spans="1:23" x14ac:dyDescent="0.2">
      <c r="A902" s="290" t="s">
        <v>194</v>
      </c>
      <c r="B902" s="309"/>
      <c r="C902" s="346">
        <v>8.7499999999999994E-2</v>
      </c>
      <c r="D902" s="283"/>
      <c r="E902" s="283"/>
      <c r="F902" s="283"/>
      <c r="G902" s="283"/>
      <c r="H902" s="283"/>
      <c r="I902" s="283"/>
      <c r="J902" s="283"/>
      <c r="K902" s="283"/>
      <c r="L902" s="283"/>
      <c r="M902" s="283"/>
      <c r="N902" s="283"/>
      <c r="O902" s="283"/>
      <c r="P902" s="283"/>
      <c r="Q902" s="283"/>
      <c r="R902" s="283"/>
      <c r="S902" s="283"/>
      <c r="T902" s="283"/>
      <c r="U902" s="283"/>
      <c r="V902" s="283"/>
      <c r="W902" s="283"/>
    </row>
    <row r="903" spans="1:23" x14ac:dyDescent="0.2">
      <c r="A903" s="290"/>
      <c r="B903" s="309"/>
      <c r="C903" s="283"/>
      <c r="D903" s="312">
        <v>2001</v>
      </c>
      <c r="E903" s="312">
        <v>2002</v>
      </c>
      <c r="F903" s="312">
        <v>2003</v>
      </c>
      <c r="G903" s="312">
        <v>2004</v>
      </c>
      <c r="H903" s="312">
        <v>2005</v>
      </c>
      <c r="I903" s="312">
        <v>2006</v>
      </c>
      <c r="J903" s="312">
        <v>2007</v>
      </c>
      <c r="K903" s="312">
        <v>2008</v>
      </c>
      <c r="L903" s="312">
        <v>2009</v>
      </c>
      <c r="M903" s="312">
        <v>2010</v>
      </c>
      <c r="N903" s="312">
        <v>2011</v>
      </c>
      <c r="O903" s="312">
        <v>2012</v>
      </c>
      <c r="P903" s="312">
        <v>2013</v>
      </c>
      <c r="Q903" s="312">
        <v>2014</v>
      </c>
      <c r="R903" s="312">
        <v>2015</v>
      </c>
      <c r="S903" s="312">
        <v>2016</v>
      </c>
      <c r="T903" s="312">
        <v>2017</v>
      </c>
      <c r="U903" s="312">
        <v>2018</v>
      </c>
      <c r="V903" s="312">
        <v>2019</v>
      </c>
      <c r="W903" s="312" t="s">
        <v>154</v>
      </c>
    </row>
    <row r="904" spans="1:23" x14ac:dyDescent="0.2">
      <c r="A904" s="290" t="s">
        <v>195</v>
      </c>
      <c r="B904" s="309"/>
      <c r="C904" s="283"/>
      <c r="D904" s="347">
        <v>0</v>
      </c>
      <c r="E904" s="347">
        <v>0</v>
      </c>
      <c r="F904" s="347">
        <v>0</v>
      </c>
      <c r="G904" s="347">
        <v>0</v>
      </c>
      <c r="H904" s="347">
        <v>0</v>
      </c>
      <c r="I904" s="347">
        <v>0</v>
      </c>
      <c r="J904" s="347">
        <v>0</v>
      </c>
      <c r="K904" s="347">
        <v>0</v>
      </c>
      <c r="L904" s="347">
        <v>0</v>
      </c>
      <c r="M904" s="347">
        <v>0</v>
      </c>
      <c r="N904" s="347">
        <v>0</v>
      </c>
      <c r="O904" s="347">
        <v>0</v>
      </c>
      <c r="P904" s="347">
        <v>0</v>
      </c>
      <c r="Q904" s="347">
        <v>0</v>
      </c>
      <c r="R904" s="347">
        <v>0</v>
      </c>
      <c r="S904" s="347">
        <v>0</v>
      </c>
      <c r="T904" s="347">
        <v>0</v>
      </c>
      <c r="U904" s="347">
        <v>0</v>
      </c>
      <c r="V904" s="347">
        <v>0</v>
      </c>
      <c r="W904" s="347">
        <v>0</v>
      </c>
    </row>
    <row r="905" spans="1:23" x14ac:dyDescent="0.2">
      <c r="A905" s="290" t="s">
        <v>196</v>
      </c>
      <c r="B905" s="309"/>
      <c r="C905" s="283"/>
      <c r="D905" s="347">
        <v>0</v>
      </c>
      <c r="E905" s="347">
        <v>0</v>
      </c>
      <c r="F905" s="347">
        <v>0</v>
      </c>
      <c r="G905" s="347">
        <v>0</v>
      </c>
      <c r="H905" s="347">
        <v>0</v>
      </c>
      <c r="I905" s="347">
        <v>0</v>
      </c>
      <c r="J905" s="347">
        <v>0</v>
      </c>
      <c r="K905" s="347">
        <v>0</v>
      </c>
      <c r="L905" s="347">
        <v>0</v>
      </c>
      <c r="M905" s="347">
        <v>0</v>
      </c>
      <c r="N905" s="347">
        <v>0</v>
      </c>
      <c r="O905" s="347">
        <v>0</v>
      </c>
      <c r="P905" s="347">
        <v>0</v>
      </c>
      <c r="Q905" s="347">
        <v>0</v>
      </c>
      <c r="R905" s="347">
        <v>0</v>
      </c>
      <c r="S905" s="347">
        <v>0</v>
      </c>
      <c r="T905" s="347">
        <v>0</v>
      </c>
      <c r="U905" s="347">
        <v>0</v>
      </c>
      <c r="V905" s="347">
        <v>0</v>
      </c>
      <c r="W905" s="347">
        <v>0</v>
      </c>
    </row>
    <row r="906" spans="1:23" x14ac:dyDescent="0.2">
      <c r="A906" s="290" t="s">
        <v>197</v>
      </c>
      <c r="B906" s="309"/>
      <c r="C906" s="283"/>
      <c r="D906" s="347">
        <v>0</v>
      </c>
      <c r="E906" s="347">
        <v>0</v>
      </c>
      <c r="F906" s="347">
        <v>0</v>
      </c>
      <c r="G906" s="347">
        <v>0</v>
      </c>
      <c r="H906" s="347">
        <v>0</v>
      </c>
      <c r="I906" s="347">
        <v>0</v>
      </c>
      <c r="J906" s="347">
        <v>0</v>
      </c>
      <c r="K906" s="347">
        <v>0</v>
      </c>
      <c r="L906" s="347">
        <v>0</v>
      </c>
      <c r="M906" s="347">
        <v>0</v>
      </c>
      <c r="N906" s="347">
        <v>0</v>
      </c>
      <c r="O906" s="347">
        <v>0</v>
      </c>
      <c r="P906" s="347">
        <v>0</v>
      </c>
      <c r="Q906" s="347">
        <v>0</v>
      </c>
      <c r="R906" s="347">
        <v>0</v>
      </c>
      <c r="S906" s="347">
        <v>0</v>
      </c>
      <c r="T906" s="347">
        <v>0</v>
      </c>
      <c r="U906" s="347">
        <v>0</v>
      </c>
      <c r="V906" s="347">
        <v>0</v>
      </c>
      <c r="W906" s="347">
        <v>0</v>
      </c>
    </row>
    <row r="907" spans="1:23" x14ac:dyDescent="0.2">
      <c r="A907" s="290" t="s">
        <v>198</v>
      </c>
      <c r="B907" s="309"/>
      <c r="C907" s="283"/>
      <c r="D907" s="348">
        <v>0</v>
      </c>
      <c r="E907" s="348">
        <v>0</v>
      </c>
      <c r="F907" s="348">
        <v>0</v>
      </c>
      <c r="G907" s="348">
        <v>0</v>
      </c>
      <c r="H907" s="348">
        <v>0</v>
      </c>
      <c r="I907" s="348">
        <v>0</v>
      </c>
      <c r="J907" s="348">
        <v>0</v>
      </c>
      <c r="K907" s="348">
        <v>0</v>
      </c>
      <c r="L907" s="348">
        <v>0</v>
      </c>
      <c r="M907" s="348">
        <v>0</v>
      </c>
      <c r="N907" s="348">
        <v>0</v>
      </c>
      <c r="O907" s="348">
        <v>0</v>
      </c>
      <c r="P907" s="348">
        <v>0</v>
      </c>
      <c r="Q907" s="348">
        <v>0</v>
      </c>
      <c r="R907" s="348">
        <v>0</v>
      </c>
      <c r="S907" s="348">
        <v>0</v>
      </c>
      <c r="T907" s="348">
        <v>0</v>
      </c>
      <c r="U907" s="348">
        <v>0</v>
      </c>
      <c r="V907" s="348">
        <v>0</v>
      </c>
      <c r="W907" s="348">
        <v>0</v>
      </c>
    </row>
    <row r="908" spans="1:23" ht="13.5" thickBot="1" x14ac:dyDescent="0.25">
      <c r="A908" s="290" t="s">
        <v>199</v>
      </c>
      <c r="B908" s="309"/>
      <c r="C908" s="283"/>
      <c r="D908" s="349">
        <v>0</v>
      </c>
      <c r="E908" s="349">
        <v>0</v>
      </c>
      <c r="F908" s="349">
        <v>0</v>
      </c>
      <c r="G908" s="349">
        <v>0</v>
      </c>
      <c r="H908" s="349">
        <v>0</v>
      </c>
      <c r="I908" s="349">
        <v>0</v>
      </c>
      <c r="J908" s="349">
        <v>0</v>
      </c>
      <c r="K908" s="349">
        <v>0</v>
      </c>
      <c r="L908" s="349">
        <v>0</v>
      </c>
      <c r="M908" s="349">
        <v>0</v>
      </c>
      <c r="N908" s="349">
        <v>0</v>
      </c>
      <c r="O908" s="349">
        <v>0</v>
      </c>
      <c r="P908" s="349">
        <v>0</v>
      </c>
      <c r="Q908" s="349">
        <v>0</v>
      </c>
      <c r="R908" s="349">
        <v>0</v>
      </c>
      <c r="S908" s="349">
        <v>0</v>
      </c>
      <c r="T908" s="349">
        <v>0</v>
      </c>
      <c r="U908" s="349">
        <v>0</v>
      </c>
      <c r="V908" s="349">
        <v>0</v>
      </c>
      <c r="W908" s="349">
        <v>0</v>
      </c>
    </row>
    <row r="909" spans="1:23" ht="13.5" thickTop="1" x14ac:dyDescent="0.2">
      <c r="A909" s="290"/>
      <c r="B909" s="309"/>
      <c r="C909" s="283"/>
      <c r="D909" s="347"/>
      <c r="E909" s="347"/>
      <c r="F909" s="347"/>
      <c r="G909" s="347"/>
      <c r="H909" s="347"/>
      <c r="I909" s="347"/>
      <c r="J909" s="347"/>
      <c r="K909" s="347"/>
      <c r="L909" s="347"/>
      <c r="M909" s="347"/>
      <c r="N909" s="347"/>
      <c r="O909" s="347"/>
      <c r="P909" s="347"/>
      <c r="Q909" s="347"/>
      <c r="R909" s="347"/>
      <c r="S909" s="347"/>
      <c r="T909" s="347"/>
      <c r="U909" s="347"/>
      <c r="V909" s="347"/>
      <c r="W909" s="347"/>
    </row>
    <row r="910" spans="1:23" x14ac:dyDescent="0.2">
      <c r="A910" s="290" t="s">
        <v>200</v>
      </c>
      <c r="B910" s="309"/>
      <c r="C910" s="283"/>
      <c r="D910" s="347">
        <v>0</v>
      </c>
      <c r="E910" s="347">
        <v>0</v>
      </c>
      <c r="F910" s="347">
        <v>0</v>
      </c>
      <c r="G910" s="347">
        <v>0</v>
      </c>
      <c r="H910" s="347">
        <v>0</v>
      </c>
      <c r="I910" s="347">
        <v>0</v>
      </c>
      <c r="J910" s="347">
        <v>0</v>
      </c>
      <c r="K910" s="347">
        <v>0</v>
      </c>
      <c r="L910" s="347">
        <v>0</v>
      </c>
      <c r="M910" s="347">
        <v>0</v>
      </c>
      <c r="N910" s="347">
        <v>0</v>
      </c>
      <c r="O910" s="347">
        <v>0</v>
      </c>
      <c r="P910" s="347">
        <v>0</v>
      </c>
      <c r="Q910" s="347">
        <v>0</v>
      </c>
      <c r="R910" s="347">
        <v>0</v>
      </c>
      <c r="S910" s="347">
        <v>0</v>
      </c>
      <c r="T910" s="347">
        <v>0</v>
      </c>
      <c r="U910" s="347">
        <v>0</v>
      </c>
      <c r="V910" s="347">
        <v>0</v>
      </c>
      <c r="W910" s="347">
        <v>0</v>
      </c>
    </row>
    <row r="911" spans="1:23" x14ac:dyDescent="0.2">
      <c r="A911" s="290"/>
      <c r="B911" s="309"/>
      <c r="C911" s="283"/>
      <c r="D911" s="283"/>
      <c r="E911" s="283"/>
      <c r="F911" s="283"/>
      <c r="G911" s="283"/>
      <c r="H911" s="283"/>
      <c r="I911" s="283"/>
      <c r="J911" s="283"/>
      <c r="K911" s="283"/>
      <c r="L911" s="283"/>
      <c r="M911" s="283"/>
      <c r="N911" s="283"/>
      <c r="O911" s="283"/>
      <c r="P911" s="283"/>
      <c r="Q911" s="283"/>
      <c r="R911" s="283"/>
      <c r="S911" s="283"/>
      <c r="T911" s="283"/>
      <c r="U911" s="283"/>
      <c r="V911" s="283"/>
      <c r="W911" s="283"/>
    </row>
    <row r="912" spans="1:23" x14ac:dyDescent="0.2">
      <c r="A912" s="290" t="s">
        <v>201</v>
      </c>
      <c r="B912" s="309"/>
      <c r="C912" s="283"/>
      <c r="D912" s="347">
        <v>0</v>
      </c>
      <c r="E912" s="347">
        <v>0</v>
      </c>
      <c r="F912" s="347">
        <v>0</v>
      </c>
      <c r="G912" s="347">
        <v>0</v>
      </c>
      <c r="H912" s="347">
        <v>0</v>
      </c>
      <c r="I912" s="347">
        <v>0</v>
      </c>
      <c r="J912" s="347">
        <v>0</v>
      </c>
      <c r="K912" s="347">
        <v>0</v>
      </c>
      <c r="L912" s="347">
        <v>0</v>
      </c>
      <c r="M912" s="347">
        <v>0</v>
      </c>
      <c r="N912" s="347">
        <v>0</v>
      </c>
      <c r="O912" s="347">
        <v>0</v>
      </c>
      <c r="P912" s="347">
        <v>0</v>
      </c>
      <c r="Q912" s="347">
        <v>0</v>
      </c>
      <c r="R912" s="347">
        <v>0</v>
      </c>
      <c r="S912" s="347">
        <v>0</v>
      </c>
      <c r="T912" s="347">
        <v>0</v>
      </c>
      <c r="U912" s="347">
        <v>0</v>
      </c>
      <c r="V912" s="347">
        <v>0</v>
      </c>
      <c r="W912" s="347">
        <v>0</v>
      </c>
    </row>
    <row r="913" spans="1:23" x14ac:dyDescent="0.2">
      <c r="A913" s="283"/>
      <c r="B913" s="309"/>
      <c r="C913" s="283"/>
      <c r="D913" s="283"/>
      <c r="E913" s="283"/>
      <c r="F913" s="283"/>
      <c r="G913" s="283"/>
      <c r="H913" s="283"/>
      <c r="I913" s="283"/>
      <c r="J913" s="283"/>
      <c r="K913" s="283"/>
      <c r="L913" s="283"/>
      <c r="M913" s="283"/>
      <c r="N913" s="283"/>
      <c r="O913" s="283"/>
      <c r="P913" s="283"/>
      <c r="Q913" s="283"/>
      <c r="R913" s="283"/>
      <c r="S913" s="283"/>
      <c r="T913" s="283"/>
      <c r="U913" s="283"/>
      <c r="V913" s="283"/>
      <c r="W913" s="283"/>
    </row>
    <row r="914" spans="1:23" x14ac:dyDescent="0.2">
      <c r="A914" s="283"/>
      <c r="B914" s="309"/>
      <c r="C914" s="283"/>
      <c r="D914" s="283"/>
      <c r="E914" s="283"/>
      <c r="F914" s="283"/>
      <c r="G914" s="283"/>
      <c r="H914" s="283"/>
      <c r="I914" s="283"/>
      <c r="J914" s="283"/>
      <c r="K914" s="283"/>
      <c r="L914" s="283"/>
      <c r="M914" s="283"/>
      <c r="N914" s="283"/>
      <c r="O914" s="283"/>
      <c r="P914" s="283"/>
      <c r="Q914" s="283"/>
      <c r="R914" s="283"/>
      <c r="S914" s="283"/>
      <c r="T914" s="283"/>
      <c r="U914" s="283"/>
      <c r="V914" s="283"/>
      <c r="W914" s="283"/>
    </row>
    <row r="915" spans="1:23" x14ac:dyDescent="0.2">
      <c r="A915" s="290" t="s">
        <v>203</v>
      </c>
      <c r="B915" s="285"/>
      <c r="C915" s="284"/>
      <c r="D915" s="441">
        <v>7963994.2934700502</v>
      </c>
      <c r="E915" s="441">
        <v>2355551.2367505785</v>
      </c>
      <c r="F915" s="441">
        <v>6786326.8361669015</v>
      </c>
      <c r="G915" s="441">
        <v>5957971.6694897888</v>
      </c>
      <c r="H915" s="441">
        <v>4706184.0346745392</v>
      </c>
      <c r="I915" s="441">
        <v>4844070.7082045982</v>
      </c>
      <c r="J915" s="441">
        <v>5436711.2234549131</v>
      </c>
      <c r="K915" s="441">
        <v>5722543.162383778</v>
      </c>
      <c r="L915" s="441">
        <v>5755405.9861975349</v>
      </c>
      <c r="M915" s="441">
        <v>5664618.334222272</v>
      </c>
      <c r="N915" s="441">
        <v>5787921.4009031644</v>
      </c>
      <c r="O915" s="441">
        <v>5637684.807938721</v>
      </c>
      <c r="P915" s="441">
        <v>5669926.4936219128</v>
      </c>
      <c r="Q915" s="441">
        <v>5969799.0398554746</v>
      </c>
      <c r="R915" s="441">
        <v>7040973.2681467114</v>
      </c>
      <c r="S915" s="441">
        <v>6505294.8478143308</v>
      </c>
      <c r="T915" s="441">
        <v>6625599.6193097914</v>
      </c>
      <c r="U915" s="441">
        <v>7417798.3997599725</v>
      </c>
      <c r="V915" s="441">
        <v>8398295.205532629</v>
      </c>
      <c r="W915" s="441">
        <v>39766354.964345291</v>
      </c>
    </row>
    <row r="916" spans="1:23" x14ac:dyDescent="0.2">
      <c r="A916" s="9"/>
      <c r="B916" s="6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 x14ac:dyDescent="0.2">
      <c r="A917" s="45"/>
      <c r="B917" s="306"/>
      <c r="C917" s="318"/>
      <c r="E917" s="367"/>
      <c r="F917" s="319"/>
      <c r="G917" s="320"/>
    </row>
    <row r="918" spans="1:23" x14ac:dyDescent="0.2">
      <c r="B918" s="306"/>
      <c r="C918" s="318"/>
      <c r="E918" s="91"/>
      <c r="F918" s="319"/>
      <c r="G918" s="320"/>
    </row>
    <row r="919" spans="1:23" x14ac:dyDescent="0.2">
      <c r="B919" s="306"/>
      <c r="C919" s="318"/>
      <c r="D919" s="323"/>
      <c r="E919" s="91"/>
      <c r="F919" s="319"/>
      <c r="G919" s="320"/>
    </row>
    <row r="920" spans="1:23" x14ac:dyDescent="0.2">
      <c r="B920" s="306"/>
      <c r="C920" s="307"/>
      <c r="D920" s="351"/>
      <c r="E920" s="91"/>
      <c r="F920" s="357"/>
      <c r="G920" s="368"/>
    </row>
    <row r="921" spans="1:23" x14ac:dyDescent="0.2">
      <c r="B921" s="295"/>
      <c r="C921" s="360"/>
      <c r="E921" s="369"/>
      <c r="F921" s="319"/>
      <c r="G921" s="328"/>
    </row>
    <row r="922" spans="1:23" x14ac:dyDescent="0.2">
      <c r="B922" s="295"/>
      <c r="C922" s="360"/>
      <c r="E922" s="369"/>
      <c r="F922" s="319"/>
      <c r="G922" s="328"/>
    </row>
    <row r="923" spans="1:23" x14ac:dyDescent="0.2">
      <c r="B923" s="295"/>
      <c r="C923" s="360"/>
      <c r="E923" s="369"/>
      <c r="F923" s="319"/>
      <c r="G923" s="328"/>
    </row>
    <row r="924" spans="1:23" ht="15.75" x14ac:dyDescent="0.25">
      <c r="A924" s="308" t="s">
        <v>29</v>
      </c>
      <c r="B924" s="311" t="s">
        <v>70</v>
      </c>
      <c r="C924" s="312">
        <v>2000</v>
      </c>
      <c r="D924" s="312">
        <v>2001</v>
      </c>
      <c r="E924" s="312">
        <v>2002</v>
      </c>
      <c r="F924" s="312">
        <v>2003</v>
      </c>
      <c r="G924" s="312">
        <v>2004</v>
      </c>
      <c r="H924" s="312">
        <v>2005</v>
      </c>
      <c r="I924" s="312">
        <v>2006</v>
      </c>
      <c r="J924" s="312">
        <v>2007</v>
      </c>
      <c r="K924" s="312">
        <v>2008</v>
      </c>
      <c r="L924" s="312">
        <v>2009</v>
      </c>
      <c r="M924" s="312">
        <v>2010</v>
      </c>
      <c r="N924" s="312">
        <v>2011</v>
      </c>
      <c r="O924" s="312">
        <v>2012</v>
      </c>
      <c r="P924" s="312">
        <v>2013</v>
      </c>
      <c r="Q924" s="312">
        <v>2014</v>
      </c>
      <c r="R924" s="312">
        <v>2015</v>
      </c>
      <c r="S924" s="312">
        <v>2016</v>
      </c>
      <c r="T924" s="312">
        <v>2017</v>
      </c>
      <c r="U924" s="312">
        <v>2018</v>
      </c>
      <c r="V924" s="312">
        <v>2019</v>
      </c>
      <c r="W924" s="312" t="s">
        <v>154</v>
      </c>
    </row>
    <row r="925" spans="1:23" x14ac:dyDescent="0.2">
      <c r="A925" s="308" t="s">
        <v>26</v>
      </c>
      <c r="B925" s="309">
        <v>128</v>
      </c>
      <c r="C925" s="314"/>
      <c r="D925" s="314"/>
      <c r="E925" s="314"/>
      <c r="F925" s="314"/>
      <c r="G925" s="314"/>
      <c r="H925" s="314"/>
      <c r="I925" s="314"/>
      <c r="J925" s="314"/>
      <c r="K925" s="314"/>
      <c r="L925" s="314"/>
      <c r="M925" s="314"/>
      <c r="N925" s="314"/>
      <c r="O925" s="314"/>
      <c r="P925" s="314"/>
      <c r="Q925" s="314"/>
      <c r="R925" s="314"/>
      <c r="S925" s="314"/>
      <c r="T925" s="314"/>
      <c r="U925" s="314"/>
      <c r="V925" s="314"/>
      <c r="W925" s="314"/>
    </row>
    <row r="926" spans="1:23" x14ac:dyDescent="0.2">
      <c r="A926" s="9"/>
      <c r="B926" s="315" t="s">
        <v>27</v>
      </c>
      <c r="C926" s="449">
        <v>0</v>
      </c>
      <c r="D926" s="410">
        <v>38171230.020131744</v>
      </c>
      <c r="E926" s="410">
        <v>37212737.788700029</v>
      </c>
      <c r="F926" s="410">
        <v>37280772.668513715</v>
      </c>
      <c r="G926" s="410">
        <v>36315006.338045895</v>
      </c>
      <c r="H926" s="410">
        <v>35985766.5399369</v>
      </c>
      <c r="I926" s="410">
        <v>37992509.616563916</v>
      </c>
      <c r="J926" s="410">
        <v>40864416.107950769</v>
      </c>
      <c r="K926" s="410">
        <v>41964977.281645037</v>
      </c>
      <c r="L926" s="410">
        <v>42831530.842529088</v>
      </c>
      <c r="M926" s="410">
        <v>42985177.900819138</v>
      </c>
      <c r="N926" s="410">
        <v>43924833.016438216</v>
      </c>
      <c r="O926" s="410">
        <v>44400042.998205163</v>
      </c>
      <c r="P926" s="410">
        <v>44934325.140002355</v>
      </c>
      <c r="Q926" s="410">
        <v>46540198.316108085</v>
      </c>
      <c r="R926" s="410">
        <v>49823213.452060595</v>
      </c>
      <c r="S926" s="410">
        <v>49566847.305205829</v>
      </c>
      <c r="T926" s="410">
        <v>50239853.653366961</v>
      </c>
      <c r="U926" s="410">
        <v>52638376.694596976</v>
      </c>
      <c r="V926" s="410">
        <v>54215805.956092589</v>
      </c>
      <c r="W926" s="333"/>
    </row>
    <row r="927" spans="1:23" x14ac:dyDescent="0.2">
      <c r="A927" s="9"/>
      <c r="B927" s="315" t="s">
        <v>20</v>
      </c>
      <c r="C927" s="449">
        <v>0</v>
      </c>
      <c r="D927" s="410">
        <v>-12005360.778649898</v>
      </c>
      <c r="E927" s="410">
        <v>-12013085.245758126</v>
      </c>
      <c r="F927" s="410">
        <v>-12051182.848137347</v>
      </c>
      <c r="G927" s="410">
        <v>-12216171.006440036</v>
      </c>
      <c r="H927" s="410">
        <v>-12451348.200119758</v>
      </c>
      <c r="I927" s="410">
        <v>-12808009.958281113</v>
      </c>
      <c r="J927" s="410">
        <v>-13103423.190705074</v>
      </c>
      <c r="K927" s="410">
        <v>-13384988.92785915</v>
      </c>
      <c r="L927" s="410">
        <v>-13605625.685825789</v>
      </c>
      <c r="M927" s="410">
        <v>-13714559.315282127</v>
      </c>
      <c r="N927" s="410">
        <v>-13901038.918249751</v>
      </c>
      <c r="O927" s="410">
        <v>-14202914.315132977</v>
      </c>
      <c r="P927" s="410">
        <v>-14526945.704448001</v>
      </c>
      <c r="Q927" s="410">
        <v>-14835283.265790513</v>
      </c>
      <c r="R927" s="410">
        <v>-15045765.193892576</v>
      </c>
      <c r="S927" s="410">
        <v>-15354102.755235083</v>
      </c>
      <c r="T927" s="410">
        <v>-15704905.968738532</v>
      </c>
      <c r="U927" s="410">
        <v>-16089866.337240994</v>
      </c>
      <c r="V927" s="410">
        <v>-16487751.034662008</v>
      </c>
      <c r="W927" s="333"/>
    </row>
    <row r="928" spans="1:23" x14ac:dyDescent="0.2">
      <c r="A928" s="9"/>
      <c r="B928" s="315" t="s">
        <v>31</v>
      </c>
      <c r="C928" s="449">
        <v>0</v>
      </c>
      <c r="D928" s="410">
        <v>-1016044.3490698764</v>
      </c>
      <c r="E928" s="410">
        <v>-1022507.7494118399</v>
      </c>
      <c r="F928" s="410">
        <v>-1028531.5583741436</v>
      </c>
      <c r="G928" s="410">
        <v>-1034083.765835629</v>
      </c>
      <c r="H928" s="410">
        <v>-1039130.7764756759</v>
      </c>
      <c r="I928" s="410">
        <v>-1050150.1997198537</v>
      </c>
      <c r="J928" s="410">
        <v>-1071346.8048699996</v>
      </c>
      <c r="K928" s="410">
        <v>-1092971.2498377361</v>
      </c>
      <c r="L928" s="410">
        <v>-1115032.1702941169</v>
      </c>
      <c r="M928" s="410">
        <v>-1137538.3762156502</v>
      </c>
      <c r="N928" s="410">
        <v>-1160498.8554025448</v>
      </c>
      <c r="O928" s="410">
        <v>-1183922.7770679654</v>
      </c>
      <c r="P928" s="410">
        <v>-1207819.4954997369</v>
      </c>
      <c r="Q928" s="410">
        <v>-1232198.5537959554</v>
      </c>
      <c r="R928" s="410">
        <v>-1257069.6876760048</v>
      </c>
      <c r="S928" s="410">
        <v>-1282442.8293684912</v>
      </c>
      <c r="T928" s="410">
        <v>-1308328.1115776566</v>
      </c>
      <c r="U928" s="410">
        <v>-1334735.8715298476</v>
      </c>
      <c r="V928" s="410">
        <v>-1361676.6551016658</v>
      </c>
      <c r="W928" s="333"/>
    </row>
    <row r="929" spans="1:23" x14ac:dyDescent="0.2">
      <c r="A929" s="9"/>
      <c r="B929" s="315" t="s">
        <v>32</v>
      </c>
      <c r="C929" s="449">
        <v>0</v>
      </c>
      <c r="D929" s="410">
        <v>0</v>
      </c>
      <c r="E929" s="410">
        <v>0</v>
      </c>
      <c r="F929" s="410">
        <v>0</v>
      </c>
      <c r="G929" s="410">
        <v>0</v>
      </c>
      <c r="H929" s="410">
        <v>0</v>
      </c>
      <c r="I929" s="410">
        <v>-916308.29395923344</v>
      </c>
      <c r="J929" s="410">
        <v>-1015654.5455226921</v>
      </c>
      <c r="K929" s="410">
        <v>-1199881.3267392898</v>
      </c>
      <c r="L929" s="410">
        <v>-1230947.6223020467</v>
      </c>
      <c r="M929" s="410">
        <v>-1369003.0147956696</v>
      </c>
      <c r="N929" s="410">
        <v>-1508060.3499541592</v>
      </c>
      <c r="O929" s="410">
        <v>-1670885.6547327167</v>
      </c>
      <c r="P929" s="410">
        <v>-1873502.3616811952</v>
      </c>
      <c r="Q929" s="410">
        <v>-2085500.4830084129</v>
      </c>
      <c r="R929" s="410">
        <v>-2310097.4516291004</v>
      </c>
      <c r="S929" s="410">
        <v>-2536484.1610219819</v>
      </c>
      <c r="T929" s="410">
        <v>-2491972.0286402744</v>
      </c>
      <c r="U929" s="410">
        <v>-2132016.8550795391</v>
      </c>
      <c r="V929" s="410">
        <v>-2210508.1289902944</v>
      </c>
      <c r="W929" s="333"/>
    </row>
    <row r="930" spans="1:23" ht="13.5" thickBot="1" x14ac:dyDescent="0.25">
      <c r="A930" s="9"/>
      <c r="B930" s="316" t="s">
        <v>33</v>
      </c>
      <c r="C930" s="450">
        <v>0</v>
      </c>
      <c r="D930" s="412">
        <v>0</v>
      </c>
      <c r="E930" s="412">
        <v>0</v>
      </c>
      <c r="F930" s="412">
        <v>-2462176.1647455622</v>
      </c>
      <c r="G930" s="412">
        <v>-2067521.8465195398</v>
      </c>
      <c r="H930" s="412">
        <v>-2114172.6313690506</v>
      </c>
      <c r="I930" s="412">
        <v>-2175135.511403502</v>
      </c>
      <c r="J930" s="412">
        <v>-2855004.8519600835</v>
      </c>
      <c r="K930" s="412">
        <v>-2493097.4810552541</v>
      </c>
      <c r="L930" s="412">
        <v>-2639526.7016474945</v>
      </c>
      <c r="M930" s="412">
        <v>-2511610.7477451353</v>
      </c>
      <c r="N930" s="412">
        <v>-2583545.3495749328</v>
      </c>
      <c r="O930" s="412">
        <v>-2650538.9332454787</v>
      </c>
      <c r="P930" s="412">
        <v>-2367487.3689901708</v>
      </c>
      <c r="Q930" s="412">
        <v>-2452136.1187909977</v>
      </c>
      <c r="R930" s="412">
        <v>-2502810.4464441077</v>
      </c>
      <c r="S930" s="412">
        <v>-2657808.8510459997</v>
      </c>
      <c r="T930" s="412">
        <v>-2498615.9789204462</v>
      </c>
      <c r="U930" s="412">
        <v>-2751918.2740430702</v>
      </c>
      <c r="V930" s="412">
        <v>-1498283.4299316553</v>
      </c>
      <c r="W930" s="333"/>
    </row>
    <row r="931" spans="1:23" ht="13.5" thickTop="1" x14ac:dyDescent="0.2">
      <c r="A931" s="9"/>
      <c r="B931" s="317" t="s">
        <v>38</v>
      </c>
      <c r="C931" s="451">
        <v>0</v>
      </c>
      <c r="D931" s="414">
        <v>25149824.892411973</v>
      </c>
      <c r="E931" s="414">
        <v>24177144.793530066</v>
      </c>
      <c r="F931" s="414">
        <v>21738882.09725666</v>
      </c>
      <c r="G931" s="414">
        <v>20997229.71925069</v>
      </c>
      <c r="H931" s="414">
        <v>20381114.931972418</v>
      </c>
      <c r="I931" s="414">
        <v>21042905.653200213</v>
      </c>
      <c r="J931" s="414">
        <v>22818986.714892916</v>
      </c>
      <c r="K931" s="414">
        <v>23794038.296153605</v>
      </c>
      <c r="L931" s="414">
        <v>24240398.662459642</v>
      </c>
      <c r="M931" s="414">
        <v>24252466.446780555</v>
      </c>
      <c r="N931" s="414">
        <v>24771689.543256834</v>
      </c>
      <c r="O931" s="414">
        <v>24691781.318026025</v>
      </c>
      <c r="P931" s="414">
        <v>24958570.209383249</v>
      </c>
      <c r="Q931" s="414">
        <v>25935079.894722201</v>
      </c>
      <c r="R931" s="414">
        <v>28707470.672418803</v>
      </c>
      <c r="S931" s="414">
        <v>27736008.708534274</v>
      </c>
      <c r="T931" s="414">
        <v>28236031.565490052</v>
      </c>
      <c r="U931" s="414">
        <v>30329839.356703527</v>
      </c>
      <c r="V931" s="414">
        <v>32657586.707406968</v>
      </c>
      <c r="W931" s="333"/>
    </row>
    <row r="932" spans="1:23" x14ac:dyDescent="0.2">
      <c r="A932" s="9"/>
      <c r="B932" s="315" t="s">
        <v>34</v>
      </c>
      <c r="C932" s="449">
        <v>0</v>
      </c>
      <c r="D932" s="410">
        <v>-2889131.1746616764</v>
      </c>
      <c r="E932" s="410">
        <v>-2946913.7981549101</v>
      </c>
      <c r="F932" s="410">
        <v>-3005852.0741180084</v>
      </c>
      <c r="G932" s="410">
        <v>-3065969.1156003685</v>
      </c>
      <c r="H932" s="410">
        <v>-3127288.4979123757</v>
      </c>
      <c r="I932" s="410">
        <v>-3189834.2678706232</v>
      </c>
      <c r="J932" s="410">
        <v>-3253630.9532280355</v>
      </c>
      <c r="K932" s="410">
        <v>-3318703.5722925961</v>
      </c>
      <c r="L932" s="410">
        <v>-3385077.6437384482</v>
      </c>
      <c r="M932" s="410">
        <v>-3452779.1966132172</v>
      </c>
      <c r="N932" s="410">
        <v>-3521834.7805454815</v>
      </c>
      <c r="O932" s="410">
        <v>-3592271.4761563912</v>
      </c>
      <c r="P932" s="410">
        <v>-3664116.9056795193</v>
      </c>
      <c r="Q932" s="410">
        <v>-3737399.2437931099</v>
      </c>
      <c r="R932" s="410">
        <v>-3812147.2286689724</v>
      </c>
      <c r="S932" s="410">
        <v>-3888390.173242352</v>
      </c>
      <c r="T932" s="410">
        <v>-3966157.9767071991</v>
      </c>
      <c r="U932" s="410">
        <v>-4045481.1362413433</v>
      </c>
      <c r="V932" s="410">
        <v>-4126390.7589661703</v>
      </c>
      <c r="W932" s="333"/>
    </row>
    <row r="933" spans="1:23" x14ac:dyDescent="0.2">
      <c r="A933" s="9"/>
      <c r="B933" s="315" t="s">
        <v>35</v>
      </c>
      <c r="C933" s="449">
        <v>0</v>
      </c>
      <c r="D933" s="410">
        <v>-335704.19713303557</v>
      </c>
      <c r="E933" s="410">
        <v>-343014.86407706462</v>
      </c>
      <c r="F933" s="410">
        <v>-351211.64025173546</v>
      </c>
      <c r="G933" s="410">
        <v>-366096.3750998766</v>
      </c>
      <c r="H933" s="410">
        <v>-433641.92523250828</v>
      </c>
      <c r="I933" s="410">
        <v>-540363.49130283296</v>
      </c>
      <c r="J933" s="410">
        <v>-603486.29148456</v>
      </c>
      <c r="K933" s="410">
        <v>-667736.49917744473</v>
      </c>
      <c r="L933" s="410">
        <v>-717705.25558650738</v>
      </c>
      <c r="M933" s="410">
        <v>-743736.79485686333</v>
      </c>
      <c r="N933" s="410">
        <v>-752803.49346504896</v>
      </c>
      <c r="O933" s="410">
        <v>-762550.10212738323</v>
      </c>
      <c r="P933" s="410">
        <v>-772081.37909758824</v>
      </c>
      <c r="Q933" s="410">
        <v>-781850.93799204845</v>
      </c>
      <c r="R933" s="410">
        <v>-791865.71281475946</v>
      </c>
      <c r="S933" s="410">
        <v>-802130.85700803844</v>
      </c>
      <c r="T933" s="410">
        <v>-812650.57677731058</v>
      </c>
      <c r="U933" s="410">
        <v>-823434.34151279158</v>
      </c>
      <c r="V933" s="410">
        <v>-834488.77874313318</v>
      </c>
      <c r="W933" s="333"/>
    </row>
    <row r="934" spans="1:23" ht="13.5" thickBot="1" x14ac:dyDescent="0.25">
      <c r="A934" s="9"/>
      <c r="B934" s="316" t="s">
        <v>36</v>
      </c>
      <c r="C934" s="450">
        <v>0</v>
      </c>
      <c r="D934" s="412">
        <v>-418126.94064275001</v>
      </c>
      <c r="E934" s="412">
        <v>-426949.41909031401</v>
      </c>
      <c r="F934" s="412">
        <v>-436299.611368393</v>
      </c>
      <c r="G934" s="412">
        <v>-446159.98258531501</v>
      </c>
      <c r="H934" s="412">
        <v>-456778.59017084597</v>
      </c>
      <c r="I934" s="412">
        <v>-468225.507561301</v>
      </c>
      <c r="J934" s="412">
        <v>-479838.804564989</v>
      </c>
      <c r="K934" s="412">
        <v>-491984.51633102499</v>
      </c>
      <c r="L934" s="412">
        <v>-504136.53388440202</v>
      </c>
      <c r="M934" s="412">
        <v>-516992.015498452</v>
      </c>
      <c r="N934" s="412">
        <v>-529503.22227351705</v>
      </c>
      <c r="O934" s="412">
        <v>-542846.70347480802</v>
      </c>
      <c r="P934" s="412">
        <v>-556635.00974306697</v>
      </c>
      <c r="Q934" s="412">
        <v>-570550.88498664298</v>
      </c>
      <c r="R934" s="412">
        <v>-584871.71219980798</v>
      </c>
      <c r="S934" s="412">
        <v>-599493.505004804</v>
      </c>
      <c r="T934" s="412">
        <v>-614360.94392892299</v>
      </c>
      <c r="U934" s="412">
        <v>-629781.40362154006</v>
      </c>
      <c r="V934" s="412">
        <v>-645588.91685243999</v>
      </c>
      <c r="W934" s="333"/>
    </row>
    <row r="935" spans="1:23" ht="13.5" thickTop="1" x14ac:dyDescent="0.2">
      <c r="A935" s="9"/>
      <c r="B935" s="317" t="s">
        <v>221</v>
      </c>
      <c r="C935" s="452">
        <v>0</v>
      </c>
      <c r="D935" s="416">
        <v>21506862.57997451</v>
      </c>
      <c r="E935" s="416">
        <v>20460266.712207776</v>
      </c>
      <c r="F935" s="416">
        <v>17945518.771518525</v>
      </c>
      <c r="G935" s="416">
        <v>17119004.245965131</v>
      </c>
      <c r="H935" s="416">
        <v>16363405.918656688</v>
      </c>
      <c r="I935" s="416">
        <v>16844482.386465456</v>
      </c>
      <c r="J935" s="416">
        <v>18482030.665615331</v>
      </c>
      <c r="K935" s="416">
        <v>19315613.70835254</v>
      </c>
      <c r="L935" s="416">
        <v>19633479.229250282</v>
      </c>
      <c r="M935" s="416">
        <v>19538958.439812019</v>
      </c>
      <c r="N935" s="416">
        <v>19967548.046972789</v>
      </c>
      <c r="O935" s="416">
        <v>19794113.036267441</v>
      </c>
      <c r="P935" s="416">
        <v>19965736.914863072</v>
      </c>
      <c r="Q935" s="416">
        <v>20845278.827950399</v>
      </c>
      <c r="R935" s="416">
        <v>23518586.018735263</v>
      </c>
      <c r="S935" s="416">
        <v>22445994.173279077</v>
      </c>
      <c r="T935" s="416">
        <v>22842862.068076622</v>
      </c>
      <c r="U935" s="416">
        <v>24831142.475327853</v>
      </c>
      <c r="V935" s="416">
        <v>27051118.252845224</v>
      </c>
      <c r="W935" s="333"/>
    </row>
    <row r="936" spans="1:23" x14ac:dyDescent="0.2">
      <c r="A936" s="9"/>
      <c r="B936" s="315" t="s">
        <v>37</v>
      </c>
      <c r="C936" s="449">
        <v>0</v>
      </c>
      <c r="D936" s="410">
        <v>-964456.01653409097</v>
      </c>
      <c r="E936" s="410">
        <v>-1335489.6346815</v>
      </c>
      <c r="F936" s="410">
        <v>-1670269.8908603727</v>
      </c>
      <c r="G936" s="410">
        <v>-1670507.2613207274</v>
      </c>
      <c r="H936" s="410">
        <v>-1748116.5908048456</v>
      </c>
      <c r="I936" s="410">
        <v>-1884310.129472472</v>
      </c>
      <c r="J936" s="410">
        <v>-1934208.9610554129</v>
      </c>
      <c r="K936" s="410">
        <v>-1891010.3720688052</v>
      </c>
      <c r="L936" s="410">
        <v>-1860983.9304709493</v>
      </c>
      <c r="M936" s="410">
        <v>-1944868.4877299853</v>
      </c>
      <c r="N936" s="410">
        <v>-2054391.2887589897</v>
      </c>
      <c r="O936" s="410">
        <v>-2125047.3851898606</v>
      </c>
      <c r="P936" s="410">
        <v>-2244799.8289508955</v>
      </c>
      <c r="Q936" s="410">
        <v>-2337274.9551156703</v>
      </c>
      <c r="R936" s="410">
        <v>-2434552.8132472076</v>
      </c>
      <c r="S936" s="410">
        <v>-2564173.521668145</v>
      </c>
      <c r="T936" s="410">
        <v>-2698944.1222508014</v>
      </c>
      <c r="U936" s="410">
        <v>-2881443.6208509379</v>
      </c>
      <c r="V936" s="410">
        <v>-3061151.4862272595</v>
      </c>
      <c r="W936" s="333"/>
    </row>
    <row r="937" spans="1:23" ht="13.5" thickBot="1" x14ac:dyDescent="0.25">
      <c r="A937" s="9"/>
      <c r="B937" s="316" t="s">
        <v>222</v>
      </c>
      <c r="C937" s="450">
        <v>0</v>
      </c>
      <c r="D937" s="412">
        <v>-8216962.6253761686</v>
      </c>
      <c r="E937" s="412">
        <v>-7649910.8310105102</v>
      </c>
      <c r="F937" s="412">
        <v>-6510099.5522632608</v>
      </c>
      <c r="G937" s="412">
        <v>-6179398.7938577617</v>
      </c>
      <c r="H937" s="412">
        <v>-5846115.7311407374</v>
      </c>
      <c r="I937" s="412">
        <v>-5984068.9027971942</v>
      </c>
      <c r="J937" s="412">
        <v>-6619128.681823968</v>
      </c>
      <c r="K937" s="412">
        <v>-6969841.3345134947</v>
      </c>
      <c r="L937" s="412">
        <v>-7108998.1195117328</v>
      </c>
      <c r="M937" s="412">
        <v>-7037635.9808328142</v>
      </c>
      <c r="N937" s="412">
        <v>-7165262.70328552</v>
      </c>
      <c r="O937" s="412">
        <v>-7067626.2604310326</v>
      </c>
      <c r="P937" s="412">
        <v>-7088374.8343648706</v>
      </c>
      <c r="Q937" s="412">
        <v>-7403201.5491338912</v>
      </c>
      <c r="R937" s="412">
        <v>-8433613.2821952235</v>
      </c>
      <c r="S937" s="412">
        <v>-7952728.2606443735</v>
      </c>
      <c r="T937" s="412">
        <v>-8057567.1783303283</v>
      </c>
      <c r="U937" s="412">
        <v>-8779879.5417907666</v>
      </c>
      <c r="V937" s="412">
        <v>-9595986.7066471856</v>
      </c>
      <c r="W937" s="333"/>
    </row>
    <row r="938" spans="1:23" ht="13.5" thickTop="1" x14ac:dyDescent="0.2">
      <c r="A938" s="9"/>
      <c r="B938" s="317" t="s">
        <v>183</v>
      </c>
      <c r="C938" s="452">
        <v>0</v>
      </c>
      <c r="D938" s="416">
        <v>12325443.938064251</v>
      </c>
      <c r="E938" s="416">
        <v>11474866.246515766</v>
      </c>
      <c r="F938" s="416">
        <v>9765149.3283948898</v>
      </c>
      <c r="G938" s="416">
        <v>9269098.1907866411</v>
      </c>
      <c r="H938" s="416">
        <v>8769173.5967111066</v>
      </c>
      <c r="I938" s="416">
        <v>8976103.3541957904</v>
      </c>
      <c r="J938" s="416">
        <v>9928693.0227359496</v>
      </c>
      <c r="K938" s="416">
        <v>10454762.001770241</v>
      </c>
      <c r="L938" s="416">
        <v>10663497.179267598</v>
      </c>
      <c r="M938" s="416">
        <v>10556453.971249219</v>
      </c>
      <c r="N938" s="416">
        <v>10747894.05492828</v>
      </c>
      <c r="O938" s="416">
        <v>10601439.390646547</v>
      </c>
      <c r="P938" s="416">
        <v>10632562.251547305</v>
      </c>
      <c r="Q938" s="416">
        <v>11104802.323700836</v>
      </c>
      <c r="R938" s="416">
        <v>12650419.923292832</v>
      </c>
      <c r="S938" s="416">
        <v>11929092.390966561</v>
      </c>
      <c r="T938" s="416">
        <v>12086350.767495491</v>
      </c>
      <c r="U938" s="416">
        <v>13169819.312686147</v>
      </c>
      <c r="V938" s="416">
        <v>14393980.059970779</v>
      </c>
      <c r="W938" s="333"/>
    </row>
    <row r="939" spans="1:23" x14ac:dyDescent="0.2">
      <c r="A939" s="9"/>
      <c r="B939" s="315" t="s">
        <v>37</v>
      </c>
      <c r="C939" s="449">
        <v>0</v>
      </c>
      <c r="D939" s="410">
        <v>964456.01653409097</v>
      </c>
      <c r="E939" s="410">
        <v>1335489.6346815</v>
      </c>
      <c r="F939" s="410">
        <v>1670269.8908603727</v>
      </c>
      <c r="G939" s="410">
        <v>1670507.2613207274</v>
      </c>
      <c r="H939" s="410">
        <v>1748116.5908048456</v>
      </c>
      <c r="I939" s="410">
        <v>1884310.129472472</v>
      </c>
      <c r="J939" s="410">
        <v>1934208.9610554129</v>
      </c>
      <c r="K939" s="410">
        <v>1891010.3720688052</v>
      </c>
      <c r="L939" s="410">
        <v>1860983.9304709493</v>
      </c>
      <c r="M939" s="410">
        <v>1944868.4877299853</v>
      </c>
      <c r="N939" s="410">
        <v>2054391.2887589897</v>
      </c>
      <c r="O939" s="410">
        <v>2125047.3851898606</v>
      </c>
      <c r="P939" s="410">
        <v>2244799.8289508955</v>
      </c>
      <c r="Q939" s="410">
        <v>2337274.9551156703</v>
      </c>
      <c r="R939" s="410">
        <v>2434552.8132472076</v>
      </c>
      <c r="S939" s="410">
        <v>2564173.521668145</v>
      </c>
      <c r="T939" s="410">
        <v>2698944.1222508014</v>
      </c>
      <c r="U939" s="410">
        <v>2881443.6208509379</v>
      </c>
      <c r="V939" s="410">
        <v>3061151.4862272595</v>
      </c>
      <c r="W939" s="333"/>
    </row>
    <row r="940" spans="1:23" x14ac:dyDescent="0.2">
      <c r="A940" s="9"/>
      <c r="B940" s="315" t="s">
        <v>39</v>
      </c>
      <c r="C940" s="449">
        <v>0</v>
      </c>
      <c r="D940" s="410">
        <v>-804291.35</v>
      </c>
      <c r="E940" s="410">
        <v>-9620475.7899999991</v>
      </c>
      <c r="F940" s="410">
        <v>-604210.52</v>
      </c>
      <c r="G940" s="410">
        <v>-1057868.8999999999</v>
      </c>
      <c r="H940" s="410">
        <v>-2649788.426</v>
      </c>
      <c r="I940" s="410">
        <v>-2729282.0787800001</v>
      </c>
      <c r="J940" s="410">
        <v>-2811160.5411434001</v>
      </c>
      <c r="K940" s="410">
        <v>-2895495.3573777024</v>
      </c>
      <c r="L940" s="410">
        <v>-2982360.2180990335</v>
      </c>
      <c r="M940" s="410">
        <v>-3071831.0246420046</v>
      </c>
      <c r="N940" s="410">
        <v>-3163985.9553812649</v>
      </c>
      <c r="O940" s="410">
        <v>-3258905.534042703</v>
      </c>
      <c r="P940" s="410">
        <v>-3356672.7000639844</v>
      </c>
      <c r="Q940" s="410">
        <v>-3457372.8810659042</v>
      </c>
      <c r="R940" s="410">
        <v>-3561094.0674978816</v>
      </c>
      <c r="S940" s="410">
        <v>-3667926.8895228179</v>
      </c>
      <c r="T940" s="410">
        <v>-3777964.6962085026</v>
      </c>
      <c r="U940" s="410">
        <v>-3891303.637094758</v>
      </c>
      <c r="V940" s="410">
        <v>-4008042.7462076009</v>
      </c>
      <c r="W940" s="333"/>
    </row>
    <row r="941" spans="1:23" ht="13.5" thickBot="1" x14ac:dyDescent="0.25">
      <c r="A941" s="9"/>
      <c r="B941" s="316" t="s">
        <v>40</v>
      </c>
      <c r="C941" s="450">
        <v>0</v>
      </c>
      <c r="D941" s="412">
        <v>0</v>
      </c>
      <c r="E941" s="412">
        <v>0</v>
      </c>
      <c r="F941" s="412">
        <v>0</v>
      </c>
      <c r="G941" s="412">
        <v>0</v>
      </c>
      <c r="H941" s="412">
        <v>0</v>
      </c>
      <c r="I941" s="412">
        <v>0</v>
      </c>
      <c r="J941" s="412">
        <v>0</v>
      </c>
      <c r="K941" s="412">
        <v>0</v>
      </c>
      <c r="L941" s="412">
        <v>0</v>
      </c>
      <c r="M941" s="412">
        <v>0</v>
      </c>
      <c r="N941" s="412">
        <v>0</v>
      </c>
      <c r="O941" s="412">
        <v>0</v>
      </c>
      <c r="P941" s="412">
        <v>0</v>
      </c>
      <c r="Q941" s="412">
        <v>0</v>
      </c>
      <c r="R941" s="412">
        <v>0</v>
      </c>
      <c r="S941" s="412">
        <v>0</v>
      </c>
      <c r="T941" s="412">
        <v>0</v>
      </c>
      <c r="U941" s="412">
        <v>0</v>
      </c>
      <c r="V941" s="412">
        <v>0</v>
      </c>
      <c r="W941" s="333"/>
    </row>
    <row r="942" spans="1:23" ht="13.5" thickTop="1" x14ac:dyDescent="0.2">
      <c r="A942" s="9"/>
      <c r="B942" s="315"/>
      <c r="C942" s="453"/>
      <c r="D942" s="333"/>
      <c r="E942" s="333"/>
      <c r="F942" s="333"/>
      <c r="G942" s="333"/>
      <c r="H942" s="333"/>
      <c r="I942" s="333"/>
      <c r="J942" s="333"/>
      <c r="K942" s="333"/>
      <c r="L942" s="333"/>
      <c r="M942" s="333"/>
      <c r="N942" s="333"/>
      <c r="O942" s="333"/>
      <c r="P942" s="333"/>
      <c r="Q942" s="333"/>
      <c r="R942" s="333"/>
      <c r="S942" s="333"/>
      <c r="T942" s="333"/>
      <c r="U942" s="333"/>
      <c r="V942" s="333"/>
      <c r="W942" s="333"/>
    </row>
    <row r="943" spans="1:23" x14ac:dyDescent="0.2">
      <c r="A943" s="9"/>
      <c r="B943" s="317" t="s">
        <v>234</v>
      </c>
      <c r="C943" s="452">
        <v>0</v>
      </c>
      <c r="D943" s="416">
        <v>12485608.604598342</v>
      </c>
      <c r="E943" s="416">
        <v>3189880.0911972672</v>
      </c>
      <c r="F943" s="416">
        <v>10831208.699255263</v>
      </c>
      <c r="G943" s="416">
        <v>9881736.5521073677</v>
      </c>
      <c r="H943" s="416">
        <v>7867501.7615159517</v>
      </c>
      <c r="I943" s="416">
        <v>8131131.404888262</v>
      </c>
      <c r="J943" s="416">
        <v>9051741.4426479619</v>
      </c>
      <c r="K943" s="416">
        <v>9450277.0164613444</v>
      </c>
      <c r="L943" s="416">
        <v>9542120.8916395139</v>
      </c>
      <c r="M943" s="416">
        <v>9429491.4343371987</v>
      </c>
      <c r="N943" s="416">
        <v>9638299.3883060049</v>
      </c>
      <c r="O943" s="416">
        <v>9467581.2417937052</v>
      </c>
      <c r="P943" s="416">
        <v>9520689.3804342151</v>
      </c>
      <c r="Q943" s="416">
        <v>9984704.3977506012</v>
      </c>
      <c r="R943" s="416">
        <v>11523878.669042159</v>
      </c>
      <c r="S943" s="416">
        <v>10825339.023111887</v>
      </c>
      <c r="T943" s="416">
        <v>11007330.193537788</v>
      </c>
      <c r="U943" s="416">
        <v>12159959.296442326</v>
      </c>
      <c r="V943" s="416">
        <v>13447088.79999044</v>
      </c>
      <c r="W943" s="414">
        <v>65749548.183525838</v>
      </c>
    </row>
    <row r="944" spans="1:23" x14ac:dyDescent="0.2">
      <c r="A944" s="9"/>
      <c r="B944" s="292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 x14ac:dyDescent="0.2">
      <c r="A945" s="308" t="s">
        <v>219</v>
      </c>
      <c r="B945" s="306" t="s">
        <v>170</v>
      </c>
      <c r="C945" s="439">
        <v>35406658.041607581</v>
      </c>
      <c r="D945" s="9"/>
      <c r="E945" s="137" t="s">
        <v>220</v>
      </c>
      <c r="F945" s="319" t="s">
        <v>170</v>
      </c>
      <c r="G945" s="443">
        <v>35406658.041607581</v>
      </c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 x14ac:dyDescent="0.2">
      <c r="A946" s="9"/>
      <c r="B946" s="306" t="s">
        <v>180</v>
      </c>
      <c r="C946" s="439">
        <v>46971694.560154416</v>
      </c>
      <c r="D946" s="9"/>
      <c r="E946" s="321"/>
      <c r="F946" s="319" t="s">
        <v>180</v>
      </c>
      <c r="G946" s="443">
        <v>46971694.560154416</v>
      </c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 spans="1:23" ht="13.5" thickBot="1" x14ac:dyDescent="0.25">
      <c r="A947" s="9"/>
      <c r="B947" s="322" t="s">
        <v>137</v>
      </c>
      <c r="C947" s="440">
        <v>10250272.525826523</v>
      </c>
      <c r="D947" s="323"/>
      <c r="E947" s="321"/>
      <c r="F947" s="319" t="s">
        <v>137</v>
      </c>
      <c r="G947" s="443">
        <v>10250272.525826523</v>
      </c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 spans="1:23" ht="14.25" thickTop="1" thickBot="1" x14ac:dyDescent="0.25">
      <c r="A948" s="9"/>
      <c r="B948" s="306" t="s">
        <v>28</v>
      </c>
      <c r="C948" s="438">
        <v>92628625.127588466</v>
      </c>
      <c r="D948" s="305"/>
      <c r="E948" s="321"/>
      <c r="F948" s="324" t="s">
        <v>204</v>
      </c>
      <c r="G948" s="325">
        <v>0</v>
      </c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 spans="1:23" ht="13.5" thickTop="1" x14ac:dyDescent="0.2">
      <c r="A949" s="9"/>
      <c r="B949" s="292"/>
      <c r="C949" s="326"/>
      <c r="D949" s="9"/>
      <c r="E949" s="327"/>
      <c r="F949" s="319" t="s">
        <v>28</v>
      </c>
      <c r="G949" s="368">
        <v>92628625.127588466</v>
      </c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 spans="1:23" x14ac:dyDescent="0.2">
      <c r="A950" s="9"/>
      <c r="B950" s="292"/>
      <c r="C950" s="326"/>
      <c r="D950" s="9"/>
      <c r="E950" s="327"/>
      <c r="F950" s="319"/>
      <c r="G950" s="32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 spans="1:23" x14ac:dyDescent="0.2">
      <c r="A951" s="9"/>
      <c r="B951" s="292"/>
      <c r="C951" s="326"/>
      <c r="D951" s="9"/>
      <c r="E951" s="327"/>
      <c r="F951" s="319"/>
      <c r="G951" s="32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 spans="1:23" x14ac:dyDescent="0.2">
      <c r="A952" s="9"/>
      <c r="B952" s="329" t="s">
        <v>223</v>
      </c>
      <c r="C952" s="326"/>
      <c r="D952" s="9"/>
      <c r="E952" s="327"/>
      <c r="F952" s="319"/>
      <c r="G952" s="32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 spans="1:23" x14ac:dyDescent="0.2">
      <c r="A953" s="330" t="s">
        <v>225</v>
      </c>
      <c r="B953" s="329" t="s">
        <v>224</v>
      </c>
      <c r="C953" s="331"/>
      <c r="D953" s="332">
        <v>12325443.938064251</v>
      </c>
      <c r="E953" s="332">
        <v>11474866.246515766</v>
      </c>
      <c r="F953" s="332">
        <v>9765149.3283948898</v>
      </c>
      <c r="G953" s="332">
        <v>9269098.1907866411</v>
      </c>
      <c r="H953" s="332">
        <v>8769173.5967111066</v>
      </c>
      <c r="I953" s="332">
        <v>8976103.3541957904</v>
      </c>
      <c r="J953" s="332">
        <v>9928693.0227359496</v>
      </c>
      <c r="K953" s="332">
        <v>10454762.001770241</v>
      </c>
      <c r="L953" s="332">
        <v>10663497.179267598</v>
      </c>
      <c r="M953" s="332">
        <v>10556453.971249219</v>
      </c>
      <c r="N953" s="332">
        <v>10747894.05492828</v>
      </c>
      <c r="O953" s="332">
        <v>10601439.390646547</v>
      </c>
      <c r="P953" s="332">
        <v>10632562.251547305</v>
      </c>
      <c r="Q953" s="332">
        <v>11104802.323700836</v>
      </c>
      <c r="R953" s="332">
        <v>12650419.923292832</v>
      </c>
      <c r="S953" s="332">
        <v>11929092.390966561</v>
      </c>
      <c r="T953" s="332">
        <v>12086350.767495491</v>
      </c>
      <c r="U953" s="332">
        <v>13169819.312686147</v>
      </c>
      <c r="V953" s="332">
        <v>14393980.059970779</v>
      </c>
      <c r="W953" s="9"/>
    </row>
    <row r="954" spans="1:23" x14ac:dyDescent="0.2">
      <c r="A954" s="9"/>
      <c r="B954" s="292" t="s">
        <v>226</v>
      </c>
      <c r="C954" s="326"/>
      <c r="D954" s="333">
        <v>8216962.6253761686</v>
      </c>
      <c r="E954" s="333">
        <v>7649910.8310105102</v>
      </c>
      <c r="F954" s="333">
        <v>6510099.5522632608</v>
      </c>
      <c r="G954" s="333">
        <v>6179398.7938577617</v>
      </c>
      <c r="H954" s="333">
        <v>5846115.7311407374</v>
      </c>
      <c r="I954" s="333">
        <v>5984068.9027971942</v>
      </c>
      <c r="J954" s="333">
        <v>6619128.681823968</v>
      </c>
      <c r="K954" s="333">
        <v>6969841.3345134947</v>
      </c>
      <c r="L954" s="333">
        <v>7108998.1195117328</v>
      </c>
      <c r="M954" s="333">
        <v>7037635.9808328142</v>
      </c>
      <c r="N954" s="333">
        <v>7165262.70328552</v>
      </c>
      <c r="O954" s="333">
        <v>7067626.2604310326</v>
      </c>
      <c r="P954" s="333">
        <v>7088374.8343648706</v>
      </c>
      <c r="Q954" s="333">
        <v>7403201.5491338912</v>
      </c>
      <c r="R954" s="333">
        <v>8433613.2821952235</v>
      </c>
      <c r="S954" s="333">
        <v>7952728.2606443735</v>
      </c>
      <c r="T954" s="333">
        <v>8057567.1783303283</v>
      </c>
      <c r="U954" s="333">
        <v>8779879.5417907666</v>
      </c>
      <c r="V954" s="333">
        <v>9595986.7066471856</v>
      </c>
      <c r="W954" s="9"/>
    </row>
    <row r="955" spans="1:23" x14ac:dyDescent="0.2">
      <c r="A955" s="9"/>
      <c r="B955" s="334" t="s">
        <v>227</v>
      </c>
      <c r="C955" s="335"/>
      <c r="D955" s="333">
        <v>964456.01653409097</v>
      </c>
      <c r="E955" s="333">
        <v>1335489.6346815</v>
      </c>
      <c r="F955" s="333">
        <v>1670269.8908603727</v>
      </c>
      <c r="G955" s="333">
        <v>1670507.2613207274</v>
      </c>
      <c r="H955" s="333">
        <v>1748116.5908048456</v>
      </c>
      <c r="I955" s="333">
        <v>1884310.129472472</v>
      </c>
      <c r="J955" s="333">
        <v>1934208.9610554129</v>
      </c>
      <c r="K955" s="333">
        <v>1891010.3720688052</v>
      </c>
      <c r="L955" s="333">
        <v>1860983.9304709493</v>
      </c>
      <c r="M955" s="333">
        <v>1944868.4877299853</v>
      </c>
      <c r="N955" s="333">
        <v>2054391.2887589897</v>
      </c>
      <c r="O955" s="333">
        <v>2125047.3851898606</v>
      </c>
      <c r="P955" s="333">
        <v>2244799.8289508955</v>
      </c>
      <c r="Q955" s="333">
        <v>2337274.9551156703</v>
      </c>
      <c r="R955" s="333">
        <v>2434552.8132472076</v>
      </c>
      <c r="S955" s="333">
        <v>2564173.521668145</v>
      </c>
      <c r="T955" s="333">
        <v>2698944.1222508014</v>
      </c>
      <c r="U955" s="333">
        <v>2881443.6208509379</v>
      </c>
      <c r="V955" s="333">
        <v>3061151.4862272595</v>
      </c>
      <c r="W955" s="9"/>
    </row>
    <row r="956" spans="1:23" ht="13.5" thickBot="1" x14ac:dyDescent="0.25">
      <c r="A956" s="9"/>
      <c r="B956" s="336" t="s">
        <v>228</v>
      </c>
      <c r="C956" s="337"/>
      <c r="D956" s="338">
        <v>21506862.57997451</v>
      </c>
      <c r="E956" s="338">
        <v>20460266.712207776</v>
      </c>
      <c r="F956" s="338">
        <v>17945518.771518521</v>
      </c>
      <c r="G956" s="338">
        <v>17119004.245965131</v>
      </c>
      <c r="H956" s="338">
        <v>16363405.918656688</v>
      </c>
      <c r="I956" s="338">
        <v>16844482.386465456</v>
      </c>
      <c r="J956" s="338">
        <v>18482030.665615331</v>
      </c>
      <c r="K956" s="338">
        <v>19315613.70835254</v>
      </c>
      <c r="L956" s="338">
        <v>19633479.229250282</v>
      </c>
      <c r="M956" s="338">
        <v>19538958.439812019</v>
      </c>
      <c r="N956" s="338">
        <v>19967548.046972789</v>
      </c>
      <c r="O956" s="338">
        <v>19794113.036267441</v>
      </c>
      <c r="P956" s="338">
        <v>19965736.914863072</v>
      </c>
      <c r="Q956" s="338">
        <v>20845278.827950396</v>
      </c>
      <c r="R956" s="338">
        <v>23518586.018735263</v>
      </c>
      <c r="S956" s="338">
        <v>22445994.173279077</v>
      </c>
      <c r="T956" s="338">
        <v>22842862.068076622</v>
      </c>
      <c r="U956" s="338">
        <v>24831142.475327853</v>
      </c>
      <c r="V956" s="338">
        <v>27051118.252845224</v>
      </c>
      <c r="W956" s="9"/>
    </row>
    <row r="957" spans="1:23" ht="13.5" thickTop="1" x14ac:dyDescent="0.2">
      <c r="A957" s="330" t="s">
        <v>229</v>
      </c>
      <c r="B957" s="292" t="s">
        <v>230</v>
      </c>
      <c r="C957" s="326"/>
      <c r="D957" s="333">
        <v>-1469520.4309921479</v>
      </c>
      <c r="E957" s="333">
        <v>-1947943.6343341814</v>
      </c>
      <c r="F957" s="333">
        <v>-1968749.2209553346</v>
      </c>
      <c r="G957" s="333">
        <v>-1981272.3404185213</v>
      </c>
      <c r="H957" s="333">
        <v>-1997857.2354769197</v>
      </c>
      <c r="I957" s="333">
        <v>-2134321.33941592</v>
      </c>
      <c r="J957" s="333">
        <v>-1718435.4558213954</v>
      </c>
      <c r="K957" s="333">
        <v>-1379677.5247286686</v>
      </c>
      <c r="L957" s="333">
        <v>-1528309.0309867191</v>
      </c>
      <c r="M957" s="333">
        <v>-1663447.3545347527</v>
      </c>
      <c r="N957" s="333">
        <v>-1682658.8840380635</v>
      </c>
      <c r="O957" s="333">
        <v>-1845604.1607401986</v>
      </c>
      <c r="P957" s="333">
        <v>-2013437.7957433979</v>
      </c>
      <c r="Q957" s="333">
        <v>-2186306.4397966932</v>
      </c>
      <c r="R957" s="333">
        <v>-2364361.143171587</v>
      </c>
      <c r="S957" s="333">
        <v>-2546881.9467183477</v>
      </c>
      <c r="T957" s="333">
        <v>-2733413.2322077183</v>
      </c>
      <c r="U957" s="333">
        <v>-2927978.4140624562</v>
      </c>
      <c r="V957" s="333">
        <v>-3128380.5513728363</v>
      </c>
      <c r="W957" s="9"/>
    </row>
    <row r="958" spans="1:23" x14ac:dyDescent="0.2">
      <c r="A958" s="9"/>
      <c r="B958" s="292" t="s">
        <v>231</v>
      </c>
      <c r="C958" s="326"/>
      <c r="D958" s="333">
        <v>0</v>
      </c>
      <c r="E958" s="333">
        <v>0</v>
      </c>
      <c r="F958" s="333">
        <v>0</v>
      </c>
      <c r="G958" s="333">
        <v>0</v>
      </c>
      <c r="H958" s="333">
        <v>0</v>
      </c>
      <c r="I958" s="333">
        <v>0</v>
      </c>
      <c r="J958" s="333">
        <v>0</v>
      </c>
      <c r="K958" s="333">
        <v>0</v>
      </c>
      <c r="L958" s="333">
        <v>0</v>
      </c>
      <c r="M958" s="333">
        <v>0</v>
      </c>
      <c r="N958" s="333">
        <v>0</v>
      </c>
      <c r="O958" s="333">
        <v>0</v>
      </c>
      <c r="P958" s="333">
        <v>0</v>
      </c>
      <c r="Q958" s="333">
        <v>0</v>
      </c>
      <c r="R958" s="333">
        <v>0</v>
      </c>
      <c r="S958" s="333">
        <v>0</v>
      </c>
      <c r="T958" s="333">
        <v>0</v>
      </c>
      <c r="U958" s="333">
        <v>0</v>
      </c>
      <c r="V958" s="333">
        <v>0</v>
      </c>
      <c r="W958" s="9"/>
    </row>
    <row r="959" spans="1:23" x14ac:dyDescent="0.2">
      <c r="A959" s="9"/>
      <c r="B959" s="329" t="s">
        <v>232</v>
      </c>
      <c r="C959" s="331"/>
      <c r="D959" s="332">
        <v>20037342.148982361</v>
      </c>
      <c r="E959" s="332">
        <v>18512323.077873595</v>
      </c>
      <c r="F959" s="332">
        <v>15976769.550563186</v>
      </c>
      <c r="G959" s="332">
        <v>15137731.905546609</v>
      </c>
      <c r="H959" s="332">
        <v>14365548.683179768</v>
      </c>
      <c r="I959" s="332">
        <v>14710161.047049537</v>
      </c>
      <c r="J959" s="332">
        <v>16763595.209793936</v>
      </c>
      <c r="K959" s="332">
        <v>17935936.183623873</v>
      </c>
      <c r="L959" s="332">
        <v>18105170.198263563</v>
      </c>
      <c r="M959" s="332">
        <v>17875511.085277267</v>
      </c>
      <c r="N959" s="332">
        <v>18284889.162934724</v>
      </c>
      <c r="O959" s="332">
        <v>17948508.87552724</v>
      </c>
      <c r="P959" s="332">
        <v>17952299.119119674</v>
      </c>
      <c r="Q959" s="332">
        <v>18658972.388153702</v>
      </c>
      <c r="R959" s="332">
        <v>21154224.875563677</v>
      </c>
      <c r="S959" s="332">
        <v>19899112.22656073</v>
      </c>
      <c r="T959" s="332">
        <v>20109448.835868903</v>
      </c>
      <c r="U959" s="332">
        <v>21903164.061265398</v>
      </c>
      <c r="V959" s="332">
        <v>23922737.701472387</v>
      </c>
      <c r="W959" s="9"/>
    </row>
    <row r="960" spans="1:23" ht="13.5" thickBot="1" x14ac:dyDescent="0.25">
      <c r="A960" s="9"/>
      <c r="B960" s="339" t="s">
        <v>238</v>
      </c>
      <c r="C960" s="340"/>
      <c r="D960" s="341">
        <v>-8014936.8595929444</v>
      </c>
      <c r="E960" s="341">
        <v>-7404929.2311494388</v>
      </c>
      <c r="F960" s="341">
        <v>-6390707.8202252751</v>
      </c>
      <c r="G960" s="341">
        <v>-6055092.7622186439</v>
      </c>
      <c r="H960" s="341">
        <v>-5746219.4732719073</v>
      </c>
      <c r="I960" s="341">
        <v>-5884064.4188198149</v>
      </c>
      <c r="J960" s="341">
        <v>-6705438.083917575</v>
      </c>
      <c r="K960" s="341">
        <v>-7174374.4734495496</v>
      </c>
      <c r="L960" s="341">
        <v>-7242068.0793054253</v>
      </c>
      <c r="M960" s="341">
        <v>-7150204.4341109069</v>
      </c>
      <c r="N960" s="341">
        <v>-7313955.6651738901</v>
      </c>
      <c r="O960" s="341">
        <v>-7179403.5502108969</v>
      </c>
      <c r="P960" s="341">
        <v>-7180919.6476478698</v>
      </c>
      <c r="Q960" s="341">
        <v>-7463588.955261481</v>
      </c>
      <c r="R960" s="341">
        <v>-8461689.9502254706</v>
      </c>
      <c r="S960" s="341">
        <v>-7959644.8906242922</v>
      </c>
      <c r="T960" s="341">
        <v>-8043779.5343475612</v>
      </c>
      <c r="U960" s="341">
        <v>-8761265.6245061588</v>
      </c>
      <c r="V960" s="341">
        <v>-9569095.0805889554</v>
      </c>
      <c r="W960" s="9"/>
    </row>
    <row r="961" spans="1:23" ht="13.5" thickTop="1" x14ac:dyDescent="0.2">
      <c r="A961" s="9"/>
      <c r="B961" s="329" t="s">
        <v>233</v>
      </c>
      <c r="C961" s="331"/>
      <c r="D961" s="332">
        <v>12022405.289389417</v>
      </c>
      <c r="E961" s="332">
        <v>11107393.846724156</v>
      </c>
      <c r="F961" s="332">
        <v>9586061.7303379104</v>
      </c>
      <c r="G961" s="332">
        <v>9082639.1433279663</v>
      </c>
      <c r="H961" s="332">
        <v>8619329.2099078596</v>
      </c>
      <c r="I961" s="332">
        <v>8826096.6282297224</v>
      </c>
      <c r="J961" s="332">
        <v>10058157.125876362</v>
      </c>
      <c r="K961" s="332">
        <v>10761561.710174322</v>
      </c>
      <c r="L961" s="332">
        <v>10863102.118958138</v>
      </c>
      <c r="M961" s="332">
        <v>10725306.651166361</v>
      </c>
      <c r="N961" s="332">
        <v>10970933.497760834</v>
      </c>
      <c r="O961" s="332">
        <v>10769105.325316343</v>
      </c>
      <c r="P961" s="332">
        <v>10771379.471471805</v>
      </c>
      <c r="Q961" s="332">
        <v>11195383.432892222</v>
      </c>
      <c r="R961" s="332">
        <v>12692534.925338207</v>
      </c>
      <c r="S961" s="332">
        <v>11939467.335936438</v>
      </c>
      <c r="T961" s="332">
        <v>12065669.301521342</v>
      </c>
      <c r="U961" s="332">
        <v>13141898.436759239</v>
      </c>
      <c r="V961" s="332">
        <v>14353642.620883431</v>
      </c>
      <c r="W961" s="9"/>
    </row>
    <row r="962" spans="1:23" x14ac:dyDescent="0.2">
      <c r="A962" s="9"/>
      <c r="B962" s="9"/>
      <c r="C962" s="326"/>
      <c r="D962" s="9"/>
      <c r="E962" s="327"/>
      <c r="F962" s="319"/>
      <c r="G962" s="32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 spans="1:23" ht="15.75" x14ac:dyDescent="0.25">
      <c r="A963" s="342" t="s">
        <v>206</v>
      </c>
      <c r="B963" s="343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 spans="1:23" x14ac:dyDescent="0.2">
      <c r="A964" s="290" t="s">
        <v>191</v>
      </c>
      <c r="B964" s="309"/>
      <c r="C964" s="344">
        <v>0</v>
      </c>
      <c r="D964" s="283"/>
      <c r="E964" s="283"/>
      <c r="F964" s="283"/>
      <c r="G964" s="283"/>
      <c r="H964" s="283"/>
      <c r="I964" s="283"/>
      <c r="J964" s="283"/>
      <c r="K964" s="283"/>
      <c r="L964" s="283"/>
      <c r="M964" s="283"/>
      <c r="N964" s="283"/>
      <c r="O964" s="283"/>
      <c r="P964" s="283"/>
      <c r="Q964" s="283"/>
      <c r="R964" s="283"/>
      <c r="S964" s="283"/>
      <c r="T964" s="283"/>
      <c r="U964" s="283"/>
      <c r="V964" s="283"/>
      <c r="W964" s="283"/>
    </row>
    <row r="965" spans="1:23" x14ac:dyDescent="0.2">
      <c r="A965" s="290" t="s">
        <v>192</v>
      </c>
      <c r="B965" s="309"/>
      <c r="C965" s="345">
        <v>0</v>
      </c>
      <c r="D965" s="283"/>
      <c r="E965" s="283"/>
      <c r="F965" s="283"/>
      <c r="G965" s="283"/>
      <c r="H965" s="283"/>
      <c r="I965" s="283"/>
      <c r="J965" s="283"/>
      <c r="K965" s="283"/>
      <c r="L965" s="283"/>
      <c r="M965" s="283"/>
      <c r="N965" s="283"/>
      <c r="O965" s="283"/>
      <c r="P965" s="283"/>
      <c r="Q965" s="283"/>
      <c r="R965" s="283"/>
      <c r="S965" s="283"/>
      <c r="T965" s="283"/>
      <c r="U965" s="283"/>
      <c r="V965" s="283"/>
      <c r="W965" s="283"/>
    </row>
    <row r="966" spans="1:23" x14ac:dyDescent="0.2">
      <c r="A966" s="290" t="s">
        <v>202</v>
      </c>
      <c r="B966" s="309"/>
      <c r="C966" s="290">
        <v>15</v>
      </c>
      <c r="D966" s="283"/>
      <c r="E966" s="283"/>
      <c r="F966" s="283"/>
      <c r="G966" s="283"/>
      <c r="H966" s="283"/>
      <c r="I966" s="283"/>
      <c r="J966" s="283"/>
      <c r="K966" s="283"/>
      <c r="L966" s="283"/>
      <c r="M966" s="283"/>
      <c r="N966" s="283"/>
      <c r="O966" s="283"/>
      <c r="P966" s="283"/>
      <c r="Q966" s="283"/>
      <c r="R966" s="283"/>
      <c r="S966" s="283"/>
      <c r="T966" s="283"/>
      <c r="U966" s="283"/>
      <c r="V966" s="283"/>
      <c r="W966" s="283"/>
    </row>
    <row r="967" spans="1:23" x14ac:dyDescent="0.2">
      <c r="A967" s="290" t="s">
        <v>193</v>
      </c>
      <c r="B967" s="309"/>
      <c r="C967" s="345">
        <v>0</v>
      </c>
      <c r="D967" s="283"/>
      <c r="E967" s="283"/>
      <c r="F967" s="283"/>
      <c r="G967" s="283"/>
      <c r="H967" s="283"/>
      <c r="I967" s="283"/>
      <c r="J967" s="283"/>
      <c r="K967" s="283"/>
      <c r="L967" s="283"/>
      <c r="M967" s="283"/>
      <c r="N967" s="283"/>
      <c r="O967" s="283"/>
      <c r="P967" s="283"/>
      <c r="Q967" s="283"/>
      <c r="R967" s="283"/>
      <c r="S967" s="283"/>
      <c r="T967" s="283"/>
      <c r="U967" s="283"/>
      <c r="V967" s="283"/>
      <c r="W967" s="283"/>
    </row>
    <row r="968" spans="1:23" x14ac:dyDescent="0.2">
      <c r="A968" s="290" t="s">
        <v>194</v>
      </c>
      <c r="B968" s="309"/>
      <c r="C968" s="346">
        <v>8.7499999999999994E-2</v>
      </c>
      <c r="D968" s="283"/>
      <c r="E968" s="283"/>
      <c r="F968" s="283"/>
      <c r="G968" s="283"/>
      <c r="H968" s="283"/>
      <c r="I968" s="283"/>
      <c r="J968" s="283"/>
      <c r="K968" s="283"/>
      <c r="L968" s="283"/>
      <c r="M968" s="283"/>
      <c r="N968" s="283"/>
      <c r="O968" s="283"/>
      <c r="P968" s="283"/>
      <c r="Q968" s="283"/>
      <c r="R968" s="283"/>
      <c r="S968" s="283"/>
      <c r="T968" s="283"/>
      <c r="U968" s="283"/>
      <c r="V968" s="283"/>
      <c r="W968" s="283"/>
    </row>
    <row r="969" spans="1:23" x14ac:dyDescent="0.2">
      <c r="A969" s="290"/>
      <c r="B969" s="309"/>
      <c r="C969" s="283"/>
      <c r="D969" s="312">
        <v>2001</v>
      </c>
      <c r="E969" s="312">
        <v>2002</v>
      </c>
      <c r="F969" s="312">
        <v>2003</v>
      </c>
      <c r="G969" s="312">
        <v>2004</v>
      </c>
      <c r="H969" s="312">
        <v>2005</v>
      </c>
      <c r="I969" s="312">
        <v>2006</v>
      </c>
      <c r="J969" s="312">
        <v>2007</v>
      </c>
      <c r="K969" s="312">
        <v>2008</v>
      </c>
      <c r="L969" s="312">
        <v>2009</v>
      </c>
      <c r="M969" s="312">
        <v>2010</v>
      </c>
      <c r="N969" s="312">
        <v>2011</v>
      </c>
      <c r="O969" s="312">
        <v>2012</v>
      </c>
      <c r="P969" s="312">
        <v>2013</v>
      </c>
      <c r="Q969" s="312">
        <v>2014</v>
      </c>
      <c r="R969" s="312">
        <v>2015</v>
      </c>
      <c r="S969" s="312">
        <v>2016</v>
      </c>
      <c r="T969" s="312">
        <v>2017</v>
      </c>
      <c r="U969" s="312">
        <v>2018</v>
      </c>
      <c r="V969" s="312">
        <v>2019</v>
      </c>
      <c r="W969" s="312" t="s">
        <v>154</v>
      </c>
    </row>
    <row r="970" spans="1:23" x14ac:dyDescent="0.2">
      <c r="A970" s="290" t="s">
        <v>195</v>
      </c>
      <c r="B970" s="309"/>
      <c r="C970" s="283"/>
      <c r="D970" s="347">
        <v>0</v>
      </c>
      <c r="E970" s="347">
        <v>0</v>
      </c>
      <c r="F970" s="347">
        <v>0</v>
      </c>
      <c r="G970" s="347">
        <v>0</v>
      </c>
      <c r="H970" s="347">
        <v>0</v>
      </c>
      <c r="I970" s="347">
        <v>0</v>
      </c>
      <c r="J970" s="347">
        <v>0</v>
      </c>
      <c r="K970" s="347">
        <v>0</v>
      </c>
      <c r="L970" s="347">
        <v>0</v>
      </c>
      <c r="M970" s="347">
        <v>0</v>
      </c>
      <c r="N970" s="347">
        <v>0</v>
      </c>
      <c r="O970" s="347">
        <v>0</v>
      </c>
      <c r="P970" s="347">
        <v>0</v>
      </c>
      <c r="Q970" s="347">
        <v>0</v>
      </c>
      <c r="R970" s="347">
        <v>0</v>
      </c>
      <c r="S970" s="347">
        <v>0</v>
      </c>
      <c r="T970" s="347">
        <v>0</v>
      </c>
      <c r="U970" s="347">
        <v>0</v>
      </c>
      <c r="V970" s="347">
        <v>0</v>
      </c>
      <c r="W970" s="347">
        <v>0</v>
      </c>
    </row>
    <row r="971" spans="1:23" x14ac:dyDescent="0.2">
      <c r="A971" s="290" t="s">
        <v>196</v>
      </c>
      <c r="B971" s="309"/>
      <c r="C971" s="283"/>
      <c r="D971" s="347">
        <v>0</v>
      </c>
      <c r="E971" s="347">
        <v>0</v>
      </c>
      <c r="F971" s="347">
        <v>0</v>
      </c>
      <c r="G971" s="347">
        <v>0</v>
      </c>
      <c r="H971" s="347">
        <v>0</v>
      </c>
      <c r="I971" s="347">
        <v>0</v>
      </c>
      <c r="J971" s="347">
        <v>0</v>
      </c>
      <c r="K971" s="347">
        <v>0</v>
      </c>
      <c r="L971" s="347">
        <v>0</v>
      </c>
      <c r="M971" s="347">
        <v>0</v>
      </c>
      <c r="N971" s="347">
        <v>0</v>
      </c>
      <c r="O971" s="347">
        <v>0</v>
      </c>
      <c r="P971" s="347">
        <v>0</v>
      </c>
      <c r="Q971" s="347">
        <v>0</v>
      </c>
      <c r="R971" s="347">
        <v>0</v>
      </c>
      <c r="S971" s="347">
        <v>0</v>
      </c>
      <c r="T971" s="347">
        <v>0</v>
      </c>
      <c r="U971" s="347">
        <v>0</v>
      </c>
      <c r="V971" s="347">
        <v>0</v>
      </c>
      <c r="W971" s="347">
        <v>0</v>
      </c>
    </row>
    <row r="972" spans="1:23" x14ac:dyDescent="0.2">
      <c r="A972" s="290" t="s">
        <v>197</v>
      </c>
      <c r="B972" s="309"/>
      <c r="C972" s="283"/>
      <c r="D972" s="347">
        <v>0</v>
      </c>
      <c r="E972" s="347">
        <v>0</v>
      </c>
      <c r="F972" s="347">
        <v>0</v>
      </c>
      <c r="G972" s="347">
        <v>0</v>
      </c>
      <c r="H972" s="347">
        <v>0</v>
      </c>
      <c r="I972" s="347">
        <v>0</v>
      </c>
      <c r="J972" s="347">
        <v>0</v>
      </c>
      <c r="K972" s="347">
        <v>0</v>
      </c>
      <c r="L972" s="347">
        <v>0</v>
      </c>
      <c r="M972" s="347">
        <v>0</v>
      </c>
      <c r="N972" s="347">
        <v>0</v>
      </c>
      <c r="O972" s="347">
        <v>0</v>
      </c>
      <c r="P972" s="347">
        <v>0</v>
      </c>
      <c r="Q972" s="347">
        <v>0</v>
      </c>
      <c r="R972" s="347">
        <v>0</v>
      </c>
      <c r="S972" s="347">
        <v>0</v>
      </c>
      <c r="T972" s="347">
        <v>0</v>
      </c>
      <c r="U972" s="347">
        <v>0</v>
      </c>
      <c r="V972" s="347">
        <v>0</v>
      </c>
      <c r="W972" s="347">
        <v>0</v>
      </c>
    </row>
    <row r="973" spans="1:23" x14ac:dyDescent="0.2">
      <c r="A973" s="290" t="s">
        <v>198</v>
      </c>
      <c r="B973" s="309"/>
      <c r="C973" s="283"/>
      <c r="D973" s="348">
        <v>0</v>
      </c>
      <c r="E973" s="348">
        <v>0</v>
      </c>
      <c r="F973" s="348">
        <v>0</v>
      </c>
      <c r="G973" s="348">
        <v>0</v>
      </c>
      <c r="H973" s="348">
        <v>0</v>
      </c>
      <c r="I973" s="348">
        <v>0</v>
      </c>
      <c r="J973" s="348">
        <v>0</v>
      </c>
      <c r="K973" s="348">
        <v>0</v>
      </c>
      <c r="L973" s="348">
        <v>0</v>
      </c>
      <c r="M973" s="348">
        <v>0</v>
      </c>
      <c r="N973" s="348">
        <v>0</v>
      </c>
      <c r="O973" s="348">
        <v>0</v>
      </c>
      <c r="P973" s="348">
        <v>0</v>
      </c>
      <c r="Q973" s="348">
        <v>0</v>
      </c>
      <c r="R973" s="348">
        <v>0</v>
      </c>
      <c r="S973" s="348">
        <v>0</v>
      </c>
      <c r="T973" s="348">
        <v>0</v>
      </c>
      <c r="U973" s="348">
        <v>0</v>
      </c>
      <c r="V973" s="348">
        <v>0</v>
      </c>
      <c r="W973" s="348">
        <v>0</v>
      </c>
    </row>
    <row r="974" spans="1:23" ht="13.5" thickBot="1" x14ac:dyDescent="0.25">
      <c r="A974" s="290" t="s">
        <v>199</v>
      </c>
      <c r="B974" s="309"/>
      <c r="C974" s="283"/>
      <c r="D974" s="349">
        <v>0</v>
      </c>
      <c r="E974" s="349">
        <v>0</v>
      </c>
      <c r="F974" s="349">
        <v>0</v>
      </c>
      <c r="G974" s="349">
        <v>0</v>
      </c>
      <c r="H974" s="349">
        <v>0</v>
      </c>
      <c r="I974" s="349">
        <v>0</v>
      </c>
      <c r="J974" s="349">
        <v>0</v>
      </c>
      <c r="K974" s="349">
        <v>0</v>
      </c>
      <c r="L974" s="349">
        <v>0</v>
      </c>
      <c r="M974" s="349">
        <v>0</v>
      </c>
      <c r="N974" s="349">
        <v>0</v>
      </c>
      <c r="O974" s="349">
        <v>0</v>
      </c>
      <c r="P974" s="349">
        <v>0</v>
      </c>
      <c r="Q974" s="349">
        <v>0</v>
      </c>
      <c r="R974" s="349">
        <v>0</v>
      </c>
      <c r="S974" s="349">
        <v>0</v>
      </c>
      <c r="T974" s="349">
        <v>0</v>
      </c>
      <c r="U974" s="349">
        <v>0</v>
      </c>
      <c r="V974" s="349">
        <v>0</v>
      </c>
      <c r="W974" s="349">
        <v>0</v>
      </c>
    </row>
    <row r="975" spans="1:23" ht="13.5" thickTop="1" x14ac:dyDescent="0.2">
      <c r="A975" s="290"/>
      <c r="B975" s="309"/>
      <c r="C975" s="283"/>
      <c r="D975" s="347"/>
      <c r="E975" s="347"/>
      <c r="F975" s="347"/>
      <c r="G975" s="347"/>
      <c r="H975" s="347"/>
      <c r="I975" s="347"/>
      <c r="J975" s="347"/>
      <c r="K975" s="347"/>
      <c r="L975" s="347"/>
      <c r="M975" s="347"/>
      <c r="N975" s="347"/>
      <c r="O975" s="347"/>
      <c r="P975" s="347"/>
      <c r="Q975" s="347"/>
      <c r="R975" s="347"/>
      <c r="S975" s="347"/>
      <c r="T975" s="347"/>
      <c r="U975" s="347"/>
      <c r="V975" s="347"/>
      <c r="W975" s="347"/>
    </row>
    <row r="976" spans="1:23" x14ac:dyDescent="0.2">
      <c r="A976" s="290" t="s">
        <v>200</v>
      </c>
      <c r="B976" s="309"/>
      <c r="C976" s="283"/>
      <c r="D976" s="347">
        <v>0</v>
      </c>
      <c r="E976" s="347">
        <v>0</v>
      </c>
      <c r="F976" s="347">
        <v>0</v>
      </c>
      <c r="G976" s="347">
        <v>0</v>
      </c>
      <c r="H976" s="347">
        <v>0</v>
      </c>
      <c r="I976" s="347">
        <v>0</v>
      </c>
      <c r="J976" s="347">
        <v>0</v>
      </c>
      <c r="K976" s="347">
        <v>0</v>
      </c>
      <c r="L976" s="347">
        <v>0</v>
      </c>
      <c r="M976" s="347">
        <v>0</v>
      </c>
      <c r="N976" s="347">
        <v>0</v>
      </c>
      <c r="O976" s="347">
        <v>0</v>
      </c>
      <c r="P976" s="347">
        <v>0</v>
      </c>
      <c r="Q976" s="347">
        <v>0</v>
      </c>
      <c r="R976" s="347">
        <v>0</v>
      </c>
      <c r="S976" s="347">
        <v>0</v>
      </c>
      <c r="T976" s="347">
        <v>0</v>
      </c>
      <c r="U976" s="347">
        <v>0</v>
      </c>
      <c r="V976" s="347">
        <v>0</v>
      </c>
      <c r="W976" s="347">
        <v>0</v>
      </c>
    </row>
    <row r="977" spans="1:23" x14ac:dyDescent="0.2">
      <c r="A977" s="290"/>
      <c r="B977" s="309"/>
      <c r="C977" s="283"/>
      <c r="D977" s="283"/>
      <c r="E977" s="283"/>
      <c r="F977" s="283"/>
      <c r="G977" s="283"/>
      <c r="H977" s="283"/>
      <c r="I977" s="283"/>
      <c r="J977" s="283"/>
      <c r="K977" s="283"/>
      <c r="L977" s="283"/>
      <c r="M977" s="283"/>
      <c r="N977" s="283"/>
      <c r="O977" s="283"/>
      <c r="P977" s="283"/>
      <c r="Q977" s="283"/>
      <c r="R977" s="283"/>
      <c r="S977" s="283"/>
      <c r="T977" s="283"/>
      <c r="U977" s="283"/>
      <c r="V977" s="283"/>
      <c r="W977" s="283"/>
    </row>
    <row r="978" spans="1:23" x14ac:dyDescent="0.2">
      <c r="A978" s="290" t="s">
        <v>201</v>
      </c>
      <c r="B978" s="309"/>
      <c r="C978" s="283"/>
      <c r="D978" s="347">
        <v>0</v>
      </c>
      <c r="E978" s="347">
        <v>0</v>
      </c>
      <c r="F978" s="347">
        <v>0</v>
      </c>
      <c r="G978" s="347">
        <v>0</v>
      </c>
      <c r="H978" s="347">
        <v>0</v>
      </c>
      <c r="I978" s="347">
        <v>0</v>
      </c>
      <c r="J978" s="347">
        <v>0</v>
      </c>
      <c r="K978" s="347">
        <v>0</v>
      </c>
      <c r="L978" s="347">
        <v>0</v>
      </c>
      <c r="M978" s="347">
        <v>0</v>
      </c>
      <c r="N978" s="347">
        <v>0</v>
      </c>
      <c r="O978" s="347">
        <v>0</v>
      </c>
      <c r="P978" s="347">
        <v>0</v>
      </c>
      <c r="Q978" s="347">
        <v>0</v>
      </c>
      <c r="R978" s="347">
        <v>0</v>
      </c>
      <c r="S978" s="347">
        <v>0</v>
      </c>
      <c r="T978" s="347">
        <v>0</v>
      </c>
      <c r="U978" s="347">
        <v>0</v>
      </c>
      <c r="V978" s="347">
        <v>0</v>
      </c>
      <c r="W978" s="347">
        <v>0</v>
      </c>
    </row>
    <row r="979" spans="1:23" x14ac:dyDescent="0.2">
      <c r="A979" s="283"/>
      <c r="B979" s="309"/>
      <c r="C979" s="283"/>
      <c r="D979" s="283"/>
      <c r="E979" s="283"/>
      <c r="F979" s="283"/>
      <c r="G979" s="283"/>
      <c r="H979" s="283"/>
      <c r="I979" s="283"/>
      <c r="J979" s="283"/>
      <c r="K979" s="283"/>
      <c r="L979" s="283"/>
      <c r="M979" s="283"/>
      <c r="N979" s="283"/>
      <c r="O979" s="283"/>
      <c r="P979" s="283"/>
      <c r="Q979" s="283"/>
      <c r="R979" s="283"/>
      <c r="S979" s="283"/>
      <c r="T979" s="283"/>
      <c r="U979" s="283"/>
      <c r="V979" s="283"/>
      <c r="W979" s="283"/>
    </row>
    <row r="980" spans="1:23" x14ac:dyDescent="0.2">
      <c r="A980" s="283"/>
      <c r="B980" s="309"/>
      <c r="C980" s="283"/>
      <c r="D980" s="283"/>
      <c r="E980" s="283"/>
      <c r="F980" s="283"/>
      <c r="G980" s="283"/>
      <c r="H980" s="283"/>
      <c r="I980" s="283"/>
      <c r="J980" s="283"/>
      <c r="K980" s="283"/>
      <c r="L980" s="283"/>
      <c r="M980" s="283"/>
      <c r="N980" s="283"/>
      <c r="O980" s="283"/>
      <c r="P980" s="283"/>
      <c r="Q980" s="283"/>
      <c r="R980" s="283"/>
      <c r="S980" s="283"/>
      <c r="T980" s="283"/>
      <c r="U980" s="283"/>
      <c r="V980" s="283"/>
      <c r="W980" s="283"/>
    </row>
    <row r="981" spans="1:23" x14ac:dyDescent="0.2">
      <c r="A981" s="290" t="s">
        <v>203</v>
      </c>
      <c r="B981" s="285"/>
      <c r="C981" s="284"/>
      <c r="D981" s="441">
        <v>12485608.604598342</v>
      </c>
      <c r="E981" s="441">
        <v>3189880.0911972672</v>
      </c>
      <c r="F981" s="441">
        <v>10831208.699255263</v>
      </c>
      <c r="G981" s="441">
        <v>9881736.5521073677</v>
      </c>
      <c r="H981" s="441">
        <v>7867501.7615159517</v>
      </c>
      <c r="I981" s="441">
        <v>8131131.404888262</v>
      </c>
      <c r="J981" s="441">
        <v>9051741.4426479619</v>
      </c>
      <c r="K981" s="441">
        <v>9450277.0164613444</v>
      </c>
      <c r="L981" s="441">
        <v>9542120.8916395139</v>
      </c>
      <c r="M981" s="441">
        <v>9429491.4343371987</v>
      </c>
      <c r="N981" s="441">
        <v>9638299.3883060049</v>
      </c>
      <c r="O981" s="441">
        <v>9467581.2417937052</v>
      </c>
      <c r="P981" s="441">
        <v>9520689.3804342151</v>
      </c>
      <c r="Q981" s="441">
        <v>9984704.3977506012</v>
      </c>
      <c r="R981" s="441">
        <v>11523878.669042159</v>
      </c>
      <c r="S981" s="441">
        <v>10825339.023111887</v>
      </c>
      <c r="T981" s="441">
        <v>11007330.193537788</v>
      </c>
      <c r="U981" s="441">
        <v>12159959.296442326</v>
      </c>
      <c r="V981" s="441">
        <v>13447088.79999044</v>
      </c>
      <c r="W981" s="441">
        <v>65749548.183525838</v>
      </c>
    </row>
    <row r="982" spans="1:23" x14ac:dyDescent="0.2">
      <c r="A982" s="9"/>
      <c r="B982" s="6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 spans="1:23" x14ac:dyDescent="0.2">
      <c r="B983" s="306"/>
      <c r="C983" s="318"/>
      <c r="D983" s="323"/>
      <c r="E983" s="91"/>
      <c r="F983" s="319"/>
      <c r="G983" s="320"/>
    </row>
    <row r="984" spans="1:23" x14ac:dyDescent="0.2">
      <c r="B984" s="306"/>
      <c r="C984" s="307"/>
      <c r="D984" s="351"/>
      <c r="E984" s="91"/>
      <c r="F984" s="357"/>
      <c r="G984" s="368"/>
    </row>
    <row r="985" spans="1:23" x14ac:dyDescent="0.2">
      <c r="B985" s="295"/>
      <c r="C985" s="360"/>
      <c r="E985" s="369"/>
      <c r="F985" s="319"/>
      <c r="G985" s="328"/>
    </row>
    <row r="986" spans="1:23" x14ac:dyDescent="0.2">
      <c r="B986" s="295"/>
      <c r="C986" s="360"/>
      <c r="E986" s="369"/>
      <c r="F986" s="319"/>
      <c r="G986" s="328"/>
    </row>
    <row r="987" spans="1:23" x14ac:dyDescent="0.2">
      <c r="B987" s="295"/>
      <c r="C987" s="360"/>
      <c r="E987" s="369"/>
      <c r="F987" s="319"/>
      <c r="G987" s="328"/>
    </row>
    <row r="988" spans="1:23" x14ac:dyDescent="0.2">
      <c r="B988" s="306"/>
      <c r="C988" s="360"/>
      <c r="E988" s="369"/>
      <c r="F988" s="319"/>
      <c r="G988" s="328"/>
    </row>
    <row r="989" spans="1:23" x14ac:dyDescent="0.2">
      <c r="A989" s="370"/>
      <c r="B989" s="306"/>
      <c r="C989" s="307"/>
      <c r="D989" s="371"/>
      <c r="E989" s="371"/>
      <c r="F989" s="371"/>
      <c r="G989" s="371"/>
      <c r="H989" s="371"/>
      <c r="I989" s="371"/>
      <c r="J989" s="371"/>
      <c r="K989" s="371"/>
      <c r="L989" s="371"/>
      <c r="M989" s="371"/>
      <c r="N989" s="371"/>
      <c r="O989" s="371"/>
      <c r="P989" s="371"/>
      <c r="Q989" s="371"/>
      <c r="R989" s="371"/>
      <c r="S989" s="371"/>
      <c r="T989" s="371"/>
      <c r="U989" s="371"/>
      <c r="V989" s="371"/>
    </row>
    <row r="990" spans="1:23" ht="15.75" x14ac:dyDescent="0.25">
      <c r="A990" s="308" t="s">
        <v>29</v>
      </c>
      <c r="B990" s="311" t="s">
        <v>68</v>
      </c>
      <c r="C990" s="312">
        <v>2000</v>
      </c>
      <c r="D990" s="312">
        <v>2001</v>
      </c>
      <c r="E990" s="312">
        <v>2002</v>
      </c>
      <c r="F990" s="312">
        <v>2003</v>
      </c>
      <c r="G990" s="312">
        <v>2004</v>
      </c>
      <c r="H990" s="312">
        <v>2005</v>
      </c>
      <c r="I990" s="312">
        <v>2006</v>
      </c>
      <c r="J990" s="312">
        <v>2007</v>
      </c>
      <c r="K990" s="312">
        <v>2008</v>
      </c>
      <c r="L990" s="312">
        <v>2009</v>
      </c>
      <c r="M990" s="312">
        <v>2010</v>
      </c>
      <c r="N990" s="312">
        <v>2011</v>
      </c>
      <c r="O990" s="312">
        <v>2012</v>
      </c>
      <c r="P990" s="312">
        <v>2013</v>
      </c>
      <c r="Q990" s="312">
        <v>2014</v>
      </c>
      <c r="R990" s="312">
        <v>2015</v>
      </c>
      <c r="S990" s="312">
        <v>2016</v>
      </c>
      <c r="T990" s="312">
        <v>2017</v>
      </c>
      <c r="U990" s="312">
        <v>2018</v>
      </c>
      <c r="V990" s="312">
        <v>2019</v>
      </c>
      <c r="W990" s="312" t="s">
        <v>154</v>
      </c>
    </row>
    <row r="991" spans="1:23" x14ac:dyDescent="0.2">
      <c r="A991" s="308" t="s">
        <v>26</v>
      </c>
      <c r="B991" s="309">
        <v>150</v>
      </c>
      <c r="C991" s="314"/>
      <c r="D991" s="314"/>
      <c r="E991" s="314"/>
      <c r="F991" s="314"/>
      <c r="G991" s="314"/>
      <c r="H991" s="314"/>
      <c r="I991" s="314"/>
      <c r="J991" s="314"/>
      <c r="K991" s="314"/>
      <c r="L991" s="314"/>
      <c r="M991" s="314"/>
      <c r="N991" s="314"/>
      <c r="O991" s="314"/>
      <c r="P991" s="314"/>
      <c r="Q991" s="314"/>
      <c r="R991" s="314"/>
      <c r="S991" s="314"/>
      <c r="T991" s="314"/>
      <c r="U991" s="314"/>
      <c r="V991" s="314"/>
      <c r="W991" s="314"/>
    </row>
    <row r="992" spans="1:23" x14ac:dyDescent="0.2">
      <c r="A992" s="9"/>
      <c r="B992" s="315" t="s">
        <v>27</v>
      </c>
      <c r="C992" s="449">
        <v>0</v>
      </c>
      <c r="D992" s="410">
        <v>42694927.024581172</v>
      </c>
      <c r="E992" s="410">
        <v>41622843.262726441</v>
      </c>
      <c r="F992" s="410">
        <v>41698940.999876633</v>
      </c>
      <c r="G992" s="410">
        <v>40618721.080833562</v>
      </c>
      <c r="H992" s="410">
        <v>40250462.862630017</v>
      </c>
      <c r="I992" s="410">
        <v>42495026.351113021</v>
      </c>
      <c r="J992" s="410">
        <v>45707284.326727524</v>
      </c>
      <c r="K992" s="410">
        <v>46938273.712507904</v>
      </c>
      <c r="L992" s="410">
        <v>47907523.092874274</v>
      </c>
      <c r="M992" s="410">
        <v>48079378.962799788</v>
      </c>
      <c r="N992" s="410">
        <v>49130393.210139275</v>
      </c>
      <c r="O992" s="410">
        <v>49661920.632289134</v>
      </c>
      <c r="P992" s="410">
        <v>50259520.894123517</v>
      </c>
      <c r="Q992" s="410">
        <v>52055707.132513113</v>
      </c>
      <c r="R992" s="410">
        <v>55727794.502403013</v>
      </c>
      <c r="S992" s="410">
        <v>55441046.238703743</v>
      </c>
      <c r="T992" s="410">
        <v>56193811.001763903</v>
      </c>
      <c r="U992" s="410">
        <v>58876584.550273731</v>
      </c>
      <c r="V992" s="410">
        <v>60640955.967450336</v>
      </c>
      <c r="W992" s="333"/>
    </row>
    <row r="993" spans="1:23" x14ac:dyDescent="0.2">
      <c r="A993" s="9"/>
      <c r="B993" s="315" t="s">
        <v>20</v>
      </c>
      <c r="C993" s="449">
        <v>0</v>
      </c>
      <c r="D993" s="410">
        <v>-13116578.655831033</v>
      </c>
      <c r="E993" s="410">
        <v>-13125018.100698</v>
      </c>
      <c r="F993" s="410">
        <v>-13166642.02249586</v>
      </c>
      <c r="G993" s="410">
        <v>-13346901.507867312</v>
      </c>
      <c r="H993" s="410">
        <v>-13603846.735572876</v>
      </c>
      <c r="I993" s="410">
        <v>-13993521.156084253</v>
      </c>
      <c r="J993" s="410">
        <v>-14316277.87872711</v>
      </c>
      <c r="K993" s="410">
        <v>-14623905.379996084</v>
      </c>
      <c r="L993" s="410">
        <v>-14864964.307219969</v>
      </c>
      <c r="M993" s="410">
        <v>-14983980.848694516</v>
      </c>
      <c r="N993" s="410">
        <v>-15187721.029862819</v>
      </c>
      <c r="O993" s="410">
        <v>-15517538.055813484</v>
      </c>
      <c r="P993" s="410">
        <v>-15871561.835962372</v>
      </c>
      <c r="Q993" s="410">
        <v>-16208439.165220851</v>
      </c>
      <c r="R993" s="410">
        <v>-16438403.33010388</v>
      </c>
      <c r="S993" s="410">
        <v>-16775280.659362363</v>
      </c>
      <c r="T993" s="410">
        <v>-17158554.267500754</v>
      </c>
      <c r="U993" s="410">
        <v>-17579146.621694725</v>
      </c>
      <c r="V993" s="410">
        <v>-18013859.582504313</v>
      </c>
      <c r="W993" s="333"/>
    </row>
    <row r="994" spans="1:23" x14ac:dyDescent="0.2">
      <c r="A994" s="9"/>
      <c r="B994" s="315" t="s">
        <v>31</v>
      </c>
      <c r="C994" s="449">
        <v>0</v>
      </c>
      <c r="D994" s="410">
        <v>-1136456.4179461233</v>
      </c>
      <c r="E994" s="410">
        <v>-1143685.8000169981</v>
      </c>
      <c r="F994" s="410">
        <v>-1150423.4944512602</v>
      </c>
      <c r="G994" s="410">
        <v>-1156633.6975877176</v>
      </c>
      <c r="H994" s="410">
        <v>-1162278.8327027094</v>
      </c>
      <c r="I994" s="410">
        <v>-1174604.1748783493</v>
      </c>
      <c r="J994" s="410">
        <v>-1198312.803329071</v>
      </c>
      <c r="K994" s="410">
        <v>-1222499.9751691623</v>
      </c>
      <c r="L994" s="410">
        <v>-1247175.3494886039</v>
      </c>
      <c r="M994" s="410">
        <v>-1272348.7803398836</v>
      </c>
      <c r="N994" s="410">
        <v>-1298030.3206731884</v>
      </c>
      <c r="O994" s="410">
        <v>-1324230.2263510295</v>
      </c>
      <c r="P994" s="410">
        <v>-1350958.960243895</v>
      </c>
      <c r="Q994" s="410">
        <v>-1378227.1964085693</v>
      </c>
      <c r="R994" s="410">
        <v>-1406045.8243507987</v>
      </c>
      <c r="S994" s="410">
        <v>-1434425.9533739856</v>
      </c>
      <c r="T994" s="410">
        <v>-1463378.9170156631</v>
      </c>
      <c r="U994" s="410">
        <v>-1492916.2775735185</v>
      </c>
      <c r="V994" s="410">
        <v>-1523049.8307227658</v>
      </c>
      <c r="W994" s="333"/>
    </row>
    <row r="995" spans="1:23" x14ac:dyDescent="0.2">
      <c r="A995" s="9"/>
      <c r="B995" s="315" t="s">
        <v>32</v>
      </c>
      <c r="C995" s="449">
        <v>0</v>
      </c>
      <c r="D995" s="410">
        <v>0</v>
      </c>
      <c r="E995" s="410">
        <v>0</v>
      </c>
      <c r="F995" s="410">
        <v>0</v>
      </c>
      <c r="G995" s="410">
        <v>0</v>
      </c>
      <c r="H995" s="410">
        <v>0</v>
      </c>
      <c r="I995" s="410">
        <v>-844148.96249516448</v>
      </c>
      <c r="J995" s="410">
        <v>-935671.69096760615</v>
      </c>
      <c r="K995" s="410">
        <v>-1118949.5890250665</v>
      </c>
      <c r="L995" s="410">
        <v>-1134010.4254239036</v>
      </c>
      <c r="M995" s="410">
        <v>-1261193.9477259943</v>
      </c>
      <c r="N995" s="410">
        <v>-1389300.5096497962</v>
      </c>
      <c r="O995" s="410">
        <v>-1539303.3122031617</v>
      </c>
      <c r="P995" s="410">
        <v>-1725963.9416903295</v>
      </c>
      <c r="Q995" s="410">
        <v>-1921267.1986280628</v>
      </c>
      <c r="R995" s="410">
        <v>-2128177.1429018462</v>
      </c>
      <c r="S995" s="410">
        <v>-2336735.8857578831</v>
      </c>
      <c r="T995" s="410">
        <v>-2295729.0863911426</v>
      </c>
      <c r="U995" s="410">
        <v>-1964120.4036920643</v>
      </c>
      <c r="V995" s="410">
        <v>-2036430.4852153854</v>
      </c>
      <c r="W995" s="333"/>
    </row>
    <row r="996" spans="1:23" ht="13.5" thickBot="1" x14ac:dyDescent="0.25">
      <c r="A996" s="9"/>
      <c r="B996" s="316" t="s">
        <v>33</v>
      </c>
      <c r="C996" s="450">
        <v>0</v>
      </c>
      <c r="D996" s="412">
        <v>0</v>
      </c>
      <c r="E996" s="412">
        <v>0</v>
      </c>
      <c r="F996" s="412">
        <v>-1554265.8651432609</v>
      </c>
      <c r="G996" s="412">
        <v>-1305137.5760577889</v>
      </c>
      <c r="H996" s="412">
        <v>-1334586.20914584</v>
      </c>
      <c r="I996" s="412">
        <v>-1373069.4520734088</v>
      </c>
      <c r="J996" s="412">
        <v>-1802241.7119282393</v>
      </c>
      <c r="K996" s="412">
        <v>-1573785.161582564</v>
      </c>
      <c r="L996" s="412">
        <v>-1666219.6276799852</v>
      </c>
      <c r="M996" s="412">
        <v>-1585471.7902163642</v>
      </c>
      <c r="N996" s="412">
        <v>-1630881.008999164</v>
      </c>
      <c r="O996" s="412">
        <v>-1673171.1756304826</v>
      </c>
      <c r="P996" s="412">
        <v>-1494492.9028502346</v>
      </c>
      <c r="Q996" s="412">
        <v>-1547928.0161562208</v>
      </c>
      <c r="R996" s="412">
        <v>-1579916.5386827781</v>
      </c>
      <c r="S996" s="412">
        <v>-1677760.3619127376</v>
      </c>
      <c r="T996" s="412">
        <v>-1577268.7518234022</v>
      </c>
      <c r="U996" s="412">
        <v>-1737167.5911138987</v>
      </c>
      <c r="V996" s="412">
        <v>-945801.85804584168</v>
      </c>
      <c r="W996" s="333"/>
    </row>
    <row r="997" spans="1:23" ht="13.5" thickTop="1" x14ac:dyDescent="0.2">
      <c r="A997" s="9"/>
      <c r="B997" s="317" t="s">
        <v>38</v>
      </c>
      <c r="C997" s="451">
        <v>0</v>
      </c>
      <c r="D997" s="414">
        <v>28441891.950804017</v>
      </c>
      <c r="E997" s="414">
        <v>27354139.36201144</v>
      </c>
      <c r="F997" s="414">
        <v>25827609.617786251</v>
      </c>
      <c r="G997" s="414">
        <v>24810048.299320742</v>
      </c>
      <c r="H997" s="414">
        <v>24149751.085208591</v>
      </c>
      <c r="I997" s="414">
        <v>25109682.605581846</v>
      </c>
      <c r="J997" s="414">
        <v>27454780.241775498</v>
      </c>
      <c r="K997" s="414">
        <v>28399133.606735028</v>
      </c>
      <c r="L997" s="414">
        <v>28995153.383061811</v>
      </c>
      <c r="M997" s="414">
        <v>28976383.595823031</v>
      </c>
      <c r="N997" s="414">
        <v>29624460.340954304</v>
      </c>
      <c r="O997" s="414">
        <v>29607677.862290975</v>
      </c>
      <c r="P997" s="414">
        <v>29816543.253376689</v>
      </c>
      <c r="Q997" s="414">
        <v>30999845.556099407</v>
      </c>
      <c r="R997" s="414">
        <v>34175251.666363709</v>
      </c>
      <c r="S997" s="414">
        <v>33216843.378296774</v>
      </c>
      <c r="T997" s="414">
        <v>33698879.979032941</v>
      </c>
      <c r="U997" s="414">
        <v>36103233.656199522</v>
      </c>
      <c r="V997" s="414">
        <v>38121814.210962027</v>
      </c>
      <c r="W997" s="333"/>
    </row>
    <row r="998" spans="1:23" x14ac:dyDescent="0.2">
      <c r="A998" s="9"/>
      <c r="B998" s="315" t="s">
        <v>34</v>
      </c>
      <c r="C998" s="449">
        <v>0</v>
      </c>
      <c r="D998" s="410">
        <v>-3664228.1632590098</v>
      </c>
      <c r="E998" s="410">
        <v>-3737512.72652419</v>
      </c>
      <c r="F998" s="410">
        <v>-3812262.9810546739</v>
      </c>
      <c r="G998" s="410">
        <v>-3888508.2406757674</v>
      </c>
      <c r="H998" s="410">
        <v>-3966278.4054892827</v>
      </c>
      <c r="I998" s="410">
        <v>-4045603.9735990684</v>
      </c>
      <c r="J998" s="410">
        <v>-4126516.05307105</v>
      </c>
      <c r="K998" s="410">
        <v>-4209046.3741324712</v>
      </c>
      <c r="L998" s="410">
        <v>-4293227.3016151208</v>
      </c>
      <c r="M998" s="410">
        <v>-4379091.8476474229</v>
      </c>
      <c r="N998" s="410">
        <v>-4466673.6846003719</v>
      </c>
      <c r="O998" s="410">
        <v>-4556007.1582923792</v>
      </c>
      <c r="P998" s="410">
        <v>-4647127.3014582265</v>
      </c>
      <c r="Q998" s="410">
        <v>-4740069.847487391</v>
      </c>
      <c r="R998" s="410">
        <v>-4834871.2444371385</v>
      </c>
      <c r="S998" s="410">
        <v>-4931568.6693258816</v>
      </c>
      <c r="T998" s="410">
        <v>-5030200.0427123997</v>
      </c>
      <c r="U998" s="410">
        <v>-5130804.0435666479</v>
      </c>
      <c r="V998" s="410">
        <v>-5233420.1244379813</v>
      </c>
      <c r="W998" s="333"/>
    </row>
    <row r="999" spans="1:23" x14ac:dyDescent="0.2">
      <c r="A999" s="9"/>
      <c r="B999" s="315" t="s">
        <v>35</v>
      </c>
      <c r="C999" s="449">
        <v>0</v>
      </c>
      <c r="D999" s="410">
        <v>-393146.92768722383</v>
      </c>
      <c r="E999" s="410">
        <v>-401581.91946863168</v>
      </c>
      <c r="F999" s="410">
        <v>-410201.63757005235</v>
      </c>
      <c r="G999" s="410">
        <v>-427506.54202354047</v>
      </c>
      <c r="H999" s="410">
        <v>-480416.52607496188</v>
      </c>
      <c r="I999" s="410">
        <v>-605335.88498421118</v>
      </c>
      <c r="J999" s="410">
        <v>-670008.32549128286</v>
      </c>
      <c r="K999" s="410">
        <v>-735803.34383301751</v>
      </c>
      <c r="L999" s="410">
        <v>-803302.70779316197</v>
      </c>
      <c r="M999" s="410">
        <v>-842959.57496671076</v>
      </c>
      <c r="N999" s="410">
        <v>-854544.48888906196</v>
      </c>
      <c r="O999" s="410">
        <v>-865269.19602680788</v>
      </c>
      <c r="P999" s="410">
        <v>-876266.31072585238</v>
      </c>
      <c r="Q999" s="410">
        <v>-887538.35329237324</v>
      </c>
      <c r="R999" s="410">
        <v>-899093.32412731368</v>
      </c>
      <c r="S999" s="410">
        <v>-910937.1692331275</v>
      </c>
      <c r="T999" s="410">
        <v>-923074.74169756565</v>
      </c>
      <c r="U999" s="410">
        <v>-935516.96723086108</v>
      </c>
      <c r="V999" s="410">
        <v>-948271.49262504233</v>
      </c>
      <c r="W999" s="333"/>
    </row>
    <row r="1000" spans="1:23" ht="13.5" thickBot="1" x14ac:dyDescent="0.25">
      <c r="A1000" s="9"/>
      <c r="B1000" s="316" t="s">
        <v>36</v>
      </c>
      <c r="C1000" s="450">
        <v>0</v>
      </c>
      <c r="D1000" s="412">
        <v>-489992.50856572198</v>
      </c>
      <c r="E1000" s="412">
        <v>-500331.35049646202</v>
      </c>
      <c r="F1000" s="412">
        <v>-511288.60707233503</v>
      </c>
      <c r="G1000" s="412">
        <v>-522843.72959216603</v>
      </c>
      <c r="H1000" s="412">
        <v>-535287.41035646095</v>
      </c>
      <c r="I1000" s="412">
        <v>-548701.76667339902</v>
      </c>
      <c r="J1000" s="412">
        <v>-562311.09909959603</v>
      </c>
      <c r="K1000" s="412">
        <v>-576544.35507542</v>
      </c>
      <c r="L1000" s="412">
        <v>-590785.00064578303</v>
      </c>
      <c r="M1000" s="412">
        <v>-605850.01816224796</v>
      </c>
      <c r="N1000" s="412">
        <v>-620511.58860177803</v>
      </c>
      <c r="O1000" s="412">
        <v>-636148.48063454102</v>
      </c>
      <c r="P1000" s="412">
        <v>-652306.65204265702</v>
      </c>
      <c r="Q1000" s="412">
        <v>-668614.31834372296</v>
      </c>
      <c r="R1000" s="412">
        <v>-685396.53773414996</v>
      </c>
      <c r="S1000" s="412">
        <v>-702531.45117750496</v>
      </c>
      <c r="T1000" s="412">
        <v>-719954.23116670595</v>
      </c>
      <c r="U1000" s="412">
        <v>-738025.08236899204</v>
      </c>
      <c r="V1000" s="412">
        <v>-756549.51193645305</v>
      </c>
      <c r="W1000" s="333"/>
    </row>
    <row r="1001" spans="1:23" ht="13.5" thickTop="1" x14ac:dyDescent="0.2">
      <c r="A1001" s="9"/>
      <c r="B1001" s="317" t="s">
        <v>221</v>
      </c>
      <c r="C1001" s="452">
        <v>0</v>
      </c>
      <c r="D1001" s="416">
        <v>23894524.351292063</v>
      </c>
      <c r="E1001" s="416">
        <v>22714713.365522157</v>
      </c>
      <c r="F1001" s="416">
        <v>21093856.392089188</v>
      </c>
      <c r="G1001" s="416">
        <v>19971189.78702927</v>
      </c>
      <c r="H1001" s="416">
        <v>19167768.743287884</v>
      </c>
      <c r="I1001" s="416">
        <v>19910040.98032517</v>
      </c>
      <c r="J1001" s="416">
        <v>22095944.764113568</v>
      </c>
      <c r="K1001" s="416">
        <v>22877739.533694122</v>
      </c>
      <c r="L1001" s="416">
        <v>23307838.373007748</v>
      </c>
      <c r="M1001" s="416">
        <v>23148482.155046649</v>
      </c>
      <c r="N1001" s="416">
        <v>23682730.578863092</v>
      </c>
      <c r="O1001" s="416">
        <v>23550253.027337246</v>
      </c>
      <c r="P1001" s="416">
        <v>23640842.98914995</v>
      </c>
      <c r="Q1001" s="416">
        <v>24703623.036975924</v>
      </c>
      <c r="R1001" s="416">
        <v>27755890.560065106</v>
      </c>
      <c r="S1001" s="416">
        <v>26671806.088560261</v>
      </c>
      <c r="T1001" s="416">
        <v>27025650.963456273</v>
      </c>
      <c r="U1001" s="416">
        <v>29298887.563033022</v>
      </c>
      <c r="V1001" s="416">
        <v>31183573.081962552</v>
      </c>
      <c r="W1001" s="333"/>
    </row>
    <row r="1002" spans="1:23" x14ac:dyDescent="0.2">
      <c r="A1002" s="9"/>
      <c r="B1002" s="315" t="s">
        <v>37</v>
      </c>
      <c r="C1002" s="449">
        <v>0</v>
      </c>
      <c r="D1002" s="410">
        <v>-1157067.6135340908</v>
      </c>
      <c r="E1002" s="410">
        <v>-1248571.8319963</v>
      </c>
      <c r="F1002" s="410">
        <v>-1533828.3569362727</v>
      </c>
      <c r="G1002" s="410">
        <v>-1803208.4399928274</v>
      </c>
      <c r="H1002" s="410">
        <v>-1882871.1756237457</v>
      </c>
      <c r="I1002" s="410">
        <v>-2008606.3991595118</v>
      </c>
      <c r="J1002" s="410">
        <v>-2034408.520124529</v>
      </c>
      <c r="K1002" s="410">
        <v>-1951994.4315905841</v>
      </c>
      <c r="L1002" s="410">
        <v>-1888031.7943113502</v>
      </c>
      <c r="M1002" s="410">
        <v>-1931327.3053943694</v>
      </c>
      <c r="N1002" s="410">
        <v>-2019159.3592173888</v>
      </c>
      <c r="O1002" s="410">
        <v>-2066503.6551928069</v>
      </c>
      <c r="P1002" s="410">
        <v>-2170696.220311055</v>
      </c>
      <c r="Q1002" s="410">
        <v>-2241838.90897376</v>
      </c>
      <c r="R1002" s="410">
        <v>-2317493.0011656652</v>
      </c>
      <c r="S1002" s="410">
        <v>-2429898.5691062808</v>
      </c>
      <c r="T1002" s="410">
        <v>-2547154.3559317067</v>
      </c>
      <c r="U1002" s="410">
        <v>-2719122.0897993953</v>
      </c>
      <c r="V1002" s="410">
        <v>-2886561.4125012951</v>
      </c>
      <c r="W1002" s="333"/>
    </row>
    <row r="1003" spans="1:23" ht="13.5" thickBot="1" x14ac:dyDescent="0.25">
      <c r="A1003" s="9"/>
      <c r="B1003" s="316" t="s">
        <v>222</v>
      </c>
      <c r="C1003" s="450">
        <v>0</v>
      </c>
      <c r="D1003" s="412">
        <v>-9094982.695103189</v>
      </c>
      <c r="E1003" s="412">
        <v>-8586456.6134103443</v>
      </c>
      <c r="F1003" s="412">
        <v>-7824011.2140611671</v>
      </c>
      <c r="G1003" s="412">
        <v>-7267192.5388145782</v>
      </c>
      <c r="H1003" s="412">
        <v>-6913959.0270656561</v>
      </c>
      <c r="I1003" s="412">
        <v>-7160573.8324662633</v>
      </c>
      <c r="J1003" s="412">
        <v>-8024614.4975956157</v>
      </c>
      <c r="K1003" s="412">
        <v>-8370298.0408414155</v>
      </c>
      <c r="L1003" s="412">
        <v>-8567922.6314785611</v>
      </c>
      <c r="M1003" s="412">
        <v>-8486861.939860912</v>
      </c>
      <c r="N1003" s="412">
        <v>-8665428.4878582805</v>
      </c>
      <c r="O1003" s="412">
        <v>-8593499.7488577757</v>
      </c>
      <c r="P1003" s="412">
        <v>-8588058.7075355593</v>
      </c>
      <c r="Q1003" s="412">
        <v>-8984713.6512008663</v>
      </c>
      <c r="R1003" s="412">
        <v>-10175359.023559777</v>
      </c>
      <c r="S1003" s="412">
        <v>-9696763.0077815931</v>
      </c>
      <c r="T1003" s="412">
        <v>-9791398.6430098265</v>
      </c>
      <c r="U1003" s="412">
        <v>-10631906.189293452</v>
      </c>
      <c r="V1003" s="412">
        <v>-11318804.667784505</v>
      </c>
      <c r="W1003" s="333"/>
    </row>
    <row r="1004" spans="1:23" ht="13.5" thickTop="1" x14ac:dyDescent="0.2">
      <c r="A1004" s="9"/>
      <c r="B1004" s="317" t="s">
        <v>183</v>
      </c>
      <c r="C1004" s="452">
        <v>0</v>
      </c>
      <c r="D1004" s="416">
        <v>13642474.042654784</v>
      </c>
      <c r="E1004" s="416">
        <v>12879684.920115514</v>
      </c>
      <c r="F1004" s="416">
        <v>11736016.821091749</v>
      </c>
      <c r="G1004" s="416">
        <v>10900788.808221865</v>
      </c>
      <c r="H1004" s="416">
        <v>10370938.540598482</v>
      </c>
      <c r="I1004" s="416">
        <v>10740860.748699393</v>
      </c>
      <c r="J1004" s="416">
        <v>12036921.746393424</v>
      </c>
      <c r="K1004" s="416">
        <v>12555447.061262123</v>
      </c>
      <c r="L1004" s="416">
        <v>12851883.947217839</v>
      </c>
      <c r="M1004" s="416">
        <v>12730292.909791367</v>
      </c>
      <c r="N1004" s="416">
        <v>12998142.731787421</v>
      </c>
      <c r="O1004" s="416">
        <v>12890249.623286663</v>
      </c>
      <c r="P1004" s="416">
        <v>12882088.061303338</v>
      </c>
      <c r="Q1004" s="416">
        <v>13477070.476801297</v>
      </c>
      <c r="R1004" s="416">
        <v>15263038.535339663</v>
      </c>
      <c r="S1004" s="416">
        <v>14545144.511672387</v>
      </c>
      <c r="T1004" s="416">
        <v>14687097.96451474</v>
      </c>
      <c r="U1004" s="416">
        <v>15947859.283940174</v>
      </c>
      <c r="V1004" s="416">
        <v>16978207.001676753</v>
      </c>
      <c r="W1004" s="333"/>
    </row>
    <row r="1005" spans="1:23" x14ac:dyDescent="0.2">
      <c r="A1005" s="9"/>
      <c r="B1005" s="315" t="s">
        <v>37</v>
      </c>
      <c r="C1005" s="449">
        <v>0</v>
      </c>
      <c r="D1005" s="410">
        <v>1157067.6135340908</v>
      </c>
      <c r="E1005" s="410">
        <v>1248571.8319963</v>
      </c>
      <c r="F1005" s="410">
        <v>1533828.3569362727</v>
      </c>
      <c r="G1005" s="410">
        <v>1803208.4399928274</v>
      </c>
      <c r="H1005" s="410">
        <v>1882871.1756237457</v>
      </c>
      <c r="I1005" s="410">
        <v>2008606.3991595118</v>
      </c>
      <c r="J1005" s="410">
        <v>2034408.520124529</v>
      </c>
      <c r="K1005" s="410">
        <v>1951994.4315905841</v>
      </c>
      <c r="L1005" s="410">
        <v>1888031.7943113502</v>
      </c>
      <c r="M1005" s="410">
        <v>1931327.3053943694</v>
      </c>
      <c r="N1005" s="410">
        <v>2019159.3592173888</v>
      </c>
      <c r="O1005" s="410">
        <v>2066503.6551928069</v>
      </c>
      <c r="P1005" s="410">
        <v>2170696.220311055</v>
      </c>
      <c r="Q1005" s="410">
        <v>2241838.90897376</v>
      </c>
      <c r="R1005" s="410">
        <v>2317493.0011656652</v>
      </c>
      <c r="S1005" s="410">
        <v>2429898.5691062808</v>
      </c>
      <c r="T1005" s="410">
        <v>2547154.3559317067</v>
      </c>
      <c r="U1005" s="410">
        <v>2719122.0897993953</v>
      </c>
      <c r="V1005" s="410">
        <v>2886561.4125012951</v>
      </c>
      <c r="W1005" s="333"/>
    </row>
    <row r="1006" spans="1:23" x14ac:dyDescent="0.2">
      <c r="A1006" s="9"/>
      <c r="B1006" s="315" t="s">
        <v>39</v>
      </c>
      <c r="C1006" s="449">
        <v>0</v>
      </c>
      <c r="D1006" s="410">
        <v>-1658414.77</v>
      </c>
      <c r="E1006" s="410">
        <v>-1457064.86</v>
      </c>
      <c r="F1006" s="410">
        <v>-7037610.2299999995</v>
      </c>
      <c r="G1006" s="410">
        <v>-1239680.1499999999</v>
      </c>
      <c r="H1006" s="410">
        <v>-2496885.3419999997</v>
      </c>
      <c r="I1006" s="410">
        <v>-2571791.9022599999</v>
      </c>
      <c r="J1006" s="410">
        <v>-2648945.6593277999</v>
      </c>
      <c r="K1006" s="410">
        <v>-2728414.029107634</v>
      </c>
      <c r="L1006" s="410">
        <v>-2810266.4499808629</v>
      </c>
      <c r="M1006" s="410">
        <v>-2894574.4434802891</v>
      </c>
      <c r="N1006" s="410">
        <v>-2981411.6767846979</v>
      </c>
      <c r="O1006" s="410">
        <v>-3070854.0270882389</v>
      </c>
      <c r="P1006" s="410">
        <v>-3162979.6479008859</v>
      </c>
      <c r="Q1006" s="410">
        <v>-3257869.0373379127</v>
      </c>
      <c r="R1006" s="410">
        <v>-3355605.1084580501</v>
      </c>
      <c r="S1006" s="410">
        <v>-3456273.2617117916</v>
      </c>
      <c r="T1006" s="410">
        <v>-3559961.4595631454</v>
      </c>
      <c r="U1006" s="410">
        <v>-3666760.3033500398</v>
      </c>
      <c r="V1006" s="410">
        <v>-3776763.112450541</v>
      </c>
      <c r="W1006" s="333"/>
    </row>
    <row r="1007" spans="1:23" ht="13.5" thickBot="1" x14ac:dyDescent="0.25">
      <c r="A1007" s="9"/>
      <c r="B1007" s="316" t="s">
        <v>40</v>
      </c>
      <c r="C1007" s="450">
        <v>0</v>
      </c>
      <c r="D1007" s="412">
        <v>0</v>
      </c>
      <c r="E1007" s="412">
        <v>0</v>
      </c>
      <c r="F1007" s="412">
        <v>0</v>
      </c>
      <c r="G1007" s="412">
        <v>0</v>
      </c>
      <c r="H1007" s="412">
        <v>0</v>
      </c>
      <c r="I1007" s="412">
        <v>0</v>
      </c>
      <c r="J1007" s="412">
        <v>0</v>
      </c>
      <c r="K1007" s="412">
        <v>0</v>
      </c>
      <c r="L1007" s="412">
        <v>0</v>
      </c>
      <c r="M1007" s="412">
        <v>0</v>
      </c>
      <c r="N1007" s="412">
        <v>0</v>
      </c>
      <c r="O1007" s="412">
        <v>0</v>
      </c>
      <c r="P1007" s="412">
        <v>0</v>
      </c>
      <c r="Q1007" s="412">
        <v>0</v>
      </c>
      <c r="R1007" s="412">
        <v>0</v>
      </c>
      <c r="S1007" s="412">
        <v>0</v>
      </c>
      <c r="T1007" s="412">
        <v>0</v>
      </c>
      <c r="U1007" s="412">
        <v>0</v>
      </c>
      <c r="V1007" s="412">
        <v>0</v>
      </c>
      <c r="W1007" s="333"/>
    </row>
    <row r="1008" spans="1:23" ht="13.5" thickTop="1" x14ac:dyDescent="0.2">
      <c r="A1008" s="9"/>
      <c r="B1008" s="315"/>
      <c r="C1008" s="453"/>
      <c r="D1008" s="333"/>
      <c r="E1008" s="333"/>
      <c r="F1008" s="333"/>
      <c r="G1008" s="333"/>
      <c r="H1008" s="333"/>
      <c r="I1008" s="333"/>
      <c r="J1008" s="333"/>
      <c r="K1008" s="333"/>
      <c r="L1008" s="333"/>
      <c r="M1008" s="333"/>
      <c r="N1008" s="333"/>
      <c r="O1008" s="333"/>
      <c r="P1008" s="333"/>
      <c r="Q1008" s="333"/>
      <c r="R1008" s="333"/>
      <c r="S1008" s="333"/>
      <c r="T1008" s="333"/>
      <c r="U1008" s="333"/>
      <c r="V1008" s="333"/>
      <c r="W1008" s="333"/>
    </row>
    <row r="1009" spans="1:23" x14ac:dyDescent="0.2">
      <c r="A1009" s="9"/>
      <c r="B1009" s="317" t="s">
        <v>234</v>
      </c>
      <c r="C1009" s="452">
        <v>0</v>
      </c>
      <c r="D1009" s="416">
        <v>13141126.886188876</v>
      </c>
      <c r="E1009" s="416">
        <v>12671191.892111814</v>
      </c>
      <c r="F1009" s="416">
        <v>6232234.9480280215</v>
      </c>
      <c r="G1009" s="416">
        <v>11464317.098214692</v>
      </c>
      <c r="H1009" s="416">
        <v>9756924.3742222264</v>
      </c>
      <c r="I1009" s="416">
        <v>10177675.245598905</v>
      </c>
      <c r="J1009" s="416">
        <v>11422384.607190153</v>
      </c>
      <c r="K1009" s="416">
        <v>11779027.463745072</v>
      </c>
      <c r="L1009" s="416">
        <v>11929649.291548327</v>
      </c>
      <c r="M1009" s="416">
        <v>11767045.771705449</v>
      </c>
      <c r="N1009" s="416">
        <v>12035890.414220111</v>
      </c>
      <c r="O1009" s="416">
        <v>11885899.251391232</v>
      </c>
      <c r="P1009" s="416">
        <v>11889804.633713506</v>
      </c>
      <c r="Q1009" s="416">
        <v>12461040.348437143</v>
      </c>
      <c r="R1009" s="416">
        <v>14224926.428047277</v>
      </c>
      <c r="S1009" s="416">
        <v>13518769.819066875</v>
      </c>
      <c r="T1009" s="416">
        <v>13674290.860883301</v>
      </c>
      <c r="U1009" s="416">
        <v>15000221.070389532</v>
      </c>
      <c r="V1009" s="416">
        <v>16088005.301727507</v>
      </c>
      <c r="W1009" s="414">
        <v>81443713.965159446</v>
      </c>
    </row>
    <row r="1010" spans="1:23" x14ac:dyDescent="0.2">
      <c r="A1010" s="9"/>
      <c r="B1010" s="292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</row>
    <row r="1011" spans="1:23" x14ac:dyDescent="0.2">
      <c r="A1011" s="308" t="s">
        <v>219</v>
      </c>
      <c r="B1011" s="306" t="s">
        <v>170</v>
      </c>
      <c r="C1011" s="439">
        <v>42990123.000082396</v>
      </c>
      <c r="D1011" s="9"/>
      <c r="E1011" s="137" t="s">
        <v>220</v>
      </c>
      <c r="F1011" s="319" t="s">
        <v>170</v>
      </c>
      <c r="G1011" s="443">
        <v>42990123.000082396</v>
      </c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</row>
    <row r="1012" spans="1:23" x14ac:dyDescent="0.2">
      <c r="A1012" s="9"/>
      <c r="B1012" s="306" t="s">
        <v>180</v>
      </c>
      <c r="C1012" s="439">
        <v>58533977.410700716</v>
      </c>
      <c r="D1012" s="9"/>
      <c r="E1012" s="321"/>
      <c r="F1012" s="319" t="s">
        <v>180</v>
      </c>
      <c r="G1012" s="443">
        <v>58533977.410700716</v>
      </c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</row>
    <row r="1013" spans="1:23" ht="13.5" thickBot="1" x14ac:dyDescent="0.25">
      <c r="A1013" s="9"/>
      <c r="B1013" s="322" t="s">
        <v>137</v>
      </c>
      <c r="C1013" s="440">
        <v>12696973.389507182</v>
      </c>
      <c r="D1013" s="323"/>
      <c r="E1013" s="321"/>
      <c r="F1013" s="319" t="s">
        <v>137</v>
      </c>
      <c r="G1013" s="443">
        <v>12696973.389507182</v>
      </c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</row>
    <row r="1014" spans="1:23" ht="14.25" thickTop="1" thickBot="1" x14ac:dyDescent="0.25">
      <c r="A1014" s="9"/>
      <c r="B1014" s="306" t="s">
        <v>28</v>
      </c>
      <c r="C1014" s="438">
        <v>114221073.80029032</v>
      </c>
      <c r="D1014" s="305"/>
      <c r="E1014" s="321"/>
      <c r="F1014" s="324" t="s">
        <v>204</v>
      </c>
      <c r="G1014" s="325">
        <v>0</v>
      </c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</row>
    <row r="1015" spans="1:23" ht="13.5" thickTop="1" x14ac:dyDescent="0.2">
      <c r="A1015" s="9"/>
      <c r="B1015" s="292"/>
      <c r="C1015" s="326"/>
      <c r="D1015" s="9"/>
      <c r="E1015" s="327"/>
      <c r="F1015" s="319" t="s">
        <v>28</v>
      </c>
      <c r="G1015" s="368">
        <v>114221073.80029032</v>
      </c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</row>
    <row r="1016" spans="1:23" x14ac:dyDescent="0.2">
      <c r="A1016" s="9"/>
      <c r="B1016" s="292"/>
      <c r="C1016" s="326"/>
      <c r="D1016" s="9"/>
      <c r="E1016" s="327"/>
      <c r="F1016" s="319"/>
      <c r="G1016" s="328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</row>
    <row r="1017" spans="1:23" x14ac:dyDescent="0.2">
      <c r="A1017" s="9"/>
      <c r="B1017" s="292"/>
      <c r="C1017" s="326"/>
      <c r="D1017" s="9"/>
      <c r="E1017" s="327"/>
      <c r="F1017" s="319"/>
      <c r="G1017" s="328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</row>
    <row r="1018" spans="1:23" x14ac:dyDescent="0.2">
      <c r="A1018" s="9"/>
      <c r="B1018" s="329" t="s">
        <v>223</v>
      </c>
      <c r="C1018" s="326"/>
      <c r="D1018" s="9"/>
      <c r="E1018" s="327"/>
      <c r="F1018" s="319"/>
      <c r="G1018" s="328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</row>
    <row r="1019" spans="1:23" x14ac:dyDescent="0.2">
      <c r="A1019" s="330" t="s">
        <v>225</v>
      </c>
      <c r="B1019" s="329" t="s">
        <v>224</v>
      </c>
      <c r="C1019" s="331"/>
      <c r="D1019" s="332">
        <v>13642474.042654784</v>
      </c>
      <c r="E1019" s="332">
        <v>12879684.920115514</v>
      </c>
      <c r="F1019" s="332">
        <v>11736016.821091749</v>
      </c>
      <c r="G1019" s="332">
        <v>10900788.808221865</v>
      </c>
      <c r="H1019" s="332">
        <v>10370938.540598482</v>
      </c>
      <c r="I1019" s="332">
        <v>10740860.748699393</v>
      </c>
      <c r="J1019" s="332">
        <v>12036921.746393424</v>
      </c>
      <c r="K1019" s="332">
        <v>12555447.061262123</v>
      </c>
      <c r="L1019" s="332">
        <v>12851883.947217839</v>
      </c>
      <c r="M1019" s="332">
        <v>12730292.909791367</v>
      </c>
      <c r="N1019" s="332">
        <v>12998142.731787421</v>
      </c>
      <c r="O1019" s="332">
        <v>12890249.623286663</v>
      </c>
      <c r="P1019" s="332">
        <v>12882088.061303338</v>
      </c>
      <c r="Q1019" s="332">
        <v>13477070.476801297</v>
      </c>
      <c r="R1019" s="332">
        <v>15263038.535339663</v>
      </c>
      <c r="S1019" s="332">
        <v>14545144.511672387</v>
      </c>
      <c r="T1019" s="332">
        <v>14687097.96451474</v>
      </c>
      <c r="U1019" s="332">
        <v>15947859.283940174</v>
      </c>
      <c r="V1019" s="332">
        <v>16978207.001676753</v>
      </c>
      <c r="W1019" s="9"/>
    </row>
    <row r="1020" spans="1:23" x14ac:dyDescent="0.2">
      <c r="A1020" s="9"/>
      <c r="B1020" s="292" t="s">
        <v>226</v>
      </c>
      <c r="C1020" s="326"/>
      <c r="D1020" s="333">
        <v>9094982.695103189</v>
      </c>
      <c r="E1020" s="333">
        <v>8586456.6134103443</v>
      </c>
      <c r="F1020" s="333">
        <v>7824011.2140611671</v>
      </c>
      <c r="G1020" s="333">
        <v>7267192.5388145782</v>
      </c>
      <c r="H1020" s="333">
        <v>6913959.0270656561</v>
      </c>
      <c r="I1020" s="333">
        <v>7160573.8324662633</v>
      </c>
      <c r="J1020" s="333">
        <v>8024614.4975956157</v>
      </c>
      <c r="K1020" s="333">
        <v>8370298.0408414155</v>
      </c>
      <c r="L1020" s="333">
        <v>8567922.6314785611</v>
      </c>
      <c r="M1020" s="333">
        <v>8486861.939860912</v>
      </c>
      <c r="N1020" s="333">
        <v>8665428.4878582805</v>
      </c>
      <c r="O1020" s="333">
        <v>8593499.7488577757</v>
      </c>
      <c r="P1020" s="333">
        <v>8588058.7075355593</v>
      </c>
      <c r="Q1020" s="333">
        <v>8984713.6512008663</v>
      </c>
      <c r="R1020" s="333">
        <v>10175359.023559777</v>
      </c>
      <c r="S1020" s="333">
        <v>9696763.0077815931</v>
      </c>
      <c r="T1020" s="333">
        <v>9791398.6430098265</v>
      </c>
      <c r="U1020" s="333">
        <v>10631906.189293452</v>
      </c>
      <c r="V1020" s="333">
        <v>11318804.667784505</v>
      </c>
      <c r="W1020" s="9"/>
    </row>
    <row r="1021" spans="1:23" x14ac:dyDescent="0.2">
      <c r="A1021" s="9"/>
      <c r="B1021" s="334" t="s">
        <v>227</v>
      </c>
      <c r="C1021" s="335"/>
      <c r="D1021" s="333">
        <v>1157067.6135340908</v>
      </c>
      <c r="E1021" s="333">
        <v>1248571.8319963</v>
      </c>
      <c r="F1021" s="333">
        <v>1533828.3569362727</v>
      </c>
      <c r="G1021" s="333">
        <v>1803208.4399928274</v>
      </c>
      <c r="H1021" s="333">
        <v>1882871.1756237457</v>
      </c>
      <c r="I1021" s="333">
        <v>2008606.3991595118</v>
      </c>
      <c r="J1021" s="333">
        <v>2034408.520124529</v>
      </c>
      <c r="K1021" s="333">
        <v>1951994.4315905841</v>
      </c>
      <c r="L1021" s="333">
        <v>1888031.7943113502</v>
      </c>
      <c r="M1021" s="333">
        <v>1931327.3053943694</v>
      </c>
      <c r="N1021" s="333">
        <v>2019159.3592173888</v>
      </c>
      <c r="O1021" s="333">
        <v>2066503.6551928069</v>
      </c>
      <c r="P1021" s="333">
        <v>2170696.220311055</v>
      </c>
      <c r="Q1021" s="333">
        <v>2241838.90897376</v>
      </c>
      <c r="R1021" s="333">
        <v>2317493.0011656652</v>
      </c>
      <c r="S1021" s="333">
        <v>2429898.5691062808</v>
      </c>
      <c r="T1021" s="333">
        <v>2547154.3559317067</v>
      </c>
      <c r="U1021" s="333">
        <v>2719122.0897993953</v>
      </c>
      <c r="V1021" s="333">
        <v>2886561.4125012951</v>
      </c>
      <c r="W1021" s="9"/>
    </row>
    <row r="1022" spans="1:23" ht="13.5" thickBot="1" x14ac:dyDescent="0.25">
      <c r="A1022" s="9"/>
      <c r="B1022" s="336" t="s">
        <v>228</v>
      </c>
      <c r="C1022" s="337"/>
      <c r="D1022" s="338">
        <v>23894524.351292063</v>
      </c>
      <c r="E1022" s="338">
        <v>22714713.365522157</v>
      </c>
      <c r="F1022" s="338">
        <v>21093856.392089188</v>
      </c>
      <c r="G1022" s="338">
        <v>19971189.78702927</v>
      </c>
      <c r="H1022" s="338">
        <v>19167768.743287884</v>
      </c>
      <c r="I1022" s="338">
        <v>19910040.98032517</v>
      </c>
      <c r="J1022" s="338">
        <v>22095944.764113568</v>
      </c>
      <c r="K1022" s="338">
        <v>22877739.533694122</v>
      </c>
      <c r="L1022" s="338">
        <v>23307838.373007752</v>
      </c>
      <c r="M1022" s="338">
        <v>23148482.155046649</v>
      </c>
      <c r="N1022" s="338">
        <v>23682730.578863092</v>
      </c>
      <c r="O1022" s="338">
        <v>23550253.027337246</v>
      </c>
      <c r="P1022" s="338">
        <v>23640842.98914995</v>
      </c>
      <c r="Q1022" s="338">
        <v>24703623.036975924</v>
      </c>
      <c r="R1022" s="338">
        <v>27755890.560065106</v>
      </c>
      <c r="S1022" s="338">
        <v>26671806.088560261</v>
      </c>
      <c r="T1022" s="338">
        <v>27025650.963456273</v>
      </c>
      <c r="U1022" s="338">
        <v>29298887.563033022</v>
      </c>
      <c r="V1022" s="338">
        <v>31183573.081962552</v>
      </c>
      <c r="W1022" s="9"/>
    </row>
    <row r="1023" spans="1:23" ht="13.5" thickTop="1" x14ac:dyDescent="0.2">
      <c r="A1023" s="330" t="s">
        <v>229</v>
      </c>
      <c r="B1023" s="292" t="s">
        <v>230</v>
      </c>
      <c r="C1023" s="326"/>
      <c r="D1023" s="333">
        <v>-1757888.5472798611</v>
      </c>
      <c r="E1023" s="333">
        <v>-1827694.2283759944</v>
      </c>
      <c r="F1023" s="333">
        <v>-2168553.326541408</v>
      </c>
      <c r="G1023" s="333">
        <v>-2183228.3588029547</v>
      </c>
      <c r="H1023" s="333">
        <v>-2172247.009213578</v>
      </c>
      <c r="I1023" s="333">
        <v>-2300836.6043265783</v>
      </c>
      <c r="J1023" s="333">
        <v>-1781201.179498014</v>
      </c>
      <c r="K1023" s="333">
        <v>-1350981.9993577567</v>
      </c>
      <c r="L1023" s="333">
        <v>-1490925.1992237123</v>
      </c>
      <c r="M1023" s="333">
        <v>-1614029.0452054611</v>
      </c>
      <c r="N1023" s="333">
        <v>-1600223.3381082674</v>
      </c>
      <c r="O1023" s="333">
        <v>-1753766.0394626793</v>
      </c>
      <c r="P1023" s="333">
        <v>-1911915.0218577236</v>
      </c>
      <c r="Q1023" s="333">
        <v>-2074808.4737246193</v>
      </c>
      <c r="R1023" s="333">
        <v>-2242588.7291475218</v>
      </c>
      <c r="S1023" s="333">
        <v>-2414376.3677064939</v>
      </c>
      <c r="T1023" s="333">
        <v>-2589600.6719490406</v>
      </c>
      <c r="U1023" s="333">
        <v>-2772938.6871165428</v>
      </c>
      <c r="V1023" s="333">
        <v>-2961776.8427390698</v>
      </c>
      <c r="W1023" s="9"/>
    </row>
    <row r="1024" spans="1:23" x14ac:dyDescent="0.2">
      <c r="A1024" s="9"/>
      <c r="B1024" s="292" t="s">
        <v>231</v>
      </c>
      <c r="C1024" s="326"/>
      <c r="D1024" s="333">
        <v>0</v>
      </c>
      <c r="E1024" s="333">
        <v>0</v>
      </c>
      <c r="F1024" s="333">
        <v>0</v>
      </c>
      <c r="G1024" s="333">
        <v>0</v>
      </c>
      <c r="H1024" s="333">
        <v>0</v>
      </c>
      <c r="I1024" s="333">
        <v>0</v>
      </c>
      <c r="J1024" s="333">
        <v>0</v>
      </c>
      <c r="K1024" s="333">
        <v>0</v>
      </c>
      <c r="L1024" s="333">
        <v>0</v>
      </c>
      <c r="M1024" s="333">
        <v>0</v>
      </c>
      <c r="N1024" s="333">
        <v>0</v>
      </c>
      <c r="O1024" s="333">
        <v>0</v>
      </c>
      <c r="P1024" s="333">
        <v>0</v>
      </c>
      <c r="Q1024" s="333">
        <v>0</v>
      </c>
      <c r="R1024" s="333">
        <v>0</v>
      </c>
      <c r="S1024" s="333">
        <v>0</v>
      </c>
      <c r="T1024" s="333">
        <v>0</v>
      </c>
      <c r="U1024" s="333">
        <v>0</v>
      </c>
      <c r="V1024" s="333">
        <v>0</v>
      </c>
      <c r="W1024" s="9"/>
    </row>
    <row r="1025" spans="1:23" x14ac:dyDescent="0.2">
      <c r="A1025" s="9"/>
      <c r="B1025" s="329" t="s">
        <v>232</v>
      </c>
      <c r="C1025" s="331"/>
      <c r="D1025" s="332">
        <v>22136635.804012202</v>
      </c>
      <c r="E1025" s="332">
        <v>20887019.137146164</v>
      </c>
      <c r="F1025" s="332">
        <v>18925303.065547779</v>
      </c>
      <c r="G1025" s="332">
        <v>17787961.428226314</v>
      </c>
      <c r="H1025" s="332">
        <v>16995521.734074306</v>
      </c>
      <c r="I1025" s="332">
        <v>17609204.37599859</v>
      </c>
      <c r="J1025" s="332">
        <v>20314743.584615555</v>
      </c>
      <c r="K1025" s="332">
        <v>21526757.534336366</v>
      </c>
      <c r="L1025" s="332">
        <v>21816913.17378404</v>
      </c>
      <c r="M1025" s="332">
        <v>21534453.109841187</v>
      </c>
      <c r="N1025" s="332">
        <v>22082507.240754824</v>
      </c>
      <c r="O1025" s="332">
        <v>21796486.987874568</v>
      </c>
      <c r="P1025" s="332">
        <v>21728927.967292227</v>
      </c>
      <c r="Q1025" s="332">
        <v>22628814.563251305</v>
      </c>
      <c r="R1025" s="332">
        <v>25513301.830917582</v>
      </c>
      <c r="S1025" s="332">
        <v>24257429.720853768</v>
      </c>
      <c r="T1025" s="332">
        <v>24436050.291507233</v>
      </c>
      <c r="U1025" s="332">
        <v>26525948.875916481</v>
      </c>
      <c r="V1025" s="332">
        <v>28221796.23922348</v>
      </c>
      <c r="W1025" s="9"/>
    </row>
    <row r="1026" spans="1:23" ht="13.5" thickBot="1" x14ac:dyDescent="0.25">
      <c r="A1026" s="9"/>
      <c r="B1026" s="339" t="s">
        <v>238</v>
      </c>
      <c r="C1026" s="340"/>
      <c r="D1026" s="341">
        <v>-8854654.3216048814</v>
      </c>
      <c r="E1026" s="341">
        <v>-8354807.6548584662</v>
      </c>
      <c r="F1026" s="341">
        <v>-7570121.2262191121</v>
      </c>
      <c r="G1026" s="341">
        <v>-7115184.5712905265</v>
      </c>
      <c r="H1026" s="341">
        <v>-6798208.693629723</v>
      </c>
      <c r="I1026" s="341">
        <v>-7043681.7503994368</v>
      </c>
      <c r="J1026" s="341">
        <v>-8125897.4338462222</v>
      </c>
      <c r="K1026" s="341">
        <v>-8610703.0137345474</v>
      </c>
      <c r="L1026" s="341">
        <v>-8726765.2695136163</v>
      </c>
      <c r="M1026" s="341">
        <v>-8613781.2439364754</v>
      </c>
      <c r="N1026" s="341">
        <v>-8833002.8963019308</v>
      </c>
      <c r="O1026" s="341">
        <v>-8718594.7951498274</v>
      </c>
      <c r="P1026" s="341">
        <v>-8691571.1869168915</v>
      </c>
      <c r="Q1026" s="341">
        <v>-9051525.8253005221</v>
      </c>
      <c r="R1026" s="341">
        <v>-10205320.732367033</v>
      </c>
      <c r="S1026" s="341">
        <v>-9702971.8883415069</v>
      </c>
      <c r="T1026" s="341">
        <v>-9774420.1166028939</v>
      </c>
      <c r="U1026" s="341">
        <v>-10610379.550366594</v>
      </c>
      <c r="V1026" s="341">
        <v>-11288718.495689392</v>
      </c>
      <c r="W1026" s="9"/>
    </row>
    <row r="1027" spans="1:23" ht="13.5" thickTop="1" x14ac:dyDescent="0.2">
      <c r="A1027" s="9"/>
      <c r="B1027" s="329" t="s">
        <v>233</v>
      </c>
      <c r="C1027" s="331"/>
      <c r="D1027" s="332">
        <v>13281981.48240732</v>
      </c>
      <c r="E1027" s="332">
        <v>12532211.482287697</v>
      </c>
      <c r="F1027" s="332">
        <v>11355181.839328667</v>
      </c>
      <c r="G1027" s="332">
        <v>10672776.856935788</v>
      </c>
      <c r="H1027" s="332">
        <v>10197313.040444583</v>
      </c>
      <c r="I1027" s="332">
        <v>10565522.625599153</v>
      </c>
      <c r="J1027" s="332">
        <v>12188846.150769332</v>
      </c>
      <c r="K1027" s="332">
        <v>12916054.520601818</v>
      </c>
      <c r="L1027" s="332">
        <v>13090147.904270424</v>
      </c>
      <c r="M1027" s="332">
        <v>12920671.865904711</v>
      </c>
      <c r="N1027" s="332">
        <v>13249504.344452893</v>
      </c>
      <c r="O1027" s="332">
        <v>13077892.19272474</v>
      </c>
      <c r="P1027" s="332">
        <v>13037356.780375335</v>
      </c>
      <c r="Q1027" s="332">
        <v>13577288.737950783</v>
      </c>
      <c r="R1027" s="332">
        <v>15307981.098550549</v>
      </c>
      <c r="S1027" s="332">
        <v>14554457.832512261</v>
      </c>
      <c r="T1027" s="332">
        <v>14661630.174904339</v>
      </c>
      <c r="U1027" s="332">
        <v>15915569.325549887</v>
      </c>
      <c r="V1027" s="332">
        <v>16933077.743534088</v>
      </c>
      <c r="W1027" s="9"/>
    </row>
    <row r="1028" spans="1:23" x14ac:dyDescent="0.2">
      <c r="A1028" s="9"/>
      <c r="B1028" s="9"/>
      <c r="C1028" s="326"/>
      <c r="D1028" s="9"/>
      <c r="E1028" s="327"/>
      <c r="F1028" s="319"/>
      <c r="G1028" s="328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</row>
    <row r="1029" spans="1:23" ht="15.75" x14ac:dyDescent="0.25">
      <c r="A1029" s="342" t="s">
        <v>206</v>
      </c>
      <c r="B1029" s="343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</row>
    <row r="1030" spans="1:23" x14ac:dyDescent="0.2">
      <c r="A1030" s="290" t="s">
        <v>191</v>
      </c>
      <c r="B1030" s="309"/>
      <c r="C1030" s="344">
        <v>0</v>
      </c>
      <c r="D1030" s="283"/>
      <c r="E1030" s="283"/>
      <c r="F1030" s="283"/>
      <c r="G1030" s="283"/>
      <c r="H1030" s="283"/>
      <c r="I1030" s="283"/>
      <c r="J1030" s="283"/>
      <c r="K1030" s="283"/>
      <c r="L1030" s="283"/>
      <c r="M1030" s="283"/>
      <c r="N1030" s="283"/>
      <c r="O1030" s="283"/>
      <c r="P1030" s="283"/>
      <c r="Q1030" s="283"/>
      <c r="R1030" s="283"/>
      <c r="S1030" s="283"/>
      <c r="T1030" s="283"/>
      <c r="U1030" s="283"/>
      <c r="V1030" s="283"/>
      <c r="W1030" s="283"/>
    </row>
    <row r="1031" spans="1:23" x14ac:dyDescent="0.2">
      <c r="A1031" s="290" t="s">
        <v>192</v>
      </c>
      <c r="B1031" s="309"/>
      <c r="C1031" s="345">
        <v>0</v>
      </c>
      <c r="D1031" s="283"/>
      <c r="E1031" s="283"/>
      <c r="F1031" s="283"/>
      <c r="G1031" s="283"/>
      <c r="H1031" s="283"/>
      <c r="I1031" s="283"/>
      <c r="J1031" s="283"/>
      <c r="K1031" s="283"/>
      <c r="L1031" s="283"/>
      <c r="M1031" s="283"/>
      <c r="N1031" s="283"/>
      <c r="O1031" s="283"/>
      <c r="P1031" s="283"/>
      <c r="Q1031" s="283"/>
      <c r="R1031" s="283"/>
      <c r="S1031" s="283"/>
      <c r="T1031" s="283"/>
      <c r="U1031" s="283"/>
      <c r="V1031" s="283"/>
      <c r="W1031" s="283"/>
    </row>
    <row r="1032" spans="1:23" x14ac:dyDescent="0.2">
      <c r="A1032" s="290" t="s">
        <v>202</v>
      </c>
      <c r="B1032" s="309"/>
      <c r="C1032" s="290">
        <v>15</v>
      </c>
      <c r="D1032" s="283"/>
      <c r="E1032" s="283"/>
      <c r="F1032" s="283"/>
      <c r="G1032" s="283"/>
      <c r="H1032" s="283"/>
      <c r="I1032" s="283"/>
      <c r="J1032" s="283"/>
      <c r="K1032" s="283"/>
      <c r="L1032" s="283"/>
      <c r="M1032" s="283"/>
      <c r="N1032" s="283"/>
      <c r="O1032" s="283"/>
      <c r="P1032" s="283"/>
      <c r="Q1032" s="283"/>
      <c r="R1032" s="283"/>
      <c r="S1032" s="283"/>
      <c r="T1032" s="283"/>
      <c r="U1032" s="283"/>
      <c r="V1032" s="283"/>
      <c r="W1032" s="283"/>
    </row>
    <row r="1033" spans="1:23" x14ac:dyDescent="0.2">
      <c r="A1033" s="290" t="s">
        <v>193</v>
      </c>
      <c r="B1033" s="309"/>
      <c r="C1033" s="345">
        <v>0</v>
      </c>
      <c r="D1033" s="283"/>
      <c r="E1033" s="283"/>
      <c r="F1033" s="283"/>
      <c r="G1033" s="283"/>
      <c r="H1033" s="283"/>
      <c r="I1033" s="283"/>
      <c r="J1033" s="283"/>
      <c r="K1033" s="283"/>
      <c r="L1033" s="283"/>
      <c r="M1033" s="283"/>
      <c r="N1033" s="283"/>
      <c r="O1033" s="283"/>
      <c r="P1033" s="283"/>
      <c r="Q1033" s="283"/>
      <c r="R1033" s="283"/>
      <c r="S1033" s="283"/>
      <c r="T1033" s="283"/>
      <c r="U1033" s="283"/>
      <c r="V1033" s="283"/>
      <c r="W1033" s="283"/>
    </row>
    <row r="1034" spans="1:23" x14ac:dyDescent="0.2">
      <c r="A1034" s="290" t="s">
        <v>194</v>
      </c>
      <c r="B1034" s="309"/>
      <c r="C1034" s="346">
        <v>8.7499999999999994E-2</v>
      </c>
      <c r="D1034" s="283"/>
      <c r="E1034" s="283"/>
      <c r="F1034" s="283"/>
      <c r="G1034" s="283"/>
      <c r="H1034" s="283"/>
      <c r="I1034" s="283"/>
      <c r="J1034" s="283"/>
      <c r="K1034" s="283"/>
      <c r="L1034" s="283"/>
      <c r="M1034" s="283"/>
      <c r="N1034" s="283"/>
      <c r="O1034" s="283"/>
      <c r="P1034" s="283"/>
      <c r="Q1034" s="283"/>
      <c r="R1034" s="283"/>
      <c r="S1034" s="283"/>
      <c r="T1034" s="283"/>
      <c r="U1034" s="283"/>
      <c r="V1034" s="283"/>
      <c r="W1034" s="283"/>
    </row>
    <row r="1035" spans="1:23" x14ac:dyDescent="0.2">
      <c r="A1035" s="290"/>
      <c r="B1035" s="309"/>
      <c r="C1035" s="283"/>
      <c r="D1035" s="312">
        <v>2001</v>
      </c>
      <c r="E1035" s="312">
        <v>2002</v>
      </c>
      <c r="F1035" s="312">
        <v>2003</v>
      </c>
      <c r="G1035" s="312">
        <v>2004</v>
      </c>
      <c r="H1035" s="312">
        <v>2005</v>
      </c>
      <c r="I1035" s="312">
        <v>2006</v>
      </c>
      <c r="J1035" s="312">
        <v>2007</v>
      </c>
      <c r="K1035" s="312">
        <v>2008</v>
      </c>
      <c r="L1035" s="312">
        <v>2009</v>
      </c>
      <c r="M1035" s="312">
        <v>2010</v>
      </c>
      <c r="N1035" s="312">
        <v>2011</v>
      </c>
      <c r="O1035" s="312">
        <v>2012</v>
      </c>
      <c r="P1035" s="312">
        <v>2013</v>
      </c>
      <c r="Q1035" s="312">
        <v>2014</v>
      </c>
      <c r="R1035" s="312">
        <v>2015</v>
      </c>
      <c r="S1035" s="312">
        <v>2016</v>
      </c>
      <c r="T1035" s="312">
        <v>2017</v>
      </c>
      <c r="U1035" s="312">
        <v>2018</v>
      </c>
      <c r="V1035" s="312">
        <v>2019</v>
      </c>
      <c r="W1035" s="312" t="s">
        <v>154</v>
      </c>
    </row>
    <row r="1036" spans="1:23" x14ac:dyDescent="0.2">
      <c r="A1036" s="290" t="s">
        <v>195</v>
      </c>
      <c r="B1036" s="309"/>
      <c r="C1036" s="283"/>
      <c r="D1036" s="347">
        <v>0</v>
      </c>
      <c r="E1036" s="347">
        <v>0</v>
      </c>
      <c r="F1036" s="347">
        <v>0</v>
      </c>
      <c r="G1036" s="347">
        <v>0</v>
      </c>
      <c r="H1036" s="347">
        <v>0</v>
      </c>
      <c r="I1036" s="347">
        <v>0</v>
      </c>
      <c r="J1036" s="347">
        <v>0</v>
      </c>
      <c r="K1036" s="347">
        <v>0</v>
      </c>
      <c r="L1036" s="347">
        <v>0</v>
      </c>
      <c r="M1036" s="347">
        <v>0</v>
      </c>
      <c r="N1036" s="347">
        <v>0</v>
      </c>
      <c r="O1036" s="347">
        <v>0</v>
      </c>
      <c r="P1036" s="347">
        <v>0</v>
      </c>
      <c r="Q1036" s="347">
        <v>0</v>
      </c>
      <c r="R1036" s="347">
        <v>0</v>
      </c>
      <c r="S1036" s="347">
        <v>0</v>
      </c>
      <c r="T1036" s="347">
        <v>0</v>
      </c>
      <c r="U1036" s="347">
        <v>0</v>
      </c>
      <c r="V1036" s="347">
        <v>0</v>
      </c>
      <c r="W1036" s="347">
        <v>0</v>
      </c>
    </row>
    <row r="1037" spans="1:23" x14ac:dyDescent="0.2">
      <c r="A1037" s="290" t="s">
        <v>196</v>
      </c>
      <c r="B1037" s="309"/>
      <c r="C1037" s="283"/>
      <c r="D1037" s="347">
        <v>0</v>
      </c>
      <c r="E1037" s="347">
        <v>0</v>
      </c>
      <c r="F1037" s="347">
        <v>0</v>
      </c>
      <c r="G1037" s="347">
        <v>0</v>
      </c>
      <c r="H1037" s="347">
        <v>0</v>
      </c>
      <c r="I1037" s="347">
        <v>0</v>
      </c>
      <c r="J1037" s="347">
        <v>0</v>
      </c>
      <c r="K1037" s="347">
        <v>0</v>
      </c>
      <c r="L1037" s="347">
        <v>0</v>
      </c>
      <c r="M1037" s="347">
        <v>0</v>
      </c>
      <c r="N1037" s="347">
        <v>0</v>
      </c>
      <c r="O1037" s="347">
        <v>0</v>
      </c>
      <c r="P1037" s="347">
        <v>0</v>
      </c>
      <c r="Q1037" s="347">
        <v>0</v>
      </c>
      <c r="R1037" s="347">
        <v>0</v>
      </c>
      <c r="S1037" s="347">
        <v>0</v>
      </c>
      <c r="T1037" s="347">
        <v>0</v>
      </c>
      <c r="U1037" s="347">
        <v>0</v>
      </c>
      <c r="V1037" s="347">
        <v>0</v>
      </c>
      <c r="W1037" s="347">
        <v>0</v>
      </c>
    </row>
    <row r="1038" spans="1:23" x14ac:dyDescent="0.2">
      <c r="A1038" s="290" t="s">
        <v>197</v>
      </c>
      <c r="B1038" s="309"/>
      <c r="C1038" s="283"/>
      <c r="D1038" s="347">
        <v>0</v>
      </c>
      <c r="E1038" s="347">
        <v>0</v>
      </c>
      <c r="F1038" s="347">
        <v>0</v>
      </c>
      <c r="G1038" s="347">
        <v>0</v>
      </c>
      <c r="H1038" s="347">
        <v>0</v>
      </c>
      <c r="I1038" s="347">
        <v>0</v>
      </c>
      <c r="J1038" s="347">
        <v>0</v>
      </c>
      <c r="K1038" s="347">
        <v>0</v>
      </c>
      <c r="L1038" s="347">
        <v>0</v>
      </c>
      <c r="M1038" s="347">
        <v>0</v>
      </c>
      <c r="N1038" s="347">
        <v>0</v>
      </c>
      <c r="O1038" s="347">
        <v>0</v>
      </c>
      <c r="P1038" s="347">
        <v>0</v>
      </c>
      <c r="Q1038" s="347">
        <v>0</v>
      </c>
      <c r="R1038" s="347">
        <v>0</v>
      </c>
      <c r="S1038" s="347">
        <v>0</v>
      </c>
      <c r="T1038" s="347">
        <v>0</v>
      </c>
      <c r="U1038" s="347">
        <v>0</v>
      </c>
      <c r="V1038" s="347">
        <v>0</v>
      </c>
      <c r="W1038" s="347">
        <v>0</v>
      </c>
    </row>
    <row r="1039" spans="1:23" x14ac:dyDescent="0.2">
      <c r="A1039" s="290" t="s">
        <v>198</v>
      </c>
      <c r="B1039" s="309"/>
      <c r="C1039" s="283"/>
      <c r="D1039" s="348">
        <v>0</v>
      </c>
      <c r="E1039" s="348">
        <v>0</v>
      </c>
      <c r="F1039" s="348">
        <v>0</v>
      </c>
      <c r="G1039" s="348">
        <v>0</v>
      </c>
      <c r="H1039" s="348">
        <v>0</v>
      </c>
      <c r="I1039" s="348">
        <v>0</v>
      </c>
      <c r="J1039" s="348">
        <v>0</v>
      </c>
      <c r="K1039" s="348">
        <v>0</v>
      </c>
      <c r="L1039" s="348">
        <v>0</v>
      </c>
      <c r="M1039" s="348">
        <v>0</v>
      </c>
      <c r="N1039" s="348">
        <v>0</v>
      </c>
      <c r="O1039" s="348">
        <v>0</v>
      </c>
      <c r="P1039" s="348">
        <v>0</v>
      </c>
      <c r="Q1039" s="348">
        <v>0</v>
      </c>
      <c r="R1039" s="348">
        <v>0</v>
      </c>
      <c r="S1039" s="348">
        <v>0</v>
      </c>
      <c r="T1039" s="348">
        <v>0</v>
      </c>
      <c r="U1039" s="348">
        <v>0</v>
      </c>
      <c r="V1039" s="348">
        <v>0</v>
      </c>
      <c r="W1039" s="348">
        <v>0</v>
      </c>
    </row>
    <row r="1040" spans="1:23" ht="13.5" thickBot="1" x14ac:dyDescent="0.25">
      <c r="A1040" s="290" t="s">
        <v>199</v>
      </c>
      <c r="B1040" s="309"/>
      <c r="C1040" s="283"/>
      <c r="D1040" s="349">
        <v>0</v>
      </c>
      <c r="E1040" s="349">
        <v>0</v>
      </c>
      <c r="F1040" s="349">
        <v>0</v>
      </c>
      <c r="G1040" s="349">
        <v>0</v>
      </c>
      <c r="H1040" s="349">
        <v>0</v>
      </c>
      <c r="I1040" s="349">
        <v>0</v>
      </c>
      <c r="J1040" s="349">
        <v>0</v>
      </c>
      <c r="K1040" s="349">
        <v>0</v>
      </c>
      <c r="L1040" s="349">
        <v>0</v>
      </c>
      <c r="M1040" s="349">
        <v>0</v>
      </c>
      <c r="N1040" s="349">
        <v>0</v>
      </c>
      <c r="O1040" s="349">
        <v>0</v>
      </c>
      <c r="P1040" s="349">
        <v>0</v>
      </c>
      <c r="Q1040" s="349">
        <v>0</v>
      </c>
      <c r="R1040" s="349">
        <v>0</v>
      </c>
      <c r="S1040" s="349">
        <v>0</v>
      </c>
      <c r="T1040" s="349">
        <v>0</v>
      </c>
      <c r="U1040" s="349">
        <v>0</v>
      </c>
      <c r="V1040" s="349">
        <v>0</v>
      </c>
      <c r="W1040" s="349">
        <v>0</v>
      </c>
    </row>
    <row r="1041" spans="1:23" ht="13.5" thickTop="1" x14ac:dyDescent="0.2">
      <c r="A1041" s="290"/>
      <c r="B1041" s="309"/>
      <c r="C1041" s="283"/>
      <c r="D1041" s="347"/>
      <c r="E1041" s="347"/>
      <c r="F1041" s="347"/>
      <c r="G1041" s="347"/>
      <c r="H1041" s="347"/>
      <c r="I1041" s="347"/>
      <c r="J1041" s="347"/>
      <c r="K1041" s="347"/>
      <c r="L1041" s="347"/>
      <c r="M1041" s="347"/>
      <c r="N1041" s="347"/>
      <c r="O1041" s="347"/>
      <c r="P1041" s="347"/>
      <c r="Q1041" s="347"/>
      <c r="R1041" s="347"/>
      <c r="S1041" s="347"/>
      <c r="T1041" s="347"/>
      <c r="U1041" s="347"/>
      <c r="V1041" s="347"/>
      <c r="W1041" s="347"/>
    </row>
    <row r="1042" spans="1:23" x14ac:dyDescent="0.2">
      <c r="A1042" s="290" t="s">
        <v>200</v>
      </c>
      <c r="B1042" s="309"/>
      <c r="C1042" s="283"/>
      <c r="D1042" s="347">
        <v>0</v>
      </c>
      <c r="E1042" s="347">
        <v>0</v>
      </c>
      <c r="F1042" s="347">
        <v>0</v>
      </c>
      <c r="G1042" s="347">
        <v>0</v>
      </c>
      <c r="H1042" s="347">
        <v>0</v>
      </c>
      <c r="I1042" s="347">
        <v>0</v>
      </c>
      <c r="J1042" s="347">
        <v>0</v>
      </c>
      <c r="K1042" s="347">
        <v>0</v>
      </c>
      <c r="L1042" s="347">
        <v>0</v>
      </c>
      <c r="M1042" s="347">
        <v>0</v>
      </c>
      <c r="N1042" s="347">
        <v>0</v>
      </c>
      <c r="O1042" s="347">
        <v>0</v>
      </c>
      <c r="P1042" s="347">
        <v>0</v>
      </c>
      <c r="Q1042" s="347">
        <v>0</v>
      </c>
      <c r="R1042" s="347">
        <v>0</v>
      </c>
      <c r="S1042" s="347">
        <v>0</v>
      </c>
      <c r="T1042" s="347">
        <v>0</v>
      </c>
      <c r="U1042" s="347">
        <v>0</v>
      </c>
      <c r="V1042" s="347">
        <v>0</v>
      </c>
      <c r="W1042" s="347">
        <v>0</v>
      </c>
    </row>
    <row r="1043" spans="1:23" x14ac:dyDescent="0.2">
      <c r="A1043" s="290"/>
      <c r="B1043" s="309"/>
      <c r="C1043" s="283"/>
      <c r="D1043" s="283"/>
      <c r="E1043" s="283"/>
      <c r="F1043" s="283"/>
      <c r="G1043" s="283"/>
      <c r="H1043" s="283"/>
      <c r="I1043" s="283"/>
      <c r="J1043" s="283"/>
      <c r="K1043" s="283"/>
      <c r="L1043" s="283"/>
      <c r="M1043" s="283"/>
      <c r="N1043" s="283"/>
      <c r="O1043" s="283"/>
      <c r="P1043" s="283"/>
      <c r="Q1043" s="283"/>
      <c r="R1043" s="283"/>
      <c r="S1043" s="283"/>
      <c r="T1043" s="283"/>
      <c r="U1043" s="283"/>
      <c r="V1043" s="283"/>
      <c r="W1043" s="283"/>
    </row>
    <row r="1044" spans="1:23" x14ac:dyDescent="0.2">
      <c r="A1044" s="290" t="s">
        <v>201</v>
      </c>
      <c r="B1044" s="309"/>
      <c r="C1044" s="283"/>
      <c r="D1044" s="347">
        <v>0</v>
      </c>
      <c r="E1044" s="347">
        <v>0</v>
      </c>
      <c r="F1044" s="347">
        <v>0</v>
      </c>
      <c r="G1044" s="347">
        <v>0</v>
      </c>
      <c r="H1044" s="347">
        <v>0</v>
      </c>
      <c r="I1044" s="347">
        <v>0</v>
      </c>
      <c r="J1044" s="347">
        <v>0</v>
      </c>
      <c r="K1044" s="347">
        <v>0</v>
      </c>
      <c r="L1044" s="347">
        <v>0</v>
      </c>
      <c r="M1044" s="347">
        <v>0</v>
      </c>
      <c r="N1044" s="347">
        <v>0</v>
      </c>
      <c r="O1044" s="347">
        <v>0</v>
      </c>
      <c r="P1044" s="347">
        <v>0</v>
      </c>
      <c r="Q1044" s="347">
        <v>0</v>
      </c>
      <c r="R1044" s="347">
        <v>0</v>
      </c>
      <c r="S1044" s="347">
        <v>0</v>
      </c>
      <c r="T1044" s="347">
        <v>0</v>
      </c>
      <c r="U1044" s="347">
        <v>0</v>
      </c>
      <c r="V1044" s="347">
        <v>0</v>
      </c>
      <c r="W1044" s="347">
        <v>0</v>
      </c>
    </row>
    <row r="1045" spans="1:23" x14ac:dyDescent="0.2">
      <c r="A1045" s="283"/>
      <c r="B1045" s="309"/>
      <c r="C1045" s="283"/>
      <c r="D1045" s="283"/>
      <c r="E1045" s="283"/>
      <c r="F1045" s="283"/>
      <c r="G1045" s="283"/>
      <c r="H1045" s="283"/>
      <c r="I1045" s="283"/>
      <c r="J1045" s="283"/>
      <c r="K1045" s="283"/>
      <c r="L1045" s="283"/>
      <c r="M1045" s="283"/>
      <c r="N1045" s="283"/>
      <c r="O1045" s="283"/>
      <c r="P1045" s="283"/>
      <c r="Q1045" s="283"/>
      <c r="R1045" s="283"/>
      <c r="S1045" s="283"/>
      <c r="T1045" s="283"/>
      <c r="U1045" s="283"/>
      <c r="V1045" s="283"/>
      <c r="W1045" s="283"/>
    </row>
    <row r="1046" spans="1:23" x14ac:dyDescent="0.2">
      <c r="A1046" s="283"/>
      <c r="B1046" s="309"/>
      <c r="C1046" s="283"/>
      <c r="D1046" s="283"/>
      <c r="E1046" s="283"/>
      <c r="F1046" s="283"/>
      <c r="G1046" s="283"/>
      <c r="H1046" s="283"/>
      <c r="I1046" s="283"/>
      <c r="J1046" s="283"/>
      <c r="K1046" s="283"/>
      <c r="L1046" s="283"/>
      <c r="M1046" s="283"/>
      <c r="N1046" s="283"/>
      <c r="O1046" s="283"/>
      <c r="P1046" s="283"/>
      <c r="Q1046" s="283"/>
      <c r="R1046" s="283"/>
      <c r="S1046" s="283"/>
      <c r="T1046" s="283"/>
      <c r="U1046" s="283"/>
      <c r="V1046" s="283"/>
      <c r="W1046" s="283"/>
    </row>
    <row r="1047" spans="1:23" x14ac:dyDescent="0.2">
      <c r="A1047" s="290" t="s">
        <v>203</v>
      </c>
      <c r="B1047" s="285"/>
      <c r="C1047" s="284"/>
      <c r="D1047" s="441">
        <v>13141126.886188876</v>
      </c>
      <c r="E1047" s="441">
        <v>12671191.892111814</v>
      </c>
      <c r="F1047" s="441">
        <v>6232234.9480280215</v>
      </c>
      <c r="G1047" s="441">
        <v>11464317.098214692</v>
      </c>
      <c r="H1047" s="441">
        <v>9756924.3742222264</v>
      </c>
      <c r="I1047" s="441">
        <v>10177675.245598905</v>
      </c>
      <c r="J1047" s="441">
        <v>11422384.607190153</v>
      </c>
      <c r="K1047" s="441">
        <v>11779027.463745072</v>
      </c>
      <c r="L1047" s="441">
        <v>11929649.291548327</v>
      </c>
      <c r="M1047" s="441">
        <v>11767045.771705449</v>
      </c>
      <c r="N1047" s="441">
        <v>12035890.414220111</v>
      </c>
      <c r="O1047" s="441">
        <v>11885899.251391232</v>
      </c>
      <c r="P1047" s="441">
        <v>11889804.633713506</v>
      </c>
      <c r="Q1047" s="441">
        <v>12461040.348437143</v>
      </c>
      <c r="R1047" s="441">
        <v>14224926.428047277</v>
      </c>
      <c r="S1047" s="441">
        <v>13518769.819066875</v>
      </c>
      <c r="T1047" s="441">
        <v>13674290.860883301</v>
      </c>
      <c r="U1047" s="441">
        <v>15000221.070389532</v>
      </c>
      <c r="V1047" s="441">
        <v>16088005.301727507</v>
      </c>
      <c r="W1047" s="441">
        <v>81443713.965159446</v>
      </c>
    </row>
    <row r="1048" spans="1:23" x14ac:dyDescent="0.2">
      <c r="A1048" s="9"/>
      <c r="B1048" s="6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</row>
    <row r="1049" spans="1:23" x14ac:dyDescent="0.2">
      <c r="B1049" s="295"/>
      <c r="C1049" s="360"/>
      <c r="E1049" s="369"/>
      <c r="F1049" s="319"/>
      <c r="G1049" s="328"/>
    </row>
    <row r="1050" spans="1:23" x14ac:dyDescent="0.2">
      <c r="B1050" s="295"/>
      <c r="C1050" s="360"/>
      <c r="E1050" s="369"/>
      <c r="F1050" s="319"/>
      <c r="G1050" s="328"/>
    </row>
    <row r="1051" spans="1:23" x14ac:dyDescent="0.2">
      <c r="B1051" s="295"/>
      <c r="C1051" s="360"/>
      <c r="E1051" s="369"/>
      <c r="F1051" s="319"/>
      <c r="G1051" s="328"/>
    </row>
    <row r="1052" spans="1:23" x14ac:dyDescent="0.2">
      <c r="B1052" s="306"/>
      <c r="C1052" s="360"/>
      <c r="E1052" s="369"/>
      <c r="F1052" s="319"/>
      <c r="G1052" s="328"/>
    </row>
    <row r="1053" spans="1:23" x14ac:dyDescent="0.2">
      <c r="A1053" s="370"/>
      <c r="B1053" s="306"/>
      <c r="C1053" s="307"/>
      <c r="D1053" s="371"/>
      <c r="E1053" s="371"/>
      <c r="F1053" s="371"/>
      <c r="G1053" s="371"/>
      <c r="H1053" s="371"/>
      <c r="I1053" s="371"/>
      <c r="J1053" s="371"/>
      <c r="K1053" s="371"/>
      <c r="L1053" s="371"/>
      <c r="M1053" s="371"/>
      <c r="N1053" s="371"/>
      <c r="O1053" s="371"/>
      <c r="P1053" s="371"/>
      <c r="Q1053" s="371"/>
      <c r="R1053" s="371"/>
      <c r="S1053" s="371"/>
      <c r="T1053" s="371"/>
      <c r="U1053" s="371"/>
      <c r="V1053" s="371"/>
    </row>
    <row r="1054" spans="1:23" x14ac:dyDescent="0.2">
      <c r="B1054" s="295"/>
      <c r="C1054" s="360"/>
      <c r="D1054" s="372"/>
      <c r="E1054" s="372"/>
      <c r="F1054" s="372"/>
      <c r="G1054" s="372"/>
      <c r="H1054" s="372"/>
      <c r="I1054" s="372"/>
      <c r="J1054" s="372"/>
      <c r="K1054" s="372"/>
      <c r="L1054" s="372"/>
      <c r="M1054" s="372"/>
      <c r="N1054" s="372"/>
      <c r="O1054" s="372"/>
      <c r="P1054" s="372"/>
      <c r="Q1054" s="372"/>
      <c r="R1054" s="372"/>
      <c r="S1054" s="372"/>
      <c r="T1054" s="372"/>
      <c r="U1054" s="372"/>
      <c r="V1054" s="372"/>
    </row>
    <row r="1055" spans="1:23" x14ac:dyDescent="0.2">
      <c r="B1055" s="295"/>
      <c r="C1055" s="360"/>
      <c r="D1055" s="372"/>
      <c r="E1055" s="372"/>
      <c r="F1055" s="372"/>
      <c r="G1055" s="372"/>
      <c r="H1055" s="372"/>
      <c r="I1055" s="372"/>
      <c r="J1055" s="372"/>
      <c r="K1055" s="372"/>
      <c r="L1055" s="372"/>
      <c r="M1055" s="372"/>
      <c r="N1055" s="372"/>
      <c r="O1055" s="372"/>
      <c r="P1055" s="372"/>
      <c r="Q1055" s="372"/>
      <c r="R1055" s="372"/>
      <c r="S1055" s="372"/>
      <c r="T1055" s="372"/>
      <c r="U1055" s="372"/>
      <c r="V1055" s="372"/>
    </row>
    <row r="1056" spans="1:23" ht="15.75" x14ac:dyDescent="0.25">
      <c r="A1056" s="308" t="s">
        <v>29</v>
      </c>
      <c r="B1056" s="311" t="s">
        <v>69</v>
      </c>
      <c r="C1056" s="312">
        <v>2000</v>
      </c>
      <c r="D1056" s="312">
        <v>2001</v>
      </c>
      <c r="E1056" s="312">
        <v>2002</v>
      </c>
      <c r="F1056" s="312">
        <v>2003</v>
      </c>
      <c r="G1056" s="312">
        <v>2004</v>
      </c>
      <c r="H1056" s="312">
        <v>2005</v>
      </c>
      <c r="I1056" s="312">
        <v>2006</v>
      </c>
      <c r="J1056" s="312">
        <v>2007</v>
      </c>
      <c r="K1056" s="312">
        <v>2008</v>
      </c>
      <c r="L1056" s="312">
        <v>2009</v>
      </c>
      <c r="M1056" s="312">
        <v>2010</v>
      </c>
      <c r="N1056" s="312">
        <v>2011</v>
      </c>
      <c r="O1056" s="312">
        <v>2012</v>
      </c>
      <c r="P1056" s="312">
        <v>2013</v>
      </c>
      <c r="Q1056" s="312">
        <v>2014</v>
      </c>
      <c r="R1056" s="312">
        <v>2015</v>
      </c>
      <c r="S1056" s="312">
        <v>2016</v>
      </c>
      <c r="T1056" s="312">
        <v>2017</v>
      </c>
      <c r="U1056" s="312">
        <v>2018</v>
      </c>
      <c r="V1056" s="312">
        <v>2019</v>
      </c>
      <c r="W1056" s="312" t="s">
        <v>154</v>
      </c>
    </row>
    <row r="1057" spans="1:23" x14ac:dyDescent="0.2">
      <c r="A1057" s="308" t="s">
        <v>26</v>
      </c>
      <c r="B1057" s="309">
        <v>238</v>
      </c>
      <c r="C1057" s="314"/>
      <c r="D1057" s="314"/>
      <c r="E1057" s="314"/>
      <c r="F1057" s="314"/>
      <c r="G1057" s="314"/>
      <c r="H1057" s="314"/>
      <c r="I1057" s="314"/>
      <c r="J1057" s="314"/>
      <c r="K1057" s="314"/>
      <c r="L1057" s="314"/>
      <c r="M1057" s="314"/>
      <c r="N1057" s="314"/>
      <c r="O1057" s="314"/>
      <c r="P1057" s="314"/>
      <c r="Q1057" s="314"/>
      <c r="R1057" s="314"/>
      <c r="S1057" s="314"/>
      <c r="T1057" s="314"/>
      <c r="U1057" s="314"/>
      <c r="V1057" s="314"/>
      <c r="W1057" s="314"/>
    </row>
    <row r="1058" spans="1:23" x14ac:dyDescent="0.2">
      <c r="A1058" s="9"/>
      <c r="B1058" s="315" t="s">
        <v>27</v>
      </c>
      <c r="C1058" s="449">
        <v>0</v>
      </c>
      <c r="D1058" s="410">
        <v>67087570.811891511</v>
      </c>
      <c r="E1058" s="410">
        <v>65402979.683575518</v>
      </c>
      <c r="F1058" s="410">
        <v>65522553.897316396</v>
      </c>
      <c r="G1058" s="410">
        <v>63825178.228551477</v>
      </c>
      <c r="H1058" s="410">
        <v>63246525.189126745</v>
      </c>
      <c r="I1058" s="410">
        <v>66773462.051876053</v>
      </c>
      <c r="J1058" s="410">
        <v>71820960.652377903</v>
      </c>
      <c r="K1058" s="410">
        <v>73755244.028472766</v>
      </c>
      <c r="L1058" s="410">
        <v>75278249.007548496</v>
      </c>
      <c r="M1058" s="410">
        <v>75548290.289886877</v>
      </c>
      <c r="N1058" s="410">
        <v>77199774.380774274</v>
      </c>
      <c r="O1058" s="410">
        <v>78034976.266736358</v>
      </c>
      <c r="P1058" s="410">
        <v>78974000.002739817</v>
      </c>
      <c r="Q1058" s="410">
        <v>81796390.854700595</v>
      </c>
      <c r="R1058" s="410">
        <v>87566430.496953815</v>
      </c>
      <c r="S1058" s="410">
        <v>87115856.01921688</v>
      </c>
      <c r="T1058" s="410">
        <v>88298693.48647438</v>
      </c>
      <c r="U1058" s="410">
        <v>92514200.408509865</v>
      </c>
      <c r="V1058" s="410">
        <v>95286599.862903312</v>
      </c>
      <c r="W1058" s="333"/>
    </row>
    <row r="1059" spans="1:23" x14ac:dyDescent="0.2">
      <c r="A1059" s="9"/>
      <c r="B1059" s="315" t="s">
        <v>20</v>
      </c>
      <c r="C1059" s="449">
        <v>0</v>
      </c>
      <c r="D1059" s="410">
        <v>-20913247.120093897</v>
      </c>
      <c r="E1059" s="410">
        <v>-20926703.083016112</v>
      </c>
      <c r="F1059" s="410">
        <v>-20993068.816452175</v>
      </c>
      <c r="G1059" s="410">
        <v>-21280476.932717178</v>
      </c>
      <c r="H1059" s="410">
        <v>-21690153.814496592</v>
      </c>
      <c r="I1059" s="410">
        <v>-22311455.88315082</v>
      </c>
      <c r="J1059" s="410">
        <v>-22826063.486048926</v>
      </c>
      <c r="K1059" s="410">
        <v>-23316548.857561186</v>
      </c>
      <c r="L1059" s="410">
        <v>-23700896.41097571</v>
      </c>
      <c r="M1059" s="410">
        <v>-23890657.964544374</v>
      </c>
      <c r="N1059" s="410">
        <v>-24215504.013873797</v>
      </c>
      <c r="O1059" s="410">
        <v>-24741368.658085305</v>
      </c>
      <c r="P1059" s="410">
        <v>-25305828.872514147</v>
      </c>
      <c r="Q1059" s="410">
        <v>-25842950.558039051</v>
      </c>
      <c r="R1059" s="410">
        <v>-26209608.475103941</v>
      </c>
      <c r="S1059" s="410">
        <v>-26746730.16062884</v>
      </c>
      <c r="T1059" s="410">
        <v>-27357826.68907034</v>
      </c>
      <c r="U1059" s="410">
        <v>-28028424.721596926</v>
      </c>
      <c r="V1059" s="410">
        <v>-28721536.83675031</v>
      </c>
      <c r="W1059" s="333"/>
    </row>
    <row r="1060" spans="1:23" x14ac:dyDescent="0.2">
      <c r="A1060" s="9"/>
      <c r="B1060" s="315" t="s">
        <v>31</v>
      </c>
      <c r="C1060" s="449">
        <v>0</v>
      </c>
      <c r="D1060" s="410">
        <v>-1738332.374036056</v>
      </c>
      <c r="E1060" s="410">
        <v>-1749390.4917954581</v>
      </c>
      <c r="F1060" s="410">
        <v>-1759696.5204090383</v>
      </c>
      <c r="G1060" s="410">
        <v>-1769195.6943245281</v>
      </c>
      <c r="H1060" s="410">
        <v>-1777830.5358998296</v>
      </c>
      <c r="I1060" s="410">
        <v>-1796683.4729651222</v>
      </c>
      <c r="J1060" s="410">
        <v>-1832948.3712305266</v>
      </c>
      <c r="K1060" s="410">
        <v>-1869945.2531012732</v>
      </c>
      <c r="L1060" s="410">
        <v>-1907688.8931948051</v>
      </c>
      <c r="M1060" s="410">
        <v>-1946194.3643446993</v>
      </c>
      <c r="N1060" s="410">
        <v>-1985477.0436199675</v>
      </c>
      <c r="O1060" s="410">
        <v>-2025552.6184658492</v>
      </c>
      <c r="P1060" s="410">
        <v>-2066437.0929685619</v>
      </c>
      <c r="Q1060" s="410">
        <v>-2108146.7942464883</v>
      </c>
      <c r="R1060" s="410">
        <v>-2150698.3789703771</v>
      </c>
      <c r="S1060" s="410">
        <v>-2194108.8400151446</v>
      </c>
      <c r="T1060" s="410">
        <v>-2238395.5132459365</v>
      </c>
      <c r="U1060" s="410">
        <v>-2283576.0844411701</v>
      </c>
      <c r="V1060" s="410">
        <v>-2329668.5963553013</v>
      </c>
      <c r="W1060" s="333"/>
    </row>
    <row r="1061" spans="1:23" x14ac:dyDescent="0.2">
      <c r="A1061" s="9"/>
      <c r="B1061" s="315" t="s">
        <v>32</v>
      </c>
      <c r="C1061" s="449">
        <v>0</v>
      </c>
      <c r="D1061" s="410">
        <v>0</v>
      </c>
      <c r="E1061" s="410">
        <v>0</v>
      </c>
      <c r="F1061" s="410">
        <v>0</v>
      </c>
      <c r="G1061" s="410">
        <v>0</v>
      </c>
      <c r="H1061" s="410">
        <v>0</v>
      </c>
      <c r="I1061" s="410">
        <v>-1382672.409518251</v>
      </c>
      <c r="J1061" s="410">
        <v>-1532581.9126095385</v>
      </c>
      <c r="K1061" s="410">
        <v>-1829016.9591507982</v>
      </c>
      <c r="L1061" s="410">
        <v>-1857450.5176255172</v>
      </c>
      <c r="M1061" s="410">
        <v>-2065770.5595203247</v>
      </c>
      <c r="N1061" s="410">
        <v>-2275602.4926506034</v>
      </c>
      <c r="O1061" s="410">
        <v>-2521299.3372310912</v>
      </c>
      <c r="P1061" s="410">
        <v>-2827039.8093538582</v>
      </c>
      <c r="Q1061" s="410">
        <v>-3146936.4589435966</v>
      </c>
      <c r="R1061" s="410">
        <v>-3485844.2630315046</v>
      </c>
      <c r="S1061" s="410">
        <v>-3827452.7140547503</v>
      </c>
      <c r="T1061" s="410">
        <v>-3760285.6942441119</v>
      </c>
      <c r="U1061" s="410">
        <v>-3217127.7959397151</v>
      </c>
      <c r="V1061" s="410">
        <v>-3335567.9754511458</v>
      </c>
      <c r="W1061" s="333"/>
    </row>
    <row r="1062" spans="1:23" ht="13.5" thickBot="1" x14ac:dyDescent="0.25">
      <c r="A1062" s="9"/>
      <c r="B1062" s="316" t="s">
        <v>33</v>
      </c>
      <c r="C1062" s="450">
        <v>0</v>
      </c>
      <c r="D1062" s="412">
        <v>0</v>
      </c>
      <c r="E1062" s="412">
        <v>0</v>
      </c>
      <c r="F1062" s="412">
        <v>-5361365.1784315286</v>
      </c>
      <c r="G1062" s="412">
        <v>-4502009.1544594252</v>
      </c>
      <c r="H1062" s="412">
        <v>-4603590.7947254106</v>
      </c>
      <c r="I1062" s="412">
        <v>-4736336.8861194775</v>
      </c>
      <c r="J1062" s="412">
        <v>-6216745.9082415542</v>
      </c>
      <c r="K1062" s="412">
        <v>-5428696.0505712898</v>
      </c>
      <c r="L1062" s="412">
        <v>-5747544.2855712585</v>
      </c>
      <c r="M1062" s="412">
        <v>-5469008.5126896938</v>
      </c>
      <c r="N1062" s="412">
        <v>-5625645.4239297472</v>
      </c>
      <c r="O1062" s="412">
        <v>-5771523.3151271502</v>
      </c>
      <c r="P1062" s="412">
        <v>-5155181.2263571536</v>
      </c>
      <c r="Q1062" s="412">
        <v>-5339503.0738667175</v>
      </c>
      <c r="R1062" s="412">
        <v>-5449845.9403154692</v>
      </c>
      <c r="S1062" s="412">
        <v>-5787353.4919860838</v>
      </c>
      <c r="T1062" s="412">
        <v>-5440712.5271806084</v>
      </c>
      <c r="U1062" s="412">
        <v>-5992275.865390229</v>
      </c>
      <c r="V1062" s="412">
        <v>-3262497.9169541397</v>
      </c>
      <c r="W1062" s="333"/>
    </row>
    <row r="1063" spans="1:23" ht="13.5" thickTop="1" x14ac:dyDescent="0.2">
      <c r="A1063" s="9"/>
      <c r="B1063" s="317" t="s">
        <v>38</v>
      </c>
      <c r="C1063" s="451">
        <v>0</v>
      </c>
      <c r="D1063" s="414">
        <v>44435991.317761555</v>
      </c>
      <c r="E1063" s="414">
        <v>42726886.108763948</v>
      </c>
      <c r="F1063" s="414">
        <v>37408423.382023655</v>
      </c>
      <c r="G1063" s="414">
        <v>36273496.447050348</v>
      </c>
      <c r="H1063" s="414">
        <v>35174950.04400491</v>
      </c>
      <c r="I1063" s="414">
        <v>36546313.400122389</v>
      </c>
      <c r="J1063" s="414">
        <v>39412620.974247359</v>
      </c>
      <c r="K1063" s="414">
        <v>41311036.908088215</v>
      </c>
      <c r="L1063" s="414">
        <v>42064668.900181204</v>
      </c>
      <c r="M1063" s="414">
        <v>42176658.888787784</v>
      </c>
      <c r="N1063" s="414">
        <v>43097545.406700149</v>
      </c>
      <c r="O1063" s="414">
        <v>42975232.337826967</v>
      </c>
      <c r="P1063" s="414">
        <v>43619513.0015461</v>
      </c>
      <c r="Q1063" s="414">
        <v>45358853.969604738</v>
      </c>
      <c r="R1063" s="414">
        <v>50270433.439532518</v>
      </c>
      <c r="S1063" s="414">
        <v>48560210.812532067</v>
      </c>
      <c r="T1063" s="414">
        <v>49501473.062733382</v>
      </c>
      <c r="U1063" s="414">
        <v>52992795.941141829</v>
      </c>
      <c r="V1063" s="414">
        <v>57637328.537392408</v>
      </c>
      <c r="W1063" s="333"/>
    </row>
    <row r="1064" spans="1:23" x14ac:dyDescent="0.2">
      <c r="A1064" s="9"/>
      <c r="B1064" s="315" t="s">
        <v>34</v>
      </c>
      <c r="C1064" s="449">
        <v>0</v>
      </c>
      <c r="D1064" s="410">
        <v>-4760452.2375842994</v>
      </c>
      <c r="E1064" s="410">
        <v>-4855661.2823359855</v>
      </c>
      <c r="F1064" s="410">
        <v>-4952774.5079827048</v>
      </c>
      <c r="G1064" s="410">
        <v>-5051829.9981423588</v>
      </c>
      <c r="H1064" s="410">
        <v>-5152866.5981052062</v>
      </c>
      <c r="I1064" s="410">
        <v>-5255923.9300673101</v>
      </c>
      <c r="J1064" s="410">
        <v>-5361042.4086686568</v>
      </c>
      <c r="K1064" s="410">
        <v>-5468263.2568420302</v>
      </c>
      <c r="L1064" s="410">
        <v>-5577628.521978871</v>
      </c>
      <c r="M1064" s="410">
        <v>-5689181.0924184481</v>
      </c>
      <c r="N1064" s="410">
        <v>-5802964.7142668171</v>
      </c>
      <c r="O1064" s="410">
        <v>-5919024.0085521536</v>
      </c>
      <c r="P1064" s="410">
        <v>-6037404.488723197</v>
      </c>
      <c r="Q1064" s="410">
        <v>-6158152.5784976613</v>
      </c>
      <c r="R1064" s="410">
        <v>-6281315.6300676148</v>
      </c>
      <c r="S1064" s="410">
        <v>-6406941.9426689669</v>
      </c>
      <c r="T1064" s="410">
        <v>-6535080.7815223467</v>
      </c>
      <c r="U1064" s="410">
        <v>-6665782.3971527936</v>
      </c>
      <c r="V1064" s="410">
        <v>-6799098.0450958498</v>
      </c>
      <c r="W1064" s="333"/>
    </row>
    <row r="1065" spans="1:23" x14ac:dyDescent="0.2">
      <c r="A1065" s="9"/>
      <c r="B1065" s="315" t="s">
        <v>35</v>
      </c>
      <c r="C1065" s="449">
        <v>0</v>
      </c>
      <c r="D1065" s="410">
        <v>-622178.02254541276</v>
      </c>
      <c r="E1065" s="410">
        <v>-634728.91178321629</v>
      </c>
      <c r="F1065" s="410">
        <v>-647554.66549532767</v>
      </c>
      <c r="G1065" s="410">
        <v>-674141.68532178691</v>
      </c>
      <c r="H1065" s="410">
        <v>-757099.3386478126</v>
      </c>
      <c r="I1065" s="410">
        <v>-954391.59431861481</v>
      </c>
      <c r="J1065" s="410">
        <v>-1070440.8160466931</v>
      </c>
      <c r="K1065" s="410">
        <v>-1188704.8829434384</v>
      </c>
      <c r="L1065" s="410">
        <v>-1294820.7134243704</v>
      </c>
      <c r="M1065" s="410">
        <v>-1356734.7117486731</v>
      </c>
      <c r="N1065" s="410">
        <v>-1373610.2474642694</v>
      </c>
      <c r="O1065" s="410">
        <v>-1389568.1303978865</v>
      </c>
      <c r="P1065" s="410">
        <v>-1405931.3435580172</v>
      </c>
      <c r="Q1065" s="410">
        <v>-1422703.6370471516</v>
      </c>
      <c r="R1065" s="410">
        <v>-1439896.9151028628</v>
      </c>
      <c r="S1065" s="410">
        <v>-1457520.0251099672</v>
      </c>
      <c r="T1065" s="410">
        <v>-1475580.1882452476</v>
      </c>
      <c r="U1065" s="410">
        <v>-1494093.6614752237</v>
      </c>
      <c r="V1065" s="410">
        <v>-1513071.8228832721</v>
      </c>
      <c r="W1065" s="333"/>
    </row>
    <row r="1066" spans="1:23" ht="13.5" thickBot="1" x14ac:dyDescent="0.25">
      <c r="A1066" s="9"/>
      <c r="B1066" s="316" t="s">
        <v>36</v>
      </c>
      <c r="C1066" s="450">
        <v>0</v>
      </c>
      <c r="D1066" s="412">
        <v>-777454.78025761305</v>
      </c>
      <c r="E1066" s="412">
        <v>-793859.07612105296</v>
      </c>
      <c r="F1066" s="412">
        <v>-811244.58988810505</v>
      </c>
      <c r="G1066" s="412">
        <v>-829578.71761956997</v>
      </c>
      <c r="H1066" s="412">
        <v>-849322.69109891704</v>
      </c>
      <c r="I1066" s="412">
        <v>-870606.80312179297</v>
      </c>
      <c r="J1066" s="412">
        <v>-892200.27723802498</v>
      </c>
      <c r="K1066" s="412">
        <v>-914783.71005299897</v>
      </c>
      <c r="L1066" s="412">
        <v>-937378.86769130896</v>
      </c>
      <c r="M1066" s="412">
        <v>-961282.02881743398</v>
      </c>
      <c r="N1066" s="412">
        <v>-984545.05391482101</v>
      </c>
      <c r="O1066" s="412">
        <v>-1009355.58927347</v>
      </c>
      <c r="P1066" s="412">
        <v>-1034993.22124101</v>
      </c>
      <c r="Q1066" s="412">
        <v>-1060868.0517720401</v>
      </c>
      <c r="R1066" s="412">
        <v>-1087495.8398715199</v>
      </c>
      <c r="S1066" s="412">
        <v>-1114683.2358683101</v>
      </c>
      <c r="T1066" s="412">
        <v>-1142327.3801178399</v>
      </c>
      <c r="U1066" s="412">
        <v>-1170999.7973588</v>
      </c>
      <c r="V1066" s="412">
        <v>-1200391.8922725101</v>
      </c>
      <c r="W1066" s="333"/>
    </row>
    <row r="1067" spans="1:23" ht="13.5" thickTop="1" x14ac:dyDescent="0.2">
      <c r="A1067" s="9"/>
      <c r="B1067" s="317" t="s">
        <v>221</v>
      </c>
      <c r="C1067" s="452">
        <v>0</v>
      </c>
      <c r="D1067" s="416">
        <v>38275906.27737423</v>
      </c>
      <c r="E1067" s="416">
        <v>36442636.838523693</v>
      </c>
      <c r="F1067" s="416">
        <v>30996849.618657518</v>
      </c>
      <c r="G1067" s="416">
        <v>29717946.045966633</v>
      </c>
      <c r="H1067" s="416">
        <v>28415661.416152973</v>
      </c>
      <c r="I1067" s="416">
        <v>29465391.072614674</v>
      </c>
      <c r="J1067" s="416">
        <v>32088937.47229398</v>
      </c>
      <c r="K1067" s="416">
        <v>33739285.058249749</v>
      </c>
      <c r="L1067" s="416">
        <v>34254840.797086656</v>
      </c>
      <c r="M1067" s="416">
        <v>34169461.055803224</v>
      </c>
      <c r="N1067" s="416">
        <v>34936425.391054243</v>
      </c>
      <c r="O1067" s="416">
        <v>34657284.609603457</v>
      </c>
      <c r="P1067" s="416">
        <v>35141183.948023871</v>
      </c>
      <c r="Q1067" s="416">
        <v>36717129.702287883</v>
      </c>
      <c r="R1067" s="416">
        <v>41461725.054490522</v>
      </c>
      <c r="S1067" s="416">
        <v>39581065.608884819</v>
      </c>
      <c r="T1067" s="416">
        <v>40348484.712847948</v>
      </c>
      <c r="U1067" s="416">
        <v>43661920.085155003</v>
      </c>
      <c r="V1067" s="416">
        <v>48124766.777140781</v>
      </c>
      <c r="W1067" s="333"/>
    </row>
    <row r="1068" spans="1:23" x14ac:dyDescent="0.2">
      <c r="A1068" s="9"/>
      <c r="B1068" s="315" t="s">
        <v>37</v>
      </c>
      <c r="C1068" s="449">
        <v>0</v>
      </c>
      <c r="D1068" s="410">
        <v>-1861976.1207840908</v>
      </c>
      <c r="E1068" s="410">
        <v>-2024526.6287447</v>
      </c>
      <c r="F1068" s="410">
        <v>-2173411.4184273728</v>
      </c>
      <c r="G1068" s="410">
        <v>-2276338.5633471273</v>
      </c>
      <c r="H1068" s="410">
        <v>-2332789.3111268454</v>
      </c>
      <c r="I1068" s="410">
        <v>-2452482.8276916118</v>
      </c>
      <c r="J1068" s="410">
        <v>-2415769.6153673129</v>
      </c>
      <c r="K1068" s="410">
        <v>-2209238.8687615786</v>
      </c>
      <c r="L1068" s="410">
        <v>-2035437.2715289977</v>
      </c>
      <c r="M1068" s="410">
        <v>-2032965.7176692411</v>
      </c>
      <c r="N1068" s="410">
        <v>-2080312.6800517892</v>
      </c>
      <c r="O1068" s="410">
        <v>-2057629.0029222695</v>
      </c>
      <c r="P1068" s="410">
        <v>-2122403.0596854305</v>
      </c>
      <c r="Q1068" s="410">
        <v>-2131721.6347423964</v>
      </c>
      <c r="R1068" s="410">
        <v>-2145091.4686703887</v>
      </c>
      <c r="S1068" s="410">
        <v>-2213573.6043491755</v>
      </c>
      <c r="T1068" s="410">
        <v>-2286455.3796949163</v>
      </c>
      <c r="U1068" s="410">
        <v>-2442751.8554885304</v>
      </c>
      <c r="V1068" s="410">
        <v>-2588366.482374134</v>
      </c>
      <c r="W1068" s="333"/>
    </row>
    <row r="1069" spans="1:23" ht="13.5" thickBot="1" x14ac:dyDescent="0.25">
      <c r="A1069" s="9"/>
      <c r="B1069" s="316" t="s">
        <v>222</v>
      </c>
      <c r="C1069" s="450">
        <v>0</v>
      </c>
      <c r="D1069" s="412">
        <v>-14565572.062636057</v>
      </c>
      <c r="E1069" s="412">
        <v>-13767244.083911598</v>
      </c>
      <c r="F1069" s="412">
        <v>-11529375.280092059</v>
      </c>
      <c r="G1069" s="412">
        <v>-10976642.993047804</v>
      </c>
      <c r="H1069" s="412">
        <v>-10433148.842010451</v>
      </c>
      <c r="I1069" s="412">
        <v>-10805163.297969226</v>
      </c>
      <c r="J1069" s="412">
        <v>-11869267.142770668</v>
      </c>
      <c r="K1069" s="412">
        <v>-12612018.475795269</v>
      </c>
      <c r="L1069" s="412">
        <v>-12887761.410223065</v>
      </c>
      <c r="M1069" s="412">
        <v>-12854598.135253593</v>
      </c>
      <c r="N1069" s="412">
        <v>-13142445.084400982</v>
      </c>
      <c r="O1069" s="412">
        <v>-13039862.242672475</v>
      </c>
      <c r="P1069" s="412">
        <v>-13207512.355335377</v>
      </c>
      <c r="Q1069" s="412">
        <v>-13834163.227018196</v>
      </c>
      <c r="R1069" s="412">
        <v>-15726653.434328053</v>
      </c>
      <c r="S1069" s="412">
        <v>-14946996.801814258</v>
      </c>
      <c r="T1069" s="412">
        <v>-15224811.733261213</v>
      </c>
      <c r="U1069" s="412">
        <v>-16487667.291866589</v>
      </c>
      <c r="V1069" s="412">
        <v>-18214560.11790666</v>
      </c>
      <c r="W1069" s="333"/>
    </row>
    <row r="1070" spans="1:23" ht="13.5" thickTop="1" x14ac:dyDescent="0.2">
      <c r="A1070" s="9"/>
      <c r="B1070" s="317" t="s">
        <v>183</v>
      </c>
      <c r="C1070" s="452">
        <v>0</v>
      </c>
      <c r="D1070" s="416">
        <v>21848358.093954086</v>
      </c>
      <c r="E1070" s="416">
        <v>20650866.125867397</v>
      </c>
      <c r="F1070" s="416">
        <v>17294062.920138083</v>
      </c>
      <c r="G1070" s="416">
        <v>16464964.489571702</v>
      </c>
      <c r="H1070" s="416">
        <v>15649723.263015674</v>
      </c>
      <c r="I1070" s="416">
        <v>16207744.946953837</v>
      </c>
      <c r="J1070" s="416">
        <v>17803900.714156002</v>
      </c>
      <c r="K1070" s="416">
        <v>18918027.713692904</v>
      </c>
      <c r="L1070" s="416">
        <v>19331642.115334593</v>
      </c>
      <c r="M1070" s="416">
        <v>19281897.20288039</v>
      </c>
      <c r="N1070" s="416">
        <v>19713667.626601472</v>
      </c>
      <c r="O1070" s="416">
        <v>19559793.36400871</v>
      </c>
      <c r="P1070" s="416">
        <v>19811268.533003062</v>
      </c>
      <c r="Q1070" s="416">
        <v>20751244.840527292</v>
      </c>
      <c r="R1070" s="416">
        <v>23589980.151492078</v>
      </c>
      <c r="S1070" s="416">
        <v>22420495.202721387</v>
      </c>
      <c r="T1070" s="416">
        <v>22837217.599891819</v>
      </c>
      <c r="U1070" s="416">
        <v>24731500.937799882</v>
      </c>
      <c r="V1070" s="416">
        <v>27321840.17685999</v>
      </c>
      <c r="W1070" s="333"/>
    </row>
    <row r="1071" spans="1:23" x14ac:dyDescent="0.2">
      <c r="A1071" s="9"/>
      <c r="B1071" s="315" t="s">
        <v>37</v>
      </c>
      <c r="C1071" s="449">
        <v>0</v>
      </c>
      <c r="D1071" s="410">
        <v>1861976.1207840908</v>
      </c>
      <c r="E1071" s="410">
        <v>2024526.6287447</v>
      </c>
      <c r="F1071" s="410">
        <v>2173411.4184273728</v>
      </c>
      <c r="G1071" s="410">
        <v>2276338.5633471273</v>
      </c>
      <c r="H1071" s="410">
        <v>2332789.3111268454</v>
      </c>
      <c r="I1071" s="410">
        <v>2452482.8276916118</v>
      </c>
      <c r="J1071" s="410">
        <v>2415769.6153673129</v>
      </c>
      <c r="K1071" s="410">
        <v>2209238.8687615786</v>
      </c>
      <c r="L1071" s="410">
        <v>2035437.2715289977</v>
      </c>
      <c r="M1071" s="410">
        <v>2032965.7176692411</v>
      </c>
      <c r="N1071" s="410">
        <v>2080312.6800517892</v>
      </c>
      <c r="O1071" s="410">
        <v>2057629.0029222695</v>
      </c>
      <c r="P1071" s="410">
        <v>2122403.0596854305</v>
      </c>
      <c r="Q1071" s="410">
        <v>2131721.6347423964</v>
      </c>
      <c r="R1071" s="410">
        <v>2145091.4686703887</v>
      </c>
      <c r="S1071" s="410">
        <v>2213573.6043491755</v>
      </c>
      <c r="T1071" s="410">
        <v>2286455.3796949163</v>
      </c>
      <c r="U1071" s="410">
        <v>2442751.8554885304</v>
      </c>
      <c r="V1071" s="410">
        <v>2588366.482374134</v>
      </c>
      <c r="W1071" s="333"/>
    </row>
    <row r="1072" spans="1:23" x14ac:dyDescent="0.2">
      <c r="A1072" s="9"/>
      <c r="B1072" s="315" t="s">
        <v>39</v>
      </c>
      <c r="C1072" s="449">
        <v>0</v>
      </c>
      <c r="D1072" s="410">
        <v>-3327231.63</v>
      </c>
      <c r="E1072" s="410">
        <v>-2131175.73</v>
      </c>
      <c r="F1072" s="410">
        <v>-3334634.44</v>
      </c>
      <c r="G1072" s="410">
        <v>-625478.57999999996</v>
      </c>
      <c r="H1072" s="410">
        <v>-2269388.4619999998</v>
      </c>
      <c r="I1072" s="410">
        <v>-2337470.1158599998</v>
      </c>
      <c r="J1072" s="410">
        <v>-2407594.2193358</v>
      </c>
      <c r="K1072" s="410">
        <v>-2479822.0459158742</v>
      </c>
      <c r="L1072" s="410">
        <v>-2554216.7072933502</v>
      </c>
      <c r="M1072" s="410">
        <v>-2630843.2085121507</v>
      </c>
      <c r="N1072" s="410">
        <v>-2709768.5047675152</v>
      </c>
      <c r="O1072" s="410">
        <v>-2791061.5599105409</v>
      </c>
      <c r="P1072" s="410">
        <v>-2874793.4067078573</v>
      </c>
      <c r="Q1072" s="410">
        <v>-2961037.2089090929</v>
      </c>
      <c r="R1072" s="410">
        <v>-3049868.3251763657</v>
      </c>
      <c r="S1072" s="410">
        <v>-3141364.3749316568</v>
      </c>
      <c r="T1072" s="410">
        <v>-3235605.3061796064</v>
      </c>
      <c r="U1072" s="410">
        <v>-3332673.4653649945</v>
      </c>
      <c r="V1072" s="410">
        <v>-3432653.6693259445</v>
      </c>
      <c r="W1072" s="333"/>
    </row>
    <row r="1073" spans="1:23" ht="13.5" thickBot="1" x14ac:dyDescent="0.25">
      <c r="A1073" s="9"/>
      <c r="B1073" s="316" t="s">
        <v>40</v>
      </c>
      <c r="C1073" s="450">
        <v>0</v>
      </c>
      <c r="D1073" s="412">
        <v>0</v>
      </c>
      <c r="E1073" s="412">
        <v>0</v>
      </c>
      <c r="F1073" s="412">
        <v>0</v>
      </c>
      <c r="G1073" s="412">
        <v>0</v>
      </c>
      <c r="H1073" s="412">
        <v>0</v>
      </c>
      <c r="I1073" s="412">
        <v>0</v>
      </c>
      <c r="J1073" s="412">
        <v>0</v>
      </c>
      <c r="K1073" s="412">
        <v>0</v>
      </c>
      <c r="L1073" s="412">
        <v>0</v>
      </c>
      <c r="M1073" s="412">
        <v>0</v>
      </c>
      <c r="N1073" s="412">
        <v>0</v>
      </c>
      <c r="O1073" s="412">
        <v>0</v>
      </c>
      <c r="P1073" s="412">
        <v>0</v>
      </c>
      <c r="Q1073" s="412">
        <v>0</v>
      </c>
      <c r="R1073" s="412">
        <v>0</v>
      </c>
      <c r="S1073" s="412">
        <v>0</v>
      </c>
      <c r="T1073" s="412">
        <v>0</v>
      </c>
      <c r="U1073" s="412">
        <v>0</v>
      </c>
      <c r="V1073" s="412">
        <v>0</v>
      </c>
      <c r="W1073" s="333"/>
    </row>
    <row r="1074" spans="1:23" ht="13.5" thickTop="1" x14ac:dyDescent="0.2">
      <c r="A1074" s="9"/>
      <c r="B1074" s="315"/>
      <c r="C1074" s="453"/>
      <c r="D1074" s="333"/>
      <c r="E1074" s="333"/>
      <c r="F1074" s="333"/>
      <c r="G1074" s="333"/>
      <c r="H1074" s="333"/>
      <c r="I1074" s="333"/>
      <c r="J1074" s="333"/>
      <c r="K1074" s="333"/>
      <c r="L1074" s="333"/>
      <c r="M1074" s="333"/>
      <c r="N1074" s="333"/>
      <c r="O1074" s="333"/>
      <c r="P1074" s="333"/>
      <c r="Q1074" s="333"/>
      <c r="R1074" s="333"/>
      <c r="S1074" s="333"/>
      <c r="T1074" s="333"/>
      <c r="U1074" s="333"/>
      <c r="V1074" s="333"/>
      <c r="W1074" s="333"/>
    </row>
    <row r="1075" spans="1:23" x14ac:dyDescent="0.2">
      <c r="A1075" s="9"/>
      <c r="B1075" s="317" t="s">
        <v>234</v>
      </c>
      <c r="C1075" s="452">
        <v>0</v>
      </c>
      <c r="D1075" s="416">
        <v>20383102.584738176</v>
      </c>
      <c r="E1075" s="416">
        <v>20544217.024612095</v>
      </c>
      <c r="F1075" s="416">
        <v>16132839.898565458</v>
      </c>
      <c r="G1075" s="416">
        <v>18115824.472918831</v>
      </c>
      <c r="H1075" s="416">
        <v>15713124.11214252</v>
      </c>
      <c r="I1075" s="416">
        <v>16322757.658785447</v>
      </c>
      <c r="J1075" s="416">
        <v>17812076.110187516</v>
      </c>
      <c r="K1075" s="416">
        <v>18647444.536538605</v>
      </c>
      <c r="L1075" s="416">
        <v>18812862.679570239</v>
      </c>
      <c r="M1075" s="416">
        <v>18684019.712037481</v>
      </c>
      <c r="N1075" s="416">
        <v>19084211.801885746</v>
      </c>
      <c r="O1075" s="416">
        <v>18826360.807020441</v>
      </c>
      <c r="P1075" s="416">
        <v>19058878.185980637</v>
      </c>
      <c r="Q1075" s="416">
        <v>19921929.266360596</v>
      </c>
      <c r="R1075" s="416">
        <v>22685203.294986099</v>
      </c>
      <c r="S1075" s="416">
        <v>21492704.432138905</v>
      </c>
      <c r="T1075" s="416">
        <v>21888067.67340713</v>
      </c>
      <c r="U1075" s="416">
        <v>23841579.327923417</v>
      </c>
      <c r="V1075" s="416">
        <v>26477552.989908181</v>
      </c>
      <c r="W1075" s="414">
        <v>130240556.20416558</v>
      </c>
    </row>
    <row r="1076" spans="1:23" x14ac:dyDescent="0.2">
      <c r="A1076" s="9"/>
      <c r="B1076" s="292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</row>
    <row r="1077" spans="1:23" x14ac:dyDescent="0.2">
      <c r="A1077" s="308" t="s">
        <v>219</v>
      </c>
      <c r="B1077" s="306" t="s">
        <v>170</v>
      </c>
      <c r="C1077" s="439">
        <v>73164477.433177382</v>
      </c>
      <c r="D1077" s="9"/>
      <c r="E1077" s="137" t="s">
        <v>220</v>
      </c>
      <c r="F1077" s="319" t="s">
        <v>170</v>
      </c>
      <c r="G1077" s="443">
        <v>73164477.433177382</v>
      </c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</row>
    <row r="1078" spans="1:23" x14ac:dyDescent="0.2">
      <c r="A1078" s="9"/>
      <c r="B1078" s="306" t="s">
        <v>180</v>
      </c>
      <c r="C1078" s="439">
        <v>93077157.614888683</v>
      </c>
      <c r="D1078" s="9"/>
      <c r="E1078" s="321"/>
      <c r="F1078" s="319" t="s">
        <v>180</v>
      </c>
      <c r="G1078" s="443">
        <v>93077157.614888683</v>
      </c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</row>
    <row r="1079" spans="1:23" ht="13.5" thickBot="1" x14ac:dyDescent="0.25">
      <c r="A1079" s="9"/>
      <c r="B1079" s="322" t="s">
        <v>137</v>
      </c>
      <c r="C1079" s="440">
        <v>20304340.21054491</v>
      </c>
      <c r="D1079" s="323"/>
      <c r="E1079" s="321"/>
      <c r="F1079" s="319" t="s">
        <v>137</v>
      </c>
      <c r="G1079" s="443">
        <v>20304340.21054491</v>
      </c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</row>
    <row r="1080" spans="1:23" ht="14.25" thickTop="1" thickBot="1" x14ac:dyDescent="0.25">
      <c r="A1080" s="9"/>
      <c r="B1080" s="306" t="s">
        <v>28</v>
      </c>
      <c r="C1080" s="438">
        <v>186545975.25861099</v>
      </c>
      <c r="D1080" s="305"/>
      <c r="E1080" s="321"/>
      <c r="F1080" s="324" t="s">
        <v>204</v>
      </c>
      <c r="G1080" s="325">
        <v>0</v>
      </c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</row>
    <row r="1081" spans="1:23" ht="13.5" thickTop="1" x14ac:dyDescent="0.2">
      <c r="A1081" s="9"/>
      <c r="B1081" s="292"/>
      <c r="C1081" s="326"/>
      <c r="D1081" s="9"/>
      <c r="E1081" s="327"/>
      <c r="F1081" s="319" t="s">
        <v>28</v>
      </c>
      <c r="G1081" s="368">
        <v>186545975.25861099</v>
      </c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</row>
    <row r="1082" spans="1:23" x14ac:dyDescent="0.2">
      <c r="A1082" s="9"/>
      <c r="B1082" s="292"/>
      <c r="C1082" s="326"/>
      <c r="D1082" s="9"/>
      <c r="E1082" s="327"/>
      <c r="F1082" s="319"/>
      <c r="G1082" s="328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</row>
    <row r="1083" spans="1:23" x14ac:dyDescent="0.2">
      <c r="A1083" s="9"/>
      <c r="B1083" s="292"/>
      <c r="C1083" s="326"/>
      <c r="D1083" s="9"/>
      <c r="E1083" s="327"/>
      <c r="F1083" s="319"/>
      <c r="G1083" s="328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</row>
    <row r="1084" spans="1:23" x14ac:dyDescent="0.2">
      <c r="A1084" s="9"/>
      <c r="B1084" s="329" t="s">
        <v>223</v>
      </c>
      <c r="C1084" s="326"/>
      <c r="D1084" s="9"/>
      <c r="E1084" s="327"/>
      <c r="F1084" s="319"/>
      <c r="G1084" s="328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</row>
    <row r="1085" spans="1:23" x14ac:dyDescent="0.2">
      <c r="A1085" s="330" t="s">
        <v>225</v>
      </c>
      <c r="B1085" s="329" t="s">
        <v>224</v>
      </c>
      <c r="C1085" s="331"/>
      <c r="D1085" s="332">
        <v>21848358.093954086</v>
      </c>
      <c r="E1085" s="332">
        <v>20650866.125867397</v>
      </c>
      <c r="F1085" s="332">
        <v>17294062.920138083</v>
      </c>
      <c r="G1085" s="332">
        <v>16464964.489571702</v>
      </c>
      <c r="H1085" s="332">
        <v>15649723.263015674</v>
      </c>
      <c r="I1085" s="332">
        <v>16207744.946953837</v>
      </c>
      <c r="J1085" s="332">
        <v>17803900.714156002</v>
      </c>
      <c r="K1085" s="332">
        <v>18918027.713692904</v>
      </c>
      <c r="L1085" s="332">
        <v>19331642.115334593</v>
      </c>
      <c r="M1085" s="332">
        <v>19281897.20288039</v>
      </c>
      <c r="N1085" s="332">
        <v>19713667.626601472</v>
      </c>
      <c r="O1085" s="332">
        <v>19559793.36400871</v>
      </c>
      <c r="P1085" s="332">
        <v>19811268.533003062</v>
      </c>
      <c r="Q1085" s="332">
        <v>20751244.840527292</v>
      </c>
      <c r="R1085" s="332">
        <v>23589980.151492078</v>
      </c>
      <c r="S1085" s="332">
        <v>22420495.202721387</v>
      </c>
      <c r="T1085" s="332">
        <v>22837217.599891819</v>
      </c>
      <c r="U1085" s="332">
        <v>24731500.937799882</v>
      </c>
      <c r="V1085" s="332">
        <v>27321840.17685999</v>
      </c>
      <c r="W1085" s="9"/>
    </row>
    <row r="1086" spans="1:23" x14ac:dyDescent="0.2">
      <c r="A1086" s="9"/>
      <c r="B1086" s="292" t="s">
        <v>226</v>
      </c>
      <c r="C1086" s="326"/>
      <c r="D1086" s="333">
        <v>14565572.062636057</v>
      </c>
      <c r="E1086" s="333">
        <v>13767244.083911598</v>
      </c>
      <c r="F1086" s="333">
        <v>11529375.280092059</v>
      </c>
      <c r="G1086" s="333">
        <v>10976642.993047804</v>
      </c>
      <c r="H1086" s="333">
        <v>10433148.842010451</v>
      </c>
      <c r="I1086" s="333">
        <v>10805163.297969226</v>
      </c>
      <c r="J1086" s="333">
        <v>11869267.142770668</v>
      </c>
      <c r="K1086" s="333">
        <v>12612018.475795269</v>
      </c>
      <c r="L1086" s="333">
        <v>12887761.410223065</v>
      </c>
      <c r="M1086" s="333">
        <v>12854598.135253593</v>
      </c>
      <c r="N1086" s="333">
        <v>13142445.084400982</v>
      </c>
      <c r="O1086" s="333">
        <v>13039862.242672475</v>
      </c>
      <c r="P1086" s="333">
        <v>13207512.355335377</v>
      </c>
      <c r="Q1086" s="333">
        <v>13834163.227018196</v>
      </c>
      <c r="R1086" s="333">
        <v>15726653.434328053</v>
      </c>
      <c r="S1086" s="333">
        <v>14946996.801814258</v>
      </c>
      <c r="T1086" s="333">
        <v>15224811.733261213</v>
      </c>
      <c r="U1086" s="333">
        <v>16487667.291866589</v>
      </c>
      <c r="V1086" s="333">
        <v>18214560.11790666</v>
      </c>
      <c r="W1086" s="9"/>
    </row>
    <row r="1087" spans="1:23" x14ac:dyDescent="0.2">
      <c r="A1087" s="9"/>
      <c r="B1087" s="334" t="s">
        <v>227</v>
      </c>
      <c r="C1087" s="335"/>
      <c r="D1087" s="333">
        <v>1861976.1207840908</v>
      </c>
      <c r="E1087" s="333">
        <v>2024526.6287447</v>
      </c>
      <c r="F1087" s="333">
        <v>2173411.4184273728</v>
      </c>
      <c r="G1087" s="333">
        <v>2276338.5633471273</v>
      </c>
      <c r="H1087" s="333">
        <v>2332789.3111268454</v>
      </c>
      <c r="I1087" s="333">
        <v>2452482.8276916118</v>
      </c>
      <c r="J1087" s="333">
        <v>2415769.6153673129</v>
      </c>
      <c r="K1087" s="333">
        <v>2209238.8687615786</v>
      </c>
      <c r="L1087" s="333">
        <v>2035437.2715289977</v>
      </c>
      <c r="M1087" s="333">
        <v>2032965.7176692411</v>
      </c>
      <c r="N1087" s="333">
        <v>2080312.6800517892</v>
      </c>
      <c r="O1087" s="333">
        <v>2057629.0029222695</v>
      </c>
      <c r="P1087" s="333">
        <v>2122403.0596854305</v>
      </c>
      <c r="Q1087" s="333">
        <v>2131721.6347423964</v>
      </c>
      <c r="R1087" s="333">
        <v>2145091.4686703887</v>
      </c>
      <c r="S1087" s="333">
        <v>2213573.6043491755</v>
      </c>
      <c r="T1087" s="333">
        <v>2286455.3796949163</v>
      </c>
      <c r="U1087" s="333">
        <v>2442751.8554885304</v>
      </c>
      <c r="V1087" s="333">
        <v>2588366.482374134</v>
      </c>
      <c r="W1087" s="9"/>
    </row>
    <row r="1088" spans="1:23" ht="13.5" thickBot="1" x14ac:dyDescent="0.25">
      <c r="A1088" s="9"/>
      <c r="B1088" s="336" t="s">
        <v>228</v>
      </c>
      <c r="C1088" s="337"/>
      <c r="D1088" s="338">
        <v>38275906.27737423</v>
      </c>
      <c r="E1088" s="338">
        <v>36442636.838523693</v>
      </c>
      <c r="F1088" s="338">
        <v>30996849.618657518</v>
      </c>
      <c r="G1088" s="338">
        <v>29717946.045966633</v>
      </c>
      <c r="H1088" s="338">
        <v>28415661.416152973</v>
      </c>
      <c r="I1088" s="338">
        <v>29465391.072614674</v>
      </c>
      <c r="J1088" s="338">
        <v>32088937.472293984</v>
      </c>
      <c r="K1088" s="338">
        <v>33739285.058249749</v>
      </c>
      <c r="L1088" s="338">
        <v>34254840.797086656</v>
      </c>
      <c r="M1088" s="338">
        <v>34169461.055803224</v>
      </c>
      <c r="N1088" s="338">
        <v>34936425.391054243</v>
      </c>
      <c r="O1088" s="338">
        <v>34657284.60960345</v>
      </c>
      <c r="P1088" s="338">
        <v>35141183.948023871</v>
      </c>
      <c r="Q1088" s="338">
        <v>36717129.702287883</v>
      </c>
      <c r="R1088" s="338">
        <v>41461725.054490522</v>
      </c>
      <c r="S1088" s="338">
        <v>39581065.608884819</v>
      </c>
      <c r="T1088" s="338">
        <v>40348484.712847948</v>
      </c>
      <c r="U1088" s="338">
        <v>43661920.085155003</v>
      </c>
      <c r="V1088" s="338">
        <v>48124766.777140781</v>
      </c>
      <c r="W1088" s="9"/>
    </row>
    <row r="1089" spans="1:23" ht="13.5" thickTop="1" x14ac:dyDescent="0.2">
      <c r="A1089" s="330" t="s">
        <v>229</v>
      </c>
      <c r="B1089" s="292" t="s">
        <v>230</v>
      </c>
      <c r="C1089" s="326"/>
      <c r="D1089" s="333">
        <v>-2823977.1714307126</v>
      </c>
      <c r="E1089" s="333">
        <v>-2925700.4930432439</v>
      </c>
      <c r="F1089" s="333">
        <v>-3074944.9058857001</v>
      </c>
      <c r="G1089" s="333">
        <v>-3031155.2608406879</v>
      </c>
      <c r="H1089" s="333">
        <v>-2929114.7054602108</v>
      </c>
      <c r="I1089" s="333">
        <v>-3045988.2112532109</v>
      </c>
      <c r="J1089" s="333">
        <v>-2131730.0258520064</v>
      </c>
      <c r="K1089" s="333">
        <v>-1356652.516016053</v>
      </c>
      <c r="L1089" s="333">
        <v>-1483458.7568028886</v>
      </c>
      <c r="M1089" s="333">
        <v>-1580689.4470034344</v>
      </c>
      <c r="N1089" s="333">
        <v>-1457747.4906226769</v>
      </c>
      <c r="O1089" s="333">
        <v>-1597300.568618204</v>
      </c>
      <c r="P1089" s="333">
        <v>-1741040.2389535969</v>
      </c>
      <c r="Q1089" s="333">
        <v>-1889092.0993990516</v>
      </c>
      <c r="R1089" s="333">
        <v>-2041585.5156578699</v>
      </c>
      <c r="S1089" s="333">
        <v>-2197025.7754888861</v>
      </c>
      <c r="T1089" s="333">
        <v>-2354404.994404031</v>
      </c>
      <c r="U1089" s="333">
        <v>-2521038.6676722807</v>
      </c>
      <c r="V1089" s="333">
        <v>-2692671.3511385778</v>
      </c>
      <c r="W1089" s="9"/>
    </row>
    <row r="1090" spans="1:23" x14ac:dyDescent="0.2">
      <c r="A1090" s="9"/>
      <c r="B1090" s="292" t="s">
        <v>231</v>
      </c>
      <c r="C1090" s="326"/>
      <c r="D1090" s="333">
        <v>0</v>
      </c>
      <c r="E1090" s="333">
        <v>0</v>
      </c>
      <c r="F1090" s="333">
        <v>0</v>
      </c>
      <c r="G1090" s="333">
        <v>0</v>
      </c>
      <c r="H1090" s="333">
        <v>0</v>
      </c>
      <c r="I1090" s="333">
        <v>0</v>
      </c>
      <c r="J1090" s="333">
        <v>0</v>
      </c>
      <c r="K1090" s="333">
        <v>0</v>
      </c>
      <c r="L1090" s="333">
        <v>0</v>
      </c>
      <c r="M1090" s="333">
        <v>0</v>
      </c>
      <c r="N1090" s="333">
        <v>0</v>
      </c>
      <c r="O1090" s="333">
        <v>0</v>
      </c>
      <c r="P1090" s="333">
        <v>0</v>
      </c>
      <c r="Q1090" s="333">
        <v>0</v>
      </c>
      <c r="R1090" s="333">
        <v>0</v>
      </c>
      <c r="S1090" s="333">
        <v>0</v>
      </c>
      <c r="T1090" s="333">
        <v>0</v>
      </c>
      <c r="U1090" s="333">
        <v>0</v>
      </c>
      <c r="V1090" s="333">
        <v>0</v>
      </c>
      <c r="W1090" s="9"/>
    </row>
    <row r="1091" spans="1:23" x14ac:dyDescent="0.2">
      <c r="A1091" s="9"/>
      <c r="B1091" s="329" t="s">
        <v>232</v>
      </c>
      <c r="C1091" s="331"/>
      <c r="D1091" s="332">
        <v>35451929.105943516</v>
      </c>
      <c r="E1091" s="332">
        <v>33516936.345480449</v>
      </c>
      <c r="F1091" s="332">
        <v>27921904.712771818</v>
      </c>
      <c r="G1091" s="332">
        <v>26686790.785125945</v>
      </c>
      <c r="H1091" s="332">
        <v>25486546.710692763</v>
      </c>
      <c r="I1091" s="332">
        <v>26419402.861361463</v>
      </c>
      <c r="J1091" s="332">
        <v>29957207.446441978</v>
      </c>
      <c r="K1091" s="332">
        <v>32382632.542233698</v>
      </c>
      <c r="L1091" s="332">
        <v>32771382.040283769</v>
      </c>
      <c r="M1091" s="332">
        <v>32588771.608799789</v>
      </c>
      <c r="N1091" s="332">
        <v>33478677.900431566</v>
      </c>
      <c r="O1091" s="332">
        <v>33059984.040985245</v>
      </c>
      <c r="P1091" s="332">
        <v>33400143.709070273</v>
      </c>
      <c r="Q1091" s="332">
        <v>34828037.60288883</v>
      </c>
      <c r="R1091" s="332">
        <v>39420139.53883265</v>
      </c>
      <c r="S1091" s="332">
        <v>37384039.833395936</v>
      </c>
      <c r="T1091" s="332">
        <v>37994079.718443915</v>
      </c>
      <c r="U1091" s="332">
        <v>41140881.417482719</v>
      </c>
      <c r="V1091" s="332">
        <v>45432095.426002204</v>
      </c>
      <c r="W1091" s="9"/>
    </row>
    <row r="1092" spans="1:23" ht="13.5" thickBot="1" x14ac:dyDescent="0.25">
      <c r="A1092" s="9"/>
      <c r="B1092" s="339" t="s">
        <v>238</v>
      </c>
      <c r="C1092" s="340"/>
      <c r="D1092" s="341">
        <v>-14180771.642377406</v>
      </c>
      <c r="E1092" s="341">
        <v>-13406774.538192181</v>
      </c>
      <c r="F1092" s="341">
        <v>-11168761.885108728</v>
      </c>
      <c r="G1092" s="341">
        <v>-10674716.314050378</v>
      </c>
      <c r="H1092" s="341">
        <v>-10194618.684277106</v>
      </c>
      <c r="I1092" s="341">
        <v>-10567761.144544587</v>
      </c>
      <c r="J1092" s="341">
        <v>-11982882.978576792</v>
      </c>
      <c r="K1092" s="341">
        <v>-12953053.01689348</v>
      </c>
      <c r="L1092" s="341">
        <v>-13108552.816113509</v>
      </c>
      <c r="M1092" s="341">
        <v>-13035508.643519916</v>
      </c>
      <c r="N1092" s="341">
        <v>-13391471.160172626</v>
      </c>
      <c r="O1092" s="341">
        <v>-13223993.616394099</v>
      </c>
      <c r="P1092" s="341">
        <v>-13360057.483628109</v>
      </c>
      <c r="Q1092" s="341">
        <v>-13931215.041155532</v>
      </c>
      <c r="R1092" s="341">
        <v>-15768055.815533061</v>
      </c>
      <c r="S1092" s="341">
        <v>-14953615.933358375</v>
      </c>
      <c r="T1092" s="341">
        <v>-15197631.887377568</v>
      </c>
      <c r="U1092" s="341">
        <v>-16456352.566993088</v>
      </c>
      <c r="V1092" s="341">
        <v>-18172838.170400884</v>
      </c>
      <c r="W1092" s="9"/>
    </row>
    <row r="1093" spans="1:23" ht="13.5" thickTop="1" x14ac:dyDescent="0.2">
      <c r="A1093" s="9"/>
      <c r="B1093" s="329" t="s">
        <v>233</v>
      </c>
      <c r="C1093" s="331"/>
      <c r="D1093" s="332">
        <v>21271157.46356611</v>
      </c>
      <c r="E1093" s="332">
        <v>20110161.807288267</v>
      </c>
      <c r="F1093" s="332">
        <v>16753142.82766309</v>
      </c>
      <c r="G1093" s="332">
        <v>16012074.471075566</v>
      </c>
      <c r="H1093" s="332">
        <v>15291928.026415657</v>
      </c>
      <c r="I1093" s="332">
        <v>15851641.716816876</v>
      </c>
      <c r="J1093" s="332">
        <v>17974324.467865184</v>
      </c>
      <c r="K1093" s="332">
        <v>19429579.525340218</v>
      </c>
      <c r="L1093" s="332">
        <v>19662829.22417026</v>
      </c>
      <c r="M1093" s="332">
        <v>19553262.965279873</v>
      </c>
      <c r="N1093" s="332">
        <v>20087206.74025894</v>
      </c>
      <c r="O1093" s="332">
        <v>19835990.424591146</v>
      </c>
      <c r="P1093" s="332">
        <v>20040086.225442164</v>
      </c>
      <c r="Q1093" s="332">
        <v>20896822.561733298</v>
      </c>
      <c r="R1093" s="332">
        <v>23652083.723299589</v>
      </c>
      <c r="S1093" s="332">
        <v>22430423.900037561</v>
      </c>
      <c r="T1093" s="332">
        <v>22796447.831066348</v>
      </c>
      <c r="U1093" s="332">
        <v>24684528.850489631</v>
      </c>
      <c r="V1093" s="332">
        <v>27259257.25560132</v>
      </c>
      <c r="W1093" s="9"/>
    </row>
    <row r="1094" spans="1:23" x14ac:dyDescent="0.2">
      <c r="A1094" s="9"/>
      <c r="B1094" s="9"/>
      <c r="C1094" s="326"/>
      <c r="D1094" s="9"/>
      <c r="E1094" s="327"/>
      <c r="F1094" s="319"/>
      <c r="G1094" s="328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</row>
    <row r="1095" spans="1:23" ht="15.75" x14ac:dyDescent="0.25">
      <c r="A1095" s="342" t="s">
        <v>206</v>
      </c>
      <c r="B1095" s="343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</row>
    <row r="1096" spans="1:23" x14ac:dyDescent="0.2">
      <c r="A1096" s="290" t="s">
        <v>191</v>
      </c>
      <c r="B1096" s="309"/>
      <c r="C1096" s="344">
        <v>0</v>
      </c>
      <c r="D1096" s="283"/>
      <c r="E1096" s="283"/>
      <c r="F1096" s="283"/>
      <c r="G1096" s="283"/>
      <c r="H1096" s="283"/>
      <c r="I1096" s="283"/>
      <c r="J1096" s="283"/>
      <c r="K1096" s="283"/>
      <c r="L1096" s="283"/>
      <c r="M1096" s="283"/>
      <c r="N1096" s="283"/>
      <c r="O1096" s="283"/>
      <c r="P1096" s="283"/>
      <c r="Q1096" s="283"/>
      <c r="R1096" s="283"/>
      <c r="S1096" s="283"/>
      <c r="T1096" s="283"/>
      <c r="U1096" s="283"/>
      <c r="V1096" s="283"/>
      <c r="W1096" s="283"/>
    </row>
    <row r="1097" spans="1:23" x14ac:dyDescent="0.2">
      <c r="A1097" s="290" t="s">
        <v>192</v>
      </c>
      <c r="B1097" s="309"/>
      <c r="C1097" s="345">
        <v>0</v>
      </c>
      <c r="D1097" s="283"/>
      <c r="E1097" s="283"/>
      <c r="F1097" s="283"/>
      <c r="G1097" s="283"/>
      <c r="H1097" s="283"/>
      <c r="I1097" s="283"/>
      <c r="J1097" s="283"/>
      <c r="K1097" s="283"/>
      <c r="L1097" s="283"/>
      <c r="M1097" s="283"/>
      <c r="N1097" s="283"/>
      <c r="O1097" s="283"/>
      <c r="P1097" s="283"/>
      <c r="Q1097" s="283"/>
      <c r="R1097" s="283"/>
      <c r="S1097" s="283"/>
      <c r="T1097" s="283"/>
      <c r="U1097" s="283"/>
      <c r="V1097" s="283"/>
      <c r="W1097" s="283"/>
    </row>
    <row r="1098" spans="1:23" x14ac:dyDescent="0.2">
      <c r="A1098" s="290" t="s">
        <v>202</v>
      </c>
      <c r="B1098" s="309"/>
      <c r="C1098" s="290">
        <v>15</v>
      </c>
      <c r="D1098" s="283"/>
      <c r="E1098" s="283"/>
      <c r="F1098" s="283"/>
      <c r="G1098" s="283"/>
      <c r="H1098" s="283"/>
      <c r="I1098" s="283"/>
      <c r="J1098" s="283"/>
      <c r="K1098" s="283"/>
      <c r="L1098" s="283"/>
      <c r="M1098" s="283"/>
      <c r="N1098" s="283"/>
      <c r="O1098" s="283"/>
      <c r="P1098" s="283"/>
      <c r="Q1098" s="283"/>
      <c r="R1098" s="283"/>
      <c r="S1098" s="283"/>
      <c r="T1098" s="283"/>
      <c r="U1098" s="283"/>
      <c r="V1098" s="283"/>
      <c r="W1098" s="283"/>
    </row>
    <row r="1099" spans="1:23" x14ac:dyDescent="0.2">
      <c r="A1099" s="290" t="s">
        <v>193</v>
      </c>
      <c r="B1099" s="309"/>
      <c r="C1099" s="345">
        <v>0</v>
      </c>
      <c r="D1099" s="283"/>
      <c r="E1099" s="283"/>
      <c r="F1099" s="283"/>
      <c r="G1099" s="283"/>
      <c r="H1099" s="283"/>
      <c r="I1099" s="283"/>
      <c r="J1099" s="283"/>
      <c r="K1099" s="283"/>
      <c r="L1099" s="283"/>
      <c r="M1099" s="283"/>
      <c r="N1099" s="283"/>
      <c r="O1099" s="283"/>
      <c r="P1099" s="283"/>
      <c r="Q1099" s="283"/>
      <c r="R1099" s="283"/>
      <c r="S1099" s="283"/>
      <c r="T1099" s="283"/>
      <c r="U1099" s="283"/>
      <c r="V1099" s="283"/>
      <c r="W1099" s="283"/>
    </row>
    <row r="1100" spans="1:23" x14ac:dyDescent="0.2">
      <c r="A1100" s="290" t="s">
        <v>194</v>
      </c>
      <c r="B1100" s="309"/>
      <c r="C1100" s="346">
        <v>8.7499999999999994E-2</v>
      </c>
      <c r="D1100" s="283"/>
      <c r="E1100" s="283"/>
      <c r="F1100" s="283"/>
      <c r="G1100" s="283"/>
      <c r="H1100" s="283"/>
      <c r="I1100" s="283"/>
      <c r="J1100" s="283"/>
      <c r="K1100" s="283"/>
      <c r="L1100" s="283"/>
      <c r="M1100" s="283"/>
      <c r="N1100" s="283"/>
      <c r="O1100" s="283"/>
      <c r="P1100" s="283"/>
      <c r="Q1100" s="283"/>
      <c r="R1100" s="283"/>
      <c r="S1100" s="283"/>
      <c r="T1100" s="283"/>
      <c r="U1100" s="283"/>
      <c r="V1100" s="283"/>
      <c r="W1100" s="283"/>
    </row>
    <row r="1101" spans="1:23" x14ac:dyDescent="0.2">
      <c r="A1101" s="290"/>
      <c r="B1101" s="309"/>
      <c r="C1101" s="283"/>
      <c r="D1101" s="312">
        <v>2001</v>
      </c>
      <c r="E1101" s="312">
        <v>2002</v>
      </c>
      <c r="F1101" s="312">
        <v>2003</v>
      </c>
      <c r="G1101" s="312">
        <v>2004</v>
      </c>
      <c r="H1101" s="312">
        <v>2005</v>
      </c>
      <c r="I1101" s="312">
        <v>2006</v>
      </c>
      <c r="J1101" s="312">
        <v>2007</v>
      </c>
      <c r="K1101" s="312">
        <v>2008</v>
      </c>
      <c r="L1101" s="312">
        <v>2009</v>
      </c>
      <c r="M1101" s="312">
        <v>2010</v>
      </c>
      <c r="N1101" s="312">
        <v>2011</v>
      </c>
      <c r="O1101" s="312">
        <v>2012</v>
      </c>
      <c r="P1101" s="312">
        <v>2013</v>
      </c>
      <c r="Q1101" s="312">
        <v>2014</v>
      </c>
      <c r="R1101" s="312">
        <v>2015</v>
      </c>
      <c r="S1101" s="312">
        <v>2016</v>
      </c>
      <c r="T1101" s="312">
        <v>2017</v>
      </c>
      <c r="U1101" s="312">
        <v>2018</v>
      </c>
      <c r="V1101" s="312">
        <v>2019</v>
      </c>
      <c r="W1101" s="312" t="s">
        <v>154</v>
      </c>
    </row>
    <row r="1102" spans="1:23" x14ac:dyDescent="0.2">
      <c r="A1102" s="290" t="s">
        <v>195</v>
      </c>
      <c r="B1102" s="309"/>
      <c r="C1102" s="283"/>
      <c r="D1102" s="347">
        <v>0</v>
      </c>
      <c r="E1102" s="347">
        <v>0</v>
      </c>
      <c r="F1102" s="347">
        <v>0</v>
      </c>
      <c r="G1102" s="347">
        <v>0</v>
      </c>
      <c r="H1102" s="347">
        <v>0</v>
      </c>
      <c r="I1102" s="347">
        <v>0</v>
      </c>
      <c r="J1102" s="347">
        <v>0</v>
      </c>
      <c r="K1102" s="347">
        <v>0</v>
      </c>
      <c r="L1102" s="347">
        <v>0</v>
      </c>
      <c r="M1102" s="347">
        <v>0</v>
      </c>
      <c r="N1102" s="347">
        <v>0</v>
      </c>
      <c r="O1102" s="347">
        <v>0</v>
      </c>
      <c r="P1102" s="347">
        <v>0</v>
      </c>
      <c r="Q1102" s="347">
        <v>0</v>
      </c>
      <c r="R1102" s="347">
        <v>0</v>
      </c>
      <c r="S1102" s="347">
        <v>0</v>
      </c>
      <c r="T1102" s="347">
        <v>0</v>
      </c>
      <c r="U1102" s="347">
        <v>0</v>
      </c>
      <c r="V1102" s="347">
        <v>0</v>
      </c>
      <c r="W1102" s="347">
        <v>0</v>
      </c>
    </row>
    <row r="1103" spans="1:23" x14ac:dyDescent="0.2">
      <c r="A1103" s="290" t="s">
        <v>196</v>
      </c>
      <c r="B1103" s="309"/>
      <c r="C1103" s="283"/>
      <c r="D1103" s="347">
        <v>0</v>
      </c>
      <c r="E1103" s="347">
        <v>0</v>
      </c>
      <c r="F1103" s="347">
        <v>0</v>
      </c>
      <c r="G1103" s="347">
        <v>0</v>
      </c>
      <c r="H1103" s="347">
        <v>0</v>
      </c>
      <c r="I1103" s="347">
        <v>0</v>
      </c>
      <c r="J1103" s="347">
        <v>0</v>
      </c>
      <c r="K1103" s="347">
        <v>0</v>
      </c>
      <c r="L1103" s="347">
        <v>0</v>
      </c>
      <c r="M1103" s="347">
        <v>0</v>
      </c>
      <c r="N1103" s="347">
        <v>0</v>
      </c>
      <c r="O1103" s="347">
        <v>0</v>
      </c>
      <c r="P1103" s="347">
        <v>0</v>
      </c>
      <c r="Q1103" s="347">
        <v>0</v>
      </c>
      <c r="R1103" s="347">
        <v>0</v>
      </c>
      <c r="S1103" s="347">
        <v>0</v>
      </c>
      <c r="T1103" s="347">
        <v>0</v>
      </c>
      <c r="U1103" s="347">
        <v>0</v>
      </c>
      <c r="V1103" s="347">
        <v>0</v>
      </c>
      <c r="W1103" s="347">
        <v>0</v>
      </c>
    </row>
    <row r="1104" spans="1:23" x14ac:dyDescent="0.2">
      <c r="A1104" s="290" t="s">
        <v>197</v>
      </c>
      <c r="B1104" s="309"/>
      <c r="C1104" s="283"/>
      <c r="D1104" s="347">
        <v>0</v>
      </c>
      <c r="E1104" s="347">
        <v>0</v>
      </c>
      <c r="F1104" s="347">
        <v>0</v>
      </c>
      <c r="G1104" s="347">
        <v>0</v>
      </c>
      <c r="H1104" s="347">
        <v>0</v>
      </c>
      <c r="I1104" s="347">
        <v>0</v>
      </c>
      <c r="J1104" s="347">
        <v>0</v>
      </c>
      <c r="K1104" s="347">
        <v>0</v>
      </c>
      <c r="L1104" s="347">
        <v>0</v>
      </c>
      <c r="M1104" s="347">
        <v>0</v>
      </c>
      <c r="N1104" s="347">
        <v>0</v>
      </c>
      <c r="O1104" s="347">
        <v>0</v>
      </c>
      <c r="P1104" s="347">
        <v>0</v>
      </c>
      <c r="Q1104" s="347">
        <v>0</v>
      </c>
      <c r="R1104" s="347">
        <v>0</v>
      </c>
      <c r="S1104" s="347">
        <v>0</v>
      </c>
      <c r="T1104" s="347">
        <v>0</v>
      </c>
      <c r="U1104" s="347">
        <v>0</v>
      </c>
      <c r="V1104" s="347">
        <v>0</v>
      </c>
      <c r="W1104" s="347">
        <v>0</v>
      </c>
    </row>
    <row r="1105" spans="1:23" x14ac:dyDescent="0.2">
      <c r="A1105" s="290" t="s">
        <v>198</v>
      </c>
      <c r="B1105" s="309"/>
      <c r="C1105" s="283"/>
      <c r="D1105" s="348">
        <v>0</v>
      </c>
      <c r="E1105" s="348">
        <v>0</v>
      </c>
      <c r="F1105" s="348">
        <v>0</v>
      </c>
      <c r="G1105" s="348">
        <v>0</v>
      </c>
      <c r="H1105" s="348">
        <v>0</v>
      </c>
      <c r="I1105" s="348">
        <v>0</v>
      </c>
      <c r="J1105" s="348">
        <v>0</v>
      </c>
      <c r="K1105" s="348">
        <v>0</v>
      </c>
      <c r="L1105" s="348">
        <v>0</v>
      </c>
      <c r="M1105" s="348">
        <v>0</v>
      </c>
      <c r="N1105" s="348">
        <v>0</v>
      </c>
      <c r="O1105" s="348">
        <v>0</v>
      </c>
      <c r="P1105" s="348">
        <v>0</v>
      </c>
      <c r="Q1105" s="348">
        <v>0</v>
      </c>
      <c r="R1105" s="348">
        <v>0</v>
      </c>
      <c r="S1105" s="348">
        <v>0</v>
      </c>
      <c r="T1105" s="348">
        <v>0</v>
      </c>
      <c r="U1105" s="348">
        <v>0</v>
      </c>
      <c r="V1105" s="348">
        <v>0</v>
      </c>
      <c r="W1105" s="348">
        <v>0</v>
      </c>
    </row>
    <row r="1106" spans="1:23" ht="13.5" thickBot="1" x14ac:dyDescent="0.25">
      <c r="A1106" s="290" t="s">
        <v>199</v>
      </c>
      <c r="B1106" s="309"/>
      <c r="C1106" s="283"/>
      <c r="D1106" s="349">
        <v>0</v>
      </c>
      <c r="E1106" s="349">
        <v>0</v>
      </c>
      <c r="F1106" s="349">
        <v>0</v>
      </c>
      <c r="G1106" s="349">
        <v>0</v>
      </c>
      <c r="H1106" s="349">
        <v>0</v>
      </c>
      <c r="I1106" s="349">
        <v>0</v>
      </c>
      <c r="J1106" s="349">
        <v>0</v>
      </c>
      <c r="K1106" s="349">
        <v>0</v>
      </c>
      <c r="L1106" s="349">
        <v>0</v>
      </c>
      <c r="M1106" s="349">
        <v>0</v>
      </c>
      <c r="N1106" s="349">
        <v>0</v>
      </c>
      <c r="O1106" s="349">
        <v>0</v>
      </c>
      <c r="P1106" s="349">
        <v>0</v>
      </c>
      <c r="Q1106" s="349">
        <v>0</v>
      </c>
      <c r="R1106" s="349">
        <v>0</v>
      </c>
      <c r="S1106" s="349">
        <v>0</v>
      </c>
      <c r="T1106" s="349">
        <v>0</v>
      </c>
      <c r="U1106" s="349">
        <v>0</v>
      </c>
      <c r="V1106" s="349">
        <v>0</v>
      </c>
      <c r="W1106" s="349">
        <v>0</v>
      </c>
    </row>
    <row r="1107" spans="1:23" ht="13.5" thickTop="1" x14ac:dyDescent="0.2">
      <c r="A1107" s="290"/>
      <c r="B1107" s="309"/>
      <c r="C1107" s="283"/>
      <c r="D1107" s="347"/>
      <c r="E1107" s="347"/>
      <c r="F1107" s="347"/>
      <c r="G1107" s="347"/>
      <c r="H1107" s="347"/>
      <c r="I1107" s="347"/>
      <c r="J1107" s="347"/>
      <c r="K1107" s="347"/>
      <c r="L1107" s="347"/>
      <c r="M1107" s="347"/>
      <c r="N1107" s="347"/>
      <c r="O1107" s="347"/>
      <c r="P1107" s="347"/>
      <c r="Q1107" s="347"/>
      <c r="R1107" s="347"/>
      <c r="S1107" s="347"/>
      <c r="T1107" s="347"/>
      <c r="U1107" s="347"/>
      <c r="V1107" s="347"/>
      <c r="W1107" s="347"/>
    </row>
    <row r="1108" spans="1:23" x14ac:dyDescent="0.2">
      <c r="A1108" s="290" t="s">
        <v>200</v>
      </c>
      <c r="B1108" s="309"/>
      <c r="C1108" s="283"/>
      <c r="D1108" s="347">
        <v>0</v>
      </c>
      <c r="E1108" s="347">
        <v>0</v>
      </c>
      <c r="F1108" s="347">
        <v>0</v>
      </c>
      <c r="G1108" s="347">
        <v>0</v>
      </c>
      <c r="H1108" s="347">
        <v>0</v>
      </c>
      <c r="I1108" s="347">
        <v>0</v>
      </c>
      <c r="J1108" s="347">
        <v>0</v>
      </c>
      <c r="K1108" s="347">
        <v>0</v>
      </c>
      <c r="L1108" s="347">
        <v>0</v>
      </c>
      <c r="M1108" s="347">
        <v>0</v>
      </c>
      <c r="N1108" s="347">
        <v>0</v>
      </c>
      <c r="O1108" s="347">
        <v>0</v>
      </c>
      <c r="P1108" s="347">
        <v>0</v>
      </c>
      <c r="Q1108" s="347">
        <v>0</v>
      </c>
      <c r="R1108" s="347">
        <v>0</v>
      </c>
      <c r="S1108" s="347">
        <v>0</v>
      </c>
      <c r="T1108" s="347">
        <v>0</v>
      </c>
      <c r="U1108" s="347">
        <v>0</v>
      </c>
      <c r="V1108" s="347">
        <v>0</v>
      </c>
      <c r="W1108" s="347">
        <v>0</v>
      </c>
    </row>
    <row r="1109" spans="1:23" x14ac:dyDescent="0.2">
      <c r="A1109" s="290"/>
      <c r="B1109" s="309"/>
      <c r="C1109" s="283"/>
      <c r="D1109" s="283"/>
      <c r="E1109" s="283"/>
      <c r="F1109" s="283"/>
      <c r="G1109" s="283"/>
      <c r="H1109" s="283"/>
      <c r="I1109" s="283"/>
      <c r="J1109" s="283"/>
      <c r="K1109" s="283"/>
      <c r="L1109" s="283"/>
      <c r="M1109" s="283"/>
      <c r="N1109" s="283"/>
      <c r="O1109" s="283"/>
      <c r="P1109" s="283"/>
      <c r="Q1109" s="283"/>
      <c r="R1109" s="283"/>
      <c r="S1109" s="283"/>
      <c r="T1109" s="283"/>
      <c r="U1109" s="283"/>
      <c r="V1109" s="283"/>
      <c r="W1109" s="283"/>
    </row>
    <row r="1110" spans="1:23" x14ac:dyDescent="0.2">
      <c r="A1110" s="290" t="s">
        <v>201</v>
      </c>
      <c r="B1110" s="309"/>
      <c r="C1110" s="283"/>
      <c r="D1110" s="347">
        <v>0</v>
      </c>
      <c r="E1110" s="347">
        <v>0</v>
      </c>
      <c r="F1110" s="347">
        <v>0</v>
      </c>
      <c r="G1110" s="347">
        <v>0</v>
      </c>
      <c r="H1110" s="347">
        <v>0</v>
      </c>
      <c r="I1110" s="347">
        <v>0</v>
      </c>
      <c r="J1110" s="347">
        <v>0</v>
      </c>
      <c r="K1110" s="347">
        <v>0</v>
      </c>
      <c r="L1110" s="347">
        <v>0</v>
      </c>
      <c r="M1110" s="347">
        <v>0</v>
      </c>
      <c r="N1110" s="347">
        <v>0</v>
      </c>
      <c r="O1110" s="347">
        <v>0</v>
      </c>
      <c r="P1110" s="347">
        <v>0</v>
      </c>
      <c r="Q1110" s="347">
        <v>0</v>
      </c>
      <c r="R1110" s="347">
        <v>0</v>
      </c>
      <c r="S1110" s="347">
        <v>0</v>
      </c>
      <c r="T1110" s="347">
        <v>0</v>
      </c>
      <c r="U1110" s="347">
        <v>0</v>
      </c>
      <c r="V1110" s="347">
        <v>0</v>
      </c>
      <c r="W1110" s="347">
        <v>0</v>
      </c>
    </row>
    <row r="1111" spans="1:23" x14ac:dyDescent="0.2">
      <c r="A1111" s="283"/>
      <c r="B1111" s="309"/>
      <c r="C1111" s="283"/>
      <c r="D1111" s="283"/>
      <c r="E1111" s="283"/>
      <c r="F1111" s="283"/>
      <c r="G1111" s="283"/>
      <c r="H1111" s="283"/>
      <c r="I1111" s="283"/>
      <c r="J1111" s="283"/>
      <c r="K1111" s="283"/>
      <c r="L1111" s="283"/>
      <c r="M1111" s="283"/>
      <c r="N1111" s="283"/>
      <c r="O1111" s="283"/>
      <c r="P1111" s="283"/>
      <c r="Q1111" s="283"/>
      <c r="R1111" s="283"/>
      <c r="S1111" s="283"/>
      <c r="T1111" s="283"/>
      <c r="U1111" s="283"/>
      <c r="V1111" s="283"/>
      <c r="W1111" s="283"/>
    </row>
    <row r="1112" spans="1:23" x14ac:dyDescent="0.2">
      <c r="A1112" s="283"/>
      <c r="B1112" s="309"/>
      <c r="C1112" s="283"/>
      <c r="D1112" s="283"/>
      <c r="E1112" s="283"/>
      <c r="F1112" s="283"/>
      <c r="G1112" s="283"/>
      <c r="H1112" s="283"/>
      <c r="I1112" s="283"/>
      <c r="J1112" s="283"/>
      <c r="K1112" s="283"/>
      <c r="L1112" s="283"/>
      <c r="M1112" s="283"/>
      <c r="N1112" s="283"/>
      <c r="O1112" s="283"/>
      <c r="P1112" s="283"/>
      <c r="Q1112" s="283"/>
      <c r="R1112" s="283"/>
      <c r="S1112" s="283"/>
      <c r="T1112" s="283"/>
      <c r="U1112" s="283"/>
      <c r="V1112" s="283"/>
      <c r="W1112" s="283"/>
    </row>
    <row r="1113" spans="1:23" x14ac:dyDescent="0.2">
      <c r="A1113" s="290" t="s">
        <v>203</v>
      </c>
      <c r="B1113" s="285"/>
      <c r="C1113" s="284"/>
      <c r="D1113" s="441">
        <v>20383102.584738176</v>
      </c>
      <c r="E1113" s="441">
        <v>20544217.024612095</v>
      </c>
      <c r="F1113" s="441">
        <v>16132839.898565458</v>
      </c>
      <c r="G1113" s="441">
        <v>18115824.472918831</v>
      </c>
      <c r="H1113" s="441">
        <v>15713124.11214252</v>
      </c>
      <c r="I1113" s="441">
        <v>16322757.658785447</v>
      </c>
      <c r="J1113" s="441">
        <v>17812076.110187516</v>
      </c>
      <c r="K1113" s="441">
        <v>18647444.536538605</v>
      </c>
      <c r="L1113" s="441">
        <v>18812862.679570239</v>
      </c>
      <c r="M1113" s="441">
        <v>18684019.712037481</v>
      </c>
      <c r="N1113" s="441">
        <v>19084211.801885746</v>
      </c>
      <c r="O1113" s="441">
        <v>18826360.807020441</v>
      </c>
      <c r="P1113" s="441">
        <v>19058878.185980637</v>
      </c>
      <c r="Q1113" s="441">
        <v>19921929.266360596</v>
      </c>
      <c r="R1113" s="441">
        <v>22685203.294986099</v>
      </c>
      <c r="S1113" s="441">
        <v>21492704.432138905</v>
      </c>
      <c r="T1113" s="441">
        <v>21888067.67340713</v>
      </c>
      <c r="U1113" s="441">
        <v>23841579.327923417</v>
      </c>
      <c r="V1113" s="441">
        <v>26477552.989908181</v>
      </c>
      <c r="W1113" s="441">
        <v>130240556.20416558</v>
      </c>
    </row>
    <row r="1114" spans="1:23" x14ac:dyDescent="0.2">
      <c r="A1114" s="9"/>
      <c r="B1114" s="6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</row>
    <row r="1115" spans="1:23" x14ac:dyDescent="0.2">
      <c r="B1115" s="295"/>
      <c r="C1115" s="360"/>
      <c r="E1115" s="369"/>
      <c r="F1115" s="319"/>
      <c r="G1115" s="328"/>
    </row>
    <row r="1116" spans="1:23" x14ac:dyDescent="0.2">
      <c r="B1116" s="306"/>
      <c r="C1116" s="360"/>
      <c r="E1116" s="369"/>
      <c r="F1116" s="319"/>
      <c r="G1116" s="328"/>
    </row>
    <row r="1117" spans="1:23" x14ac:dyDescent="0.2">
      <c r="A1117" s="370"/>
      <c r="B1117" s="306"/>
      <c r="C1117" s="307"/>
      <c r="D1117" s="371"/>
      <c r="E1117" s="371"/>
      <c r="F1117" s="371"/>
      <c r="G1117" s="371"/>
      <c r="H1117" s="371"/>
      <c r="I1117" s="371"/>
      <c r="J1117" s="371"/>
      <c r="K1117" s="371"/>
      <c r="L1117" s="371"/>
      <c r="M1117" s="371"/>
      <c r="N1117" s="371"/>
      <c r="O1117" s="371"/>
      <c r="P1117" s="371"/>
      <c r="Q1117" s="371"/>
      <c r="R1117" s="371"/>
      <c r="S1117" s="371"/>
      <c r="T1117" s="371"/>
      <c r="U1117" s="371"/>
      <c r="V1117" s="371"/>
    </row>
    <row r="1118" spans="1:23" x14ac:dyDescent="0.2">
      <c r="B1118" s="295"/>
      <c r="C1118" s="360"/>
      <c r="D1118" s="372"/>
      <c r="E1118" s="372"/>
      <c r="F1118" s="372"/>
      <c r="G1118" s="372"/>
      <c r="H1118" s="372"/>
      <c r="I1118" s="372"/>
      <c r="J1118" s="372"/>
      <c r="K1118" s="372"/>
      <c r="L1118" s="372"/>
      <c r="M1118" s="372"/>
      <c r="N1118" s="372"/>
      <c r="O1118" s="372"/>
      <c r="P1118" s="372"/>
      <c r="Q1118" s="372"/>
      <c r="R1118" s="372"/>
      <c r="S1118" s="372"/>
      <c r="T1118" s="372"/>
      <c r="U1118" s="372"/>
      <c r="V1118" s="372"/>
    </row>
    <row r="1119" spans="1:23" x14ac:dyDescent="0.2">
      <c r="B1119" s="295"/>
      <c r="C1119" s="360"/>
      <c r="D1119" s="372"/>
      <c r="E1119" s="372"/>
      <c r="F1119" s="372"/>
      <c r="G1119" s="372"/>
      <c r="H1119" s="372"/>
      <c r="I1119" s="372"/>
      <c r="J1119" s="372"/>
      <c r="K1119" s="372"/>
      <c r="L1119" s="372"/>
      <c r="M1119" s="372"/>
      <c r="N1119" s="372"/>
      <c r="O1119" s="372"/>
      <c r="P1119" s="372"/>
      <c r="Q1119" s="372"/>
      <c r="R1119" s="372"/>
      <c r="S1119" s="372"/>
      <c r="T1119" s="372"/>
      <c r="U1119" s="372"/>
      <c r="V1119" s="372"/>
    </row>
    <row r="1120" spans="1:23" x14ac:dyDescent="0.2">
      <c r="B1120" s="306"/>
      <c r="C1120" s="307"/>
      <c r="D1120" s="371"/>
      <c r="E1120" s="371"/>
      <c r="F1120" s="371"/>
      <c r="G1120" s="371"/>
      <c r="H1120" s="371"/>
      <c r="I1120" s="371"/>
      <c r="J1120" s="371"/>
      <c r="K1120" s="371"/>
      <c r="L1120" s="371"/>
      <c r="M1120" s="371"/>
      <c r="N1120" s="371"/>
      <c r="O1120" s="371"/>
      <c r="P1120" s="371"/>
      <c r="Q1120" s="371"/>
      <c r="R1120" s="371"/>
      <c r="S1120" s="371"/>
      <c r="T1120" s="371"/>
      <c r="U1120" s="371"/>
      <c r="V1120" s="371"/>
    </row>
    <row r="1121" spans="1:23" x14ac:dyDescent="0.2">
      <c r="A1121" s="370"/>
      <c r="B1121" s="295"/>
      <c r="C1121" s="360"/>
      <c r="D1121" s="372"/>
      <c r="E1121" s="372"/>
      <c r="F1121" s="372"/>
      <c r="G1121" s="372"/>
      <c r="H1121" s="372"/>
      <c r="I1121" s="372"/>
      <c r="J1121" s="372"/>
      <c r="K1121" s="372"/>
      <c r="L1121" s="372"/>
      <c r="M1121" s="372"/>
      <c r="N1121" s="372"/>
      <c r="O1121" s="372"/>
      <c r="P1121" s="372"/>
      <c r="Q1121" s="372"/>
      <c r="R1121" s="372"/>
      <c r="S1121" s="372"/>
      <c r="T1121" s="372"/>
      <c r="U1121" s="372"/>
      <c r="V1121" s="372"/>
    </row>
    <row r="1122" spans="1:23" ht="15.75" x14ac:dyDescent="0.25">
      <c r="A1122" s="308" t="s">
        <v>29</v>
      </c>
      <c r="B1122" s="311" t="s">
        <v>71</v>
      </c>
      <c r="C1122" s="312">
        <v>2000</v>
      </c>
      <c r="D1122" s="312">
        <v>2001</v>
      </c>
      <c r="E1122" s="312">
        <v>2002</v>
      </c>
      <c r="F1122" s="312">
        <v>2003</v>
      </c>
      <c r="G1122" s="312">
        <v>2004</v>
      </c>
      <c r="H1122" s="312">
        <v>2005</v>
      </c>
      <c r="I1122" s="312">
        <v>2006</v>
      </c>
      <c r="J1122" s="312">
        <v>2007</v>
      </c>
      <c r="K1122" s="312">
        <v>2008</v>
      </c>
      <c r="L1122" s="312">
        <v>2009</v>
      </c>
      <c r="M1122" s="312">
        <v>2010</v>
      </c>
      <c r="N1122" s="312">
        <v>2011</v>
      </c>
      <c r="O1122" s="312">
        <v>2012</v>
      </c>
      <c r="P1122" s="312">
        <v>2013</v>
      </c>
      <c r="Q1122" s="312">
        <v>2014</v>
      </c>
      <c r="R1122" s="312">
        <v>2015</v>
      </c>
      <c r="S1122" s="312">
        <v>2016</v>
      </c>
      <c r="T1122" s="312">
        <v>2017</v>
      </c>
      <c r="U1122" s="312">
        <v>2018</v>
      </c>
      <c r="V1122" s="312">
        <v>2019</v>
      </c>
      <c r="W1122" s="312" t="s">
        <v>154</v>
      </c>
    </row>
    <row r="1123" spans="1:23" x14ac:dyDescent="0.2">
      <c r="A1123" s="308" t="s">
        <v>26</v>
      </c>
      <c r="B1123" s="309">
        <v>155.25</v>
      </c>
      <c r="C1123" s="314"/>
      <c r="D1123" s="314"/>
      <c r="E1123" s="314"/>
      <c r="F1123" s="314"/>
      <c r="G1123" s="314"/>
      <c r="H1123" s="314"/>
      <c r="I1123" s="314"/>
      <c r="J1123" s="314"/>
      <c r="K1123" s="314"/>
      <c r="L1123" s="314"/>
      <c r="M1123" s="314"/>
      <c r="N1123" s="314"/>
      <c r="O1123" s="314"/>
      <c r="P1123" s="314"/>
      <c r="Q1123" s="314"/>
      <c r="R1123" s="314"/>
      <c r="S1123" s="314"/>
      <c r="T1123" s="314"/>
      <c r="U1123" s="314"/>
      <c r="V1123" s="314"/>
      <c r="W1123" s="314"/>
    </row>
    <row r="1124" spans="1:23" x14ac:dyDescent="0.2">
      <c r="A1124" s="9"/>
      <c r="B1124" s="315" t="s">
        <v>27</v>
      </c>
      <c r="C1124" s="449">
        <v>0</v>
      </c>
      <c r="D1124" s="410">
        <v>42003117.46390824</v>
      </c>
      <c r="E1124" s="410">
        <v>40948405.269309409</v>
      </c>
      <c r="F1124" s="410">
        <v>41023269.952657312</v>
      </c>
      <c r="G1124" s="410">
        <v>39960553.435533464</v>
      </c>
      <c r="H1124" s="410">
        <v>39598262.309298553</v>
      </c>
      <c r="I1124" s="410">
        <v>41806455.891821161</v>
      </c>
      <c r="J1124" s="410">
        <v>44966663.871481806</v>
      </c>
      <c r="K1124" s="410">
        <v>46177706.85412924</v>
      </c>
      <c r="L1124" s="410">
        <v>47131250.949705482</v>
      </c>
      <c r="M1124" s="410">
        <v>47300322.143741794</v>
      </c>
      <c r="N1124" s="410">
        <v>48334306.224844091</v>
      </c>
      <c r="O1124" s="410">
        <v>48857221.013643198</v>
      </c>
      <c r="P1124" s="410">
        <v>49445138.027293041</v>
      </c>
      <c r="Q1124" s="410">
        <v>51212219.664760113</v>
      </c>
      <c r="R1124" s="410">
        <v>54824806.168220274</v>
      </c>
      <c r="S1124" s="410">
        <v>54542704.245530546</v>
      </c>
      <c r="T1124" s="410">
        <v>55283271.54401318</v>
      </c>
      <c r="U1124" s="410">
        <v>57922574.626139246</v>
      </c>
      <c r="V1124" s="410">
        <v>59658356.955570661</v>
      </c>
      <c r="W1124" s="333"/>
    </row>
    <row r="1125" spans="1:23" x14ac:dyDescent="0.2">
      <c r="A1125" s="9"/>
      <c r="B1125" s="315" t="s">
        <v>20</v>
      </c>
      <c r="C1125" s="449">
        <v>0</v>
      </c>
      <c r="D1125" s="410">
        <v>-13146903.379953412</v>
      </c>
      <c r="E1125" s="410">
        <v>-13155362.336298486</v>
      </c>
      <c r="F1125" s="410">
        <v>-13197082.490046656</v>
      </c>
      <c r="G1125" s="410">
        <v>-13377758.724275237</v>
      </c>
      <c r="H1125" s="410">
        <v>-13635297.993563531</v>
      </c>
      <c r="I1125" s="410">
        <v>-14025873.317398069</v>
      </c>
      <c r="J1125" s="410">
        <v>-14349376.233757256</v>
      </c>
      <c r="K1125" s="410">
        <v>-14657714.950912111</v>
      </c>
      <c r="L1125" s="410">
        <v>-14899331.191567877</v>
      </c>
      <c r="M1125" s="410">
        <v>-15018622.891975336</v>
      </c>
      <c r="N1125" s="410">
        <v>-15222834.107927067</v>
      </c>
      <c r="O1125" s="410">
        <v>-15553413.650581619</v>
      </c>
      <c r="P1125" s="410">
        <v>-15908255.911963103</v>
      </c>
      <c r="Q1125" s="410">
        <v>-16245912.080913</v>
      </c>
      <c r="R1125" s="410">
        <v>-16476407.908818929</v>
      </c>
      <c r="S1125" s="410">
        <v>-16814064.077768825</v>
      </c>
      <c r="T1125" s="410">
        <v>-17198223.790945359</v>
      </c>
      <c r="U1125" s="410">
        <v>-17619788.528825935</v>
      </c>
      <c r="V1125" s="410">
        <v>-18055506.519297216</v>
      </c>
      <c r="W1125" s="333"/>
    </row>
    <row r="1126" spans="1:23" x14ac:dyDescent="0.2">
      <c r="A1126" s="9"/>
      <c r="B1126" s="315" t="s">
        <v>31</v>
      </c>
      <c r="C1126" s="449">
        <v>0</v>
      </c>
      <c r="D1126" s="410">
        <v>-1088359.2596113002</v>
      </c>
      <c r="E1126" s="410">
        <v>-1095282.6794572836</v>
      </c>
      <c r="F1126" s="410">
        <v>-1101735.2208923644</v>
      </c>
      <c r="G1126" s="410">
        <v>-1107682.5955394681</v>
      </c>
      <c r="H1126" s="410">
        <v>-1113088.8169986794</v>
      </c>
      <c r="I1126" s="410">
        <v>-1124892.5255025025</v>
      </c>
      <c r="J1126" s="410">
        <v>-1147597.7563407077</v>
      </c>
      <c r="K1126" s="410">
        <v>-1170761.2776339825</v>
      </c>
      <c r="L1126" s="410">
        <v>-1194392.3396798763</v>
      </c>
      <c r="M1126" s="410">
        <v>-1218500.379487236</v>
      </c>
      <c r="N1126" s="410">
        <v>-1243095.0245448514</v>
      </c>
      <c r="O1126" s="410">
        <v>-1268186.0966661701</v>
      </c>
      <c r="P1126" s="410">
        <v>-1293783.6159116153</v>
      </c>
      <c r="Q1126" s="410">
        <v>-1319897.8045900755</v>
      </c>
      <c r="R1126" s="410">
        <v>-1346539.0913411549</v>
      </c>
      <c r="S1126" s="410">
        <v>-1373718.1152998307</v>
      </c>
      <c r="T1126" s="410">
        <v>-1401445.7303451644</v>
      </c>
      <c r="U1126" s="410">
        <v>-1429733.0094347729</v>
      </c>
      <c r="V1126" s="410">
        <v>-1458591.2490267884</v>
      </c>
      <c r="W1126" s="333"/>
    </row>
    <row r="1127" spans="1:23" x14ac:dyDescent="0.2">
      <c r="A1127" s="9"/>
      <c r="B1127" s="315" t="s">
        <v>32</v>
      </c>
      <c r="C1127" s="449">
        <v>0</v>
      </c>
      <c r="D1127" s="410">
        <v>0</v>
      </c>
      <c r="E1127" s="410">
        <v>0</v>
      </c>
      <c r="F1127" s="410">
        <v>0</v>
      </c>
      <c r="G1127" s="410">
        <v>0</v>
      </c>
      <c r="H1127" s="410">
        <v>0</v>
      </c>
      <c r="I1127" s="410">
        <v>-733967.67941967049</v>
      </c>
      <c r="J1127" s="410">
        <v>-813544.54039515276</v>
      </c>
      <c r="K1127" s="410">
        <v>-984387.27770061558</v>
      </c>
      <c r="L1127" s="410">
        <v>-985995.40764212562</v>
      </c>
      <c r="M1127" s="410">
        <v>-1096578.490571663</v>
      </c>
      <c r="N1127" s="410">
        <v>-1207964.1347543183</v>
      </c>
      <c r="O1127" s="410">
        <v>-1338388.0454478892</v>
      </c>
      <c r="P1127" s="410">
        <v>-1500685.0749422521</v>
      </c>
      <c r="Q1127" s="410">
        <v>-1670496.6658420176</v>
      </c>
      <c r="R1127" s="410">
        <v>-1850399.9985412564</v>
      </c>
      <c r="S1127" s="410">
        <v>-2031736.9228493334</v>
      </c>
      <c r="T1127" s="410">
        <v>-1996082.4747497113</v>
      </c>
      <c r="U1127" s="410">
        <v>-1707756.5202918206</v>
      </c>
      <c r="V1127" s="410">
        <v>-1770628.4363781055</v>
      </c>
      <c r="W1127" s="333"/>
    </row>
    <row r="1128" spans="1:23" ht="13.5" thickBot="1" x14ac:dyDescent="0.25">
      <c r="A1128" s="9"/>
      <c r="B1128" s="316" t="s">
        <v>33</v>
      </c>
      <c r="C1128" s="450">
        <v>0</v>
      </c>
      <c r="D1128" s="412">
        <v>0</v>
      </c>
      <c r="E1128" s="412">
        <v>0</v>
      </c>
      <c r="F1128" s="412">
        <v>-3201850.1049449202</v>
      </c>
      <c r="G1128" s="412">
        <v>-2688635.8238865482</v>
      </c>
      <c r="H1128" s="412">
        <v>-2749301.1907700766</v>
      </c>
      <c r="I1128" s="412">
        <v>-2828578.2167728944</v>
      </c>
      <c r="J1128" s="412">
        <v>-3712690.3085796447</v>
      </c>
      <c r="K1128" s="412">
        <v>-3242060.6395479362</v>
      </c>
      <c r="L1128" s="412">
        <v>-3432479.3520809286</v>
      </c>
      <c r="M1128" s="412">
        <v>-3266135.5638943817</v>
      </c>
      <c r="N1128" s="412">
        <v>-3359680.3783214646</v>
      </c>
      <c r="O1128" s="412">
        <v>-3446799.8200484701</v>
      </c>
      <c r="P1128" s="412">
        <v>-3078715.4020071081</v>
      </c>
      <c r="Q1128" s="412">
        <v>-3188793.8814896028</v>
      </c>
      <c r="R1128" s="412">
        <v>-3254691.5226240228</v>
      </c>
      <c r="S1128" s="412">
        <v>-3456253.7281017718</v>
      </c>
      <c r="T1128" s="412">
        <v>-3249236.9753527404</v>
      </c>
      <c r="U1128" s="412">
        <v>-3578635.0061816904</v>
      </c>
      <c r="V1128" s="412">
        <v>-1948389.8130658928</v>
      </c>
      <c r="W1128" s="333"/>
    </row>
    <row r="1129" spans="1:23" ht="13.5" thickTop="1" x14ac:dyDescent="0.2">
      <c r="A1129" s="9"/>
      <c r="B1129" s="317" t="s">
        <v>38</v>
      </c>
      <c r="C1129" s="451">
        <v>0</v>
      </c>
      <c r="D1129" s="414">
        <v>27767854.824343525</v>
      </c>
      <c r="E1129" s="414">
        <v>26697760.253553636</v>
      </c>
      <c r="F1129" s="414">
        <v>23522602.13677337</v>
      </c>
      <c r="G1129" s="414">
        <v>22786476.291832209</v>
      </c>
      <c r="H1129" s="414">
        <v>22100574.307966262</v>
      </c>
      <c r="I1129" s="414">
        <v>23093144.152728021</v>
      </c>
      <c r="J1129" s="414">
        <v>24943455.032409042</v>
      </c>
      <c r="K1129" s="414">
        <v>26122782.708334595</v>
      </c>
      <c r="L1129" s="414">
        <v>26619052.658734675</v>
      </c>
      <c r="M1129" s="414">
        <v>26700484.81781318</v>
      </c>
      <c r="N1129" s="414">
        <v>27300732.579296388</v>
      </c>
      <c r="O1129" s="414">
        <v>27250433.400899049</v>
      </c>
      <c r="P1129" s="414">
        <v>27663698.022468962</v>
      </c>
      <c r="Q1129" s="414">
        <v>28787119.231925413</v>
      </c>
      <c r="R1129" s="414">
        <v>31896767.646894909</v>
      </c>
      <c r="S1129" s="414">
        <v>30866931.401510786</v>
      </c>
      <c r="T1129" s="414">
        <v>31438282.572620198</v>
      </c>
      <c r="U1129" s="414">
        <v>33586661.561405033</v>
      </c>
      <c r="V1129" s="414">
        <v>36425240.93780265</v>
      </c>
      <c r="W1129" s="333"/>
    </row>
    <row r="1130" spans="1:23" x14ac:dyDescent="0.2">
      <c r="A1130" s="9"/>
      <c r="B1130" s="315" t="s">
        <v>34</v>
      </c>
      <c r="C1130" s="449">
        <v>0</v>
      </c>
      <c r="D1130" s="410">
        <v>-1835944.9301865362</v>
      </c>
      <c r="E1130" s="410">
        <v>-1872663.828790267</v>
      </c>
      <c r="F1130" s="410">
        <v>-1910117.1053660724</v>
      </c>
      <c r="G1130" s="410">
        <v>-1948319.4474733938</v>
      </c>
      <c r="H1130" s="410">
        <v>-1987285.8364228616</v>
      </c>
      <c r="I1130" s="410">
        <v>-2027031.5531513188</v>
      </c>
      <c r="J1130" s="410">
        <v>-2067572.1842143452</v>
      </c>
      <c r="K1130" s="410">
        <v>-2108923.6278986321</v>
      </c>
      <c r="L1130" s="410">
        <v>-2151102.1004566047</v>
      </c>
      <c r="M1130" s="410">
        <v>-2194124.1424657367</v>
      </c>
      <c r="N1130" s="410">
        <v>-2238006.6253150515</v>
      </c>
      <c r="O1130" s="410">
        <v>-2282766.7578213527</v>
      </c>
      <c r="P1130" s="410">
        <v>-2328422.0929777799</v>
      </c>
      <c r="Q1130" s="410">
        <v>-2374990.5348373353</v>
      </c>
      <c r="R1130" s="410">
        <v>-2422490.345534082</v>
      </c>
      <c r="S1130" s="410">
        <v>-2470940.1524447636</v>
      </c>
      <c r="T1130" s="410">
        <v>-2520358.9554936588</v>
      </c>
      <c r="U1130" s="410">
        <v>-2570766.134603532</v>
      </c>
      <c r="V1130" s="410">
        <v>-2622181.4572956027</v>
      </c>
      <c r="W1130" s="333"/>
    </row>
    <row r="1131" spans="1:23" x14ac:dyDescent="0.2">
      <c r="A1131" s="9"/>
      <c r="B1131" s="315" t="s">
        <v>35</v>
      </c>
      <c r="C1131" s="449">
        <v>0</v>
      </c>
      <c r="D1131" s="410">
        <v>-261504.61651770968</v>
      </c>
      <c r="E1131" s="410">
        <v>-268705.31722248165</v>
      </c>
      <c r="F1131" s="410">
        <v>-276063.71327268815</v>
      </c>
      <c r="G1131" s="410">
        <v>-283588.40907362924</v>
      </c>
      <c r="H1131" s="410">
        <v>-291597.99355411256</v>
      </c>
      <c r="I1131" s="410">
        <v>-299494.83470563003</v>
      </c>
      <c r="J1131" s="410">
        <v>-307908.54317454871</v>
      </c>
      <c r="K1131" s="410">
        <v>-316206.09106916783</v>
      </c>
      <c r="L1131" s="410">
        <v>-325045.9424579406</v>
      </c>
      <c r="M1131" s="410">
        <v>-334343.51653681166</v>
      </c>
      <c r="N1131" s="410">
        <v>-343867.42264738772</v>
      </c>
      <c r="O1131" s="410">
        <v>-354846.99860727746</v>
      </c>
      <c r="P1131" s="410">
        <v>-364234.90716913401</v>
      </c>
      <c r="Q1131" s="410">
        <v>-373857.51344503701</v>
      </c>
      <c r="R1131" s="410">
        <v>-383721.64713846514</v>
      </c>
      <c r="S1131" s="410">
        <v>-393832.384174229</v>
      </c>
      <c r="T1131" s="410">
        <v>-404193.86748847977</v>
      </c>
      <c r="U1131" s="410">
        <v>-414815.4240339183</v>
      </c>
      <c r="V1131" s="410">
        <v>-425703.58164864732</v>
      </c>
      <c r="W1131" s="333"/>
    </row>
    <row r="1132" spans="1:23" ht="13.5" thickBot="1" x14ac:dyDescent="0.25">
      <c r="A1132" s="9"/>
      <c r="B1132" s="316" t="s">
        <v>36</v>
      </c>
      <c r="C1132" s="450">
        <v>0</v>
      </c>
      <c r="D1132" s="412">
        <v>-358876.37349059602</v>
      </c>
      <c r="E1132" s="412">
        <v>-366448.664971249</v>
      </c>
      <c r="F1132" s="412">
        <v>-374473.89073411998</v>
      </c>
      <c r="G1132" s="412">
        <v>-382937.00066470797</v>
      </c>
      <c r="H1132" s="412">
        <v>-392050.90128052898</v>
      </c>
      <c r="I1132" s="412">
        <v>-401875.736280201</v>
      </c>
      <c r="J1132" s="412">
        <v>-411843.37411417102</v>
      </c>
      <c r="K1132" s="412">
        <v>-422267.981017894</v>
      </c>
      <c r="L1132" s="412">
        <v>-432698.00014903699</v>
      </c>
      <c r="M1132" s="412">
        <v>-443731.79915283603</v>
      </c>
      <c r="N1132" s="412">
        <v>-454470.10869233601</v>
      </c>
      <c r="O1132" s="412">
        <v>-465922.75543138199</v>
      </c>
      <c r="P1132" s="412">
        <v>-477757.19341933797</v>
      </c>
      <c r="Q1132" s="412">
        <v>-489701.123254821</v>
      </c>
      <c r="R1132" s="412">
        <v>-501992.62144851702</v>
      </c>
      <c r="S1132" s="412">
        <v>-514542.436984731</v>
      </c>
      <c r="T1132" s="412">
        <v>-527303.08942195203</v>
      </c>
      <c r="U1132" s="412">
        <v>-540538.39696644398</v>
      </c>
      <c r="V1132" s="412">
        <v>-554105.91073030105</v>
      </c>
      <c r="W1132" s="333"/>
    </row>
    <row r="1133" spans="1:23" ht="13.5" thickTop="1" x14ac:dyDescent="0.2">
      <c r="A1133" s="9"/>
      <c r="B1133" s="317" t="s">
        <v>221</v>
      </c>
      <c r="C1133" s="452">
        <v>0</v>
      </c>
      <c r="D1133" s="416">
        <v>25311528.904148683</v>
      </c>
      <c r="E1133" s="416">
        <v>24189942.44256964</v>
      </c>
      <c r="F1133" s="416">
        <v>20961947.427400488</v>
      </c>
      <c r="G1133" s="416">
        <v>20171631.434620481</v>
      </c>
      <c r="H1133" s="416">
        <v>19429639.57670876</v>
      </c>
      <c r="I1133" s="416">
        <v>20364742.028590873</v>
      </c>
      <c r="J1133" s="416">
        <v>22156130.930905975</v>
      </c>
      <c r="K1133" s="416">
        <v>23275385.008348897</v>
      </c>
      <c r="L1133" s="416">
        <v>23710206.615671091</v>
      </c>
      <c r="M1133" s="416">
        <v>23728285.359657794</v>
      </c>
      <c r="N1133" s="416">
        <v>24264388.422641613</v>
      </c>
      <c r="O1133" s="416">
        <v>24146896.88903904</v>
      </c>
      <c r="P1133" s="416">
        <v>24493283.82890271</v>
      </c>
      <c r="Q1133" s="416">
        <v>25548570.060388219</v>
      </c>
      <c r="R1133" s="416">
        <v>28588563.032773845</v>
      </c>
      <c r="S1133" s="416">
        <v>27487616.427907061</v>
      </c>
      <c r="T1133" s="416">
        <v>27986426.660216108</v>
      </c>
      <c r="U1133" s="416">
        <v>30060541.605801143</v>
      </c>
      <c r="V1133" s="416">
        <v>32823249.988128096</v>
      </c>
      <c r="W1133" s="333"/>
    </row>
    <row r="1134" spans="1:23" x14ac:dyDescent="0.2">
      <c r="A1134" s="9"/>
      <c r="B1134" s="315" t="s">
        <v>37</v>
      </c>
      <c r="C1134" s="449">
        <v>0</v>
      </c>
      <c r="D1134" s="410">
        <v>-641088.66925000004</v>
      </c>
      <c r="E1134" s="410">
        <v>-871932.44615920004</v>
      </c>
      <c r="F1134" s="410">
        <v>-942106.24924769998</v>
      </c>
      <c r="G1134" s="410">
        <v>-1016154.0382083</v>
      </c>
      <c r="H1134" s="410">
        <v>-1153065.6329874001</v>
      </c>
      <c r="I1134" s="410">
        <v>-1285472.5859674201</v>
      </c>
      <c r="J1134" s="410">
        <v>-1414452.6987481036</v>
      </c>
      <c r="K1134" s="410">
        <v>-1539643.8210178136</v>
      </c>
      <c r="L1134" s="410">
        <v>-1557855.4305436101</v>
      </c>
      <c r="M1134" s="410">
        <v>-1580559.0401868974</v>
      </c>
      <c r="N1134" s="410">
        <v>-1717915.0343979364</v>
      </c>
      <c r="O1134" s="410">
        <v>-1858373.3716659963</v>
      </c>
      <c r="P1134" s="410">
        <v>-2002947.2864929864</v>
      </c>
      <c r="Q1134" s="410">
        <v>-2044074.768764786</v>
      </c>
      <c r="R1134" s="410">
        <v>-2089627.9755047394</v>
      </c>
      <c r="S1134" s="410">
        <v>-2247653.9684468922</v>
      </c>
      <c r="T1134" s="410">
        <v>-2410426.8311773087</v>
      </c>
      <c r="U1134" s="410">
        <v>-2578076.7897896385</v>
      </c>
      <c r="V1134" s="410">
        <v>-2743578.3371603377</v>
      </c>
      <c r="W1134" s="333"/>
    </row>
    <row r="1135" spans="1:23" ht="13.5" thickBot="1" x14ac:dyDescent="0.25">
      <c r="A1135" s="9"/>
      <c r="B1135" s="316" t="s">
        <v>222</v>
      </c>
      <c r="C1135" s="450">
        <v>0</v>
      </c>
      <c r="D1135" s="412">
        <v>-9868176.0939594731</v>
      </c>
      <c r="E1135" s="412">
        <v>-9327203.9985641763</v>
      </c>
      <c r="F1135" s="412">
        <v>-8007936.4712611157</v>
      </c>
      <c r="G1135" s="412">
        <v>-7662190.9585648738</v>
      </c>
      <c r="H1135" s="412">
        <v>-7310629.5774885453</v>
      </c>
      <c r="I1135" s="412">
        <v>-7631707.7770493813</v>
      </c>
      <c r="J1135" s="412">
        <v>-8296671.2928631492</v>
      </c>
      <c r="K1135" s="412">
        <v>-8694296.474932434</v>
      </c>
      <c r="L1135" s="412">
        <v>-8860940.4740509931</v>
      </c>
      <c r="M1135" s="412">
        <v>-8859090.5277883597</v>
      </c>
      <c r="N1135" s="412">
        <v>-9018589.3552974705</v>
      </c>
      <c r="O1135" s="412">
        <v>-8915409.4069492184</v>
      </c>
      <c r="P1135" s="412">
        <v>-8996134.6169638913</v>
      </c>
      <c r="Q1135" s="412">
        <v>-9401798.1166493725</v>
      </c>
      <c r="R1135" s="412">
        <v>-10599574.022907643</v>
      </c>
      <c r="S1135" s="412">
        <v>-10095984.983784068</v>
      </c>
      <c r="T1135" s="412">
        <v>-10230399.93161552</v>
      </c>
      <c r="U1135" s="412">
        <v>-10992985.926404603</v>
      </c>
      <c r="V1135" s="412">
        <v>-12031868.660387104</v>
      </c>
      <c r="W1135" s="333"/>
    </row>
    <row r="1136" spans="1:23" ht="13.5" thickTop="1" x14ac:dyDescent="0.2">
      <c r="A1136" s="9"/>
      <c r="B1136" s="317" t="s">
        <v>183</v>
      </c>
      <c r="C1136" s="452">
        <v>0</v>
      </c>
      <c r="D1136" s="416">
        <v>14802264.14093921</v>
      </c>
      <c r="E1136" s="416">
        <v>13990805.997846264</v>
      </c>
      <c r="F1136" s="416">
        <v>12011904.706891673</v>
      </c>
      <c r="G1136" s="416">
        <v>11493286.437847309</v>
      </c>
      <c r="H1136" s="416">
        <v>10965944.366232816</v>
      </c>
      <c r="I1136" s="416">
        <v>11447561.66557407</v>
      </c>
      <c r="J1136" s="416">
        <v>12445006.939294722</v>
      </c>
      <c r="K1136" s="416">
        <v>13041444.71239865</v>
      </c>
      <c r="L1136" s="416">
        <v>13291410.711076489</v>
      </c>
      <c r="M1136" s="416">
        <v>13288635.791682538</v>
      </c>
      <c r="N1136" s="416">
        <v>13527884.032946205</v>
      </c>
      <c r="O1136" s="416">
        <v>13373114.110423826</v>
      </c>
      <c r="P1136" s="416">
        <v>13494201.925445834</v>
      </c>
      <c r="Q1136" s="416">
        <v>14102697.17497406</v>
      </c>
      <c r="R1136" s="416">
        <v>15899361.034361461</v>
      </c>
      <c r="S1136" s="416">
        <v>15143977.475676101</v>
      </c>
      <c r="T1136" s="416">
        <v>15345599.897423279</v>
      </c>
      <c r="U1136" s="416">
        <v>16489478.889606901</v>
      </c>
      <c r="V1136" s="416">
        <v>18047802.990580656</v>
      </c>
      <c r="W1136" s="333"/>
    </row>
    <row r="1137" spans="1:23" x14ac:dyDescent="0.2">
      <c r="A1137" s="9"/>
      <c r="B1137" s="315" t="s">
        <v>37</v>
      </c>
      <c r="C1137" s="449">
        <v>0</v>
      </c>
      <c r="D1137" s="410">
        <v>641088.66925000004</v>
      </c>
      <c r="E1137" s="410">
        <v>871932.44615920004</v>
      </c>
      <c r="F1137" s="410">
        <v>942106.24924769998</v>
      </c>
      <c r="G1137" s="410">
        <v>1016154.0382083</v>
      </c>
      <c r="H1137" s="410">
        <v>1153065.6329874001</v>
      </c>
      <c r="I1137" s="410">
        <v>1285472.5859674201</v>
      </c>
      <c r="J1137" s="410">
        <v>1414452.6987481036</v>
      </c>
      <c r="K1137" s="410">
        <v>1539643.8210178136</v>
      </c>
      <c r="L1137" s="410">
        <v>1557855.4305436101</v>
      </c>
      <c r="M1137" s="410">
        <v>1580559.0401868974</v>
      </c>
      <c r="N1137" s="410">
        <v>1717915.0343979364</v>
      </c>
      <c r="O1137" s="410">
        <v>1858373.3716659963</v>
      </c>
      <c r="P1137" s="410">
        <v>2002947.2864929864</v>
      </c>
      <c r="Q1137" s="410">
        <v>2044074.768764786</v>
      </c>
      <c r="R1137" s="410">
        <v>2089627.9755047394</v>
      </c>
      <c r="S1137" s="410">
        <v>2247653.9684468922</v>
      </c>
      <c r="T1137" s="410">
        <v>2410426.8311773087</v>
      </c>
      <c r="U1137" s="410">
        <v>2578076.7897896385</v>
      </c>
      <c r="V1137" s="410">
        <v>2743578.3371603377</v>
      </c>
      <c r="W1137" s="333"/>
    </row>
    <row r="1138" spans="1:23" x14ac:dyDescent="0.2">
      <c r="A1138" s="9"/>
      <c r="B1138" s="315" t="s">
        <v>39</v>
      </c>
      <c r="C1138" s="449">
        <v>0</v>
      </c>
      <c r="D1138" s="410">
        <v>-4505591.18</v>
      </c>
      <c r="E1138" s="410">
        <v>-2109515.17</v>
      </c>
      <c r="F1138" s="410">
        <v>-609625.87</v>
      </c>
      <c r="G1138" s="410">
        <v>-2352594.6800000002</v>
      </c>
      <c r="H1138" s="410">
        <v>-2434176.6479999996</v>
      </c>
      <c r="I1138" s="410">
        <v>-2507201.9474399998</v>
      </c>
      <c r="J1138" s="410">
        <v>-2582418.0058631999</v>
      </c>
      <c r="K1138" s="410">
        <v>-2659890.5460390961</v>
      </c>
      <c r="L1138" s="410">
        <v>-2739687.2624202692</v>
      </c>
      <c r="M1138" s="410">
        <v>-2821877.8802928776</v>
      </c>
      <c r="N1138" s="410">
        <v>-2906534.216701664</v>
      </c>
      <c r="O1138" s="410">
        <v>-2993730.2432027142</v>
      </c>
      <c r="P1138" s="410">
        <v>-3083542.1504987958</v>
      </c>
      <c r="Q1138" s="410">
        <v>-3176048.4150137599</v>
      </c>
      <c r="R1138" s="410">
        <v>-3271329.8674641727</v>
      </c>
      <c r="S1138" s="410">
        <v>-3369469.763488098</v>
      </c>
      <c r="T1138" s="410">
        <v>-3470553.8563927412</v>
      </c>
      <c r="U1138" s="410">
        <v>-3574670.4720845236</v>
      </c>
      <c r="V1138" s="410">
        <v>-3681910.5862470595</v>
      </c>
      <c r="W1138" s="333"/>
    </row>
    <row r="1139" spans="1:23" ht="13.5" thickBot="1" x14ac:dyDescent="0.25">
      <c r="A1139" s="9"/>
      <c r="B1139" s="316" t="s">
        <v>40</v>
      </c>
      <c r="C1139" s="450">
        <v>0</v>
      </c>
      <c r="D1139" s="412">
        <v>0</v>
      </c>
      <c r="E1139" s="412">
        <v>0</v>
      </c>
      <c r="F1139" s="412">
        <v>0</v>
      </c>
      <c r="G1139" s="412">
        <v>0</v>
      </c>
      <c r="H1139" s="412">
        <v>0</v>
      </c>
      <c r="I1139" s="412">
        <v>0</v>
      </c>
      <c r="J1139" s="412">
        <v>0</v>
      </c>
      <c r="K1139" s="412">
        <v>0</v>
      </c>
      <c r="L1139" s="412">
        <v>0</v>
      </c>
      <c r="M1139" s="412">
        <v>0</v>
      </c>
      <c r="N1139" s="412">
        <v>0</v>
      </c>
      <c r="O1139" s="412">
        <v>0</v>
      </c>
      <c r="P1139" s="412">
        <v>0</v>
      </c>
      <c r="Q1139" s="412">
        <v>0</v>
      </c>
      <c r="R1139" s="412">
        <v>0</v>
      </c>
      <c r="S1139" s="412">
        <v>0</v>
      </c>
      <c r="T1139" s="412">
        <v>0</v>
      </c>
      <c r="U1139" s="412">
        <v>0</v>
      </c>
      <c r="V1139" s="412">
        <v>0</v>
      </c>
      <c r="W1139" s="333"/>
    </row>
    <row r="1140" spans="1:23" ht="13.5" thickTop="1" x14ac:dyDescent="0.2">
      <c r="A1140" s="9"/>
      <c r="B1140" s="315"/>
      <c r="C1140" s="453"/>
      <c r="D1140" s="333"/>
      <c r="E1140" s="333"/>
      <c r="F1140" s="333"/>
      <c r="G1140" s="333"/>
      <c r="H1140" s="333"/>
      <c r="I1140" s="333"/>
      <c r="J1140" s="333"/>
      <c r="K1140" s="333"/>
      <c r="L1140" s="333"/>
      <c r="M1140" s="333"/>
      <c r="N1140" s="333"/>
      <c r="O1140" s="333"/>
      <c r="P1140" s="333"/>
      <c r="Q1140" s="333"/>
      <c r="R1140" s="333"/>
      <c r="S1140" s="333"/>
      <c r="T1140" s="333"/>
      <c r="U1140" s="333"/>
      <c r="V1140" s="333"/>
      <c r="W1140" s="333"/>
    </row>
    <row r="1141" spans="1:23" x14ac:dyDescent="0.2">
      <c r="A1141" s="9"/>
      <c r="B1141" s="317" t="s">
        <v>234</v>
      </c>
      <c r="C1141" s="452">
        <v>0</v>
      </c>
      <c r="D1141" s="416">
        <v>10937761.63018921</v>
      </c>
      <c r="E1141" s="416">
        <v>12753223.274005465</v>
      </c>
      <c r="F1141" s="416">
        <v>12344385.086139373</v>
      </c>
      <c r="G1141" s="416">
        <v>10156845.796055609</v>
      </c>
      <c r="H1141" s="416">
        <v>9684833.3512202166</v>
      </c>
      <c r="I1141" s="416">
        <v>10225832.304101489</v>
      </c>
      <c r="J1141" s="416">
        <v>11277041.632179625</v>
      </c>
      <c r="K1141" s="416">
        <v>11921197.987377368</v>
      </c>
      <c r="L1141" s="416">
        <v>12109578.879199831</v>
      </c>
      <c r="M1141" s="416">
        <v>12047316.951576557</v>
      </c>
      <c r="N1141" s="416">
        <v>12339264.850642476</v>
      </c>
      <c r="O1141" s="416">
        <v>12237757.238887107</v>
      </c>
      <c r="P1141" s="416">
        <v>12413607.061440025</v>
      </c>
      <c r="Q1141" s="416">
        <v>12970723.528725086</v>
      </c>
      <c r="R1141" s="416">
        <v>14717659.142402027</v>
      </c>
      <c r="S1141" s="416">
        <v>14022161.680634893</v>
      </c>
      <c r="T1141" s="416">
        <v>14285472.872207846</v>
      </c>
      <c r="U1141" s="416">
        <v>15492885.207312016</v>
      </c>
      <c r="V1141" s="416">
        <v>17109470.741493933</v>
      </c>
      <c r="W1141" s="414">
        <v>84571559.996941134</v>
      </c>
    </row>
    <row r="1142" spans="1:23" x14ac:dyDescent="0.2">
      <c r="A1142" s="9"/>
      <c r="B1142" s="292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</row>
    <row r="1143" spans="1:23" x14ac:dyDescent="0.2">
      <c r="A1143" s="308" t="s">
        <v>219</v>
      </c>
      <c r="B1143" s="306" t="s">
        <v>170</v>
      </c>
      <c r="C1143" s="439">
        <v>44793131.052080534</v>
      </c>
      <c r="D1143" s="9"/>
      <c r="E1143" s="137" t="s">
        <v>220</v>
      </c>
      <c r="F1143" s="319" t="s">
        <v>170</v>
      </c>
      <c r="G1143" s="443">
        <v>44793131.052080534</v>
      </c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</row>
    <row r="1144" spans="1:23" x14ac:dyDescent="0.2">
      <c r="A1144" s="9"/>
      <c r="B1144" s="306" t="s">
        <v>180</v>
      </c>
      <c r="C1144" s="439">
        <v>59909730.844603144</v>
      </c>
      <c r="D1144" s="9"/>
      <c r="E1144" s="321"/>
      <c r="F1144" s="319" t="s">
        <v>180</v>
      </c>
      <c r="G1144" s="443">
        <v>59909730.844603144</v>
      </c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</row>
    <row r="1145" spans="1:23" ht="13.5" thickBot="1" x14ac:dyDescent="0.25">
      <c r="A1145" s="9"/>
      <c r="B1145" s="322" t="s">
        <v>137</v>
      </c>
      <c r="C1145" s="440">
        <v>13184600.683235422</v>
      </c>
      <c r="D1145" s="323"/>
      <c r="E1145" s="321"/>
      <c r="F1145" s="319" t="s">
        <v>137</v>
      </c>
      <c r="G1145" s="443">
        <v>13184600.683235422</v>
      </c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</row>
    <row r="1146" spans="1:23" ht="14.25" thickTop="1" thickBot="1" x14ac:dyDescent="0.25">
      <c r="A1146" s="9"/>
      <c r="B1146" s="306" t="s">
        <v>28</v>
      </c>
      <c r="C1146" s="438">
        <v>117887462.57991913</v>
      </c>
      <c r="D1146" s="305"/>
      <c r="E1146" s="321"/>
      <c r="F1146" s="324" t="s">
        <v>204</v>
      </c>
      <c r="G1146" s="325">
        <v>0</v>
      </c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</row>
    <row r="1147" spans="1:23" ht="13.5" thickTop="1" x14ac:dyDescent="0.2">
      <c r="A1147" s="9"/>
      <c r="B1147" s="292"/>
      <c r="C1147" s="326"/>
      <c r="D1147" s="9"/>
      <c r="E1147" s="327"/>
      <c r="F1147" s="319" t="s">
        <v>28</v>
      </c>
      <c r="G1147" s="368">
        <v>117887462.57991913</v>
      </c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</row>
    <row r="1148" spans="1:23" x14ac:dyDescent="0.2">
      <c r="A1148" s="9"/>
      <c r="B1148" s="292"/>
      <c r="C1148" s="326"/>
      <c r="D1148" s="9"/>
      <c r="E1148" s="327"/>
      <c r="F1148" s="319"/>
      <c r="G1148" s="328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</row>
    <row r="1149" spans="1:23" x14ac:dyDescent="0.2">
      <c r="A1149" s="9"/>
      <c r="B1149" s="292"/>
      <c r="C1149" s="326"/>
      <c r="D1149" s="9"/>
      <c r="E1149" s="327"/>
      <c r="F1149" s="319"/>
      <c r="G1149" s="328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</row>
    <row r="1150" spans="1:23" x14ac:dyDescent="0.2">
      <c r="A1150" s="9"/>
      <c r="B1150" s="329" t="s">
        <v>223</v>
      </c>
      <c r="C1150" s="326"/>
      <c r="D1150" s="9"/>
      <c r="E1150" s="327"/>
      <c r="F1150" s="319"/>
      <c r="G1150" s="328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</row>
    <row r="1151" spans="1:23" x14ac:dyDescent="0.2">
      <c r="A1151" s="330" t="s">
        <v>225</v>
      </c>
      <c r="B1151" s="329" t="s">
        <v>224</v>
      </c>
      <c r="C1151" s="331"/>
      <c r="D1151" s="332">
        <v>14802264.14093921</v>
      </c>
      <c r="E1151" s="332">
        <v>13990805.997846264</v>
      </c>
      <c r="F1151" s="332">
        <v>12011904.706891673</v>
      </c>
      <c r="G1151" s="332">
        <v>11493286.437847309</v>
      </c>
      <c r="H1151" s="332">
        <v>10965944.366232816</v>
      </c>
      <c r="I1151" s="332">
        <v>11447561.66557407</v>
      </c>
      <c r="J1151" s="332">
        <v>12445006.939294722</v>
      </c>
      <c r="K1151" s="332">
        <v>13041444.71239865</v>
      </c>
      <c r="L1151" s="332">
        <v>13291410.711076489</v>
      </c>
      <c r="M1151" s="332">
        <v>13288635.791682538</v>
      </c>
      <c r="N1151" s="332">
        <v>13527884.032946205</v>
      </c>
      <c r="O1151" s="332">
        <v>13373114.110423826</v>
      </c>
      <c r="P1151" s="332">
        <v>13494201.925445834</v>
      </c>
      <c r="Q1151" s="332">
        <v>14102697.17497406</v>
      </c>
      <c r="R1151" s="332">
        <v>15899361.034361461</v>
      </c>
      <c r="S1151" s="332">
        <v>15143977.475676101</v>
      </c>
      <c r="T1151" s="332">
        <v>15345599.897423279</v>
      </c>
      <c r="U1151" s="332">
        <v>16489478.889606901</v>
      </c>
      <c r="V1151" s="332">
        <v>18047802.990580656</v>
      </c>
      <c r="W1151" s="9"/>
    </row>
    <row r="1152" spans="1:23" x14ac:dyDescent="0.2">
      <c r="A1152" s="9"/>
      <c r="B1152" s="292" t="s">
        <v>226</v>
      </c>
      <c r="C1152" s="326"/>
      <c r="D1152" s="333">
        <v>9868176.0939594731</v>
      </c>
      <c r="E1152" s="333">
        <v>9327203.9985641763</v>
      </c>
      <c r="F1152" s="333">
        <v>8007936.4712611157</v>
      </c>
      <c r="G1152" s="333">
        <v>7662190.9585648738</v>
      </c>
      <c r="H1152" s="333">
        <v>7310629.5774885453</v>
      </c>
      <c r="I1152" s="333">
        <v>7631707.7770493813</v>
      </c>
      <c r="J1152" s="333">
        <v>8296671.2928631492</v>
      </c>
      <c r="K1152" s="333">
        <v>8694296.474932434</v>
      </c>
      <c r="L1152" s="333">
        <v>8860940.4740509931</v>
      </c>
      <c r="M1152" s="333">
        <v>8859090.5277883597</v>
      </c>
      <c r="N1152" s="333">
        <v>9018589.3552974705</v>
      </c>
      <c r="O1152" s="333">
        <v>8915409.4069492184</v>
      </c>
      <c r="P1152" s="333">
        <v>8996134.6169638913</v>
      </c>
      <c r="Q1152" s="333">
        <v>9401798.1166493725</v>
      </c>
      <c r="R1152" s="333">
        <v>10599574.022907643</v>
      </c>
      <c r="S1152" s="333">
        <v>10095984.983784068</v>
      </c>
      <c r="T1152" s="333">
        <v>10230399.93161552</v>
      </c>
      <c r="U1152" s="333">
        <v>10992985.926404603</v>
      </c>
      <c r="V1152" s="333">
        <v>12031868.660387104</v>
      </c>
      <c r="W1152" s="9"/>
    </row>
    <row r="1153" spans="1:23" x14ac:dyDescent="0.2">
      <c r="A1153" s="9"/>
      <c r="B1153" s="334" t="s">
        <v>227</v>
      </c>
      <c r="C1153" s="335"/>
      <c r="D1153" s="333">
        <v>641088.66925000004</v>
      </c>
      <c r="E1153" s="333">
        <v>871932.44615920004</v>
      </c>
      <c r="F1153" s="333">
        <v>942106.24924769998</v>
      </c>
      <c r="G1153" s="333">
        <v>1016154.0382083</v>
      </c>
      <c r="H1153" s="333">
        <v>1153065.6329874001</v>
      </c>
      <c r="I1153" s="333">
        <v>1285472.5859674201</v>
      </c>
      <c r="J1153" s="333">
        <v>1414452.6987481036</v>
      </c>
      <c r="K1153" s="333">
        <v>1539643.8210178136</v>
      </c>
      <c r="L1153" s="333">
        <v>1557855.4305436101</v>
      </c>
      <c r="M1153" s="333">
        <v>1580559.0401868974</v>
      </c>
      <c r="N1153" s="333">
        <v>1717915.0343979364</v>
      </c>
      <c r="O1153" s="333">
        <v>1858373.3716659963</v>
      </c>
      <c r="P1153" s="333">
        <v>2002947.2864929864</v>
      </c>
      <c r="Q1153" s="333">
        <v>2044074.768764786</v>
      </c>
      <c r="R1153" s="333">
        <v>2089627.9755047394</v>
      </c>
      <c r="S1153" s="333">
        <v>2247653.9684468922</v>
      </c>
      <c r="T1153" s="333">
        <v>2410426.8311773087</v>
      </c>
      <c r="U1153" s="333">
        <v>2578076.7897896385</v>
      </c>
      <c r="V1153" s="333">
        <v>2743578.3371603377</v>
      </c>
      <c r="W1153" s="9"/>
    </row>
    <row r="1154" spans="1:23" ht="13.5" thickBot="1" x14ac:dyDescent="0.25">
      <c r="A1154" s="9"/>
      <c r="B1154" s="336" t="s">
        <v>228</v>
      </c>
      <c r="C1154" s="337"/>
      <c r="D1154" s="338">
        <v>25311528.904148683</v>
      </c>
      <c r="E1154" s="338">
        <v>24189942.44256964</v>
      </c>
      <c r="F1154" s="338">
        <v>20961947.427400488</v>
      </c>
      <c r="G1154" s="338">
        <v>20171631.434620481</v>
      </c>
      <c r="H1154" s="338">
        <v>19429639.57670876</v>
      </c>
      <c r="I1154" s="338">
        <v>20364742.028590873</v>
      </c>
      <c r="J1154" s="338">
        <v>22156130.930905975</v>
      </c>
      <c r="K1154" s="338">
        <v>23275385.008348897</v>
      </c>
      <c r="L1154" s="338">
        <v>23710206.615671091</v>
      </c>
      <c r="M1154" s="338">
        <v>23728285.359657794</v>
      </c>
      <c r="N1154" s="338">
        <v>24264388.422641613</v>
      </c>
      <c r="O1154" s="338">
        <v>24146896.88903904</v>
      </c>
      <c r="P1154" s="338">
        <v>24493283.82890271</v>
      </c>
      <c r="Q1154" s="338">
        <v>25548570.060388219</v>
      </c>
      <c r="R1154" s="338">
        <v>28588563.032773845</v>
      </c>
      <c r="S1154" s="338">
        <v>27487616.427907061</v>
      </c>
      <c r="T1154" s="338">
        <v>27986426.660216108</v>
      </c>
      <c r="U1154" s="338">
        <v>30060541.605801143</v>
      </c>
      <c r="V1154" s="338">
        <v>32823249.9881281</v>
      </c>
      <c r="W1154" s="9"/>
    </row>
    <row r="1155" spans="1:23" ht="13.5" thickTop="1" x14ac:dyDescent="0.2">
      <c r="A1155" s="330" t="s">
        <v>229</v>
      </c>
      <c r="B1155" s="292" t="s">
        <v>230</v>
      </c>
      <c r="C1155" s="326"/>
      <c r="D1155" s="333">
        <v>-1958871.2410871561</v>
      </c>
      <c r="E1155" s="333">
        <v>-2061192.773016654</v>
      </c>
      <c r="F1155" s="333">
        <v>-2080266.9037153572</v>
      </c>
      <c r="G1155" s="333">
        <v>-2148931.8483435581</v>
      </c>
      <c r="H1155" s="333">
        <v>-2130061.1674700533</v>
      </c>
      <c r="I1155" s="333">
        <v>-2255421.2648420534</v>
      </c>
      <c r="J1155" s="333">
        <v>-1709636.5625674359</v>
      </c>
      <c r="K1155" s="333">
        <v>-1256158.8124179044</v>
      </c>
      <c r="L1155" s="333">
        <v>-1392553.0986136722</v>
      </c>
      <c r="M1155" s="333">
        <v>-1511265.245769321</v>
      </c>
      <c r="N1155" s="333">
        <v>-1488014.9954852008</v>
      </c>
      <c r="O1155" s="333">
        <v>-1637701.5076453364</v>
      </c>
      <c r="P1155" s="333">
        <v>-1791878.6151702763</v>
      </c>
      <c r="Q1155" s="333">
        <v>-1950681.0359209643</v>
      </c>
      <c r="R1155" s="333">
        <v>-2114247.5292941728</v>
      </c>
      <c r="S1155" s="333">
        <v>-2281659.0820835289</v>
      </c>
      <c r="T1155" s="333">
        <v>-2452315.9242618089</v>
      </c>
      <c r="U1155" s="333">
        <v>-2631049.4478660352</v>
      </c>
      <c r="V1155" s="333">
        <v>-2815144.9771783883</v>
      </c>
      <c r="W1155" s="9"/>
    </row>
    <row r="1156" spans="1:23" x14ac:dyDescent="0.2">
      <c r="A1156" s="9"/>
      <c r="B1156" s="292" t="s">
        <v>231</v>
      </c>
      <c r="C1156" s="326"/>
      <c r="D1156" s="333">
        <v>0</v>
      </c>
      <c r="E1156" s="333">
        <v>0</v>
      </c>
      <c r="F1156" s="333">
        <v>0</v>
      </c>
      <c r="G1156" s="333">
        <v>0</v>
      </c>
      <c r="H1156" s="333">
        <v>0</v>
      </c>
      <c r="I1156" s="333">
        <v>0</v>
      </c>
      <c r="J1156" s="333">
        <v>0</v>
      </c>
      <c r="K1156" s="333">
        <v>0</v>
      </c>
      <c r="L1156" s="333">
        <v>0</v>
      </c>
      <c r="M1156" s="333">
        <v>0</v>
      </c>
      <c r="N1156" s="333">
        <v>0</v>
      </c>
      <c r="O1156" s="333">
        <v>0</v>
      </c>
      <c r="P1156" s="333">
        <v>0</v>
      </c>
      <c r="Q1156" s="333">
        <v>0</v>
      </c>
      <c r="R1156" s="333">
        <v>0</v>
      </c>
      <c r="S1156" s="333">
        <v>0</v>
      </c>
      <c r="T1156" s="333">
        <v>0</v>
      </c>
      <c r="U1156" s="333">
        <v>0</v>
      </c>
      <c r="V1156" s="333">
        <v>0</v>
      </c>
      <c r="W1156" s="9"/>
    </row>
    <row r="1157" spans="1:23" x14ac:dyDescent="0.2">
      <c r="A1157" s="9"/>
      <c r="B1157" s="329" t="s">
        <v>232</v>
      </c>
      <c r="C1157" s="331"/>
      <c r="D1157" s="332">
        <v>23352657.663061526</v>
      </c>
      <c r="E1157" s="332">
        <v>22128749.669552986</v>
      </c>
      <c r="F1157" s="332">
        <v>18881680.523685131</v>
      </c>
      <c r="G1157" s="332">
        <v>18022699.586276922</v>
      </c>
      <c r="H1157" s="332">
        <v>17299578.409238707</v>
      </c>
      <c r="I1157" s="332">
        <v>18109320.763748821</v>
      </c>
      <c r="J1157" s="332">
        <v>20446494.36833854</v>
      </c>
      <c r="K1157" s="332">
        <v>22019226.195930991</v>
      </c>
      <c r="L1157" s="332">
        <v>22317653.517057419</v>
      </c>
      <c r="M1157" s="332">
        <v>22217020.113888472</v>
      </c>
      <c r="N1157" s="332">
        <v>22776373.427156411</v>
      </c>
      <c r="O1157" s="332">
        <v>22509195.381393705</v>
      </c>
      <c r="P1157" s="332">
        <v>22701405.213732433</v>
      </c>
      <c r="Q1157" s="332">
        <v>23597889.024467256</v>
      </c>
      <c r="R1157" s="332">
        <v>26474315.503479671</v>
      </c>
      <c r="S1157" s="332">
        <v>25205957.345823534</v>
      </c>
      <c r="T1157" s="332">
        <v>25534110.7359543</v>
      </c>
      <c r="U1157" s="332">
        <v>27429492.157935109</v>
      </c>
      <c r="V1157" s="332">
        <v>30008105.010949712</v>
      </c>
      <c r="W1157" s="9"/>
    </row>
    <row r="1158" spans="1:23" ht="13.5" thickBot="1" x14ac:dyDescent="0.25">
      <c r="A1158" s="9"/>
      <c r="B1158" s="339" t="s">
        <v>238</v>
      </c>
      <c r="C1158" s="340"/>
      <c r="D1158" s="341">
        <v>-9341063.0652246103</v>
      </c>
      <c r="E1158" s="341">
        <v>-8851499.8678211942</v>
      </c>
      <c r="F1158" s="341">
        <v>-7552672.2094740532</v>
      </c>
      <c r="G1158" s="341">
        <v>-7209079.8345107697</v>
      </c>
      <c r="H1158" s="341">
        <v>-6919831.3636954837</v>
      </c>
      <c r="I1158" s="341">
        <v>-7243728.3054995285</v>
      </c>
      <c r="J1158" s="341">
        <v>-8178597.7473354163</v>
      </c>
      <c r="K1158" s="341">
        <v>-8807690.4783723969</v>
      </c>
      <c r="L1158" s="341">
        <v>-8927061.4068229683</v>
      </c>
      <c r="M1158" s="341">
        <v>-8886808.0455553886</v>
      </c>
      <c r="N1158" s="341">
        <v>-9110549.3708625641</v>
      </c>
      <c r="O1158" s="341">
        <v>-9003678.1525574829</v>
      </c>
      <c r="P1158" s="341">
        <v>-9080562.0854929741</v>
      </c>
      <c r="Q1158" s="341">
        <v>-9439155.6097869035</v>
      </c>
      <c r="R1158" s="341">
        <v>-10589726.201391868</v>
      </c>
      <c r="S1158" s="341">
        <v>-10082382.938329414</v>
      </c>
      <c r="T1158" s="341">
        <v>-10213644.294381721</v>
      </c>
      <c r="U1158" s="341">
        <v>-10971796.863174044</v>
      </c>
      <c r="V1158" s="341">
        <v>-12003242.004379885</v>
      </c>
      <c r="W1158" s="9"/>
    </row>
    <row r="1159" spans="1:23" ht="13.5" thickTop="1" x14ac:dyDescent="0.2">
      <c r="A1159" s="9"/>
      <c r="B1159" s="329" t="s">
        <v>233</v>
      </c>
      <c r="C1159" s="331"/>
      <c r="D1159" s="332">
        <v>14011594.597836915</v>
      </c>
      <c r="E1159" s="332">
        <v>13277249.801731791</v>
      </c>
      <c r="F1159" s="332">
        <v>11329008.314211078</v>
      </c>
      <c r="G1159" s="332">
        <v>10813619.751766153</v>
      </c>
      <c r="H1159" s="332">
        <v>10379747.045543224</v>
      </c>
      <c r="I1159" s="332">
        <v>10865592.458249293</v>
      </c>
      <c r="J1159" s="332">
        <v>12267896.621003125</v>
      </c>
      <c r="K1159" s="332">
        <v>13211535.717558594</v>
      </c>
      <c r="L1159" s="332">
        <v>13390592.110234451</v>
      </c>
      <c r="M1159" s="332">
        <v>13330212.068333084</v>
      </c>
      <c r="N1159" s="332">
        <v>13665824.056293847</v>
      </c>
      <c r="O1159" s="332">
        <v>13505517.228836222</v>
      </c>
      <c r="P1159" s="332">
        <v>13620843.128239458</v>
      </c>
      <c r="Q1159" s="332">
        <v>14158733.414680352</v>
      </c>
      <c r="R1159" s="332">
        <v>15884589.302087802</v>
      </c>
      <c r="S1159" s="332">
        <v>15123574.40749412</v>
      </c>
      <c r="T1159" s="332">
        <v>15320466.441572579</v>
      </c>
      <c r="U1159" s="332">
        <v>16457695.294761065</v>
      </c>
      <c r="V1159" s="332">
        <v>18004863.006569825</v>
      </c>
      <c r="W1159" s="9"/>
    </row>
    <row r="1160" spans="1:23" x14ac:dyDescent="0.2">
      <c r="A1160" s="9"/>
      <c r="B1160" s="9"/>
      <c r="C1160" s="326"/>
      <c r="D1160" s="9"/>
      <c r="E1160" s="327"/>
      <c r="F1160" s="319"/>
      <c r="G1160" s="328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</row>
    <row r="1161" spans="1:23" ht="15.75" x14ac:dyDescent="0.25">
      <c r="A1161" s="342" t="s">
        <v>206</v>
      </c>
      <c r="B1161" s="343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</row>
    <row r="1162" spans="1:23" x14ac:dyDescent="0.2">
      <c r="A1162" s="290" t="s">
        <v>191</v>
      </c>
      <c r="B1162" s="309"/>
      <c r="C1162" s="344">
        <v>0</v>
      </c>
      <c r="D1162" s="283"/>
      <c r="E1162" s="283"/>
      <c r="F1162" s="283"/>
      <c r="G1162" s="283"/>
      <c r="H1162" s="283"/>
      <c r="I1162" s="283"/>
      <c r="J1162" s="283"/>
      <c r="K1162" s="283"/>
      <c r="L1162" s="283"/>
      <c r="M1162" s="283"/>
      <c r="N1162" s="283"/>
      <c r="O1162" s="283"/>
      <c r="P1162" s="283"/>
      <c r="Q1162" s="283"/>
      <c r="R1162" s="283"/>
      <c r="S1162" s="283"/>
      <c r="T1162" s="283"/>
      <c r="U1162" s="283"/>
      <c r="V1162" s="283"/>
      <c r="W1162" s="283"/>
    </row>
    <row r="1163" spans="1:23" x14ac:dyDescent="0.2">
      <c r="A1163" s="290" t="s">
        <v>192</v>
      </c>
      <c r="B1163" s="309"/>
      <c r="C1163" s="345">
        <v>0</v>
      </c>
      <c r="D1163" s="283"/>
      <c r="E1163" s="283"/>
      <c r="F1163" s="283"/>
      <c r="G1163" s="283"/>
      <c r="H1163" s="283"/>
      <c r="I1163" s="283"/>
      <c r="J1163" s="283"/>
      <c r="K1163" s="283"/>
      <c r="L1163" s="283"/>
      <c r="M1163" s="283"/>
      <c r="N1163" s="283"/>
      <c r="O1163" s="283"/>
      <c r="P1163" s="283"/>
      <c r="Q1163" s="283"/>
      <c r="R1163" s="283"/>
      <c r="S1163" s="283"/>
      <c r="T1163" s="283"/>
      <c r="U1163" s="283"/>
      <c r="V1163" s="283"/>
      <c r="W1163" s="283"/>
    </row>
    <row r="1164" spans="1:23" x14ac:dyDescent="0.2">
      <c r="A1164" s="290" t="s">
        <v>202</v>
      </c>
      <c r="B1164" s="309"/>
      <c r="C1164" s="290">
        <v>15</v>
      </c>
      <c r="D1164" s="283"/>
      <c r="E1164" s="283"/>
      <c r="F1164" s="283"/>
      <c r="G1164" s="283"/>
      <c r="H1164" s="283"/>
      <c r="I1164" s="283"/>
      <c r="J1164" s="283"/>
      <c r="K1164" s="283"/>
      <c r="L1164" s="283"/>
      <c r="M1164" s="283"/>
      <c r="N1164" s="283"/>
      <c r="O1164" s="283"/>
      <c r="P1164" s="283"/>
      <c r="Q1164" s="283"/>
      <c r="R1164" s="283"/>
      <c r="S1164" s="283"/>
      <c r="T1164" s="283"/>
      <c r="U1164" s="283"/>
      <c r="V1164" s="283"/>
      <c r="W1164" s="283"/>
    </row>
    <row r="1165" spans="1:23" x14ac:dyDescent="0.2">
      <c r="A1165" s="290" t="s">
        <v>193</v>
      </c>
      <c r="B1165" s="309"/>
      <c r="C1165" s="345">
        <v>0</v>
      </c>
      <c r="D1165" s="283"/>
      <c r="E1165" s="283"/>
      <c r="F1165" s="283"/>
      <c r="G1165" s="283"/>
      <c r="H1165" s="283"/>
      <c r="I1165" s="283"/>
      <c r="J1165" s="283"/>
      <c r="K1165" s="283"/>
      <c r="L1165" s="283"/>
      <c r="M1165" s="283"/>
      <c r="N1165" s="283"/>
      <c r="O1165" s="283"/>
      <c r="P1165" s="283"/>
      <c r="Q1165" s="283"/>
      <c r="R1165" s="283"/>
      <c r="S1165" s="283"/>
      <c r="T1165" s="283"/>
      <c r="U1165" s="283"/>
      <c r="V1165" s="283"/>
      <c r="W1165" s="283"/>
    </row>
    <row r="1166" spans="1:23" x14ac:dyDescent="0.2">
      <c r="A1166" s="290" t="s">
        <v>194</v>
      </c>
      <c r="B1166" s="309"/>
      <c r="C1166" s="346">
        <v>8.7499999999999994E-2</v>
      </c>
      <c r="D1166" s="283"/>
      <c r="E1166" s="283"/>
      <c r="F1166" s="283"/>
      <c r="G1166" s="283"/>
      <c r="H1166" s="283"/>
      <c r="I1166" s="283"/>
      <c r="J1166" s="283"/>
      <c r="K1166" s="283"/>
      <c r="L1166" s="283"/>
      <c r="M1166" s="283"/>
      <c r="N1166" s="283"/>
      <c r="O1166" s="283"/>
      <c r="P1166" s="283"/>
      <c r="Q1166" s="283"/>
      <c r="R1166" s="283"/>
      <c r="S1166" s="283"/>
      <c r="T1166" s="283"/>
      <c r="U1166" s="283"/>
      <c r="V1166" s="283"/>
      <c r="W1166" s="283"/>
    </row>
    <row r="1167" spans="1:23" x14ac:dyDescent="0.2">
      <c r="A1167" s="290"/>
      <c r="B1167" s="309"/>
      <c r="C1167" s="283"/>
      <c r="D1167" s="312">
        <v>2001</v>
      </c>
      <c r="E1167" s="312">
        <v>2002</v>
      </c>
      <c r="F1167" s="312">
        <v>2003</v>
      </c>
      <c r="G1167" s="312">
        <v>2004</v>
      </c>
      <c r="H1167" s="312">
        <v>2005</v>
      </c>
      <c r="I1167" s="312">
        <v>2006</v>
      </c>
      <c r="J1167" s="312">
        <v>2007</v>
      </c>
      <c r="K1167" s="312">
        <v>2008</v>
      </c>
      <c r="L1167" s="312">
        <v>2009</v>
      </c>
      <c r="M1167" s="312">
        <v>2010</v>
      </c>
      <c r="N1167" s="312">
        <v>2011</v>
      </c>
      <c r="O1167" s="312">
        <v>2012</v>
      </c>
      <c r="P1167" s="312">
        <v>2013</v>
      </c>
      <c r="Q1167" s="312">
        <v>2014</v>
      </c>
      <c r="R1167" s="312">
        <v>2015</v>
      </c>
      <c r="S1167" s="312">
        <v>2016</v>
      </c>
      <c r="T1167" s="312">
        <v>2017</v>
      </c>
      <c r="U1167" s="312">
        <v>2018</v>
      </c>
      <c r="V1167" s="312">
        <v>2019</v>
      </c>
      <c r="W1167" s="312" t="s">
        <v>154</v>
      </c>
    </row>
    <row r="1168" spans="1:23" x14ac:dyDescent="0.2">
      <c r="A1168" s="290" t="s">
        <v>195</v>
      </c>
      <c r="B1168" s="309"/>
      <c r="C1168" s="283"/>
      <c r="D1168" s="347">
        <v>0</v>
      </c>
      <c r="E1168" s="347">
        <v>0</v>
      </c>
      <c r="F1168" s="347">
        <v>0</v>
      </c>
      <c r="G1168" s="347">
        <v>0</v>
      </c>
      <c r="H1168" s="347">
        <v>0</v>
      </c>
      <c r="I1168" s="347">
        <v>0</v>
      </c>
      <c r="J1168" s="347">
        <v>0</v>
      </c>
      <c r="K1168" s="347">
        <v>0</v>
      </c>
      <c r="L1168" s="347">
        <v>0</v>
      </c>
      <c r="M1168" s="347">
        <v>0</v>
      </c>
      <c r="N1168" s="347">
        <v>0</v>
      </c>
      <c r="O1168" s="347">
        <v>0</v>
      </c>
      <c r="P1168" s="347">
        <v>0</v>
      </c>
      <c r="Q1168" s="347">
        <v>0</v>
      </c>
      <c r="R1168" s="347">
        <v>0</v>
      </c>
      <c r="S1168" s="347">
        <v>0</v>
      </c>
      <c r="T1168" s="347">
        <v>0</v>
      </c>
      <c r="U1168" s="347">
        <v>0</v>
      </c>
      <c r="V1168" s="347">
        <v>0</v>
      </c>
      <c r="W1168" s="347">
        <v>0</v>
      </c>
    </row>
    <row r="1169" spans="1:23" x14ac:dyDescent="0.2">
      <c r="A1169" s="290" t="s">
        <v>196</v>
      </c>
      <c r="B1169" s="309"/>
      <c r="C1169" s="283"/>
      <c r="D1169" s="347">
        <v>0</v>
      </c>
      <c r="E1169" s="347">
        <v>0</v>
      </c>
      <c r="F1169" s="347">
        <v>0</v>
      </c>
      <c r="G1169" s="347">
        <v>0</v>
      </c>
      <c r="H1169" s="347">
        <v>0</v>
      </c>
      <c r="I1169" s="347">
        <v>0</v>
      </c>
      <c r="J1169" s="347">
        <v>0</v>
      </c>
      <c r="K1169" s="347">
        <v>0</v>
      </c>
      <c r="L1169" s="347">
        <v>0</v>
      </c>
      <c r="M1169" s="347">
        <v>0</v>
      </c>
      <c r="N1169" s="347">
        <v>0</v>
      </c>
      <c r="O1169" s="347">
        <v>0</v>
      </c>
      <c r="P1169" s="347">
        <v>0</v>
      </c>
      <c r="Q1169" s="347">
        <v>0</v>
      </c>
      <c r="R1169" s="347">
        <v>0</v>
      </c>
      <c r="S1169" s="347">
        <v>0</v>
      </c>
      <c r="T1169" s="347">
        <v>0</v>
      </c>
      <c r="U1169" s="347">
        <v>0</v>
      </c>
      <c r="V1169" s="347">
        <v>0</v>
      </c>
      <c r="W1169" s="347">
        <v>0</v>
      </c>
    </row>
    <row r="1170" spans="1:23" x14ac:dyDescent="0.2">
      <c r="A1170" s="290" t="s">
        <v>197</v>
      </c>
      <c r="B1170" s="309"/>
      <c r="C1170" s="283"/>
      <c r="D1170" s="347">
        <v>0</v>
      </c>
      <c r="E1170" s="347">
        <v>0</v>
      </c>
      <c r="F1170" s="347">
        <v>0</v>
      </c>
      <c r="G1170" s="347">
        <v>0</v>
      </c>
      <c r="H1170" s="347">
        <v>0</v>
      </c>
      <c r="I1170" s="347">
        <v>0</v>
      </c>
      <c r="J1170" s="347">
        <v>0</v>
      </c>
      <c r="K1170" s="347">
        <v>0</v>
      </c>
      <c r="L1170" s="347">
        <v>0</v>
      </c>
      <c r="M1170" s="347">
        <v>0</v>
      </c>
      <c r="N1170" s="347">
        <v>0</v>
      </c>
      <c r="O1170" s="347">
        <v>0</v>
      </c>
      <c r="P1170" s="347">
        <v>0</v>
      </c>
      <c r="Q1170" s="347">
        <v>0</v>
      </c>
      <c r="R1170" s="347">
        <v>0</v>
      </c>
      <c r="S1170" s="347">
        <v>0</v>
      </c>
      <c r="T1170" s="347">
        <v>0</v>
      </c>
      <c r="U1170" s="347">
        <v>0</v>
      </c>
      <c r="V1170" s="347">
        <v>0</v>
      </c>
      <c r="W1170" s="347">
        <v>0</v>
      </c>
    </row>
    <row r="1171" spans="1:23" x14ac:dyDescent="0.2">
      <c r="A1171" s="290" t="s">
        <v>198</v>
      </c>
      <c r="B1171" s="309"/>
      <c r="C1171" s="283"/>
      <c r="D1171" s="348">
        <v>0</v>
      </c>
      <c r="E1171" s="348">
        <v>0</v>
      </c>
      <c r="F1171" s="348">
        <v>0</v>
      </c>
      <c r="G1171" s="348">
        <v>0</v>
      </c>
      <c r="H1171" s="348">
        <v>0</v>
      </c>
      <c r="I1171" s="348">
        <v>0</v>
      </c>
      <c r="J1171" s="348">
        <v>0</v>
      </c>
      <c r="K1171" s="348">
        <v>0</v>
      </c>
      <c r="L1171" s="348">
        <v>0</v>
      </c>
      <c r="M1171" s="348">
        <v>0</v>
      </c>
      <c r="N1171" s="348">
        <v>0</v>
      </c>
      <c r="O1171" s="348">
        <v>0</v>
      </c>
      <c r="P1171" s="348">
        <v>0</v>
      </c>
      <c r="Q1171" s="348">
        <v>0</v>
      </c>
      <c r="R1171" s="348">
        <v>0</v>
      </c>
      <c r="S1171" s="348">
        <v>0</v>
      </c>
      <c r="T1171" s="348">
        <v>0</v>
      </c>
      <c r="U1171" s="348">
        <v>0</v>
      </c>
      <c r="V1171" s="348">
        <v>0</v>
      </c>
      <c r="W1171" s="348">
        <v>0</v>
      </c>
    </row>
    <row r="1172" spans="1:23" ht="13.5" thickBot="1" x14ac:dyDescent="0.25">
      <c r="A1172" s="290" t="s">
        <v>199</v>
      </c>
      <c r="B1172" s="309"/>
      <c r="C1172" s="283"/>
      <c r="D1172" s="349">
        <v>0</v>
      </c>
      <c r="E1172" s="349">
        <v>0</v>
      </c>
      <c r="F1172" s="349">
        <v>0</v>
      </c>
      <c r="G1172" s="349">
        <v>0</v>
      </c>
      <c r="H1172" s="349">
        <v>0</v>
      </c>
      <c r="I1172" s="349">
        <v>0</v>
      </c>
      <c r="J1172" s="349">
        <v>0</v>
      </c>
      <c r="K1172" s="349">
        <v>0</v>
      </c>
      <c r="L1172" s="349">
        <v>0</v>
      </c>
      <c r="M1172" s="349">
        <v>0</v>
      </c>
      <c r="N1172" s="349">
        <v>0</v>
      </c>
      <c r="O1172" s="349">
        <v>0</v>
      </c>
      <c r="P1172" s="349">
        <v>0</v>
      </c>
      <c r="Q1172" s="349">
        <v>0</v>
      </c>
      <c r="R1172" s="349">
        <v>0</v>
      </c>
      <c r="S1172" s="349">
        <v>0</v>
      </c>
      <c r="T1172" s="349">
        <v>0</v>
      </c>
      <c r="U1172" s="349">
        <v>0</v>
      </c>
      <c r="V1172" s="349">
        <v>0</v>
      </c>
      <c r="W1172" s="349">
        <v>0</v>
      </c>
    </row>
    <row r="1173" spans="1:23" ht="13.5" thickTop="1" x14ac:dyDescent="0.2">
      <c r="A1173" s="290"/>
      <c r="B1173" s="309"/>
      <c r="C1173" s="283"/>
      <c r="D1173" s="347"/>
      <c r="E1173" s="347"/>
      <c r="F1173" s="347"/>
      <c r="G1173" s="347"/>
      <c r="H1173" s="347"/>
      <c r="I1173" s="347"/>
      <c r="J1173" s="347"/>
      <c r="K1173" s="347"/>
      <c r="L1173" s="347"/>
      <c r="M1173" s="347"/>
      <c r="N1173" s="347"/>
      <c r="O1173" s="347"/>
      <c r="P1173" s="347"/>
      <c r="Q1173" s="347"/>
      <c r="R1173" s="347"/>
      <c r="S1173" s="347"/>
      <c r="T1173" s="347"/>
      <c r="U1173" s="347"/>
      <c r="V1173" s="347"/>
      <c r="W1173" s="347"/>
    </row>
    <row r="1174" spans="1:23" x14ac:dyDescent="0.2">
      <c r="A1174" s="290" t="s">
        <v>200</v>
      </c>
      <c r="B1174" s="309"/>
      <c r="C1174" s="283"/>
      <c r="D1174" s="347">
        <v>0</v>
      </c>
      <c r="E1174" s="347">
        <v>0</v>
      </c>
      <c r="F1174" s="347">
        <v>0</v>
      </c>
      <c r="G1174" s="347">
        <v>0</v>
      </c>
      <c r="H1174" s="347">
        <v>0</v>
      </c>
      <c r="I1174" s="347">
        <v>0</v>
      </c>
      <c r="J1174" s="347">
        <v>0</v>
      </c>
      <c r="K1174" s="347">
        <v>0</v>
      </c>
      <c r="L1174" s="347">
        <v>0</v>
      </c>
      <c r="M1174" s="347">
        <v>0</v>
      </c>
      <c r="N1174" s="347">
        <v>0</v>
      </c>
      <c r="O1174" s="347">
        <v>0</v>
      </c>
      <c r="P1174" s="347">
        <v>0</v>
      </c>
      <c r="Q1174" s="347">
        <v>0</v>
      </c>
      <c r="R1174" s="347">
        <v>0</v>
      </c>
      <c r="S1174" s="347">
        <v>0</v>
      </c>
      <c r="T1174" s="347">
        <v>0</v>
      </c>
      <c r="U1174" s="347">
        <v>0</v>
      </c>
      <c r="V1174" s="347">
        <v>0</v>
      </c>
      <c r="W1174" s="347">
        <v>0</v>
      </c>
    </row>
    <row r="1175" spans="1:23" x14ac:dyDescent="0.2">
      <c r="A1175" s="290"/>
      <c r="B1175" s="309"/>
      <c r="C1175" s="283"/>
      <c r="D1175" s="283"/>
      <c r="E1175" s="283"/>
      <c r="F1175" s="283"/>
      <c r="G1175" s="283"/>
      <c r="H1175" s="283"/>
      <c r="I1175" s="283"/>
      <c r="J1175" s="283"/>
      <c r="K1175" s="283"/>
      <c r="L1175" s="283"/>
      <c r="M1175" s="283"/>
      <c r="N1175" s="283"/>
      <c r="O1175" s="283"/>
      <c r="P1175" s="283"/>
      <c r="Q1175" s="283"/>
      <c r="R1175" s="283"/>
      <c r="S1175" s="283"/>
      <c r="T1175" s="283"/>
      <c r="U1175" s="283"/>
      <c r="V1175" s="283"/>
      <c r="W1175" s="283"/>
    </row>
    <row r="1176" spans="1:23" x14ac:dyDescent="0.2">
      <c r="A1176" s="290" t="s">
        <v>201</v>
      </c>
      <c r="B1176" s="309"/>
      <c r="C1176" s="283"/>
      <c r="D1176" s="347">
        <v>0</v>
      </c>
      <c r="E1176" s="347">
        <v>0</v>
      </c>
      <c r="F1176" s="347">
        <v>0</v>
      </c>
      <c r="G1176" s="347">
        <v>0</v>
      </c>
      <c r="H1176" s="347">
        <v>0</v>
      </c>
      <c r="I1176" s="347">
        <v>0</v>
      </c>
      <c r="J1176" s="347">
        <v>0</v>
      </c>
      <c r="K1176" s="347">
        <v>0</v>
      </c>
      <c r="L1176" s="347">
        <v>0</v>
      </c>
      <c r="M1176" s="347">
        <v>0</v>
      </c>
      <c r="N1176" s="347">
        <v>0</v>
      </c>
      <c r="O1176" s="347">
        <v>0</v>
      </c>
      <c r="P1176" s="347">
        <v>0</v>
      </c>
      <c r="Q1176" s="347">
        <v>0</v>
      </c>
      <c r="R1176" s="347">
        <v>0</v>
      </c>
      <c r="S1176" s="347">
        <v>0</v>
      </c>
      <c r="T1176" s="347">
        <v>0</v>
      </c>
      <c r="U1176" s="347">
        <v>0</v>
      </c>
      <c r="V1176" s="347">
        <v>0</v>
      </c>
      <c r="W1176" s="347">
        <v>0</v>
      </c>
    </row>
    <row r="1177" spans="1:23" x14ac:dyDescent="0.2">
      <c r="A1177" s="283"/>
      <c r="B1177" s="309"/>
      <c r="C1177" s="283"/>
      <c r="D1177" s="283"/>
      <c r="E1177" s="283"/>
      <c r="F1177" s="283"/>
      <c r="G1177" s="283"/>
      <c r="H1177" s="283"/>
      <c r="I1177" s="283"/>
      <c r="J1177" s="283"/>
      <c r="K1177" s="283"/>
      <c r="L1177" s="283"/>
      <c r="M1177" s="283"/>
      <c r="N1177" s="283"/>
      <c r="O1177" s="283"/>
      <c r="P1177" s="283"/>
      <c r="Q1177" s="283"/>
      <c r="R1177" s="283"/>
      <c r="S1177" s="283"/>
      <c r="T1177" s="283"/>
      <c r="U1177" s="283"/>
      <c r="V1177" s="283"/>
      <c r="W1177" s="283"/>
    </row>
    <row r="1178" spans="1:23" x14ac:dyDescent="0.2">
      <c r="A1178" s="283"/>
      <c r="B1178" s="309"/>
      <c r="C1178" s="283"/>
      <c r="D1178" s="283"/>
      <c r="E1178" s="283"/>
      <c r="F1178" s="283"/>
      <c r="G1178" s="283"/>
      <c r="H1178" s="283"/>
      <c r="I1178" s="283"/>
      <c r="J1178" s="283"/>
      <c r="K1178" s="283"/>
      <c r="L1178" s="283"/>
      <c r="M1178" s="283"/>
      <c r="N1178" s="283"/>
      <c r="O1178" s="283"/>
      <c r="P1178" s="283"/>
      <c r="Q1178" s="283"/>
      <c r="R1178" s="283"/>
      <c r="S1178" s="283"/>
      <c r="T1178" s="283"/>
      <c r="U1178" s="283"/>
      <c r="V1178" s="283"/>
      <c r="W1178" s="283"/>
    </row>
    <row r="1179" spans="1:23" x14ac:dyDescent="0.2">
      <c r="A1179" s="290" t="s">
        <v>203</v>
      </c>
      <c r="B1179" s="285"/>
      <c r="C1179" s="284"/>
      <c r="D1179" s="441">
        <v>10937761.63018921</v>
      </c>
      <c r="E1179" s="441">
        <v>12753223.274005465</v>
      </c>
      <c r="F1179" s="441">
        <v>12344385.086139373</v>
      </c>
      <c r="G1179" s="441">
        <v>10156845.796055609</v>
      </c>
      <c r="H1179" s="441">
        <v>9684833.3512202166</v>
      </c>
      <c r="I1179" s="441">
        <v>10225832.304101489</v>
      </c>
      <c r="J1179" s="441">
        <v>11277041.632179625</v>
      </c>
      <c r="K1179" s="441">
        <v>11921197.987377368</v>
      </c>
      <c r="L1179" s="441">
        <v>12109578.879199831</v>
      </c>
      <c r="M1179" s="441">
        <v>12047316.951576557</v>
      </c>
      <c r="N1179" s="441">
        <v>12339264.850642476</v>
      </c>
      <c r="O1179" s="441">
        <v>12237757.238887107</v>
      </c>
      <c r="P1179" s="441">
        <v>12413607.061440025</v>
      </c>
      <c r="Q1179" s="441">
        <v>12970723.528725086</v>
      </c>
      <c r="R1179" s="441">
        <v>14717659.142402027</v>
      </c>
      <c r="S1179" s="441">
        <v>14022161.680634893</v>
      </c>
      <c r="T1179" s="441">
        <v>14285472.872207846</v>
      </c>
      <c r="U1179" s="441">
        <v>15492885.207312016</v>
      </c>
      <c r="V1179" s="441">
        <v>17109470.741493933</v>
      </c>
      <c r="W1179" s="441">
        <v>84571559.996941134</v>
      </c>
    </row>
    <row r="1180" spans="1:23" x14ac:dyDescent="0.2">
      <c r="A1180" s="9"/>
      <c r="B1180" s="6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</row>
    <row r="1181" spans="1:23" x14ac:dyDescent="0.2">
      <c r="A1181" s="370"/>
      <c r="B1181" s="306"/>
      <c r="C1181" s="307"/>
      <c r="D1181" s="371"/>
      <c r="E1181" s="371"/>
      <c r="F1181" s="371"/>
      <c r="G1181" s="371"/>
      <c r="H1181" s="371"/>
      <c r="I1181" s="371"/>
      <c r="J1181" s="371"/>
      <c r="K1181" s="371"/>
      <c r="L1181" s="371"/>
      <c r="M1181" s="371"/>
      <c r="N1181" s="371"/>
      <c r="O1181" s="371"/>
      <c r="P1181" s="371"/>
      <c r="Q1181" s="371"/>
      <c r="R1181" s="371"/>
      <c r="S1181" s="371"/>
      <c r="T1181" s="371"/>
      <c r="U1181" s="371"/>
      <c r="V1181" s="371"/>
    </row>
    <row r="1182" spans="1:23" x14ac:dyDescent="0.2">
      <c r="B1182" s="295"/>
      <c r="C1182" s="360"/>
      <c r="D1182" s="372"/>
      <c r="E1182" s="372"/>
      <c r="F1182" s="372"/>
      <c r="G1182" s="372"/>
      <c r="H1182" s="372"/>
      <c r="I1182" s="372"/>
      <c r="J1182" s="372"/>
      <c r="K1182" s="372"/>
      <c r="L1182" s="372"/>
      <c r="M1182" s="372"/>
      <c r="N1182" s="372"/>
      <c r="O1182" s="372"/>
      <c r="P1182" s="372"/>
      <c r="Q1182" s="372"/>
      <c r="R1182" s="372"/>
      <c r="S1182" s="372"/>
      <c r="T1182" s="372"/>
      <c r="U1182" s="372"/>
      <c r="V1182" s="372"/>
    </row>
    <row r="1183" spans="1:23" x14ac:dyDescent="0.2">
      <c r="B1183" s="295"/>
      <c r="C1183" s="360"/>
      <c r="D1183" s="372"/>
      <c r="E1183" s="372"/>
      <c r="F1183" s="372"/>
      <c r="G1183" s="372"/>
      <c r="H1183" s="372"/>
      <c r="I1183" s="372"/>
      <c r="J1183" s="372"/>
      <c r="K1183" s="372"/>
      <c r="L1183" s="372"/>
      <c r="M1183" s="372"/>
      <c r="N1183" s="372"/>
      <c r="O1183" s="372"/>
      <c r="P1183" s="372"/>
      <c r="Q1183" s="372"/>
      <c r="R1183" s="372"/>
      <c r="S1183" s="372"/>
      <c r="T1183" s="372"/>
      <c r="U1183" s="372"/>
      <c r="V1183" s="372"/>
    </row>
    <row r="1184" spans="1:23" x14ac:dyDescent="0.2">
      <c r="B1184" s="306"/>
      <c r="C1184" s="307"/>
      <c r="D1184" s="371"/>
      <c r="E1184" s="371"/>
      <c r="F1184" s="371"/>
      <c r="G1184" s="371"/>
      <c r="H1184" s="371"/>
      <c r="I1184" s="371"/>
      <c r="J1184" s="371"/>
      <c r="K1184" s="371"/>
      <c r="L1184" s="371"/>
      <c r="M1184" s="371"/>
      <c r="N1184" s="371"/>
      <c r="O1184" s="371"/>
      <c r="P1184" s="371"/>
      <c r="Q1184" s="371"/>
      <c r="R1184" s="371"/>
      <c r="S1184" s="371"/>
      <c r="T1184" s="371"/>
      <c r="U1184" s="371"/>
      <c r="V1184" s="371"/>
    </row>
    <row r="1185" spans="1:23" x14ac:dyDescent="0.2">
      <c r="A1185" s="370"/>
      <c r="B1185" s="295"/>
      <c r="C1185" s="360"/>
      <c r="D1185" s="372"/>
      <c r="E1185" s="372"/>
      <c r="F1185" s="372"/>
      <c r="G1185" s="372"/>
      <c r="H1185" s="372"/>
      <c r="I1185" s="372"/>
      <c r="J1185" s="372"/>
      <c r="K1185" s="372"/>
      <c r="L1185" s="372"/>
      <c r="M1185" s="372"/>
      <c r="N1185" s="372"/>
      <c r="O1185" s="372"/>
      <c r="P1185" s="372"/>
      <c r="Q1185" s="372"/>
      <c r="R1185" s="372"/>
      <c r="S1185" s="372"/>
      <c r="T1185" s="372"/>
      <c r="U1185" s="372"/>
      <c r="V1185" s="372"/>
    </row>
    <row r="1186" spans="1:23" x14ac:dyDescent="0.2">
      <c r="B1186" s="295"/>
      <c r="C1186" s="360"/>
      <c r="D1186" s="372"/>
      <c r="E1186" s="372"/>
      <c r="F1186" s="372"/>
      <c r="G1186" s="372"/>
      <c r="H1186" s="372"/>
      <c r="I1186" s="372"/>
      <c r="J1186" s="372"/>
      <c r="K1186" s="372"/>
      <c r="L1186" s="372"/>
      <c r="M1186" s="372"/>
      <c r="N1186" s="372"/>
      <c r="O1186" s="372"/>
      <c r="P1186" s="372"/>
      <c r="Q1186" s="372"/>
      <c r="R1186" s="372"/>
      <c r="S1186" s="372"/>
      <c r="T1186" s="372"/>
      <c r="U1186" s="372"/>
      <c r="V1186" s="372"/>
    </row>
    <row r="1187" spans="1:23" x14ac:dyDescent="0.2">
      <c r="B1187" s="306"/>
      <c r="C1187" s="307"/>
      <c r="D1187" s="371"/>
      <c r="E1187" s="371"/>
      <c r="F1187" s="371"/>
      <c r="G1187" s="371"/>
      <c r="H1187" s="371"/>
      <c r="I1187" s="371"/>
      <c r="J1187" s="371"/>
      <c r="K1187" s="371"/>
      <c r="L1187" s="371"/>
      <c r="M1187" s="371"/>
      <c r="N1187" s="371"/>
      <c r="O1187" s="371"/>
      <c r="P1187" s="371"/>
      <c r="Q1187" s="371"/>
      <c r="R1187" s="371"/>
      <c r="S1187" s="371"/>
      <c r="T1187" s="371"/>
      <c r="U1187" s="371"/>
      <c r="V1187" s="371"/>
    </row>
    <row r="1188" spans="1:23" ht="15.75" x14ac:dyDescent="0.25">
      <c r="A1188" s="308" t="s">
        <v>29</v>
      </c>
      <c r="B1188" s="311" t="s">
        <v>72</v>
      </c>
      <c r="C1188" s="312">
        <v>2000</v>
      </c>
      <c r="D1188" s="312">
        <v>2001</v>
      </c>
      <c r="E1188" s="312">
        <v>2002</v>
      </c>
      <c r="F1188" s="312">
        <v>2003</v>
      </c>
      <c r="G1188" s="312">
        <v>2004</v>
      </c>
      <c r="H1188" s="312">
        <v>2005</v>
      </c>
      <c r="I1188" s="312">
        <v>2006</v>
      </c>
      <c r="J1188" s="312">
        <v>2007</v>
      </c>
      <c r="K1188" s="312">
        <v>2008</v>
      </c>
      <c r="L1188" s="312">
        <v>2009</v>
      </c>
      <c r="M1188" s="312">
        <v>2010</v>
      </c>
      <c r="N1188" s="312">
        <v>2011</v>
      </c>
      <c r="O1188" s="312">
        <v>2012</v>
      </c>
      <c r="P1188" s="312">
        <v>2013</v>
      </c>
      <c r="Q1188" s="312">
        <v>2014</v>
      </c>
      <c r="R1188" s="312">
        <v>2015</v>
      </c>
      <c r="S1188" s="312">
        <v>2016</v>
      </c>
      <c r="T1188" s="312">
        <v>2017</v>
      </c>
      <c r="U1188" s="312">
        <v>2018</v>
      </c>
      <c r="V1188" s="312">
        <v>2019</v>
      </c>
      <c r="W1188" s="312" t="s">
        <v>154</v>
      </c>
    </row>
    <row r="1189" spans="1:23" x14ac:dyDescent="0.2">
      <c r="A1189" s="308" t="s">
        <v>26</v>
      </c>
      <c r="B1189" s="309">
        <v>604.5</v>
      </c>
      <c r="C1189" s="314"/>
      <c r="D1189" s="314"/>
      <c r="E1189" s="314"/>
      <c r="F1189" s="314"/>
      <c r="G1189" s="314"/>
      <c r="H1189" s="314"/>
      <c r="I1189" s="314"/>
      <c r="J1189" s="314"/>
      <c r="K1189" s="314"/>
      <c r="L1189" s="314"/>
      <c r="M1189" s="314"/>
      <c r="N1189" s="314"/>
      <c r="O1189" s="314"/>
      <c r="P1189" s="314"/>
      <c r="Q1189" s="314"/>
      <c r="R1189" s="314"/>
      <c r="S1189" s="314"/>
      <c r="T1189" s="314"/>
      <c r="U1189" s="314"/>
      <c r="V1189" s="314"/>
      <c r="W1189" s="314"/>
    </row>
    <row r="1190" spans="1:23" x14ac:dyDescent="0.2">
      <c r="A1190" s="9"/>
      <c r="B1190" s="315" t="s">
        <v>27</v>
      </c>
      <c r="C1190" s="449">
        <v>0</v>
      </c>
      <c r="D1190" s="410">
        <v>173212702.17091483</v>
      </c>
      <c r="E1190" s="410">
        <v>168863273.83631426</v>
      </c>
      <c r="F1190" s="410">
        <v>169172001.25663021</v>
      </c>
      <c r="G1190" s="410">
        <v>164789564.64985085</v>
      </c>
      <c r="H1190" s="410">
        <v>163295546.37843055</v>
      </c>
      <c r="I1190" s="410">
        <v>172401708.02640516</v>
      </c>
      <c r="J1190" s="410">
        <v>185433792.22942799</v>
      </c>
      <c r="K1190" s="410">
        <v>190427898.38475615</v>
      </c>
      <c r="L1190" s="410">
        <v>194360129.11919636</v>
      </c>
      <c r="M1190" s="410">
        <v>195057345.90086651</v>
      </c>
      <c r="N1190" s="410">
        <v>199321295.51944742</v>
      </c>
      <c r="O1190" s="410">
        <v>201477694.59270313</v>
      </c>
      <c r="P1190" s="410">
        <v>203902150.22207519</v>
      </c>
      <c r="Q1190" s="410">
        <v>211189251.84364602</v>
      </c>
      <c r="R1190" s="410">
        <v>226086857.25658226</v>
      </c>
      <c r="S1190" s="410">
        <v>224923523.69309872</v>
      </c>
      <c r="T1190" s="410">
        <v>227977479.46244884</v>
      </c>
      <c r="U1190" s="410">
        <v>238861452.99360159</v>
      </c>
      <c r="V1190" s="410">
        <v>246019482.34510612</v>
      </c>
      <c r="W1190" s="333"/>
    </row>
    <row r="1191" spans="1:23" x14ac:dyDescent="0.2">
      <c r="A1191" s="9"/>
      <c r="B1191" s="315" t="s">
        <v>20</v>
      </c>
      <c r="C1191" s="449">
        <v>0</v>
      </c>
      <c r="D1191" s="410">
        <v>-38209977.496653706</v>
      </c>
      <c r="E1191" s="410">
        <v>-37542793.148665704</v>
      </c>
      <c r="F1191" s="410">
        <v>-37086393.457964741</v>
      </c>
      <c r="G1191" s="410">
        <v>-36984559.251093477</v>
      </c>
      <c r="H1191" s="410">
        <v>-37113212.416070275</v>
      </c>
      <c r="I1191" s="410">
        <v>-38028246.933858581</v>
      </c>
      <c r="J1191" s="410">
        <v>-39555517.383122325</v>
      </c>
      <c r="K1191" s="410">
        <v>-40787568.029049009</v>
      </c>
      <c r="L1191" s="410">
        <v>-42027491.20306468</v>
      </c>
      <c r="M1191" s="410">
        <v>-43511462.747839011</v>
      </c>
      <c r="N1191" s="410">
        <v>-44956071.652168386</v>
      </c>
      <c r="O1191" s="410">
        <v>-45869284.910491049</v>
      </c>
      <c r="P1191" s="410">
        <v>-46487278.365476638</v>
      </c>
      <c r="Q1191" s="410">
        <v>-47404427.88784378</v>
      </c>
      <c r="R1191" s="410">
        <v>-48317641.146166444</v>
      </c>
      <c r="S1191" s="410">
        <v>-49262344.51684507</v>
      </c>
      <c r="T1191" s="410">
        <v>-50218856.679657154</v>
      </c>
      <c r="U1191" s="410">
        <v>-51195050.162691705</v>
      </c>
      <c r="V1191" s="410">
        <v>-52186988.701904267</v>
      </c>
      <c r="W1191" s="333"/>
    </row>
    <row r="1192" spans="1:23" x14ac:dyDescent="0.2">
      <c r="A1192" s="9"/>
      <c r="B1192" s="315" t="s">
        <v>31</v>
      </c>
      <c r="C1192" s="449">
        <v>0</v>
      </c>
      <c r="D1192" s="410">
        <v>-4243372.3550958224</v>
      </c>
      <c r="E1192" s="410">
        <v>-4270365.8759555276</v>
      </c>
      <c r="F1192" s="410">
        <v>-6555941.5368220154</v>
      </c>
      <c r="G1192" s="410">
        <v>-6602059.3473369591</v>
      </c>
      <c r="H1192" s="410">
        <v>-6645112.5942273848</v>
      </c>
      <c r="I1192" s="410">
        <v>-6726577.8078000993</v>
      </c>
      <c r="J1192" s="410">
        <v>-6873621.7479124507</v>
      </c>
      <c r="K1192" s="410">
        <v>-7023915.4827408493</v>
      </c>
      <c r="L1192" s="410">
        <v>-7177531.652485935</v>
      </c>
      <c r="M1192" s="410">
        <v>-7334544.5396737028</v>
      </c>
      <c r="N1192" s="410">
        <v>-7495030.1067080162</v>
      </c>
      <c r="O1192" s="410">
        <v>-7659066.034291191</v>
      </c>
      <c r="P1192" s="410">
        <v>-7826731.7607328948</v>
      </c>
      <c r="Q1192" s="410">
        <v>-7998108.5221681306</v>
      </c>
      <c r="R1192" s="410">
        <v>-8173279.3937055441</v>
      </c>
      <c r="S1192" s="410">
        <v>-8352329.3315277724</v>
      </c>
      <c r="T1192" s="410">
        <v>-8535345.2159661409</v>
      </c>
      <c r="U1192" s="410">
        <v>-8722415.8955724258</v>
      </c>
      <c r="V1192" s="410">
        <v>-8913632.2322110329</v>
      </c>
      <c r="W1192" s="333"/>
    </row>
    <row r="1193" spans="1:23" x14ac:dyDescent="0.2">
      <c r="A1193" s="9"/>
      <c r="B1193" s="315" t="s">
        <v>32</v>
      </c>
      <c r="C1193" s="449">
        <v>0</v>
      </c>
      <c r="D1193" s="410">
        <v>0</v>
      </c>
      <c r="E1193" s="410">
        <v>0</v>
      </c>
      <c r="F1193" s="410">
        <v>0</v>
      </c>
      <c r="G1193" s="410">
        <v>0</v>
      </c>
      <c r="H1193" s="410">
        <v>0</v>
      </c>
      <c r="I1193" s="410">
        <v>493837.08303063409</v>
      </c>
      <c r="J1193" s="410">
        <v>547378.95687981858</v>
      </c>
      <c r="K1193" s="410">
        <v>517229.31536194822</v>
      </c>
      <c r="L1193" s="410">
        <v>663409.45200282382</v>
      </c>
      <c r="M1193" s="410">
        <v>737813.31015313882</v>
      </c>
      <c r="N1193" s="410">
        <v>812757.15735107474</v>
      </c>
      <c r="O1193" s="410">
        <v>900510.56314857164</v>
      </c>
      <c r="P1193" s="410">
        <v>1009709.2293533324</v>
      </c>
      <c r="Q1193" s="410">
        <v>1123963.9343848089</v>
      </c>
      <c r="R1193" s="410">
        <v>1245008.6881782291</v>
      </c>
      <c r="S1193" s="410">
        <v>1367018.0085570952</v>
      </c>
      <c r="T1193" s="410">
        <v>1343028.5480668098</v>
      </c>
      <c r="U1193" s="410">
        <v>1149033.5639496762</v>
      </c>
      <c r="V1193" s="410">
        <v>1191335.8131020442</v>
      </c>
      <c r="W1193" s="333"/>
    </row>
    <row r="1194" spans="1:23" ht="13.5" thickBot="1" x14ac:dyDescent="0.25">
      <c r="A1194" s="9"/>
      <c r="B1194" s="316" t="s">
        <v>33</v>
      </c>
      <c r="C1194" s="450">
        <v>0</v>
      </c>
      <c r="D1194" s="412">
        <v>0</v>
      </c>
      <c r="E1194" s="412">
        <v>0</v>
      </c>
      <c r="F1194" s="412">
        <v>-2351205.5945379161</v>
      </c>
      <c r="G1194" s="412">
        <v>-1974338.3929916532</v>
      </c>
      <c r="H1194" s="412">
        <v>-2018886.6214646106</v>
      </c>
      <c r="I1194" s="412">
        <v>-2077101.897304127</v>
      </c>
      <c r="J1194" s="412">
        <v>-2726329.4464777368</v>
      </c>
      <c r="K1194" s="412">
        <v>-2380733.2834737478</v>
      </c>
      <c r="L1194" s="412">
        <v>-2520562.9218196622</v>
      </c>
      <c r="M1194" s="412">
        <v>-2398412.1550499075</v>
      </c>
      <c r="N1194" s="412">
        <v>-2467104.6558891232</v>
      </c>
      <c r="O1194" s="412">
        <v>-2531078.8308404139</v>
      </c>
      <c r="P1194" s="412">
        <v>-2260784.4339776444</v>
      </c>
      <c r="Q1194" s="412">
        <v>-2341618.0546389469</v>
      </c>
      <c r="R1194" s="412">
        <v>-2390008.4843666884</v>
      </c>
      <c r="S1194" s="412">
        <v>-2538021.0925880335</v>
      </c>
      <c r="T1194" s="412">
        <v>-2386003.0619891384</v>
      </c>
      <c r="U1194" s="412">
        <v>-2627888.9927885514</v>
      </c>
      <c r="V1194" s="412">
        <v>-1430755.6189923575</v>
      </c>
      <c r="W1194" s="333"/>
    </row>
    <row r="1195" spans="1:23" ht="13.5" thickTop="1" x14ac:dyDescent="0.2">
      <c r="A1195" s="9"/>
      <c r="B1195" s="317" t="s">
        <v>38</v>
      </c>
      <c r="C1195" s="451">
        <v>0</v>
      </c>
      <c r="D1195" s="414">
        <v>130759352.3191653</v>
      </c>
      <c r="E1195" s="414">
        <v>127050114.81169304</v>
      </c>
      <c r="F1195" s="414">
        <v>123178460.66730553</v>
      </c>
      <c r="G1195" s="414">
        <v>119228607.65842876</v>
      </c>
      <c r="H1195" s="414">
        <v>117518334.74666826</v>
      </c>
      <c r="I1195" s="414">
        <v>126063618.47047299</v>
      </c>
      <c r="J1195" s="414">
        <v>136825702.60879532</v>
      </c>
      <c r="K1195" s="414">
        <v>140752910.90485448</v>
      </c>
      <c r="L1195" s="414">
        <v>143297952.7938289</v>
      </c>
      <c r="M1195" s="414">
        <v>142550739.768457</v>
      </c>
      <c r="N1195" s="414">
        <v>145215846.26203296</v>
      </c>
      <c r="O1195" s="414">
        <v>146318775.38022906</v>
      </c>
      <c r="P1195" s="414">
        <v>148337064.89124137</v>
      </c>
      <c r="Q1195" s="414">
        <v>154569061.31337997</v>
      </c>
      <c r="R1195" s="414">
        <v>168450936.92052183</v>
      </c>
      <c r="S1195" s="414">
        <v>166137846.76069492</v>
      </c>
      <c r="T1195" s="414">
        <v>168180303.05290323</v>
      </c>
      <c r="U1195" s="414">
        <v>177465131.50649858</v>
      </c>
      <c r="V1195" s="414">
        <v>184679441.60510051</v>
      </c>
      <c r="W1195" s="333"/>
    </row>
    <row r="1196" spans="1:23" x14ac:dyDescent="0.2">
      <c r="A1196" s="9"/>
      <c r="B1196" s="315" t="s">
        <v>34</v>
      </c>
      <c r="C1196" s="449">
        <v>0</v>
      </c>
      <c r="D1196" s="410">
        <v>-10912034.378303934</v>
      </c>
      <c r="E1196" s="410">
        <v>-11130275.065870013</v>
      </c>
      <c r="F1196" s="410">
        <v>-11405648.567187414</v>
      </c>
      <c r="G1196" s="410">
        <v>-11634025.378531162</v>
      </c>
      <c r="H1196" s="410">
        <v>-11866976.322101787</v>
      </c>
      <c r="I1196" s="410">
        <v>-12104593.045443822</v>
      </c>
      <c r="J1196" s="410">
        <v>-12346969.0331752</v>
      </c>
      <c r="K1196" s="410">
        <v>-12594199.643831767</v>
      </c>
      <c r="L1196" s="410">
        <v>-12846382.147451291</v>
      </c>
      <c r="M1196" s="410">
        <v>-13103615.763911778</v>
      </c>
      <c r="N1196" s="410">
        <v>-13366001.702039262</v>
      </c>
      <c r="O1196" s="410">
        <v>-13633643.199500527</v>
      </c>
      <c r="P1196" s="410">
        <v>-13906645.563496528</v>
      </c>
      <c r="Q1196" s="410">
        <v>-14185116.212272599</v>
      </c>
      <c r="R1196" s="410">
        <v>-14469164.717461845</v>
      </c>
      <c r="S1196" s="410">
        <v>-14758902.847278472</v>
      </c>
      <c r="T1196" s="410">
        <v>-15054444.610578116</v>
      </c>
      <c r="U1196" s="410">
        <v>-15355906.301802605</v>
      </c>
      <c r="V1196" s="410">
        <v>-15663406.546826907</v>
      </c>
      <c r="W1196" s="333"/>
    </row>
    <row r="1197" spans="1:23" x14ac:dyDescent="0.2">
      <c r="A1197" s="9"/>
      <c r="B1197" s="315" t="s">
        <v>35</v>
      </c>
      <c r="C1197" s="449">
        <v>0</v>
      </c>
      <c r="D1197" s="410">
        <v>-3795503.9630393567</v>
      </c>
      <c r="E1197" s="410">
        <v>-3803753.9174171099</v>
      </c>
      <c r="F1197" s="410">
        <v>-3812184.5457957359</v>
      </c>
      <c r="G1197" s="410">
        <v>-3820805.7063757186</v>
      </c>
      <c r="H1197" s="410">
        <v>-3829632.050577505</v>
      </c>
      <c r="I1197" s="410">
        <v>-3838679.5838523163</v>
      </c>
      <c r="J1197" s="410">
        <v>-3847951.5211576093</v>
      </c>
      <c r="K1197" s="410">
        <v>-3857458.1503572459</v>
      </c>
      <c r="L1197" s="410">
        <v>-3867199.5932981134</v>
      </c>
      <c r="M1197" s="410">
        <v>-3877189.4430339732</v>
      </c>
      <c r="N1197" s="410">
        <v>-3887421.0471334406</v>
      </c>
      <c r="O1197" s="410">
        <v>-3897910.4876562147</v>
      </c>
      <c r="P1197" s="410">
        <v>-3908666.3599682674</v>
      </c>
      <c r="Q1197" s="410">
        <v>-3919691.1290881215</v>
      </c>
      <c r="R1197" s="410">
        <v>-3930992.6199128837</v>
      </c>
      <c r="S1197" s="410">
        <v>-3942576.6480082651</v>
      </c>
      <c r="T1197" s="410">
        <v>-3954447.9600004116</v>
      </c>
      <c r="U1197" s="410">
        <v>-3966617.2419235613</v>
      </c>
      <c r="V1197" s="410">
        <v>-3979091.9728229819</v>
      </c>
      <c r="W1197" s="333"/>
    </row>
    <row r="1198" spans="1:23" ht="13.5" thickBot="1" x14ac:dyDescent="0.25">
      <c r="A1198" s="9"/>
      <c r="B1198" s="316" t="s">
        <v>36</v>
      </c>
      <c r="C1198" s="450">
        <v>0</v>
      </c>
      <c r="D1198" s="412">
        <v>-1314527.41905882</v>
      </c>
      <c r="E1198" s="412">
        <v>-1342263.94760097</v>
      </c>
      <c r="F1198" s="412">
        <v>-1371659.5280534399</v>
      </c>
      <c r="G1198" s="412">
        <v>-1402659.03338743</v>
      </c>
      <c r="H1198" s="412">
        <v>-1436042.3183820599</v>
      </c>
      <c r="I1198" s="412">
        <v>-1472029.68324863</v>
      </c>
      <c r="J1198" s="412">
        <v>-1508540.1202789601</v>
      </c>
      <c r="K1198" s="412">
        <v>-1546724.3882333201</v>
      </c>
      <c r="L1198" s="412">
        <v>-1584928.4806226799</v>
      </c>
      <c r="M1198" s="412">
        <v>-1625344.1568785501</v>
      </c>
      <c r="N1198" s="412">
        <v>-1664677.48547502</v>
      </c>
      <c r="O1198" s="412">
        <v>-1706627.3581089899</v>
      </c>
      <c r="P1198" s="412">
        <v>-1749975.6930049499</v>
      </c>
      <c r="Q1198" s="412">
        <v>-1793725.08533008</v>
      </c>
      <c r="R1198" s="412">
        <v>-1838747.5849718601</v>
      </c>
      <c r="S1198" s="412">
        <v>-1884716.27459616</v>
      </c>
      <c r="T1198" s="412">
        <v>-1931457.23820614</v>
      </c>
      <c r="U1198" s="412">
        <v>-1979936.8148851199</v>
      </c>
      <c r="V1198" s="412">
        <v>-2029633.22893874</v>
      </c>
      <c r="W1198" s="333"/>
    </row>
    <row r="1199" spans="1:23" ht="13.5" thickTop="1" x14ac:dyDescent="0.2">
      <c r="A1199" s="9"/>
      <c r="B1199" s="317" t="s">
        <v>221</v>
      </c>
      <c r="C1199" s="452">
        <v>0</v>
      </c>
      <c r="D1199" s="416">
        <v>114737286.55876321</v>
      </c>
      <c r="E1199" s="416">
        <v>110773821.88080494</v>
      </c>
      <c r="F1199" s="416">
        <v>106588968.02626894</v>
      </c>
      <c r="G1199" s="416">
        <v>102371117.54013446</v>
      </c>
      <c r="H1199" s="416">
        <v>100385684.05560692</v>
      </c>
      <c r="I1199" s="416">
        <v>108648316.15792823</v>
      </c>
      <c r="J1199" s="416">
        <v>119122241.93418355</v>
      </c>
      <c r="K1199" s="416">
        <v>122754528.72243215</v>
      </c>
      <c r="L1199" s="416">
        <v>124999442.57245682</v>
      </c>
      <c r="M1199" s="416">
        <v>123944590.40463269</v>
      </c>
      <c r="N1199" s="416">
        <v>126297746.02738523</v>
      </c>
      <c r="O1199" s="416">
        <v>127080594.33496332</v>
      </c>
      <c r="P1199" s="416">
        <v>128771777.27477162</v>
      </c>
      <c r="Q1199" s="416">
        <v>134670528.88668916</v>
      </c>
      <c r="R1199" s="416">
        <v>148212031.9981752</v>
      </c>
      <c r="S1199" s="416">
        <v>145551650.99081203</v>
      </c>
      <c r="T1199" s="416">
        <v>147239953.24411854</v>
      </c>
      <c r="U1199" s="416">
        <v>156162671.14788729</v>
      </c>
      <c r="V1199" s="416">
        <v>163007309.85651189</v>
      </c>
      <c r="W1199" s="333"/>
    </row>
    <row r="1200" spans="1:23" x14ac:dyDescent="0.2">
      <c r="A1200" s="9"/>
      <c r="B1200" s="315" t="s">
        <v>37</v>
      </c>
      <c r="C1200" s="449">
        <v>0</v>
      </c>
      <c r="D1200" s="410">
        <v>-44637673.787173003</v>
      </c>
      <c r="E1200" s="410">
        <v>-47669468.579708897</v>
      </c>
      <c r="F1200" s="410">
        <v>-50850855.7807751</v>
      </c>
      <c r="G1200" s="410">
        <v>-51374016.858580701</v>
      </c>
      <c r="H1200" s="410">
        <v>-9696845.0739510022</v>
      </c>
      <c r="I1200" s="410">
        <v>-8370228.7461915202</v>
      </c>
      <c r="J1200" s="410">
        <v>-6466648.0014499975</v>
      </c>
      <c r="K1200" s="410">
        <v>-4426034.8819996389</v>
      </c>
      <c r="L1200" s="410">
        <v>-4401674.1067801276</v>
      </c>
      <c r="M1200" s="410">
        <v>-4733687.0562821794</v>
      </c>
      <c r="N1200" s="410">
        <v>-5084603.2383603482</v>
      </c>
      <c r="O1200" s="410">
        <v>-5443621.0576264895</v>
      </c>
      <c r="P1200" s="410">
        <v>-5652728.429188299</v>
      </c>
      <c r="Q1200" s="410">
        <v>-5872889.2918969626</v>
      </c>
      <c r="R1200" s="410">
        <v>-6264780.1204868844</v>
      </c>
      <c r="S1200" s="410">
        <v>-6525309.3639345067</v>
      </c>
      <c r="T1200" s="410">
        <v>-6797966.7446855558</v>
      </c>
      <c r="U1200" s="410">
        <v>-7226180.5668591363</v>
      </c>
      <c r="V1200" s="410">
        <v>-7574706.0336979246</v>
      </c>
      <c r="W1200" s="333"/>
    </row>
    <row r="1201" spans="1:23" ht="13.5" thickBot="1" x14ac:dyDescent="0.25">
      <c r="A1201" s="9"/>
      <c r="B1201" s="316" t="s">
        <v>222</v>
      </c>
      <c r="C1201" s="450">
        <v>0</v>
      </c>
      <c r="D1201" s="412">
        <v>-28039845.108636081</v>
      </c>
      <c r="E1201" s="412">
        <v>-25241741.320438419</v>
      </c>
      <c r="F1201" s="412">
        <v>-22295244.898197539</v>
      </c>
      <c r="G1201" s="412">
        <v>-20398840.272621505</v>
      </c>
      <c r="H1201" s="412">
        <v>-36275535.592662364</v>
      </c>
      <c r="I1201" s="412">
        <v>-40111234.964694686</v>
      </c>
      <c r="J1201" s="412">
        <v>-45062237.573093422</v>
      </c>
      <c r="K1201" s="412">
        <v>-47331397.536173008</v>
      </c>
      <c r="L1201" s="412">
        <v>-48239107.38627068</v>
      </c>
      <c r="M1201" s="412">
        <v>-47684361.33934021</v>
      </c>
      <c r="N1201" s="412">
        <v>-48485257.115609959</v>
      </c>
      <c r="O1201" s="412">
        <v>-48654789.310934737</v>
      </c>
      <c r="P1201" s="412">
        <v>-49247619.538233332</v>
      </c>
      <c r="Q1201" s="412">
        <v>-51519055.837916881</v>
      </c>
      <c r="R1201" s="412">
        <v>-56778900.751075327</v>
      </c>
      <c r="S1201" s="412">
        <v>-55610536.65075101</v>
      </c>
      <c r="T1201" s="412">
        <v>-56176794.599773198</v>
      </c>
      <c r="U1201" s="412">
        <v>-59574596.232411265</v>
      </c>
      <c r="V1201" s="412">
        <v>-62173041.529125586</v>
      </c>
      <c r="W1201" s="333"/>
    </row>
    <row r="1202" spans="1:23" ht="13.5" thickTop="1" x14ac:dyDescent="0.2">
      <c r="A1202" s="9"/>
      <c r="B1202" s="317" t="s">
        <v>183</v>
      </c>
      <c r="C1202" s="452">
        <v>0</v>
      </c>
      <c r="D1202" s="416">
        <v>42059767.662954122</v>
      </c>
      <c r="E1202" s="416">
        <v>37862611.980657622</v>
      </c>
      <c r="F1202" s="416">
        <v>33442867.347296305</v>
      </c>
      <c r="G1202" s="416">
        <v>30598260.408932254</v>
      </c>
      <c r="H1202" s="416">
        <v>54413303.388993546</v>
      </c>
      <c r="I1202" s="416">
        <v>60166852.447042026</v>
      </c>
      <c r="J1202" s="416">
        <v>67593356.359640121</v>
      </c>
      <c r="K1202" s="416">
        <v>70997096.304259509</v>
      </c>
      <c r="L1202" s="416">
        <v>72358661.079406023</v>
      </c>
      <c r="M1202" s="416">
        <v>71526542.0090103</v>
      </c>
      <c r="N1202" s="416">
        <v>72727885.673414931</v>
      </c>
      <c r="O1202" s="416">
        <v>72982183.966402099</v>
      </c>
      <c r="P1202" s="416">
        <v>73871429.30734998</v>
      </c>
      <c r="Q1202" s="416">
        <v>77278583.756875306</v>
      </c>
      <c r="R1202" s="416">
        <v>85168351.126612991</v>
      </c>
      <c r="S1202" s="416">
        <v>83415804.976126507</v>
      </c>
      <c r="T1202" s="416">
        <v>84265191.899659783</v>
      </c>
      <c r="U1202" s="416">
        <v>89361894.348616898</v>
      </c>
      <c r="V1202" s="416">
        <v>93259562.293688372</v>
      </c>
      <c r="W1202" s="333"/>
    </row>
    <row r="1203" spans="1:23" x14ac:dyDescent="0.2">
      <c r="A1203" s="9"/>
      <c r="B1203" s="315" t="s">
        <v>37</v>
      </c>
      <c r="C1203" s="449">
        <v>0</v>
      </c>
      <c r="D1203" s="410">
        <v>44637673.787173003</v>
      </c>
      <c r="E1203" s="410">
        <v>47669468.579708897</v>
      </c>
      <c r="F1203" s="410">
        <v>50850855.7807751</v>
      </c>
      <c r="G1203" s="410">
        <v>51374016.858580701</v>
      </c>
      <c r="H1203" s="410">
        <v>9696845.0739510022</v>
      </c>
      <c r="I1203" s="410">
        <v>8370228.7461915202</v>
      </c>
      <c r="J1203" s="410">
        <v>6466648.0014499975</v>
      </c>
      <c r="K1203" s="410">
        <v>4426034.8819996389</v>
      </c>
      <c r="L1203" s="410">
        <v>4401674.1067801276</v>
      </c>
      <c r="M1203" s="410">
        <v>4733687.0562821794</v>
      </c>
      <c r="N1203" s="410">
        <v>5084603.2383603482</v>
      </c>
      <c r="O1203" s="410">
        <v>5443621.0576264895</v>
      </c>
      <c r="P1203" s="410">
        <v>5652728.429188299</v>
      </c>
      <c r="Q1203" s="410">
        <v>5872889.2918969626</v>
      </c>
      <c r="R1203" s="410">
        <v>6264780.1204868844</v>
      </c>
      <c r="S1203" s="410">
        <v>6525309.3639345067</v>
      </c>
      <c r="T1203" s="410">
        <v>6797966.7446855558</v>
      </c>
      <c r="U1203" s="410">
        <v>7226180.5668591363</v>
      </c>
      <c r="V1203" s="410">
        <v>7574706.0336979246</v>
      </c>
      <c r="W1203" s="333"/>
    </row>
    <row r="1204" spans="1:23" x14ac:dyDescent="0.2">
      <c r="A1204" s="9"/>
      <c r="B1204" s="315" t="s">
        <v>39</v>
      </c>
      <c r="C1204" s="449">
        <v>0</v>
      </c>
      <c r="D1204" s="410">
        <v>-2047591.71</v>
      </c>
      <c r="E1204" s="410">
        <v>-7775098.5700000077</v>
      </c>
      <c r="F1204" s="410">
        <v>-3053459.57</v>
      </c>
      <c r="G1204" s="410">
        <v>-5375258.9699999997</v>
      </c>
      <c r="H1204" s="410">
        <v>-6217891.3880000012</v>
      </c>
      <c r="I1204" s="410">
        <v>-6404428.1296400018</v>
      </c>
      <c r="J1204" s="410">
        <v>-6596560.9735292019</v>
      </c>
      <c r="K1204" s="410">
        <v>-6794457.8027350781</v>
      </c>
      <c r="L1204" s="410">
        <v>-6998291.5368171306</v>
      </c>
      <c r="M1204" s="410">
        <v>-7208240.2829216449</v>
      </c>
      <c r="N1204" s="410">
        <v>-7424487.4914092943</v>
      </c>
      <c r="O1204" s="410">
        <v>-7647222.1161515731</v>
      </c>
      <c r="P1204" s="410">
        <v>-7876638.7796361204</v>
      </c>
      <c r="Q1204" s="410">
        <v>-8112937.9430252044</v>
      </c>
      <c r="R1204" s="410">
        <v>-8356326.0813159607</v>
      </c>
      <c r="S1204" s="410">
        <v>-8607015.8637554403</v>
      </c>
      <c r="T1204" s="410">
        <v>-8865226.3396681044</v>
      </c>
      <c r="U1204" s="410">
        <v>-9131183.1298581474</v>
      </c>
      <c r="V1204" s="410">
        <v>-9405118.6237538923</v>
      </c>
      <c r="W1204" s="333"/>
    </row>
    <row r="1205" spans="1:23" ht="13.5" thickBot="1" x14ac:dyDescent="0.25">
      <c r="A1205" s="9"/>
      <c r="B1205" s="316" t="s">
        <v>40</v>
      </c>
      <c r="C1205" s="450">
        <v>0</v>
      </c>
      <c r="D1205" s="412">
        <v>-2705818.05</v>
      </c>
      <c r="E1205" s="412">
        <v>-33595797.910000004</v>
      </c>
      <c r="F1205" s="412">
        <v>-5038796.01</v>
      </c>
      <c r="G1205" s="412">
        <v>0</v>
      </c>
      <c r="H1205" s="412">
        <v>0</v>
      </c>
      <c r="I1205" s="412">
        <v>0</v>
      </c>
      <c r="J1205" s="412">
        <v>0</v>
      </c>
      <c r="K1205" s="412">
        <v>0</v>
      </c>
      <c r="L1205" s="412">
        <v>0</v>
      </c>
      <c r="M1205" s="412">
        <v>0</v>
      </c>
      <c r="N1205" s="412">
        <v>0</v>
      </c>
      <c r="O1205" s="412">
        <v>0</v>
      </c>
      <c r="P1205" s="412">
        <v>0</v>
      </c>
      <c r="Q1205" s="412">
        <v>0</v>
      </c>
      <c r="R1205" s="412">
        <v>0</v>
      </c>
      <c r="S1205" s="412">
        <v>0</v>
      </c>
      <c r="T1205" s="412">
        <v>0</v>
      </c>
      <c r="U1205" s="412">
        <v>0</v>
      </c>
      <c r="V1205" s="412">
        <v>0</v>
      </c>
      <c r="W1205" s="333"/>
    </row>
    <row r="1206" spans="1:23" ht="13.5" thickTop="1" x14ac:dyDescent="0.2">
      <c r="A1206" s="9"/>
      <c r="B1206" s="315"/>
      <c r="C1206" s="453"/>
      <c r="D1206" s="333"/>
      <c r="E1206" s="333"/>
      <c r="F1206" s="333"/>
      <c r="G1206" s="333"/>
      <c r="H1206" s="333"/>
      <c r="I1206" s="333"/>
      <c r="J1206" s="333"/>
      <c r="K1206" s="333"/>
      <c r="L1206" s="333"/>
      <c r="M1206" s="333"/>
      <c r="N1206" s="333"/>
      <c r="O1206" s="333"/>
      <c r="P1206" s="333"/>
      <c r="Q1206" s="333"/>
      <c r="R1206" s="333"/>
      <c r="S1206" s="333"/>
      <c r="T1206" s="333"/>
      <c r="U1206" s="333"/>
      <c r="V1206" s="333"/>
      <c r="W1206" s="333"/>
    </row>
    <row r="1207" spans="1:23" x14ac:dyDescent="0.2">
      <c r="A1207" s="9"/>
      <c r="B1207" s="317" t="s">
        <v>234</v>
      </c>
      <c r="C1207" s="452">
        <v>0</v>
      </c>
      <c r="D1207" s="416">
        <v>81944031.690127134</v>
      </c>
      <c r="E1207" s="416">
        <v>44161184.0803665</v>
      </c>
      <c r="F1207" s="416">
        <v>76201467.548071399</v>
      </c>
      <c r="G1207" s="416">
        <v>76597018.297512949</v>
      </c>
      <c r="H1207" s="416">
        <v>57892257.074944548</v>
      </c>
      <c r="I1207" s="416">
        <v>62132653.063593552</v>
      </c>
      <c r="J1207" s="416">
        <v>67463443.387560919</v>
      </c>
      <c r="K1207" s="416">
        <v>68628673.383524075</v>
      </c>
      <c r="L1207" s="416">
        <v>69762043.649369016</v>
      </c>
      <c r="M1207" s="416">
        <v>69051988.782370836</v>
      </c>
      <c r="N1207" s="416">
        <v>70388001.420365989</v>
      </c>
      <c r="O1207" s="416">
        <v>70778582.907877013</v>
      </c>
      <c r="P1207" s="416">
        <v>71647518.956902161</v>
      </c>
      <c r="Q1207" s="416">
        <v>75038535.105747074</v>
      </c>
      <c r="R1207" s="416">
        <v>83076805.165783912</v>
      </c>
      <c r="S1207" s="416">
        <v>81334098.476305574</v>
      </c>
      <c r="T1207" s="416">
        <v>82197932.304677233</v>
      </c>
      <c r="U1207" s="416">
        <v>87456891.785617888</v>
      </c>
      <c r="V1207" s="416">
        <v>91429149.703632399</v>
      </c>
      <c r="W1207" s="414">
        <v>480750625.95418239</v>
      </c>
    </row>
    <row r="1208" spans="1:23" x14ac:dyDescent="0.2">
      <c r="A1208" s="9"/>
      <c r="B1208" s="292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</row>
    <row r="1209" spans="1:23" x14ac:dyDescent="0.2">
      <c r="A1209" s="308" t="s">
        <v>219</v>
      </c>
      <c r="B1209" s="306" t="s">
        <v>170</v>
      </c>
      <c r="C1209" s="439">
        <v>269025806.48634142</v>
      </c>
      <c r="D1209" s="9"/>
      <c r="E1209" s="137" t="s">
        <v>220</v>
      </c>
      <c r="F1209" s="319" t="s">
        <v>170</v>
      </c>
      <c r="G1209" s="443">
        <v>269025806.48634142</v>
      </c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</row>
    <row r="1210" spans="1:23" x14ac:dyDescent="0.2">
      <c r="A1210" s="9"/>
      <c r="B1210" s="306" t="s">
        <v>180</v>
      </c>
      <c r="C1210" s="439">
        <v>346298580.65293241</v>
      </c>
      <c r="D1210" s="9"/>
      <c r="E1210" s="321"/>
      <c r="F1210" s="319" t="s">
        <v>180</v>
      </c>
      <c r="G1210" s="443">
        <v>346298580.65293241</v>
      </c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</row>
    <row r="1211" spans="1:23" ht="13.5" thickBot="1" x14ac:dyDescent="0.25">
      <c r="A1211" s="9"/>
      <c r="B1211" s="322" t="s">
        <v>137</v>
      </c>
      <c r="C1211" s="440">
        <v>74948422.751698419</v>
      </c>
      <c r="D1211" s="323"/>
      <c r="E1211" s="321"/>
      <c r="F1211" s="319" t="s">
        <v>137</v>
      </c>
      <c r="G1211" s="443">
        <v>74948422.751698419</v>
      </c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</row>
    <row r="1212" spans="1:23" ht="14.25" thickTop="1" thickBot="1" x14ac:dyDescent="0.25">
      <c r="A1212" s="9"/>
      <c r="B1212" s="306" t="s">
        <v>28</v>
      </c>
      <c r="C1212" s="438">
        <v>690272809.89097214</v>
      </c>
      <c r="D1212" s="305"/>
      <c r="E1212" s="321"/>
      <c r="F1212" s="324" t="s">
        <v>204</v>
      </c>
      <c r="G1212" s="325">
        <v>0</v>
      </c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</row>
    <row r="1213" spans="1:23" ht="13.5" thickTop="1" x14ac:dyDescent="0.2">
      <c r="A1213" s="9"/>
      <c r="B1213" s="292"/>
      <c r="C1213" s="326"/>
      <c r="D1213" s="9"/>
      <c r="E1213" s="327"/>
      <c r="F1213" s="319" t="s">
        <v>28</v>
      </c>
      <c r="G1213" s="368">
        <v>690272809.89097214</v>
      </c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</row>
    <row r="1214" spans="1:23" x14ac:dyDescent="0.2">
      <c r="A1214" s="9"/>
      <c r="B1214" s="292"/>
      <c r="C1214" s="326"/>
      <c r="D1214" s="9"/>
      <c r="E1214" s="327"/>
      <c r="F1214" s="319"/>
      <c r="G1214" s="328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</row>
    <row r="1215" spans="1:23" x14ac:dyDescent="0.2">
      <c r="A1215" s="9"/>
      <c r="B1215" s="292"/>
      <c r="C1215" s="326"/>
      <c r="D1215" s="9"/>
      <c r="E1215" s="327"/>
      <c r="F1215" s="319"/>
      <c r="G1215" s="328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</row>
    <row r="1216" spans="1:23" x14ac:dyDescent="0.2">
      <c r="A1216" s="9"/>
      <c r="B1216" s="329" t="s">
        <v>223</v>
      </c>
      <c r="C1216" s="326"/>
      <c r="D1216" s="9"/>
      <c r="E1216" s="327"/>
      <c r="F1216" s="319"/>
      <c r="G1216" s="328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</row>
    <row r="1217" spans="1:23" x14ac:dyDescent="0.2">
      <c r="A1217" s="330" t="s">
        <v>225</v>
      </c>
      <c r="B1217" s="329" t="s">
        <v>224</v>
      </c>
      <c r="C1217" s="331"/>
      <c r="D1217" s="332">
        <v>42059767.662954122</v>
      </c>
      <c r="E1217" s="332">
        <v>37862611.980657622</v>
      </c>
      <c r="F1217" s="332">
        <v>33442867.347296305</v>
      </c>
      <c r="G1217" s="332">
        <v>30598260.408932254</v>
      </c>
      <c r="H1217" s="332">
        <v>54413303.388993546</v>
      </c>
      <c r="I1217" s="332">
        <v>60166852.447042026</v>
      </c>
      <c r="J1217" s="332">
        <v>67593356.359640121</v>
      </c>
      <c r="K1217" s="332">
        <v>70997096.304259509</v>
      </c>
      <c r="L1217" s="332">
        <v>72358661.079406023</v>
      </c>
      <c r="M1217" s="332">
        <v>71526542.0090103</v>
      </c>
      <c r="N1217" s="332">
        <v>72727885.673414931</v>
      </c>
      <c r="O1217" s="332">
        <v>72982183.966402099</v>
      </c>
      <c r="P1217" s="332">
        <v>73871429.30734998</v>
      </c>
      <c r="Q1217" s="332">
        <v>77278583.756875306</v>
      </c>
      <c r="R1217" s="332">
        <v>85168351.126612991</v>
      </c>
      <c r="S1217" s="332">
        <v>83415804.976126507</v>
      </c>
      <c r="T1217" s="332">
        <v>84265191.899659783</v>
      </c>
      <c r="U1217" s="332">
        <v>89361894.348616898</v>
      </c>
      <c r="V1217" s="332">
        <v>93259562.293688372</v>
      </c>
      <c r="W1217" s="9"/>
    </row>
    <row r="1218" spans="1:23" x14ac:dyDescent="0.2">
      <c r="A1218" s="9"/>
      <c r="B1218" s="292" t="s">
        <v>226</v>
      </c>
      <c r="C1218" s="326"/>
      <c r="D1218" s="333">
        <v>28039845.108636081</v>
      </c>
      <c r="E1218" s="333">
        <v>25241741.320438419</v>
      </c>
      <c r="F1218" s="333">
        <v>22295244.898197539</v>
      </c>
      <c r="G1218" s="333">
        <v>20398840.272621505</v>
      </c>
      <c r="H1218" s="333">
        <v>36275535.592662364</v>
      </c>
      <c r="I1218" s="333">
        <v>40111234.964694686</v>
      </c>
      <c r="J1218" s="333">
        <v>45062237.573093422</v>
      </c>
      <c r="K1218" s="333">
        <v>47331397.536173008</v>
      </c>
      <c r="L1218" s="333">
        <v>48239107.38627068</v>
      </c>
      <c r="M1218" s="333">
        <v>47684361.33934021</v>
      </c>
      <c r="N1218" s="333">
        <v>48485257.115609959</v>
      </c>
      <c r="O1218" s="333">
        <v>48654789.310934737</v>
      </c>
      <c r="P1218" s="333">
        <v>49247619.538233332</v>
      </c>
      <c r="Q1218" s="333">
        <v>51519055.837916881</v>
      </c>
      <c r="R1218" s="333">
        <v>56778900.751075327</v>
      </c>
      <c r="S1218" s="333">
        <v>55610536.65075101</v>
      </c>
      <c r="T1218" s="333">
        <v>56176794.599773198</v>
      </c>
      <c r="U1218" s="333">
        <v>59574596.232411265</v>
      </c>
      <c r="V1218" s="333">
        <v>62173041.529125586</v>
      </c>
      <c r="W1218" s="9"/>
    </row>
    <row r="1219" spans="1:23" x14ac:dyDescent="0.2">
      <c r="A1219" s="9"/>
      <c r="B1219" s="334" t="s">
        <v>227</v>
      </c>
      <c r="C1219" s="335"/>
      <c r="D1219" s="333">
        <v>44637673.787173003</v>
      </c>
      <c r="E1219" s="333">
        <v>47669468.579708897</v>
      </c>
      <c r="F1219" s="333">
        <v>50850855.7807751</v>
      </c>
      <c r="G1219" s="333">
        <v>51374016.858580701</v>
      </c>
      <c r="H1219" s="333">
        <v>9696845.0739510022</v>
      </c>
      <c r="I1219" s="333">
        <v>8370228.7461915202</v>
      </c>
      <c r="J1219" s="333">
        <v>6466648.0014499975</v>
      </c>
      <c r="K1219" s="333">
        <v>4426034.8819996389</v>
      </c>
      <c r="L1219" s="333">
        <v>4401674.1067801276</v>
      </c>
      <c r="M1219" s="333">
        <v>4733687.0562821794</v>
      </c>
      <c r="N1219" s="333">
        <v>5084603.2383603482</v>
      </c>
      <c r="O1219" s="333">
        <v>5443621.0576264895</v>
      </c>
      <c r="P1219" s="333">
        <v>5652728.429188299</v>
      </c>
      <c r="Q1219" s="333">
        <v>5872889.2918969626</v>
      </c>
      <c r="R1219" s="333">
        <v>6264780.1204868844</v>
      </c>
      <c r="S1219" s="333">
        <v>6525309.3639345067</v>
      </c>
      <c r="T1219" s="333">
        <v>6797966.7446855558</v>
      </c>
      <c r="U1219" s="333">
        <v>7226180.5668591363</v>
      </c>
      <c r="V1219" s="333">
        <v>7574706.0336979246</v>
      </c>
      <c r="W1219" s="9"/>
    </row>
    <row r="1220" spans="1:23" ht="13.5" thickBot="1" x14ac:dyDescent="0.25">
      <c r="A1220" s="9"/>
      <c r="B1220" s="336" t="s">
        <v>228</v>
      </c>
      <c r="C1220" s="337"/>
      <c r="D1220" s="338">
        <v>114737286.55876321</v>
      </c>
      <c r="E1220" s="338">
        <v>110773821.88080493</v>
      </c>
      <c r="F1220" s="338">
        <v>106588968.02626894</v>
      </c>
      <c r="G1220" s="338">
        <v>102371117.54013446</v>
      </c>
      <c r="H1220" s="338">
        <v>100385684.05560692</v>
      </c>
      <c r="I1220" s="338">
        <v>108648316.15792823</v>
      </c>
      <c r="J1220" s="338">
        <v>119122241.93418354</v>
      </c>
      <c r="K1220" s="338">
        <v>122754528.72243217</v>
      </c>
      <c r="L1220" s="338">
        <v>124999442.57245682</v>
      </c>
      <c r="M1220" s="338">
        <v>123944590.40463269</v>
      </c>
      <c r="N1220" s="338">
        <v>126297746.02738523</v>
      </c>
      <c r="O1220" s="338">
        <v>127080594.33496332</v>
      </c>
      <c r="P1220" s="338">
        <v>128771777.27477162</v>
      </c>
      <c r="Q1220" s="338">
        <v>134670528.88668916</v>
      </c>
      <c r="R1220" s="338">
        <v>148212031.9981752</v>
      </c>
      <c r="S1220" s="338">
        <v>145551650.99081203</v>
      </c>
      <c r="T1220" s="338">
        <v>147239953.24411854</v>
      </c>
      <c r="U1220" s="338">
        <v>156162671.14788729</v>
      </c>
      <c r="V1220" s="338">
        <v>163007309.85651189</v>
      </c>
      <c r="W1220" s="9"/>
    </row>
    <row r="1221" spans="1:23" ht="13.5" thickTop="1" x14ac:dyDescent="0.2">
      <c r="A1221" s="330" t="s">
        <v>229</v>
      </c>
      <c r="B1221" s="292" t="s">
        <v>230</v>
      </c>
      <c r="C1221" s="326"/>
      <c r="D1221" s="333">
        <v>-38013885.586172812</v>
      </c>
      <c r="E1221" s="333">
        <v>-40082430.410172805</v>
      </c>
      <c r="F1221" s="333">
        <v>-40235103.388672806</v>
      </c>
      <c r="G1221" s="333">
        <v>-40503866.337172806</v>
      </c>
      <c r="H1221" s="333">
        <v>-40814760.906572804</v>
      </c>
      <c r="I1221" s="333">
        <v>-41134982.313054807</v>
      </c>
      <c r="J1221" s="333">
        <v>-41464810.361731268</v>
      </c>
      <c r="K1221" s="333">
        <v>-41804533.251868024</v>
      </c>
      <c r="L1221" s="333">
        <v>-42154447.82870888</v>
      </c>
      <c r="M1221" s="333">
        <v>-42514859.842854962</v>
      </c>
      <c r="N1221" s="333">
        <v>-42886084.217425428</v>
      </c>
      <c r="O1221" s="333">
        <v>-43268445.323233001</v>
      </c>
      <c r="P1221" s="333">
        <v>-43662277.26221481</v>
      </c>
      <c r="Q1221" s="333">
        <v>-44067924.159366071</v>
      </c>
      <c r="R1221" s="333">
        <v>-44485740.463431865</v>
      </c>
      <c r="S1221" s="333">
        <v>-44916091.25661964</v>
      </c>
      <c r="T1221" s="333">
        <v>-45359352.573603041</v>
      </c>
      <c r="U1221" s="333">
        <v>-45815911.730095953</v>
      </c>
      <c r="V1221" s="333">
        <v>-46286167.66128365</v>
      </c>
      <c r="W1221" s="9"/>
    </row>
    <row r="1222" spans="1:23" x14ac:dyDescent="0.2">
      <c r="A1222" s="9"/>
      <c r="B1222" s="292" t="s">
        <v>231</v>
      </c>
      <c r="C1222" s="326"/>
      <c r="D1222" s="333">
        <v>0</v>
      </c>
      <c r="E1222" s="333">
        <v>0</v>
      </c>
      <c r="F1222" s="333">
        <v>0</v>
      </c>
      <c r="G1222" s="333">
        <v>0</v>
      </c>
      <c r="H1222" s="333">
        <v>0</v>
      </c>
      <c r="I1222" s="333">
        <v>0</v>
      </c>
      <c r="J1222" s="333">
        <v>0</v>
      </c>
      <c r="K1222" s="333">
        <v>0</v>
      </c>
      <c r="L1222" s="333">
        <v>0</v>
      </c>
      <c r="M1222" s="333">
        <v>0</v>
      </c>
      <c r="N1222" s="333">
        <v>0</v>
      </c>
      <c r="O1222" s="333">
        <v>0</v>
      </c>
      <c r="P1222" s="333">
        <v>0</v>
      </c>
      <c r="Q1222" s="333">
        <v>0</v>
      </c>
      <c r="R1222" s="333">
        <v>0</v>
      </c>
      <c r="S1222" s="333">
        <v>0</v>
      </c>
      <c r="T1222" s="333">
        <v>0</v>
      </c>
      <c r="U1222" s="333">
        <v>0</v>
      </c>
      <c r="V1222" s="333">
        <v>0</v>
      </c>
      <c r="W1222" s="9"/>
    </row>
    <row r="1223" spans="1:23" x14ac:dyDescent="0.2">
      <c r="A1223" s="9"/>
      <c r="B1223" s="329" t="s">
        <v>232</v>
      </c>
      <c r="C1223" s="331"/>
      <c r="D1223" s="332">
        <v>76723400.972590387</v>
      </c>
      <c r="E1223" s="332">
        <v>70691391.470632121</v>
      </c>
      <c r="F1223" s="332">
        <v>66353864.637596138</v>
      </c>
      <c r="G1223" s="332">
        <v>61867251.202961653</v>
      </c>
      <c r="H1223" s="332">
        <v>59570923.149034113</v>
      </c>
      <c r="I1223" s="332">
        <v>67513333.844873428</v>
      </c>
      <c r="J1223" s="332">
        <v>77657431.572452277</v>
      </c>
      <c r="K1223" s="332">
        <v>80949995.470564142</v>
      </c>
      <c r="L1223" s="332">
        <v>82844994.74374795</v>
      </c>
      <c r="M1223" s="332">
        <v>81429730.561777726</v>
      </c>
      <c r="N1223" s="332">
        <v>83411661.809959799</v>
      </c>
      <c r="O1223" s="332">
        <v>83812149.011730313</v>
      </c>
      <c r="P1223" s="332">
        <v>85109500.012556806</v>
      </c>
      <c r="Q1223" s="332">
        <v>90602604.727323085</v>
      </c>
      <c r="R1223" s="332">
        <v>103726291.53474334</v>
      </c>
      <c r="S1223" s="332">
        <v>100635559.7341924</v>
      </c>
      <c r="T1223" s="332">
        <v>101880600.67051551</v>
      </c>
      <c r="U1223" s="332">
        <v>110346759.41779134</v>
      </c>
      <c r="V1223" s="332">
        <v>116721142.19522825</v>
      </c>
      <c r="W1223" s="9"/>
    </row>
    <row r="1224" spans="1:23" ht="13.5" thickBot="1" x14ac:dyDescent="0.25">
      <c r="A1224" s="9"/>
      <c r="B1224" s="339" t="s">
        <v>238</v>
      </c>
      <c r="C1224" s="340"/>
      <c r="D1224" s="341">
        <v>-30689360.389036156</v>
      </c>
      <c r="E1224" s="341">
        <v>-28276556.58825285</v>
      </c>
      <c r="F1224" s="341">
        <v>-26541545.855038457</v>
      </c>
      <c r="G1224" s="341">
        <v>-24746900.481184661</v>
      </c>
      <c r="H1224" s="341">
        <v>-23828369.259613648</v>
      </c>
      <c r="I1224" s="341">
        <v>-27005333.537949372</v>
      </c>
      <c r="J1224" s="341">
        <v>-31062972.628980912</v>
      </c>
      <c r="K1224" s="341">
        <v>-32379998.188225657</v>
      </c>
      <c r="L1224" s="341">
        <v>-33137997.897499181</v>
      </c>
      <c r="M1224" s="341">
        <v>-32571892.22471109</v>
      </c>
      <c r="N1224" s="341">
        <v>-33364664.723983921</v>
      </c>
      <c r="O1224" s="341">
        <v>-33524859.604692128</v>
      </c>
      <c r="P1224" s="341">
        <v>-34043800.005022727</v>
      </c>
      <c r="Q1224" s="341">
        <v>-36241041.890929237</v>
      </c>
      <c r="R1224" s="341">
        <v>-41490516.613897339</v>
      </c>
      <c r="S1224" s="341">
        <v>-40254223.893676966</v>
      </c>
      <c r="T1224" s="341">
        <v>-40752240.268206209</v>
      </c>
      <c r="U1224" s="341">
        <v>-44138703.767116539</v>
      </c>
      <c r="V1224" s="341">
        <v>-46688456.878091305</v>
      </c>
      <c r="W1224" s="9"/>
    </row>
    <row r="1225" spans="1:23" ht="13.5" thickTop="1" x14ac:dyDescent="0.2">
      <c r="A1225" s="9"/>
      <c r="B1225" s="329" t="s">
        <v>233</v>
      </c>
      <c r="C1225" s="331"/>
      <c r="D1225" s="332">
        <v>46034040.583554231</v>
      </c>
      <c r="E1225" s="332">
        <v>42414834.882379271</v>
      </c>
      <c r="F1225" s="332">
        <v>39812318.782557681</v>
      </c>
      <c r="G1225" s="332">
        <v>37120350.721776992</v>
      </c>
      <c r="H1225" s="332">
        <v>35742553.889420465</v>
      </c>
      <c r="I1225" s="332">
        <v>40508000.30692406</v>
      </c>
      <c r="J1225" s="332">
        <v>46594458.943471365</v>
      </c>
      <c r="K1225" s="332">
        <v>48569997.282338485</v>
      </c>
      <c r="L1225" s="332">
        <v>49706996.846248768</v>
      </c>
      <c r="M1225" s="332">
        <v>48857838.337066635</v>
      </c>
      <c r="N1225" s="332">
        <v>50046997.085975878</v>
      </c>
      <c r="O1225" s="332">
        <v>50287289.407038182</v>
      </c>
      <c r="P1225" s="332">
        <v>51065700.007534079</v>
      </c>
      <c r="Q1225" s="332">
        <v>54361562.836393848</v>
      </c>
      <c r="R1225" s="332">
        <v>62235774.920846</v>
      </c>
      <c r="S1225" s="332">
        <v>60381335.840515435</v>
      </c>
      <c r="T1225" s="332">
        <v>61128360.402309299</v>
      </c>
      <c r="U1225" s="332">
        <v>66208055.650674798</v>
      </c>
      <c r="V1225" s="332">
        <v>70032685.317136943</v>
      </c>
      <c r="W1225" s="9"/>
    </row>
    <row r="1226" spans="1:23" x14ac:dyDescent="0.2">
      <c r="A1226" s="9"/>
      <c r="B1226" s="9"/>
      <c r="C1226" s="326"/>
      <c r="D1226" s="9"/>
      <c r="E1226" s="327"/>
      <c r="F1226" s="319"/>
      <c r="G1226" s="328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</row>
    <row r="1227" spans="1:23" ht="15.75" x14ac:dyDescent="0.25">
      <c r="A1227" s="342" t="s">
        <v>206</v>
      </c>
      <c r="B1227" s="343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</row>
    <row r="1228" spans="1:23" x14ac:dyDescent="0.2">
      <c r="A1228" s="290" t="s">
        <v>191</v>
      </c>
      <c r="B1228" s="309"/>
      <c r="C1228" s="344">
        <v>0</v>
      </c>
      <c r="D1228" s="283"/>
      <c r="E1228" s="283"/>
      <c r="F1228" s="283"/>
      <c r="G1228" s="283"/>
      <c r="H1228" s="283"/>
      <c r="I1228" s="283"/>
      <c r="J1228" s="283"/>
      <c r="K1228" s="283"/>
      <c r="L1228" s="283"/>
      <c r="M1228" s="283"/>
      <c r="N1228" s="283"/>
      <c r="O1228" s="283"/>
      <c r="P1228" s="283"/>
      <c r="Q1228" s="283"/>
      <c r="R1228" s="283"/>
      <c r="S1228" s="283"/>
      <c r="T1228" s="283"/>
      <c r="U1228" s="283"/>
      <c r="V1228" s="283"/>
      <c r="W1228" s="283"/>
    </row>
    <row r="1229" spans="1:23" x14ac:dyDescent="0.2">
      <c r="A1229" s="290" t="s">
        <v>192</v>
      </c>
      <c r="B1229" s="309"/>
      <c r="C1229" s="345">
        <v>0</v>
      </c>
      <c r="D1229" s="283"/>
      <c r="E1229" s="283"/>
      <c r="F1229" s="283"/>
      <c r="G1229" s="283"/>
      <c r="H1229" s="283"/>
      <c r="I1229" s="283"/>
      <c r="J1229" s="283"/>
      <c r="K1229" s="283"/>
      <c r="L1229" s="283"/>
      <c r="M1229" s="283"/>
      <c r="N1229" s="283"/>
      <c r="O1229" s="283"/>
      <c r="P1229" s="283"/>
      <c r="Q1229" s="283"/>
      <c r="R1229" s="283"/>
      <c r="S1229" s="283"/>
      <c r="T1229" s="283"/>
      <c r="U1229" s="283"/>
      <c r="V1229" s="283"/>
      <c r="W1229" s="283"/>
    </row>
    <row r="1230" spans="1:23" x14ac:dyDescent="0.2">
      <c r="A1230" s="290" t="s">
        <v>202</v>
      </c>
      <c r="B1230" s="309"/>
      <c r="C1230" s="290">
        <v>15</v>
      </c>
      <c r="D1230" s="283"/>
      <c r="E1230" s="283"/>
      <c r="F1230" s="283"/>
      <c r="G1230" s="283"/>
      <c r="H1230" s="283"/>
      <c r="I1230" s="283"/>
      <c r="J1230" s="283"/>
      <c r="K1230" s="283"/>
      <c r="L1230" s="283"/>
      <c r="M1230" s="283"/>
      <c r="N1230" s="283"/>
      <c r="O1230" s="283"/>
      <c r="P1230" s="283"/>
      <c r="Q1230" s="283"/>
      <c r="R1230" s="283"/>
      <c r="S1230" s="283"/>
      <c r="T1230" s="283"/>
      <c r="U1230" s="283"/>
      <c r="V1230" s="283"/>
      <c r="W1230" s="283"/>
    </row>
    <row r="1231" spans="1:23" x14ac:dyDescent="0.2">
      <c r="A1231" s="290" t="s">
        <v>193</v>
      </c>
      <c r="B1231" s="309"/>
      <c r="C1231" s="345">
        <v>0</v>
      </c>
      <c r="D1231" s="283"/>
      <c r="E1231" s="283"/>
      <c r="F1231" s="283"/>
      <c r="G1231" s="283"/>
      <c r="H1231" s="283"/>
      <c r="I1231" s="283"/>
      <c r="J1231" s="283"/>
      <c r="K1231" s="283"/>
      <c r="L1231" s="283"/>
      <c r="M1231" s="283"/>
      <c r="N1231" s="283"/>
      <c r="O1231" s="283"/>
      <c r="P1231" s="283"/>
      <c r="Q1231" s="283"/>
      <c r="R1231" s="283"/>
      <c r="S1231" s="283"/>
      <c r="T1231" s="283"/>
      <c r="U1231" s="283"/>
      <c r="V1231" s="283"/>
      <c r="W1231" s="283"/>
    </row>
    <row r="1232" spans="1:23" x14ac:dyDescent="0.2">
      <c r="A1232" s="290" t="s">
        <v>194</v>
      </c>
      <c r="B1232" s="309"/>
      <c r="C1232" s="346">
        <v>8.7499999999999994E-2</v>
      </c>
      <c r="D1232" s="283"/>
      <c r="E1232" s="283"/>
      <c r="F1232" s="283"/>
      <c r="G1232" s="283"/>
      <c r="H1232" s="283"/>
      <c r="I1232" s="283"/>
      <c r="J1232" s="283"/>
      <c r="K1232" s="283"/>
      <c r="L1232" s="283"/>
      <c r="M1232" s="283"/>
      <c r="N1232" s="283"/>
      <c r="O1232" s="283"/>
      <c r="P1232" s="283"/>
      <c r="Q1232" s="283"/>
      <c r="R1232" s="283"/>
      <c r="S1232" s="283"/>
      <c r="T1232" s="283"/>
      <c r="U1232" s="283"/>
      <c r="V1232" s="283"/>
      <c r="W1232" s="283"/>
    </row>
    <row r="1233" spans="1:23" x14ac:dyDescent="0.2">
      <c r="A1233" s="290"/>
      <c r="B1233" s="309"/>
      <c r="C1233" s="283"/>
      <c r="D1233" s="312">
        <v>2001</v>
      </c>
      <c r="E1233" s="312">
        <v>2002</v>
      </c>
      <c r="F1233" s="312">
        <v>2003</v>
      </c>
      <c r="G1233" s="312">
        <v>2004</v>
      </c>
      <c r="H1233" s="312">
        <v>2005</v>
      </c>
      <c r="I1233" s="312">
        <v>2006</v>
      </c>
      <c r="J1233" s="312">
        <v>2007</v>
      </c>
      <c r="K1233" s="312">
        <v>2008</v>
      </c>
      <c r="L1233" s="312">
        <v>2009</v>
      </c>
      <c r="M1233" s="312">
        <v>2010</v>
      </c>
      <c r="N1233" s="312">
        <v>2011</v>
      </c>
      <c r="O1233" s="312">
        <v>2012</v>
      </c>
      <c r="P1233" s="312">
        <v>2013</v>
      </c>
      <c r="Q1233" s="312">
        <v>2014</v>
      </c>
      <c r="R1233" s="312">
        <v>2015</v>
      </c>
      <c r="S1233" s="312">
        <v>2016</v>
      </c>
      <c r="T1233" s="312">
        <v>2017</v>
      </c>
      <c r="U1233" s="312">
        <v>2018</v>
      </c>
      <c r="V1233" s="312">
        <v>2019</v>
      </c>
      <c r="W1233" s="312" t="s">
        <v>154</v>
      </c>
    </row>
    <row r="1234" spans="1:23" x14ac:dyDescent="0.2">
      <c r="A1234" s="290" t="s">
        <v>195</v>
      </c>
      <c r="B1234" s="309"/>
      <c r="C1234" s="283"/>
      <c r="D1234" s="347">
        <v>0</v>
      </c>
      <c r="E1234" s="347">
        <v>0</v>
      </c>
      <c r="F1234" s="347">
        <v>0</v>
      </c>
      <c r="G1234" s="347">
        <v>0</v>
      </c>
      <c r="H1234" s="347">
        <v>0</v>
      </c>
      <c r="I1234" s="347">
        <v>0</v>
      </c>
      <c r="J1234" s="347">
        <v>0</v>
      </c>
      <c r="K1234" s="347">
        <v>0</v>
      </c>
      <c r="L1234" s="347">
        <v>0</v>
      </c>
      <c r="M1234" s="347">
        <v>0</v>
      </c>
      <c r="N1234" s="347">
        <v>0</v>
      </c>
      <c r="O1234" s="347">
        <v>0</v>
      </c>
      <c r="P1234" s="347">
        <v>0</v>
      </c>
      <c r="Q1234" s="347">
        <v>0</v>
      </c>
      <c r="R1234" s="347">
        <v>0</v>
      </c>
      <c r="S1234" s="347">
        <v>0</v>
      </c>
      <c r="T1234" s="347">
        <v>0</v>
      </c>
      <c r="U1234" s="347">
        <v>0</v>
      </c>
      <c r="V1234" s="347">
        <v>0</v>
      </c>
      <c r="W1234" s="347">
        <v>0</v>
      </c>
    </row>
    <row r="1235" spans="1:23" x14ac:dyDescent="0.2">
      <c r="A1235" s="290" t="s">
        <v>196</v>
      </c>
      <c r="B1235" s="309"/>
      <c r="C1235" s="283"/>
      <c r="D1235" s="347">
        <v>0</v>
      </c>
      <c r="E1235" s="347">
        <v>0</v>
      </c>
      <c r="F1235" s="347">
        <v>0</v>
      </c>
      <c r="G1235" s="347">
        <v>0</v>
      </c>
      <c r="H1235" s="347">
        <v>0</v>
      </c>
      <c r="I1235" s="347">
        <v>0</v>
      </c>
      <c r="J1235" s="347">
        <v>0</v>
      </c>
      <c r="K1235" s="347">
        <v>0</v>
      </c>
      <c r="L1235" s="347">
        <v>0</v>
      </c>
      <c r="M1235" s="347">
        <v>0</v>
      </c>
      <c r="N1235" s="347">
        <v>0</v>
      </c>
      <c r="O1235" s="347">
        <v>0</v>
      </c>
      <c r="P1235" s="347">
        <v>0</v>
      </c>
      <c r="Q1235" s="347">
        <v>0</v>
      </c>
      <c r="R1235" s="347">
        <v>0</v>
      </c>
      <c r="S1235" s="347">
        <v>0</v>
      </c>
      <c r="T1235" s="347">
        <v>0</v>
      </c>
      <c r="U1235" s="347">
        <v>0</v>
      </c>
      <c r="V1235" s="347">
        <v>0</v>
      </c>
      <c r="W1235" s="347">
        <v>0</v>
      </c>
    </row>
    <row r="1236" spans="1:23" x14ac:dyDescent="0.2">
      <c r="A1236" s="290" t="s">
        <v>197</v>
      </c>
      <c r="B1236" s="309"/>
      <c r="C1236" s="283"/>
      <c r="D1236" s="347">
        <v>0</v>
      </c>
      <c r="E1236" s="347">
        <v>0</v>
      </c>
      <c r="F1236" s="347">
        <v>0</v>
      </c>
      <c r="G1236" s="347">
        <v>0</v>
      </c>
      <c r="H1236" s="347">
        <v>0</v>
      </c>
      <c r="I1236" s="347">
        <v>0</v>
      </c>
      <c r="J1236" s="347">
        <v>0</v>
      </c>
      <c r="K1236" s="347">
        <v>0</v>
      </c>
      <c r="L1236" s="347">
        <v>0</v>
      </c>
      <c r="M1236" s="347">
        <v>0</v>
      </c>
      <c r="N1236" s="347">
        <v>0</v>
      </c>
      <c r="O1236" s="347">
        <v>0</v>
      </c>
      <c r="P1236" s="347">
        <v>0</v>
      </c>
      <c r="Q1236" s="347">
        <v>0</v>
      </c>
      <c r="R1236" s="347">
        <v>0</v>
      </c>
      <c r="S1236" s="347">
        <v>0</v>
      </c>
      <c r="T1236" s="347">
        <v>0</v>
      </c>
      <c r="U1236" s="347">
        <v>0</v>
      </c>
      <c r="V1236" s="347">
        <v>0</v>
      </c>
      <c r="W1236" s="347">
        <v>0</v>
      </c>
    </row>
    <row r="1237" spans="1:23" x14ac:dyDescent="0.2">
      <c r="A1237" s="290" t="s">
        <v>198</v>
      </c>
      <c r="B1237" s="309"/>
      <c r="C1237" s="283"/>
      <c r="D1237" s="348">
        <v>0</v>
      </c>
      <c r="E1237" s="348">
        <v>0</v>
      </c>
      <c r="F1237" s="348">
        <v>0</v>
      </c>
      <c r="G1237" s="348">
        <v>0</v>
      </c>
      <c r="H1237" s="348">
        <v>0</v>
      </c>
      <c r="I1237" s="348">
        <v>0</v>
      </c>
      <c r="J1237" s="348">
        <v>0</v>
      </c>
      <c r="K1237" s="348">
        <v>0</v>
      </c>
      <c r="L1237" s="348">
        <v>0</v>
      </c>
      <c r="M1237" s="348">
        <v>0</v>
      </c>
      <c r="N1237" s="348">
        <v>0</v>
      </c>
      <c r="O1237" s="348">
        <v>0</v>
      </c>
      <c r="P1237" s="348">
        <v>0</v>
      </c>
      <c r="Q1237" s="348">
        <v>0</v>
      </c>
      <c r="R1237" s="348">
        <v>0</v>
      </c>
      <c r="S1237" s="348">
        <v>0</v>
      </c>
      <c r="T1237" s="348">
        <v>0</v>
      </c>
      <c r="U1237" s="348">
        <v>0</v>
      </c>
      <c r="V1237" s="348">
        <v>0</v>
      </c>
      <c r="W1237" s="348">
        <v>0</v>
      </c>
    </row>
    <row r="1238" spans="1:23" ht="13.5" thickBot="1" x14ac:dyDescent="0.25">
      <c r="A1238" s="290" t="s">
        <v>199</v>
      </c>
      <c r="B1238" s="309"/>
      <c r="C1238" s="283"/>
      <c r="D1238" s="349">
        <v>0</v>
      </c>
      <c r="E1238" s="349">
        <v>0</v>
      </c>
      <c r="F1238" s="349">
        <v>0</v>
      </c>
      <c r="G1238" s="349">
        <v>0</v>
      </c>
      <c r="H1238" s="349">
        <v>0</v>
      </c>
      <c r="I1238" s="349">
        <v>0</v>
      </c>
      <c r="J1238" s="349">
        <v>0</v>
      </c>
      <c r="K1238" s="349">
        <v>0</v>
      </c>
      <c r="L1238" s="349">
        <v>0</v>
      </c>
      <c r="M1238" s="349">
        <v>0</v>
      </c>
      <c r="N1238" s="349">
        <v>0</v>
      </c>
      <c r="O1238" s="349">
        <v>0</v>
      </c>
      <c r="P1238" s="349">
        <v>0</v>
      </c>
      <c r="Q1238" s="349">
        <v>0</v>
      </c>
      <c r="R1238" s="349">
        <v>0</v>
      </c>
      <c r="S1238" s="349">
        <v>0</v>
      </c>
      <c r="T1238" s="349">
        <v>0</v>
      </c>
      <c r="U1238" s="349">
        <v>0</v>
      </c>
      <c r="V1238" s="349">
        <v>0</v>
      </c>
      <c r="W1238" s="349">
        <v>0</v>
      </c>
    </row>
    <row r="1239" spans="1:23" ht="13.5" thickTop="1" x14ac:dyDescent="0.2">
      <c r="A1239" s="290"/>
      <c r="B1239" s="309"/>
      <c r="C1239" s="283"/>
      <c r="D1239" s="347"/>
      <c r="E1239" s="347"/>
      <c r="F1239" s="347"/>
      <c r="G1239" s="347"/>
      <c r="H1239" s="347"/>
      <c r="I1239" s="347"/>
      <c r="J1239" s="347"/>
      <c r="K1239" s="347"/>
      <c r="L1239" s="347"/>
      <c r="M1239" s="347"/>
      <c r="N1239" s="347"/>
      <c r="O1239" s="347"/>
      <c r="P1239" s="347"/>
      <c r="Q1239" s="347"/>
      <c r="R1239" s="347"/>
      <c r="S1239" s="347"/>
      <c r="T1239" s="347"/>
      <c r="U1239" s="347"/>
      <c r="V1239" s="347"/>
      <c r="W1239" s="347"/>
    </row>
    <row r="1240" spans="1:23" x14ac:dyDescent="0.2">
      <c r="A1240" s="290" t="s">
        <v>200</v>
      </c>
      <c r="B1240" s="309"/>
      <c r="C1240" s="283"/>
      <c r="D1240" s="347">
        <v>0</v>
      </c>
      <c r="E1240" s="347">
        <v>0</v>
      </c>
      <c r="F1240" s="347">
        <v>0</v>
      </c>
      <c r="G1240" s="347">
        <v>0</v>
      </c>
      <c r="H1240" s="347">
        <v>0</v>
      </c>
      <c r="I1240" s="347">
        <v>0</v>
      </c>
      <c r="J1240" s="347">
        <v>0</v>
      </c>
      <c r="K1240" s="347">
        <v>0</v>
      </c>
      <c r="L1240" s="347">
        <v>0</v>
      </c>
      <c r="M1240" s="347">
        <v>0</v>
      </c>
      <c r="N1240" s="347">
        <v>0</v>
      </c>
      <c r="O1240" s="347">
        <v>0</v>
      </c>
      <c r="P1240" s="347">
        <v>0</v>
      </c>
      <c r="Q1240" s="347">
        <v>0</v>
      </c>
      <c r="R1240" s="347">
        <v>0</v>
      </c>
      <c r="S1240" s="347">
        <v>0</v>
      </c>
      <c r="T1240" s="347">
        <v>0</v>
      </c>
      <c r="U1240" s="347">
        <v>0</v>
      </c>
      <c r="V1240" s="347">
        <v>0</v>
      </c>
      <c r="W1240" s="347">
        <v>0</v>
      </c>
    </row>
    <row r="1241" spans="1:23" x14ac:dyDescent="0.2">
      <c r="A1241" s="290"/>
      <c r="B1241" s="309"/>
      <c r="C1241" s="283"/>
      <c r="D1241" s="283"/>
      <c r="E1241" s="283"/>
      <c r="F1241" s="283"/>
      <c r="G1241" s="283"/>
      <c r="H1241" s="283"/>
      <c r="I1241" s="283"/>
      <c r="J1241" s="283"/>
      <c r="K1241" s="283"/>
      <c r="L1241" s="283"/>
      <c r="M1241" s="283"/>
      <c r="N1241" s="283"/>
      <c r="O1241" s="283"/>
      <c r="P1241" s="283"/>
      <c r="Q1241" s="283"/>
      <c r="R1241" s="283"/>
      <c r="S1241" s="283"/>
      <c r="T1241" s="283"/>
      <c r="U1241" s="283"/>
      <c r="V1241" s="283"/>
      <c r="W1241" s="283"/>
    </row>
    <row r="1242" spans="1:23" x14ac:dyDescent="0.2">
      <c r="A1242" s="290" t="s">
        <v>201</v>
      </c>
      <c r="B1242" s="309"/>
      <c r="C1242" s="283"/>
      <c r="D1242" s="347">
        <v>0</v>
      </c>
      <c r="E1242" s="347">
        <v>0</v>
      </c>
      <c r="F1242" s="347">
        <v>0</v>
      </c>
      <c r="G1242" s="347">
        <v>0</v>
      </c>
      <c r="H1242" s="347">
        <v>0</v>
      </c>
      <c r="I1242" s="347">
        <v>0</v>
      </c>
      <c r="J1242" s="347">
        <v>0</v>
      </c>
      <c r="K1242" s="347">
        <v>0</v>
      </c>
      <c r="L1242" s="347">
        <v>0</v>
      </c>
      <c r="M1242" s="347">
        <v>0</v>
      </c>
      <c r="N1242" s="347">
        <v>0</v>
      </c>
      <c r="O1242" s="347">
        <v>0</v>
      </c>
      <c r="P1242" s="347">
        <v>0</v>
      </c>
      <c r="Q1242" s="347">
        <v>0</v>
      </c>
      <c r="R1242" s="347">
        <v>0</v>
      </c>
      <c r="S1242" s="347">
        <v>0</v>
      </c>
      <c r="T1242" s="347">
        <v>0</v>
      </c>
      <c r="U1242" s="347">
        <v>0</v>
      </c>
      <c r="V1242" s="347">
        <v>0</v>
      </c>
      <c r="W1242" s="347">
        <v>0</v>
      </c>
    </row>
    <row r="1243" spans="1:23" x14ac:dyDescent="0.2">
      <c r="A1243" s="283"/>
      <c r="B1243" s="309"/>
      <c r="C1243" s="283"/>
      <c r="D1243" s="283"/>
      <c r="E1243" s="283"/>
      <c r="F1243" s="283"/>
      <c r="G1243" s="283"/>
      <c r="H1243" s="283"/>
      <c r="I1243" s="283"/>
      <c r="J1243" s="283"/>
      <c r="K1243" s="283"/>
      <c r="L1243" s="283"/>
      <c r="M1243" s="283"/>
      <c r="N1243" s="283"/>
      <c r="O1243" s="283"/>
      <c r="P1243" s="283"/>
      <c r="Q1243" s="283"/>
      <c r="R1243" s="283"/>
      <c r="S1243" s="283"/>
      <c r="T1243" s="283"/>
      <c r="U1243" s="283"/>
      <c r="V1243" s="283"/>
      <c r="W1243" s="283"/>
    </row>
    <row r="1244" spans="1:23" x14ac:dyDescent="0.2">
      <c r="A1244" s="283"/>
      <c r="B1244" s="309"/>
      <c r="C1244" s="283"/>
      <c r="D1244" s="283"/>
      <c r="E1244" s="283"/>
      <c r="F1244" s="283"/>
      <c r="G1244" s="283"/>
      <c r="H1244" s="283"/>
      <c r="I1244" s="283"/>
      <c r="J1244" s="283"/>
      <c r="K1244" s="283"/>
      <c r="L1244" s="283"/>
      <c r="M1244" s="283"/>
      <c r="N1244" s="283"/>
      <c r="O1244" s="283"/>
      <c r="P1244" s="283"/>
      <c r="Q1244" s="283"/>
      <c r="R1244" s="283"/>
      <c r="S1244" s="283"/>
      <c r="T1244" s="283"/>
      <c r="U1244" s="283"/>
      <c r="V1244" s="283"/>
      <c r="W1244" s="283"/>
    </row>
    <row r="1245" spans="1:23" x14ac:dyDescent="0.2">
      <c r="A1245" s="290" t="s">
        <v>203</v>
      </c>
      <c r="B1245" s="285"/>
      <c r="C1245" s="284"/>
      <c r="D1245" s="441">
        <v>81944031.690127134</v>
      </c>
      <c r="E1245" s="441">
        <v>44161184.0803665</v>
      </c>
      <c r="F1245" s="441">
        <v>76201467.548071399</v>
      </c>
      <c r="G1245" s="441">
        <v>76597018.297512949</v>
      </c>
      <c r="H1245" s="441">
        <v>57892257.074944548</v>
      </c>
      <c r="I1245" s="441">
        <v>62132653.063593552</v>
      </c>
      <c r="J1245" s="441">
        <v>67463443.387560919</v>
      </c>
      <c r="K1245" s="441">
        <v>68628673.383524075</v>
      </c>
      <c r="L1245" s="441">
        <v>69762043.649369016</v>
      </c>
      <c r="M1245" s="441">
        <v>69051988.782370836</v>
      </c>
      <c r="N1245" s="441">
        <v>70388001.420365989</v>
      </c>
      <c r="O1245" s="441">
        <v>70778582.907877013</v>
      </c>
      <c r="P1245" s="441">
        <v>71647518.956902161</v>
      </c>
      <c r="Q1245" s="441">
        <v>75038535.105747074</v>
      </c>
      <c r="R1245" s="441">
        <v>83076805.165783912</v>
      </c>
      <c r="S1245" s="441">
        <v>81334098.476305574</v>
      </c>
      <c r="T1245" s="441">
        <v>82197932.304677233</v>
      </c>
      <c r="U1245" s="441">
        <v>87456891.785617888</v>
      </c>
      <c r="V1245" s="441">
        <v>91429149.703632399</v>
      </c>
      <c r="W1245" s="441">
        <v>480750625.95418239</v>
      </c>
    </row>
    <row r="1246" spans="1:23" x14ac:dyDescent="0.2">
      <c r="A1246" s="9"/>
      <c r="B1246" s="6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</row>
    <row r="1247" spans="1:23" x14ac:dyDescent="0.2">
      <c r="B1247" s="295"/>
      <c r="C1247" s="360"/>
      <c r="D1247" s="372"/>
      <c r="E1247" s="372"/>
      <c r="F1247" s="372"/>
      <c r="G1247" s="372"/>
      <c r="H1247" s="372"/>
      <c r="I1247" s="372"/>
      <c r="J1247" s="372"/>
      <c r="K1247" s="372"/>
      <c r="L1247" s="372"/>
      <c r="M1247" s="372"/>
      <c r="N1247" s="372"/>
      <c r="O1247" s="372"/>
      <c r="P1247" s="372"/>
      <c r="Q1247" s="372"/>
      <c r="R1247" s="372"/>
      <c r="S1247" s="372"/>
      <c r="T1247" s="372"/>
      <c r="U1247" s="372"/>
      <c r="V1247" s="372"/>
    </row>
    <row r="1248" spans="1:23" x14ac:dyDescent="0.2">
      <c r="B1248" s="306"/>
      <c r="C1248" s="307"/>
      <c r="D1248" s="371"/>
      <c r="E1248" s="371"/>
      <c r="F1248" s="371"/>
      <c r="G1248" s="371"/>
      <c r="H1248" s="371"/>
      <c r="I1248" s="371"/>
      <c r="J1248" s="371"/>
      <c r="K1248" s="371"/>
      <c r="L1248" s="371"/>
      <c r="M1248" s="371"/>
      <c r="N1248" s="371"/>
      <c r="O1248" s="371"/>
      <c r="P1248" s="371"/>
      <c r="Q1248" s="371"/>
      <c r="R1248" s="371"/>
      <c r="S1248" s="371"/>
      <c r="T1248" s="371"/>
      <c r="U1248" s="371"/>
      <c r="V1248" s="371"/>
    </row>
    <row r="1249" spans="1:23" x14ac:dyDescent="0.2">
      <c r="A1249" s="370"/>
      <c r="B1249" s="295"/>
      <c r="C1249" s="360"/>
      <c r="D1249" s="372"/>
      <c r="E1249" s="372"/>
      <c r="F1249" s="372"/>
      <c r="G1249" s="372"/>
      <c r="H1249" s="372"/>
      <c r="I1249" s="372"/>
      <c r="J1249" s="372"/>
      <c r="K1249" s="372"/>
      <c r="L1249" s="372"/>
      <c r="M1249" s="372"/>
      <c r="N1249" s="372"/>
      <c r="O1249" s="372"/>
      <c r="P1249" s="372"/>
      <c r="Q1249" s="372"/>
      <c r="R1249" s="372"/>
      <c r="S1249" s="372"/>
      <c r="T1249" s="372"/>
      <c r="U1249" s="372"/>
      <c r="V1249" s="372"/>
    </row>
    <row r="1250" spans="1:23" x14ac:dyDescent="0.2">
      <c r="B1250" s="295"/>
      <c r="C1250" s="360"/>
      <c r="D1250" s="372"/>
      <c r="E1250" s="372"/>
      <c r="F1250" s="372"/>
      <c r="G1250" s="372"/>
      <c r="H1250" s="372"/>
      <c r="I1250" s="372"/>
      <c r="J1250" s="372"/>
      <c r="K1250" s="372"/>
      <c r="L1250" s="372"/>
      <c r="M1250" s="372"/>
      <c r="N1250" s="372"/>
      <c r="O1250" s="372"/>
      <c r="P1250" s="372"/>
      <c r="Q1250" s="372"/>
      <c r="R1250" s="372"/>
      <c r="S1250" s="372"/>
      <c r="T1250" s="372"/>
      <c r="U1250" s="372"/>
      <c r="V1250" s="372"/>
    </row>
    <row r="1251" spans="1:23" x14ac:dyDescent="0.2">
      <c r="B1251" s="306"/>
      <c r="C1251" s="307"/>
      <c r="D1251" s="371"/>
      <c r="E1251" s="371"/>
      <c r="F1251" s="371"/>
      <c r="G1251" s="371"/>
      <c r="H1251" s="371"/>
      <c r="I1251" s="371"/>
      <c r="J1251" s="371"/>
      <c r="K1251" s="371"/>
      <c r="L1251" s="371"/>
      <c r="M1251" s="371"/>
      <c r="N1251" s="371"/>
      <c r="O1251" s="371"/>
      <c r="P1251" s="371"/>
      <c r="Q1251" s="371"/>
      <c r="R1251" s="371"/>
      <c r="S1251" s="371"/>
      <c r="T1251" s="371"/>
      <c r="U1251" s="371"/>
      <c r="V1251" s="371"/>
    </row>
    <row r="1252" spans="1:23" x14ac:dyDescent="0.2">
      <c r="B1252" s="295"/>
      <c r="C1252" s="360"/>
      <c r="D1252" s="372"/>
      <c r="E1252" s="372"/>
      <c r="F1252" s="372"/>
      <c r="G1252" s="372"/>
      <c r="H1252" s="372"/>
      <c r="I1252" s="372"/>
      <c r="J1252" s="372"/>
      <c r="K1252" s="372"/>
      <c r="L1252" s="372"/>
      <c r="M1252" s="372"/>
      <c r="N1252" s="372"/>
      <c r="O1252" s="372"/>
      <c r="P1252" s="372"/>
      <c r="Q1252" s="372"/>
      <c r="R1252" s="372"/>
      <c r="S1252" s="372"/>
      <c r="T1252" s="372"/>
      <c r="U1252" s="372"/>
      <c r="V1252" s="372"/>
    </row>
    <row r="1253" spans="1:23" x14ac:dyDescent="0.2">
      <c r="B1253" s="306"/>
      <c r="C1253" s="307"/>
      <c r="D1253" s="371"/>
      <c r="E1253" s="371"/>
      <c r="F1253" s="371"/>
      <c r="G1253" s="371"/>
      <c r="H1253" s="371"/>
      <c r="I1253" s="371"/>
      <c r="J1253" s="371"/>
      <c r="K1253" s="371"/>
      <c r="L1253" s="371"/>
      <c r="M1253" s="371"/>
      <c r="N1253" s="371"/>
      <c r="O1253" s="371"/>
      <c r="P1253" s="371"/>
      <c r="Q1253" s="371"/>
      <c r="R1253" s="371"/>
      <c r="S1253" s="371"/>
      <c r="T1253" s="371"/>
      <c r="U1253" s="371"/>
      <c r="V1253" s="371"/>
    </row>
    <row r="1254" spans="1:23" ht="15.75" x14ac:dyDescent="0.25">
      <c r="A1254" s="308" t="s">
        <v>29</v>
      </c>
      <c r="B1254" s="311" t="s">
        <v>73</v>
      </c>
      <c r="C1254" s="312">
        <v>2000</v>
      </c>
      <c r="D1254" s="312">
        <v>2001</v>
      </c>
      <c r="E1254" s="312">
        <v>2002</v>
      </c>
      <c r="F1254" s="312">
        <v>2003</v>
      </c>
      <c r="G1254" s="312">
        <v>2004</v>
      </c>
      <c r="H1254" s="312">
        <v>2005</v>
      </c>
      <c r="I1254" s="312">
        <v>2006</v>
      </c>
      <c r="J1254" s="312">
        <v>2007</v>
      </c>
      <c r="K1254" s="312">
        <v>2008</v>
      </c>
      <c r="L1254" s="312">
        <v>2009</v>
      </c>
      <c r="M1254" s="312">
        <v>2010</v>
      </c>
      <c r="N1254" s="312">
        <v>2011</v>
      </c>
      <c r="O1254" s="312">
        <v>2012</v>
      </c>
      <c r="P1254" s="312">
        <v>2013</v>
      </c>
      <c r="Q1254" s="312">
        <v>2014</v>
      </c>
      <c r="R1254" s="312">
        <v>2015</v>
      </c>
      <c r="S1254" s="312">
        <v>2016</v>
      </c>
      <c r="T1254" s="312">
        <v>2017</v>
      </c>
      <c r="U1254" s="312">
        <v>2018</v>
      </c>
      <c r="V1254" s="312">
        <v>2019</v>
      </c>
      <c r="W1254" s="312" t="s">
        <v>154</v>
      </c>
    </row>
    <row r="1255" spans="1:23" x14ac:dyDescent="0.2">
      <c r="A1255" s="308" t="s">
        <v>26</v>
      </c>
      <c r="B1255" s="309">
        <v>92</v>
      </c>
      <c r="C1255" s="314"/>
      <c r="D1255" s="314"/>
      <c r="E1255" s="314"/>
      <c r="F1255" s="314"/>
      <c r="G1255" s="314"/>
      <c r="H1255" s="314"/>
      <c r="I1255" s="314"/>
      <c r="J1255" s="314"/>
      <c r="K1255" s="314"/>
      <c r="L1255" s="314"/>
      <c r="M1255" s="314"/>
      <c r="N1255" s="314"/>
      <c r="O1255" s="314"/>
      <c r="P1255" s="314"/>
      <c r="Q1255" s="314"/>
      <c r="R1255" s="314"/>
      <c r="S1255" s="314"/>
      <c r="T1255" s="314"/>
      <c r="U1255" s="314"/>
      <c r="V1255" s="314"/>
      <c r="W1255" s="314"/>
    </row>
    <row r="1256" spans="1:23" x14ac:dyDescent="0.2">
      <c r="A1256" s="9"/>
      <c r="B1256" s="315" t="s">
        <v>27</v>
      </c>
      <c r="C1256" s="449">
        <v>0</v>
      </c>
      <c r="D1256" s="410">
        <v>5817480.4606095562</v>
      </c>
      <c r="E1256" s="410">
        <v>4323072.2699888516</v>
      </c>
      <c r="F1256" s="410">
        <v>3418813.1451292313</v>
      </c>
      <c r="G1256" s="410">
        <v>2946586.5289460621</v>
      </c>
      <c r="H1256" s="410">
        <v>3032325.823514224</v>
      </c>
      <c r="I1256" s="410">
        <v>2268837.5153327179</v>
      </c>
      <c r="J1256" s="410">
        <v>2575773.5209036004</v>
      </c>
      <c r="K1256" s="410">
        <v>4144193.4060085882</v>
      </c>
      <c r="L1256" s="410">
        <v>4178433.5596840596</v>
      </c>
      <c r="M1256" s="410">
        <v>4583864.5136397798</v>
      </c>
      <c r="N1256" s="410">
        <v>3843395.8860770655</v>
      </c>
      <c r="O1256" s="410">
        <v>4185775.0999312298</v>
      </c>
      <c r="P1256" s="410">
        <v>4743831.5584326694</v>
      </c>
      <c r="Q1256" s="410">
        <v>5728281.7002357868</v>
      </c>
      <c r="R1256" s="410">
        <v>4622222.4092822131</v>
      </c>
      <c r="S1256" s="410">
        <v>3744579.4230502713</v>
      </c>
      <c r="T1256" s="410">
        <v>4681760.8430243945</v>
      </c>
      <c r="U1256" s="410">
        <v>5622167.9732235856</v>
      </c>
      <c r="V1256" s="410">
        <v>4436610.3619889682</v>
      </c>
      <c r="W1256" s="333"/>
    </row>
    <row r="1257" spans="1:23" x14ac:dyDescent="0.2">
      <c r="A1257" s="9"/>
      <c r="B1257" s="315" t="s">
        <v>20</v>
      </c>
      <c r="C1257" s="449">
        <v>0</v>
      </c>
      <c r="D1257" s="410">
        <v>-835970.3454915334</v>
      </c>
      <c r="E1257" s="410">
        <v>-920432.61816860526</v>
      </c>
      <c r="F1257" s="410">
        <v>-804802.88474202633</v>
      </c>
      <c r="G1257" s="410">
        <v>-781170.61484807718</v>
      </c>
      <c r="H1257" s="410">
        <v>-1088897.2517502785</v>
      </c>
      <c r="I1257" s="410">
        <v>-1015174.613378415</v>
      </c>
      <c r="J1257" s="410">
        <v>-1184418.2160306207</v>
      </c>
      <c r="K1257" s="410">
        <v>-2046810.4212405661</v>
      </c>
      <c r="L1257" s="410">
        <v>-2036723.8909445193</v>
      </c>
      <c r="M1257" s="410">
        <v>-2080590.9017256913</v>
      </c>
      <c r="N1257" s="410">
        <v>-2174194.3890463868</v>
      </c>
      <c r="O1257" s="410">
        <v>-2205311.1942354566</v>
      </c>
      <c r="P1257" s="410">
        <v>-2637303.2414180036</v>
      </c>
      <c r="Q1257" s="410">
        <v>-3100987.8542297222</v>
      </c>
      <c r="R1257" s="410">
        <v>-2571808.2560389307</v>
      </c>
      <c r="S1257" s="410">
        <v>-2282910.4836038183</v>
      </c>
      <c r="T1257" s="410">
        <v>-2799310.5244509126</v>
      </c>
      <c r="U1257" s="410">
        <v>-3483085.6778970095</v>
      </c>
      <c r="V1257" s="410">
        <v>-2943075.4652482574</v>
      </c>
      <c r="W1257" s="333"/>
    </row>
    <row r="1258" spans="1:23" x14ac:dyDescent="0.2">
      <c r="A1258" s="9"/>
      <c r="B1258" s="315" t="s">
        <v>31</v>
      </c>
      <c r="C1258" s="449">
        <v>0</v>
      </c>
      <c r="D1258" s="410">
        <v>-35411.962694920803</v>
      </c>
      <c r="E1258" s="410">
        <v>-43311.793488968731</v>
      </c>
      <c r="F1258" s="410">
        <v>-39771.28524427786</v>
      </c>
      <c r="G1258" s="410">
        <v>-39069.424549956755</v>
      </c>
      <c r="H1258" s="410">
        <v>-55197.414812517789</v>
      </c>
      <c r="I1258" s="410">
        <v>-51658.072618069513</v>
      </c>
      <c r="J1258" s="410">
        <v>-60643.37111560312</v>
      </c>
      <c r="K1258" s="410">
        <v>-115562.23413350547</v>
      </c>
      <c r="L1258" s="410">
        <v>-114591.12592236981</v>
      </c>
      <c r="M1258" s="410">
        <v>-115342.96142324508</v>
      </c>
      <c r="N1258" s="410">
        <v>-119068.30199842964</v>
      </c>
      <c r="O1258" s="410">
        <v>-125266.07072179292</v>
      </c>
      <c r="P1258" s="410">
        <v>-144073.37668917002</v>
      </c>
      <c r="Q1258" s="410">
        <v>-174322.49352659937</v>
      </c>
      <c r="R1258" s="410">
        <v>-134708.41094567589</v>
      </c>
      <c r="S1258" s="410">
        <v>-116512.77900334982</v>
      </c>
      <c r="T1258" s="410">
        <v>-142330.63097425841</v>
      </c>
      <c r="U1258" s="410">
        <v>-169104.05450049738</v>
      </c>
      <c r="V1258" s="410">
        <v>-143891.27222112424</v>
      </c>
      <c r="W1258" s="333"/>
    </row>
    <row r="1259" spans="1:23" x14ac:dyDescent="0.2">
      <c r="A1259" s="9"/>
      <c r="B1259" s="315" t="s">
        <v>32</v>
      </c>
      <c r="C1259" s="449">
        <v>0</v>
      </c>
      <c r="D1259" s="410">
        <v>0</v>
      </c>
      <c r="E1259" s="410">
        <v>0</v>
      </c>
      <c r="F1259" s="410">
        <v>0</v>
      </c>
      <c r="G1259" s="410">
        <v>0</v>
      </c>
      <c r="H1259" s="410">
        <v>0</v>
      </c>
      <c r="I1259" s="410">
        <v>-14492.730291401385</v>
      </c>
      <c r="J1259" s="410">
        <v>-18497.978305242235</v>
      </c>
      <c r="K1259" s="410">
        <v>-39779.706072448033</v>
      </c>
      <c r="L1259" s="410">
        <v>-40708.332877294779</v>
      </c>
      <c r="M1259" s="410">
        <v>-44617.781243717189</v>
      </c>
      <c r="N1259" s="410">
        <v>-49872.652266206394</v>
      </c>
      <c r="O1259" s="410">
        <v>-56859.067352718092</v>
      </c>
      <c r="P1259" s="410">
        <v>-71835.461220493482</v>
      </c>
      <c r="Q1259" s="410">
        <v>-94957.342681926384</v>
      </c>
      <c r="R1259" s="410">
        <v>-79718.193777901091</v>
      </c>
      <c r="S1259" s="410">
        <v>-74157.766705061906</v>
      </c>
      <c r="T1259" s="410">
        <v>-87188.795095561873</v>
      </c>
      <c r="U1259" s="410">
        <v>-86856.877431762652</v>
      </c>
      <c r="V1259" s="410">
        <v>-75222.041815958757</v>
      </c>
      <c r="W1259" s="333"/>
    </row>
    <row r="1260" spans="1:23" ht="13.5" thickBot="1" x14ac:dyDescent="0.25">
      <c r="A1260" s="9"/>
      <c r="B1260" s="316" t="s">
        <v>33</v>
      </c>
      <c r="C1260" s="450">
        <v>0</v>
      </c>
      <c r="D1260" s="412">
        <v>0</v>
      </c>
      <c r="E1260" s="412">
        <v>0</v>
      </c>
      <c r="F1260" s="412">
        <v>0</v>
      </c>
      <c r="G1260" s="412">
        <v>0</v>
      </c>
      <c r="H1260" s="412">
        <v>0</v>
      </c>
      <c r="I1260" s="412">
        <v>-14492.730291401385</v>
      </c>
      <c r="J1260" s="412">
        <v>-18497.978305242235</v>
      </c>
      <c r="K1260" s="412">
        <v>-39779.706072448033</v>
      </c>
      <c r="L1260" s="412">
        <v>-40708.332877294779</v>
      </c>
      <c r="M1260" s="412">
        <v>-44617.781243717189</v>
      </c>
      <c r="N1260" s="412">
        <v>-49872.652266206394</v>
      </c>
      <c r="O1260" s="412">
        <v>-56859.067352718092</v>
      </c>
      <c r="P1260" s="412">
        <v>-71835.461220493482</v>
      </c>
      <c r="Q1260" s="412">
        <v>-94957.342681926384</v>
      </c>
      <c r="R1260" s="412">
        <v>-79718.193777901091</v>
      </c>
      <c r="S1260" s="412">
        <v>-74157.766705061906</v>
      </c>
      <c r="T1260" s="412">
        <v>-87188.795095561873</v>
      </c>
      <c r="U1260" s="412">
        <v>-86856.877431762652</v>
      </c>
      <c r="V1260" s="412">
        <v>-75222.041815958757</v>
      </c>
      <c r="W1260" s="333"/>
    </row>
    <row r="1261" spans="1:23" ht="13.5" thickTop="1" x14ac:dyDescent="0.2">
      <c r="A1261" s="9"/>
      <c r="B1261" s="317" t="s">
        <v>38</v>
      </c>
      <c r="C1261" s="451">
        <v>0</v>
      </c>
      <c r="D1261" s="414">
        <v>4946098.1524231024</v>
      </c>
      <c r="E1261" s="414">
        <v>3359327.8583312775</v>
      </c>
      <c r="F1261" s="414">
        <v>2574238.9751429274</v>
      </c>
      <c r="G1261" s="414">
        <v>2126346.489548028</v>
      </c>
      <c r="H1261" s="414">
        <v>1888231.1569514277</v>
      </c>
      <c r="I1261" s="414">
        <v>1173019.3687534304</v>
      </c>
      <c r="J1261" s="414">
        <v>1293715.9771468921</v>
      </c>
      <c r="K1261" s="414">
        <v>1902261.3384896202</v>
      </c>
      <c r="L1261" s="414">
        <v>1945701.877062581</v>
      </c>
      <c r="M1261" s="414">
        <v>2298695.0880034086</v>
      </c>
      <c r="N1261" s="414">
        <v>1450387.8904998361</v>
      </c>
      <c r="O1261" s="414">
        <v>1741479.7002685438</v>
      </c>
      <c r="P1261" s="414">
        <v>1818784.0178845087</v>
      </c>
      <c r="Q1261" s="414">
        <v>2263056.6671156129</v>
      </c>
      <c r="R1261" s="414">
        <v>1756269.3547418043</v>
      </c>
      <c r="S1261" s="414">
        <v>1196840.6270329792</v>
      </c>
      <c r="T1261" s="414">
        <v>1565742.0974081</v>
      </c>
      <c r="U1261" s="414">
        <v>1796264.4859625534</v>
      </c>
      <c r="V1261" s="414">
        <v>1199199.5408876692</v>
      </c>
      <c r="W1261" s="333"/>
    </row>
    <row r="1262" spans="1:23" x14ac:dyDescent="0.2">
      <c r="A1262" s="9"/>
      <c r="B1262" s="315" t="s">
        <v>34</v>
      </c>
      <c r="C1262" s="449">
        <v>0</v>
      </c>
      <c r="D1262" s="410">
        <v>-270082.35646211036</v>
      </c>
      <c r="E1262" s="410">
        <v>-275484.00359135255</v>
      </c>
      <c r="F1262" s="410">
        <v>-280993.68366317963</v>
      </c>
      <c r="G1262" s="410">
        <v>-286613.55733644322</v>
      </c>
      <c r="H1262" s="410">
        <v>-292345.82848317211</v>
      </c>
      <c r="I1262" s="410">
        <v>-298192.74505283555</v>
      </c>
      <c r="J1262" s="410">
        <v>-304156.59995389229</v>
      </c>
      <c r="K1262" s="410">
        <v>-310239.73195297015</v>
      </c>
      <c r="L1262" s="410">
        <v>-316444.52659202955</v>
      </c>
      <c r="M1262" s="410">
        <v>-322773.41712387017</v>
      </c>
      <c r="N1262" s="410">
        <v>-329228.88546634756</v>
      </c>
      <c r="O1262" s="410">
        <v>-335813.46317567455</v>
      </c>
      <c r="P1262" s="410">
        <v>-342529.73243918805</v>
      </c>
      <c r="Q1262" s="410">
        <v>-349380.32708797185</v>
      </c>
      <c r="R1262" s="410">
        <v>-356367.9336297313</v>
      </c>
      <c r="S1262" s="410">
        <v>-363495.29230232595</v>
      </c>
      <c r="T1262" s="410">
        <v>-370765.19814837247</v>
      </c>
      <c r="U1262" s="410">
        <v>-378180.50211133994</v>
      </c>
      <c r="V1262" s="410">
        <v>-385744.11215356673</v>
      </c>
      <c r="W1262" s="333"/>
    </row>
    <row r="1263" spans="1:23" x14ac:dyDescent="0.2">
      <c r="A1263" s="9"/>
      <c r="B1263" s="315" t="s">
        <v>35</v>
      </c>
      <c r="C1263" s="449">
        <v>0</v>
      </c>
      <c r="D1263" s="410">
        <v>-71397.469478267958</v>
      </c>
      <c r="E1263" s="410">
        <v>-71397.469478267958</v>
      </c>
      <c r="F1263" s="410">
        <v>-71397.469478267958</v>
      </c>
      <c r="G1263" s="410">
        <v>-71397.469478267958</v>
      </c>
      <c r="H1263" s="410">
        <v>-71397.469478267958</v>
      </c>
      <c r="I1263" s="410">
        <v>-71397.469478267958</v>
      </c>
      <c r="J1263" s="410">
        <v>-71397.469478267958</v>
      </c>
      <c r="K1263" s="410">
        <v>-71397.469478267958</v>
      </c>
      <c r="L1263" s="410">
        <v>-71397.469478267958</v>
      </c>
      <c r="M1263" s="410">
        <v>-71397.469478267958</v>
      </c>
      <c r="N1263" s="410">
        <v>-71397.469478267958</v>
      </c>
      <c r="O1263" s="410">
        <v>-71397.469478267958</v>
      </c>
      <c r="P1263" s="410">
        <v>-71397.469478267958</v>
      </c>
      <c r="Q1263" s="410">
        <v>-71397.469478267958</v>
      </c>
      <c r="R1263" s="410">
        <v>-71397.469478267958</v>
      </c>
      <c r="S1263" s="410">
        <v>-71397.469478267958</v>
      </c>
      <c r="T1263" s="410">
        <v>-71397.469478267958</v>
      </c>
      <c r="U1263" s="410">
        <v>-71397.469478267958</v>
      </c>
      <c r="V1263" s="410">
        <v>-71397.469478267958</v>
      </c>
      <c r="W1263" s="333"/>
    </row>
    <row r="1264" spans="1:23" ht="13.5" thickBot="1" x14ac:dyDescent="0.25">
      <c r="A1264" s="9"/>
      <c r="B1264" s="316" t="s">
        <v>36</v>
      </c>
      <c r="C1264" s="450">
        <v>0</v>
      </c>
      <c r="D1264" s="412">
        <v>-11201.203682604</v>
      </c>
      <c r="E1264" s="412">
        <v>-11437.549080307001</v>
      </c>
      <c r="F1264" s="412">
        <v>-11688.031405165701</v>
      </c>
      <c r="G1264" s="412">
        <v>-11952.180914922399</v>
      </c>
      <c r="H1264" s="412">
        <v>-12236.6428206976</v>
      </c>
      <c r="I1264" s="412">
        <v>-12543.294319955899</v>
      </c>
      <c r="J1264" s="412">
        <v>-12854.402963098901</v>
      </c>
      <c r="K1264" s="412">
        <v>-13179.774466672499</v>
      </c>
      <c r="L1264" s="412">
        <v>-13505.3148959993</v>
      </c>
      <c r="M1264" s="412">
        <v>-13849.700425847301</v>
      </c>
      <c r="N1264" s="412">
        <v>-14184.8631761529</v>
      </c>
      <c r="O1264" s="412">
        <v>-14542.321728191901</v>
      </c>
      <c r="P1264" s="412">
        <v>-14911.696700087899</v>
      </c>
      <c r="Q1264" s="412">
        <v>-15284.489117590099</v>
      </c>
      <c r="R1264" s="412">
        <v>-15668.1297944416</v>
      </c>
      <c r="S1264" s="412">
        <v>-16059.833039302701</v>
      </c>
      <c r="T1264" s="412">
        <v>-16458.116898677399</v>
      </c>
      <c r="U1264" s="412">
        <v>-16871.215632834199</v>
      </c>
      <c r="V1264" s="412">
        <v>-17294.6831452183</v>
      </c>
      <c r="W1264" s="333"/>
    </row>
    <row r="1265" spans="1:23" ht="13.5" thickTop="1" x14ac:dyDescent="0.2">
      <c r="A1265" s="9"/>
      <c r="B1265" s="317" t="s">
        <v>221</v>
      </c>
      <c r="C1265" s="452">
        <v>0</v>
      </c>
      <c r="D1265" s="416">
        <v>4593417.1228001192</v>
      </c>
      <c r="E1265" s="416">
        <v>3001008.8361813496</v>
      </c>
      <c r="F1265" s="416">
        <v>2210159.7905963138</v>
      </c>
      <c r="G1265" s="416">
        <v>1756383.2818183945</v>
      </c>
      <c r="H1265" s="416">
        <v>1512251.2161692902</v>
      </c>
      <c r="I1265" s="416">
        <v>790885.85990237107</v>
      </c>
      <c r="J1265" s="416">
        <v>905307.50475163292</v>
      </c>
      <c r="K1265" s="416">
        <v>1507444.3625917097</v>
      </c>
      <c r="L1265" s="416">
        <v>1544354.5660962842</v>
      </c>
      <c r="M1265" s="416">
        <v>1890674.5009754233</v>
      </c>
      <c r="N1265" s="416">
        <v>1035576.6723790675</v>
      </c>
      <c r="O1265" s="416">
        <v>1319726.4458864096</v>
      </c>
      <c r="P1265" s="416">
        <v>1389945.1192669647</v>
      </c>
      <c r="Q1265" s="416">
        <v>1826994.3814317831</v>
      </c>
      <c r="R1265" s="416">
        <v>1312835.8218393635</v>
      </c>
      <c r="S1265" s="416">
        <v>745888.03221308254</v>
      </c>
      <c r="T1265" s="416">
        <v>1107121.3128827822</v>
      </c>
      <c r="U1265" s="416">
        <v>1329815.2987401113</v>
      </c>
      <c r="V1265" s="416">
        <v>724763.27611061628</v>
      </c>
      <c r="W1265" s="333"/>
    </row>
    <row r="1266" spans="1:23" x14ac:dyDescent="0.2">
      <c r="A1266" s="9"/>
      <c r="B1266" s="315" t="s">
        <v>37</v>
      </c>
      <c r="C1266" s="449">
        <v>0</v>
      </c>
      <c r="D1266" s="410">
        <v>-468884.77837706078</v>
      </c>
      <c r="E1266" s="410">
        <v>-442736.47876995482</v>
      </c>
      <c r="F1266" s="410">
        <v>-399348.9005627819</v>
      </c>
      <c r="G1266" s="410">
        <v>-341975.15805817646</v>
      </c>
      <c r="H1266" s="410">
        <v>-309910.8817370648</v>
      </c>
      <c r="I1266" s="410">
        <v>-292616.27098564821</v>
      </c>
      <c r="J1266" s="410">
        <v>-296265.1248224827</v>
      </c>
      <c r="K1266" s="410">
        <v>-299264.75752492156</v>
      </c>
      <c r="L1266" s="410">
        <v>-302753.52294301329</v>
      </c>
      <c r="M1266" s="410">
        <v>-306537.06105864706</v>
      </c>
      <c r="N1266" s="410">
        <v>-286122.32309487072</v>
      </c>
      <c r="O1266" s="410">
        <v>-264943.91695450858</v>
      </c>
      <c r="P1266" s="410">
        <v>-269408.97783946397</v>
      </c>
      <c r="Q1266" s="410">
        <v>-165446.20151174127</v>
      </c>
      <c r="R1266" s="410">
        <v>-61976.437402998672</v>
      </c>
      <c r="S1266" s="410">
        <v>-66456.231763830627</v>
      </c>
      <c r="T1266" s="410">
        <v>-71070.419955487552</v>
      </c>
      <c r="U1266" s="410">
        <v>-75823.033792894188</v>
      </c>
      <c r="V1266" s="410">
        <v>-80718.226045422998</v>
      </c>
      <c r="W1266" s="333"/>
    </row>
    <row r="1267" spans="1:23" ht="13.5" thickBot="1" x14ac:dyDescent="0.25">
      <c r="A1267" s="9"/>
      <c r="B1267" s="316" t="s">
        <v>222</v>
      </c>
      <c r="C1267" s="450">
        <v>0</v>
      </c>
      <c r="D1267" s="412">
        <v>-1649812.9377692235</v>
      </c>
      <c r="E1267" s="412">
        <v>-1023308.942964558</v>
      </c>
      <c r="F1267" s="412">
        <v>-724324.35601341282</v>
      </c>
      <c r="G1267" s="412">
        <v>-565763.24950408726</v>
      </c>
      <c r="H1267" s="412">
        <v>-480936.1337728902</v>
      </c>
      <c r="I1267" s="412">
        <v>-199307.83556668914</v>
      </c>
      <c r="J1267" s="412">
        <v>-243616.95197166011</v>
      </c>
      <c r="K1267" s="412">
        <v>-483271.84202671528</v>
      </c>
      <c r="L1267" s="412">
        <v>-496640.41726130835</v>
      </c>
      <c r="M1267" s="412">
        <v>-633654.9759667106</v>
      </c>
      <c r="N1267" s="412">
        <v>-299781.73971367872</v>
      </c>
      <c r="O1267" s="412">
        <v>-421913.01157276047</v>
      </c>
      <c r="P1267" s="412">
        <v>-448214.45657100028</v>
      </c>
      <c r="Q1267" s="412">
        <v>-664619.27196801687</v>
      </c>
      <c r="R1267" s="412">
        <v>-500343.75377454603</v>
      </c>
      <c r="S1267" s="412">
        <v>-271772.72017970076</v>
      </c>
      <c r="T1267" s="412">
        <v>-414420.35717091785</v>
      </c>
      <c r="U1267" s="412">
        <v>-501596.90597888688</v>
      </c>
      <c r="V1267" s="412">
        <v>-257618.02002607734</v>
      </c>
      <c r="W1267" s="333"/>
    </row>
    <row r="1268" spans="1:23" ht="13.5" thickTop="1" x14ac:dyDescent="0.2">
      <c r="A1268" s="9"/>
      <c r="B1268" s="317" t="s">
        <v>183</v>
      </c>
      <c r="C1268" s="452">
        <v>0</v>
      </c>
      <c r="D1268" s="416">
        <v>2474719.406653835</v>
      </c>
      <c r="E1268" s="416">
        <v>1534963.4144468368</v>
      </c>
      <c r="F1268" s="416">
        <v>1086486.5340201191</v>
      </c>
      <c r="G1268" s="416">
        <v>848644.87425613077</v>
      </c>
      <c r="H1268" s="416">
        <v>721404.20065933524</v>
      </c>
      <c r="I1268" s="416">
        <v>298961.75335003372</v>
      </c>
      <c r="J1268" s="416">
        <v>365425.42795749009</v>
      </c>
      <c r="K1268" s="416">
        <v>724907.76304007287</v>
      </c>
      <c r="L1268" s="416">
        <v>744960.62589196255</v>
      </c>
      <c r="M1268" s="416">
        <v>950482.46395006566</v>
      </c>
      <c r="N1268" s="416">
        <v>449672.60957051802</v>
      </c>
      <c r="O1268" s="416">
        <v>632869.51735914056</v>
      </c>
      <c r="P1268" s="416">
        <v>672321.68485650036</v>
      </c>
      <c r="Q1268" s="416">
        <v>996928.90795202507</v>
      </c>
      <c r="R1268" s="416">
        <v>750515.6306618189</v>
      </c>
      <c r="S1268" s="416">
        <v>407659.08026955114</v>
      </c>
      <c r="T1268" s="416">
        <v>621630.5357563768</v>
      </c>
      <c r="U1268" s="416">
        <v>752395.35896833031</v>
      </c>
      <c r="V1268" s="416">
        <v>386427.03003911598</v>
      </c>
      <c r="W1268" s="333"/>
    </row>
    <row r="1269" spans="1:23" x14ac:dyDescent="0.2">
      <c r="A1269" s="9"/>
      <c r="B1269" s="315" t="s">
        <v>37</v>
      </c>
      <c r="C1269" s="449">
        <v>0</v>
      </c>
      <c r="D1269" s="410">
        <v>468884.77837706078</v>
      </c>
      <c r="E1269" s="410">
        <v>442736.47876995482</v>
      </c>
      <c r="F1269" s="410">
        <v>399348.9005627819</v>
      </c>
      <c r="G1269" s="410">
        <v>341975.15805817646</v>
      </c>
      <c r="H1269" s="410">
        <v>309910.8817370648</v>
      </c>
      <c r="I1269" s="410">
        <v>292616.27098564821</v>
      </c>
      <c r="J1269" s="410">
        <v>296265.1248224827</v>
      </c>
      <c r="K1269" s="410">
        <v>299264.75752492156</v>
      </c>
      <c r="L1269" s="410">
        <v>302753.52294301329</v>
      </c>
      <c r="M1269" s="410">
        <v>306537.06105864706</v>
      </c>
      <c r="N1269" s="410">
        <v>286122.32309487072</v>
      </c>
      <c r="O1269" s="410">
        <v>264943.91695450858</v>
      </c>
      <c r="P1269" s="410">
        <v>269408.97783946397</v>
      </c>
      <c r="Q1269" s="410">
        <v>165446.20151174127</v>
      </c>
      <c r="R1269" s="410">
        <v>61976.437402998672</v>
      </c>
      <c r="S1269" s="410">
        <v>66456.231763830627</v>
      </c>
      <c r="T1269" s="410">
        <v>71070.419955487552</v>
      </c>
      <c r="U1269" s="410">
        <v>75823.033792894188</v>
      </c>
      <c r="V1269" s="410">
        <v>80718.226045422998</v>
      </c>
      <c r="W1269" s="333"/>
    </row>
    <row r="1270" spans="1:23" x14ac:dyDescent="0.2">
      <c r="A1270" s="9"/>
      <c r="B1270" s="315" t="s">
        <v>39</v>
      </c>
      <c r="C1270" s="449">
        <v>0</v>
      </c>
      <c r="D1270" s="410">
        <v>-2815.86</v>
      </c>
      <c r="E1270" s="410">
        <v>-332999.71999999997</v>
      </c>
      <c r="F1270" s="410">
        <v>-3047.79</v>
      </c>
      <c r="G1270" s="410">
        <v>-3183.29</v>
      </c>
      <c r="H1270" s="410">
        <v>-69003.861999999994</v>
      </c>
      <c r="I1270" s="410">
        <v>-71073.977859999999</v>
      </c>
      <c r="J1270" s="410">
        <v>-73206.197195800007</v>
      </c>
      <c r="K1270" s="410">
        <v>-75402.383111674004</v>
      </c>
      <c r="L1270" s="410">
        <v>-77664.454605024221</v>
      </c>
      <c r="M1270" s="410">
        <v>-79994.388243174952</v>
      </c>
      <c r="N1270" s="410">
        <v>-82394.219890470209</v>
      </c>
      <c r="O1270" s="410">
        <v>-84866.046487184314</v>
      </c>
      <c r="P1270" s="410">
        <v>-87412.027881799848</v>
      </c>
      <c r="Q1270" s="410">
        <v>-90034.388718253846</v>
      </c>
      <c r="R1270" s="410">
        <v>-92735.420379801464</v>
      </c>
      <c r="S1270" s="410">
        <v>-95517.482991195517</v>
      </c>
      <c r="T1270" s="410">
        <v>-98383.007480931381</v>
      </c>
      <c r="U1270" s="410">
        <v>-101334.49770535933</v>
      </c>
      <c r="V1270" s="410">
        <v>-104374.53263652012</v>
      </c>
      <c r="W1270" s="333"/>
    </row>
    <row r="1271" spans="1:23" ht="13.5" thickBot="1" x14ac:dyDescent="0.25">
      <c r="A1271" s="9"/>
      <c r="B1271" s="316" t="s">
        <v>40</v>
      </c>
      <c r="C1271" s="450">
        <v>0</v>
      </c>
      <c r="D1271" s="412">
        <v>0</v>
      </c>
      <c r="E1271" s="412">
        <v>0</v>
      </c>
      <c r="F1271" s="412">
        <v>0</v>
      </c>
      <c r="G1271" s="412">
        <v>0</v>
      </c>
      <c r="H1271" s="412">
        <v>0</v>
      </c>
      <c r="I1271" s="412">
        <v>0</v>
      </c>
      <c r="J1271" s="412">
        <v>0</v>
      </c>
      <c r="K1271" s="412">
        <v>0</v>
      </c>
      <c r="L1271" s="412">
        <v>0</v>
      </c>
      <c r="M1271" s="412">
        <v>0</v>
      </c>
      <c r="N1271" s="412">
        <v>0</v>
      </c>
      <c r="O1271" s="412">
        <v>0</v>
      </c>
      <c r="P1271" s="412">
        <v>0</v>
      </c>
      <c r="Q1271" s="412">
        <v>0</v>
      </c>
      <c r="R1271" s="412">
        <v>0</v>
      </c>
      <c r="S1271" s="412">
        <v>0</v>
      </c>
      <c r="T1271" s="412">
        <v>0</v>
      </c>
      <c r="U1271" s="412">
        <v>0</v>
      </c>
      <c r="V1271" s="412">
        <v>0</v>
      </c>
      <c r="W1271" s="333"/>
    </row>
    <row r="1272" spans="1:23" ht="13.5" thickTop="1" x14ac:dyDescent="0.2">
      <c r="A1272" s="9"/>
      <c r="B1272" s="315"/>
      <c r="C1272" s="453"/>
      <c r="D1272" s="333"/>
      <c r="E1272" s="333"/>
      <c r="F1272" s="333"/>
      <c r="G1272" s="333"/>
      <c r="H1272" s="333"/>
      <c r="I1272" s="333"/>
      <c r="J1272" s="333"/>
      <c r="K1272" s="333"/>
      <c r="L1272" s="333"/>
      <c r="M1272" s="333"/>
      <c r="N1272" s="333"/>
      <c r="O1272" s="333"/>
      <c r="P1272" s="333"/>
      <c r="Q1272" s="333"/>
      <c r="R1272" s="333"/>
      <c r="S1272" s="333"/>
      <c r="T1272" s="333"/>
      <c r="U1272" s="333"/>
      <c r="V1272" s="333"/>
      <c r="W1272" s="333"/>
    </row>
    <row r="1273" spans="1:23" x14ac:dyDescent="0.2">
      <c r="A1273" s="9"/>
      <c r="B1273" s="317" t="s">
        <v>234</v>
      </c>
      <c r="C1273" s="452">
        <v>0</v>
      </c>
      <c r="D1273" s="416">
        <v>2940788.3250308959</v>
      </c>
      <c r="E1273" s="416">
        <v>1644700.1732167916</v>
      </c>
      <c r="F1273" s="416">
        <v>1482787.6445829009</v>
      </c>
      <c r="G1273" s="416">
        <v>1187436.7423143073</v>
      </c>
      <c r="H1273" s="416">
        <v>962311.22039640008</v>
      </c>
      <c r="I1273" s="416">
        <v>520504.04647568194</v>
      </c>
      <c r="J1273" s="416">
        <v>588484.35558417276</v>
      </c>
      <c r="K1273" s="416">
        <v>948770.13745332044</v>
      </c>
      <c r="L1273" s="416">
        <v>970049.69422995171</v>
      </c>
      <c r="M1273" s="416">
        <v>1177025.1367655378</v>
      </c>
      <c r="N1273" s="416">
        <v>653400.71277491865</v>
      </c>
      <c r="O1273" s="416">
        <v>812947.38782646472</v>
      </c>
      <c r="P1273" s="416">
        <v>854318.63481416448</v>
      </c>
      <c r="Q1273" s="416">
        <v>1072340.7207455123</v>
      </c>
      <c r="R1273" s="416">
        <v>719756.64768501616</v>
      </c>
      <c r="S1273" s="416">
        <v>378597.82904218626</v>
      </c>
      <c r="T1273" s="416">
        <v>594317.94823093305</v>
      </c>
      <c r="U1273" s="416">
        <v>726883.89505586517</v>
      </c>
      <c r="V1273" s="416">
        <v>362770.72344801889</v>
      </c>
      <c r="W1273" s="414">
        <v>4517706.7171064364</v>
      </c>
    </row>
    <row r="1274" spans="1:23" x14ac:dyDescent="0.2">
      <c r="A1274" s="9"/>
      <c r="B1274" s="292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</row>
    <row r="1275" spans="1:23" x14ac:dyDescent="0.2">
      <c r="A1275" s="308" t="s">
        <v>219</v>
      </c>
      <c r="B1275" s="306" t="s">
        <v>170</v>
      </c>
      <c r="C1275" s="439">
        <v>6875251.8240514863</v>
      </c>
      <c r="D1275" s="9"/>
      <c r="E1275" s="137" t="s">
        <v>220</v>
      </c>
      <c r="F1275" s="319" t="s">
        <v>170</v>
      </c>
      <c r="G1275" s="443">
        <v>6875251.8240514863</v>
      </c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</row>
    <row r="1276" spans="1:23" x14ac:dyDescent="0.2">
      <c r="A1276" s="9"/>
      <c r="B1276" s="306" t="s">
        <v>180</v>
      </c>
      <c r="C1276" s="439">
        <v>3653858.2759434041</v>
      </c>
      <c r="D1276" s="9"/>
      <c r="E1276" s="321"/>
      <c r="F1276" s="319" t="s">
        <v>180</v>
      </c>
      <c r="G1276" s="443">
        <v>3653858.2759434041</v>
      </c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</row>
    <row r="1277" spans="1:23" ht="13.5" thickBot="1" x14ac:dyDescent="0.25">
      <c r="A1277" s="9"/>
      <c r="B1277" s="322" t="s">
        <v>137</v>
      </c>
      <c r="C1277" s="440">
        <v>704304.84043540352</v>
      </c>
      <c r="D1277" s="323"/>
      <c r="E1277" s="321"/>
      <c r="F1277" s="319" t="s">
        <v>137</v>
      </c>
      <c r="G1277" s="443">
        <v>704304.84043540352</v>
      </c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</row>
    <row r="1278" spans="1:23" ht="14.25" thickTop="1" thickBot="1" x14ac:dyDescent="0.25">
      <c r="A1278" s="9"/>
      <c r="B1278" s="306" t="s">
        <v>28</v>
      </c>
      <c r="C1278" s="438">
        <v>11233414.940430291</v>
      </c>
      <c r="D1278" s="305"/>
      <c r="E1278" s="321"/>
      <c r="F1278" s="324" t="s">
        <v>204</v>
      </c>
      <c r="G1278" s="325">
        <v>0</v>
      </c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</row>
    <row r="1279" spans="1:23" ht="13.5" thickTop="1" x14ac:dyDescent="0.2">
      <c r="A1279" s="9"/>
      <c r="B1279" s="292"/>
      <c r="C1279" s="326"/>
      <c r="D1279" s="9"/>
      <c r="E1279" s="327"/>
      <c r="F1279" s="319" t="s">
        <v>28</v>
      </c>
      <c r="G1279" s="368">
        <v>11233414.940430291</v>
      </c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</row>
    <row r="1280" spans="1:23" x14ac:dyDescent="0.2">
      <c r="A1280" s="9"/>
      <c r="B1280" s="292"/>
      <c r="C1280" s="326"/>
      <c r="D1280" s="9"/>
      <c r="E1280" s="327"/>
      <c r="F1280" s="319"/>
      <c r="G1280" s="328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</row>
    <row r="1281" spans="1:23" x14ac:dyDescent="0.2">
      <c r="A1281" s="9"/>
      <c r="B1281" s="292"/>
      <c r="C1281" s="326"/>
      <c r="D1281" s="9"/>
      <c r="E1281" s="327"/>
      <c r="F1281" s="319"/>
      <c r="G1281" s="328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</row>
    <row r="1282" spans="1:23" x14ac:dyDescent="0.2">
      <c r="A1282" s="9"/>
      <c r="B1282" s="329" t="s">
        <v>223</v>
      </c>
      <c r="C1282" s="326"/>
      <c r="D1282" s="9"/>
      <c r="E1282" s="327"/>
      <c r="F1282" s="319"/>
      <c r="G1282" s="328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</row>
    <row r="1283" spans="1:23" x14ac:dyDescent="0.2">
      <c r="A1283" s="330" t="s">
        <v>225</v>
      </c>
      <c r="B1283" s="329" t="s">
        <v>224</v>
      </c>
      <c r="C1283" s="331"/>
      <c r="D1283" s="332">
        <v>2474719.406653835</v>
      </c>
      <c r="E1283" s="332">
        <v>1534963.4144468368</v>
      </c>
      <c r="F1283" s="332">
        <v>1086486.5340201191</v>
      </c>
      <c r="G1283" s="332">
        <v>848644.87425613077</v>
      </c>
      <c r="H1283" s="332">
        <v>721404.20065933524</v>
      </c>
      <c r="I1283" s="332">
        <v>298961.75335003372</v>
      </c>
      <c r="J1283" s="332">
        <v>365425.42795749009</v>
      </c>
      <c r="K1283" s="332">
        <v>724907.76304007287</v>
      </c>
      <c r="L1283" s="332">
        <v>744960.62589196255</v>
      </c>
      <c r="M1283" s="332">
        <v>950482.46395006566</v>
      </c>
      <c r="N1283" s="332">
        <v>449672.60957051802</v>
      </c>
      <c r="O1283" s="332">
        <v>632869.51735914056</v>
      </c>
      <c r="P1283" s="332">
        <v>672321.68485650036</v>
      </c>
      <c r="Q1283" s="332">
        <v>996928.90795202507</v>
      </c>
      <c r="R1283" s="332">
        <v>750515.6306618189</v>
      </c>
      <c r="S1283" s="332">
        <v>407659.08026955114</v>
      </c>
      <c r="T1283" s="332">
        <v>621630.5357563768</v>
      </c>
      <c r="U1283" s="332">
        <v>752395.35896833031</v>
      </c>
      <c r="V1283" s="332">
        <v>386427.03003911598</v>
      </c>
      <c r="W1283" s="9"/>
    </row>
    <row r="1284" spans="1:23" x14ac:dyDescent="0.2">
      <c r="A1284" s="9"/>
      <c r="B1284" s="292" t="s">
        <v>226</v>
      </c>
      <c r="C1284" s="326"/>
      <c r="D1284" s="333">
        <v>1649812.9377692235</v>
      </c>
      <c r="E1284" s="333">
        <v>1023308.942964558</v>
      </c>
      <c r="F1284" s="333">
        <v>724324.35601341282</v>
      </c>
      <c r="G1284" s="333">
        <v>565763.24950408726</v>
      </c>
      <c r="H1284" s="333">
        <v>480936.1337728902</v>
      </c>
      <c r="I1284" s="333">
        <v>199307.83556668914</v>
      </c>
      <c r="J1284" s="333">
        <v>243616.95197166011</v>
      </c>
      <c r="K1284" s="333">
        <v>483271.84202671528</v>
      </c>
      <c r="L1284" s="333">
        <v>496640.41726130835</v>
      </c>
      <c r="M1284" s="333">
        <v>633654.9759667106</v>
      </c>
      <c r="N1284" s="333">
        <v>299781.73971367872</v>
      </c>
      <c r="O1284" s="333">
        <v>421913.01157276047</v>
      </c>
      <c r="P1284" s="333">
        <v>448214.45657100028</v>
      </c>
      <c r="Q1284" s="333">
        <v>664619.27196801687</v>
      </c>
      <c r="R1284" s="333">
        <v>500343.75377454603</v>
      </c>
      <c r="S1284" s="333">
        <v>271772.72017970076</v>
      </c>
      <c r="T1284" s="333">
        <v>414420.35717091785</v>
      </c>
      <c r="U1284" s="333">
        <v>501596.90597888688</v>
      </c>
      <c r="V1284" s="333">
        <v>257618.02002607734</v>
      </c>
      <c r="W1284" s="9"/>
    </row>
    <row r="1285" spans="1:23" x14ac:dyDescent="0.2">
      <c r="A1285" s="9"/>
      <c r="B1285" s="334" t="s">
        <v>227</v>
      </c>
      <c r="C1285" s="335"/>
      <c r="D1285" s="333">
        <v>468884.77837706078</v>
      </c>
      <c r="E1285" s="333">
        <v>442736.47876995482</v>
      </c>
      <c r="F1285" s="333">
        <v>399348.9005627819</v>
      </c>
      <c r="G1285" s="333">
        <v>341975.15805817646</v>
      </c>
      <c r="H1285" s="333">
        <v>309910.8817370648</v>
      </c>
      <c r="I1285" s="333">
        <v>292616.27098564821</v>
      </c>
      <c r="J1285" s="333">
        <v>296265.1248224827</v>
      </c>
      <c r="K1285" s="333">
        <v>299264.75752492156</v>
      </c>
      <c r="L1285" s="333">
        <v>302753.52294301329</v>
      </c>
      <c r="M1285" s="333">
        <v>306537.06105864706</v>
      </c>
      <c r="N1285" s="333">
        <v>286122.32309487072</v>
      </c>
      <c r="O1285" s="333">
        <v>264943.91695450858</v>
      </c>
      <c r="P1285" s="333">
        <v>269408.97783946397</v>
      </c>
      <c r="Q1285" s="333">
        <v>165446.20151174127</v>
      </c>
      <c r="R1285" s="333">
        <v>61976.437402998672</v>
      </c>
      <c r="S1285" s="333">
        <v>66456.231763830627</v>
      </c>
      <c r="T1285" s="333">
        <v>71070.419955487552</v>
      </c>
      <c r="U1285" s="333">
        <v>75823.033792894188</v>
      </c>
      <c r="V1285" s="333">
        <v>80718.226045422998</v>
      </c>
      <c r="W1285" s="9"/>
    </row>
    <row r="1286" spans="1:23" ht="13.5" thickBot="1" x14ac:dyDescent="0.25">
      <c r="A1286" s="9"/>
      <c r="B1286" s="336" t="s">
        <v>228</v>
      </c>
      <c r="C1286" s="337"/>
      <c r="D1286" s="338">
        <v>4593417.1228001192</v>
      </c>
      <c r="E1286" s="338">
        <v>3001008.8361813496</v>
      </c>
      <c r="F1286" s="338">
        <v>2210159.7905963138</v>
      </c>
      <c r="G1286" s="338">
        <v>1756383.2818183945</v>
      </c>
      <c r="H1286" s="338">
        <v>1512251.2161692902</v>
      </c>
      <c r="I1286" s="338">
        <v>790885.85990237107</v>
      </c>
      <c r="J1286" s="338">
        <v>905307.50475163292</v>
      </c>
      <c r="K1286" s="338">
        <v>1507444.3625917097</v>
      </c>
      <c r="L1286" s="338">
        <v>1544354.5660962842</v>
      </c>
      <c r="M1286" s="338">
        <v>1890674.5009754233</v>
      </c>
      <c r="N1286" s="338">
        <v>1035576.6723790674</v>
      </c>
      <c r="O1286" s="338">
        <v>1319726.4458864096</v>
      </c>
      <c r="P1286" s="338">
        <v>1389945.1192669645</v>
      </c>
      <c r="Q1286" s="338">
        <v>1826994.3814317831</v>
      </c>
      <c r="R1286" s="338">
        <v>1312835.8218393635</v>
      </c>
      <c r="S1286" s="338">
        <v>745888.03221308254</v>
      </c>
      <c r="T1286" s="338">
        <v>1107121.3128827822</v>
      </c>
      <c r="U1286" s="338">
        <v>1329815.2987401113</v>
      </c>
      <c r="V1286" s="338">
        <v>724763.27611061628</v>
      </c>
      <c r="W1286" s="9"/>
    </row>
    <row r="1287" spans="1:23" ht="13.5" thickTop="1" x14ac:dyDescent="0.2">
      <c r="A1287" s="330" t="s">
        <v>229</v>
      </c>
      <c r="B1287" s="292" t="s">
        <v>230</v>
      </c>
      <c r="C1287" s="326"/>
      <c r="D1287" s="333">
        <v>-660552.92100760038</v>
      </c>
      <c r="E1287" s="333">
        <v>-677202.90700760041</v>
      </c>
      <c r="F1287" s="333">
        <v>-677355.29650760046</v>
      </c>
      <c r="G1287" s="333">
        <v>-636338.56409130106</v>
      </c>
      <c r="H1287" s="333">
        <v>-48972.126647982222</v>
      </c>
      <c r="I1287" s="333">
        <v>-52525.82554098223</v>
      </c>
      <c r="J1287" s="333">
        <v>-56186.135400772226</v>
      </c>
      <c r="K1287" s="333">
        <v>-59956.254556355925</v>
      </c>
      <c r="L1287" s="333">
        <v>-63839.477286607136</v>
      </c>
      <c r="M1287" s="333">
        <v>-67839.196698765882</v>
      </c>
      <c r="N1287" s="333">
        <v>-71958.907693289395</v>
      </c>
      <c r="O1287" s="333">
        <v>-76202.210017648613</v>
      </c>
      <c r="P1287" s="333">
        <v>-80572.811411738599</v>
      </c>
      <c r="Q1287" s="333">
        <v>-85074.530847651302</v>
      </c>
      <c r="R1287" s="333">
        <v>-89711.301866641385</v>
      </c>
      <c r="S1287" s="333">
        <v>-94487.176016201149</v>
      </c>
      <c r="T1287" s="333">
        <v>-99406.326390247734</v>
      </c>
      <c r="U1287" s="333">
        <v>-104473.0512755157</v>
      </c>
      <c r="V1287" s="333">
        <v>-109691.77790734169</v>
      </c>
      <c r="W1287" s="9"/>
    </row>
    <row r="1288" spans="1:23" x14ac:dyDescent="0.2">
      <c r="A1288" s="9"/>
      <c r="B1288" s="292" t="s">
        <v>231</v>
      </c>
      <c r="C1288" s="326"/>
      <c r="D1288" s="333">
        <v>0</v>
      </c>
      <c r="E1288" s="333">
        <v>0</v>
      </c>
      <c r="F1288" s="333">
        <v>0</v>
      </c>
      <c r="G1288" s="333">
        <v>0</v>
      </c>
      <c r="H1288" s="333">
        <v>0</v>
      </c>
      <c r="I1288" s="333">
        <v>0</v>
      </c>
      <c r="J1288" s="333">
        <v>0</v>
      </c>
      <c r="K1288" s="333">
        <v>0</v>
      </c>
      <c r="L1288" s="333">
        <v>0</v>
      </c>
      <c r="M1288" s="333">
        <v>0</v>
      </c>
      <c r="N1288" s="333">
        <v>0</v>
      </c>
      <c r="O1288" s="333">
        <v>0</v>
      </c>
      <c r="P1288" s="333">
        <v>0</v>
      </c>
      <c r="Q1288" s="333">
        <v>0</v>
      </c>
      <c r="R1288" s="333">
        <v>0</v>
      </c>
      <c r="S1288" s="333">
        <v>0</v>
      </c>
      <c r="T1288" s="333">
        <v>0</v>
      </c>
      <c r="U1288" s="333">
        <v>0</v>
      </c>
      <c r="V1288" s="333">
        <v>0</v>
      </c>
      <c r="W1288" s="9"/>
    </row>
    <row r="1289" spans="1:23" x14ac:dyDescent="0.2">
      <c r="A1289" s="9"/>
      <c r="B1289" s="329" t="s">
        <v>232</v>
      </c>
      <c r="C1289" s="331"/>
      <c r="D1289" s="332">
        <v>3932864.2017925186</v>
      </c>
      <c r="E1289" s="332">
        <v>2323805.9291737489</v>
      </c>
      <c r="F1289" s="332">
        <v>1532804.4940887133</v>
      </c>
      <c r="G1289" s="332">
        <v>1120044.7177270935</v>
      </c>
      <c r="H1289" s="332">
        <v>1463279.089521308</v>
      </c>
      <c r="I1289" s="332">
        <v>738360.03436138888</v>
      </c>
      <c r="J1289" s="332">
        <v>849121.36935086071</v>
      </c>
      <c r="K1289" s="332">
        <v>1447488.1080353537</v>
      </c>
      <c r="L1289" s="332">
        <v>1480515.0888096772</v>
      </c>
      <c r="M1289" s="332">
        <v>1822835.3042766573</v>
      </c>
      <c r="N1289" s="332">
        <v>963617.76468577795</v>
      </c>
      <c r="O1289" s="332">
        <v>1243524.2358687611</v>
      </c>
      <c r="P1289" s="332">
        <v>1309372.3078552259</v>
      </c>
      <c r="Q1289" s="332">
        <v>1741919.8505841317</v>
      </c>
      <c r="R1289" s="332">
        <v>1223124.519972722</v>
      </c>
      <c r="S1289" s="332">
        <v>651400.85619688139</v>
      </c>
      <c r="T1289" s="332">
        <v>1007714.9864925344</v>
      </c>
      <c r="U1289" s="332">
        <v>1225342.2474645956</v>
      </c>
      <c r="V1289" s="332">
        <v>615071.49820327456</v>
      </c>
      <c r="W1289" s="9"/>
    </row>
    <row r="1290" spans="1:23" ht="13.5" thickBot="1" x14ac:dyDescent="0.25">
      <c r="A1290" s="9"/>
      <c r="B1290" s="339" t="s">
        <v>238</v>
      </c>
      <c r="C1290" s="340"/>
      <c r="D1290" s="341">
        <v>-1573145.6807170075</v>
      </c>
      <c r="E1290" s="341">
        <v>-929522.37166949967</v>
      </c>
      <c r="F1290" s="341">
        <v>-613121.7976354853</v>
      </c>
      <c r="G1290" s="341">
        <v>-448017.88709083741</v>
      </c>
      <c r="H1290" s="341">
        <v>-585311.63580852316</v>
      </c>
      <c r="I1290" s="341">
        <v>-295344.01374455559</v>
      </c>
      <c r="J1290" s="341">
        <v>-339648.54774034431</v>
      </c>
      <c r="K1290" s="341">
        <v>-578995.24321414146</v>
      </c>
      <c r="L1290" s="341">
        <v>-592206.03552387084</v>
      </c>
      <c r="M1290" s="341">
        <v>-729134.12171066296</v>
      </c>
      <c r="N1290" s="341">
        <v>-385447.10587431118</v>
      </c>
      <c r="O1290" s="341">
        <v>-497409.69434750447</v>
      </c>
      <c r="P1290" s="341">
        <v>-523748.92314209038</v>
      </c>
      <c r="Q1290" s="341">
        <v>-696767.94023365271</v>
      </c>
      <c r="R1290" s="341">
        <v>-489249.80798908882</v>
      </c>
      <c r="S1290" s="341">
        <v>-260560.34247875257</v>
      </c>
      <c r="T1290" s="341">
        <v>-403085.99459701381</v>
      </c>
      <c r="U1290" s="341">
        <v>-490136.89898583828</v>
      </c>
      <c r="V1290" s="341">
        <v>-246028.59928130984</v>
      </c>
      <c r="W1290" s="9"/>
    </row>
    <row r="1291" spans="1:23" ht="13.5" thickTop="1" x14ac:dyDescent="0.2">
      <c r="A1291" s="9"/>
      <c r="B1291" s="329" t="s">
        <v>233</v>
      </c>
      <c r="C1291" s="331"/>
      <c r="D1291" s="332">
        <v>2359718.5210755114</v>
      </c>
      <c r="E1291" s="332">
        <v>1394283.5575042493</v>
      </c>
      <c r="F1291" s="332">
        <v>919682.69645322801</v>
      </c>
      <c r="G1291" s="332">
        <v>672026.83063625614</v>
      </c>
      <c r="H1291" s="332">
        <v>877967.4537127848</v>
      </c>
      <c r="I1291" s="332">
        <v>443016.0206168333</v>
      </c>
      <c r="J1291" s="332">
        <v>509472.8216105164</v>
      </c>
      <c r="K1291" s="332">
        <v>868492.86482121225</v>
      </c>
      <c r="L1291" s="332">
        <v>888309.05328580632</v>
      </c>
      <c r="M1291" s="332">
        <v>1093701.1825659943</v>
      </c>
      <c r="N1291" s="332">
        <v>578170.65881146677</v>
      </c>
      <c r="O1291" s="332">
        <v>746114.54152125656</v>
      </c>
      <c r="P1291" s="332">
        <v>785623.38471313543</v>
      </c>
      <c r="Q1291" s="332">
        <v>1045151.910350479</v>
      </c>
      <c r="R1291" s="332">
        <v>733874.71198363323</v>
      </c>
      <c r="S1291" s="332">
        <v>390840.51371812879</v>
      </c>
      <c r="T1291" s="332">
        <v>604628.99189552059</v>
      </c>
      <c r="U1291" s="332">
        <v>735205.34847875731</v>
      </c>
      <c r="V1291" s="332">
        <v>369042.89892196469</v>
      </c>
      <c r="W1291" s="9"/>
    </row>
    <row r="1292" spans="1:23" x14ac:dyDescent="0.2">
      <c r="A1292" s="9"/>
      <c r="B1292" s="9"/>
      <c r="C1292" s="326"/>
      <c r="D1292" s="9"/>
      <c r="E1292" s="327"/>
      <c r="F1292" s="319"/>
      <c r="G1292" s="328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</row>
    <row r="1293" spans="1:23" ht="15.75" x14ac:dyDescent="0.25">
      <c r="A1293" s="342" t="s">
        <v>206</v>
      </c>
      <c r="B1293" s="343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</row>
    <row r="1294" spans="1:23" x14ac:dyDescent="0.2">
      <c r="A1294" s="290" t="s">
        <v>191</v>
      </c>
      <c r="B1294" s="309"/>
      <c r="C1294" s="344">
        <v>0</v>
      </c>
      <c r="D1294" s="283"/>
      <c r="E1294" s="283"/>
      <c r="F1294" s="283"/>
      <c r="G1294" s="283"/>
      <c r="H1294" s="283"/>
      <c r="I1294" s="283"/>
      <c r="J1294" s="283"/>
      <c r="K1294" s="283"/>
      <c r="L1294" s="283"/>
      <c r="M1294" s="283"/>
      <c r="N1294" s="283"/>
      <c r="O1294" s="283"/>
      <c r="P1294" s="283"/>
      <c r="Q1294" s="283"/>
      <c r="R1294" s="283"/>
      <c r="S1294" s="283"/>
      <c r="T1294" s="283"/>
      <c r="U1294" s="283"/>
      <c r="V1294" s="283"/>
      <c r="W1294" s="283"/>
    </row>
    <row r="1295" spans="1:23" x14ac:dyDescent="0.2">
      <c r="A1295" s="290" t="s">
        <v>192</v>
      </c>
      <c r="B1295" s="309"/>
      <c r="C1295" s="345">
        <v>0</v>
      </c>
      <c r="D1295" s="283"/>
      <c r="E1295" s="283"/>
      <c r="F1295" s="283"/>
      <c r="G1295" s="283"/>
      <c r="H1295" s="283"/>
      <c r="I1295" s="283"/>
      <c r="J1295" s="283"/>
      <c r="K1295" s="283"/>
      <c r="L1295" s="283"/>
      <c r="M1295" s="283"/>
      <c r="N1295" s="283"/>
      <c r="O1295" s="283"/>
      <c r="P1295" s="283"/>
      <c r="Q1295" s="283"/>
      <c r="R1295" s="283"/>
      <c r="S1295" s="283"/>
      <c r="T1295" s="283"/>
      <c r="U1295" s="283"/>
      <c r="V1295" s="283"/>
      <c r="W1295" s="283"/>
    </row>
    <row r="1296" spans="1:23" x14ac:dyDescent="0.2">
      <c r="A1296" s="290" t="s">
        <v>202</v>
      </c>
      <c r="B1296" s="309"/>
      <c r="C1296" s="290">
        <v>15</v>
      </c>
      <c r="D1296" s="283"/>
      <c r="E1296" s="283"/>
      <c r="F1296" s="283"/>
      <c r="G1296" s="283"/>
      <c r="H1296" s="283"/>
      <c r="I1296" s="283"/>
      <c r="J1296" s="283"/>
      <c r="K1296" s="283"/>
      <c r="L1296" s="283"/>
      <c r="M1296" s="283"/>
      <c r="N1296" s="283"/>
      <c r="O1296" s="283"/>
      <c r="P1296" s="283"/>
      <c r="Q1296" s="283"/>
      <c r="R1296" s="283"/>
      <c r="S1296" s="283"/>
      <c r="T1296" s="283"/>
      <c r="U1296" s="283"/>
      <c r="V1296" s="283"/>
      <c r="W1296" s="283"/>
    </row>
    <row r="1297" spans="1:23" x14ac:dyDescent="0.2">
      <c r="A1297" s="290" t="s">
        <v>193</v>
      </c>
      <c r="B1297" s="309"/>
      <c r="C1297" s="345">
        <v>0</v>
      </c>
      <c r="D1297" s="283"/>
      <c r="E1297" s="283"/>
      <c r="F1297" s="283"/>
      <c r="G1297" s="283"/>
      <c r="H1297" s="283"/>
      <c r="I1297" s="283"/>
      <c r="J1297" s="283"/>
      <c r="K1297" s="283"/>
      <c r="L1297" s="283"/>
      <c r="M1297" s="283"/>
      <c r="N1297" s="283"/>
      <c r="O1297" s="283"/>
      <c r="P1297" s="283"/>
      <c r="Q1297" s="283"/>
      <c r="R1297" s="283"/>
      <c r="S1297" s="283"/>
      <c r="T1297" s="283"/>
      <c r="U1297" s="283"/>
      <c r="V1297" s="283"/>
      <c r="W1297" s="283"/>
    </row>
    <row r="1298" spans="1:23" x14ac:dyDescent="0.2">
      <c r="A1298" s="290" t="s">
        <v>194</v>
      </c>
      <c r="B1298" s="309"/>
      <c r="C1298" s="346">
        <v>8.7499999999999994E-2</v>
      </c>
      <c r="D1298" s="283"/>
      <c r="E1298" s="283"/>
      <c r="F1298" s="283"/>
      <c r="G1298" s="283"/>
      <c r="H1298" s="283"/>
      <c r="I1298" s="283"/>
      <c r="J1298" s="283"/>
      <c r="K1298" s="283"/>
      <c r="L1298" s="283"/>
      <c r="M1298" s="283"/>
      <c r="N1298" s="283"/>
      <c r="O1298" s="283"/>
      <c r="P1298" s="283"/>
      <c r="Q1298" s="283"/>
      <c r="R1298" s="283"/>
      <c r="S1298" s="283"/>
      <c r="T1298" s="283"/>
      <c r="U1298" s="283"/>
      <c r="V1298" s="283"/>
      <c r="W1298" s="283"/>
    </row>
    <row r="1299" spans="1:23" x14ac:dyDescent="0.2">
      <c r="A1299" s="290"/>
      <c r="B1299" s="309"/>
      <c r="C1299" s="283"/>
      <c r="D1299" s="312">
        <v>2001</v>
      </c>
      <c r="E1299" s="312">
        <v>2002</v>
      </c>
      <c r="F1299" s="312">
        <v>2003</v>
      </c>
      <c r="G1299" s="312">
        <v>2004</v>
      </c>
      <c r="H1299" s="312">
        <v>2005</v>
      </c>
      <c r="I1299" s="312">
        <v>2006</v>
      </c>
      <c r="J1299" s="312">
        <v>2007</v>
      </c>
      <c r="K1299" s="312">
        <v>2008</v>
      </c>
      <c r="L1299" s="312">
        <v>2009</v>
      </c>
      <c r="M1299" s="312">
        <v>2010</v>
      </c>
      <c r="N1299" s="312">
        <v>2011</v>
      </c>
      <c r="O1299" s="312">
        <v>2012</v>
      </c>
      <c r="P1299" s="312">
        <v>2013</v>
      </c>
      <c r="Q1299" s="312">
        <v>2014</v>
      </c>
      <c r="R1299" s="312">
        <v>2015</v>
      </c>
      <c r="S1299" s="312">
        <v>2016</v>
      </c>
      <c r="T1299" s="312">
        <v>2017</v>
      </c>
      <c r="U1299" s="312">
        <v>2018</v>
      </c>
      <c r="V1299" s="312">
        <v>2019</v>
      </c>
      <c r="W1299" s="312" t="s">
        <v>154</v>
      </c>
    </row>
    <row r="1300" spans="1:23" x14ac:dyDescent="0.2">
      <c r="A1300" s="290" t="s">
        <v>195</v>
      </c>
      <c r="B1300" s="309"/>
      <c r="C1300" s="283"/>
      <c r="D1300" s="347">
        <v>0</v>
      </c>
      <c r="E1300" s="347">
        <v>0</v>
      </c>
      <c r="F1300" s="347">
        <v>0</v>
      </c>
      <c r="G1300" s="347">
        <v>0</v>
      </c>
      <c r="H1300" s="347">
        <v>0</v>
      </c>
      <c r="I1300" s="347">
        <v>0</v>
      </c>
      <c r="J1300" s="347">
        <v>0</v>
      </c>
      <c r="K1300" s="347">
        <v>0</v>
      </c>
      <c r="L1300" s="347">
        <v>0</v>
      </c>
      <c r="M1300" s="347">
        <v>0</v>
      </c>
      <c r="N1300" s="347">
        <v>0</v>
      </c>
      <c r="O1300" s="347">
        <v>0</v>
      </c>
      <c r="P1300" s="347">
        <v>0</v>
      </c>
      <c r="Q1300" s="347">
        <v>0</v>
      </c>
      <c r="R1300" s="347">
        <v>0</v>
      </c>
      <c r="S1300" s="347">
        <v>0</v>
      </c>
      <c r="T1300" s="347">
        <v>0</v>
      </c>
      <c r="U1300" s="347">
        <v>0</v>
      </c>
      <c r="V1300" s="347">
        <v>0</v>
      </c>
      <c r="W1300" s="347">
        <v>0</v>
      </c>
    </row>
    <row r="1301" spans="1:23" x14ac:dyDescent="0.2">
      <c r="A1301" s="290" t="s">
        <v>196</v>
      </c>
      <c r="B1301" s="309"/>
      <c r="C1301" s="283"/>
      <c r="D1301" s="347">
        <v>0</v>
      </c>
      <c r="E1301" s="347">
        <v>0</v>
      </c>
      <c r="F1301" s="347">
        <v>0</v>
      </c>
      <c r="G1301" s="347">
        <v>0</v>
      </c>
      <c r="H1301" s="347">
        <v>0</v>
      </c>
      <c r="I1301" s="347">
        <v>0</v>
      </c>
      <c r="J1301" s="347">
        <v>0</v>
      </c>
      <c r="K1301" s="347">
        <v>0</v>
      </c>
      <c r="L1301" s="347">
        <v>0</v>
      </c>
      <c r="M1301" s="347">
        <v>0</v>
      </c>
      <c r="N1301" s="347">
        <v>0</v>
      </c>
      <c r="O1301" s="347">
        <v>0</v>
      </c>
      <c r="P1301" s="347">
        <v>0</v>
      </c>
      <c r="Q1301" s="347">
        <v>0</v>
      </c>
      <c r="R1301" s="347">
        <v>0</v>
      </c>
      <c r="S1301" s="347">
        <v>0</v>
      </c>
      <c r="T1301" s="347">
        <v>0</v>
      </c>
      <c r="U1301" s="347">
        <v>0</v>
      </c>
      <c r="V1301" s="347">
        <v>0</v>
      </c>
      <c r="W1301" s="347">
        <v>0</v>
      </c>
    </row>
    <row r="1302" spans="1:23" x14ac:dyDescent="0.2">
      <c r="A1302" s="290" t="s">
        <v>197</v>
      </c>
      <c r="B1302" s="309"/>
      <c r="C1302" s="283"/>
      <c r="D1302" s="347">
        <v>0</v>
      </c>
      <c r="E1302" s="347">
        <v>0</v>
      </c>
      <c r="F1302" s="347">
        <v>0</v>
      </c>
      <c r="G1302" s="347">
        <v>0</v>
      </c>
      <c r="H1302" s="347">
        <v>0</v>
      </c>
      <c r="I1302" s="347">
        <v>0</v>
      </c>
      <c r="J1302" s="347">
        <v>0</v>
      </c>
      <c r="K1302" s="347">
        <v>0</v>
      </c>
      <c r="L1302" s="347">
        <v>0</v>
      </c>
      <c r="M1302" s="347">
        <v>0</v>
      </c>
      <c r="N1302" s="347">
        <v>0</v>
      </c>
      <c r="O1302" s="347">
        <v>0</v>
      </c>
      <c r="P1302" s="347">
        <v>0</v>
      </c>
      <c r="Q1302" s="347">
        <v>0</v>
      </c>
      <c r="R1302" s="347">
        <v>0</v>
      </c>
      <c r="S1302" s="347">
        <v>0</v>
      </c>
      <c r="T1302" s="347">
        <v>0</v>
      </c>
      <c r="U1302" s="347">
        <v>0</v>
      </c>
      <c r="V1302" s="347">
        <v>0</v>
      </c>
      <c r="W1302" s="347">
        <v>0</v>
      </c>
    </row>
    <row r="1303" spans="1:23" x14ac:dyDescent="0.2">
      <c r="A1303" s="290" t="s">
        <v>198</v>
      </c>
      <c r="B1303" s="309"/>
      <c r="C1303" s="283"/>
      <c r="D1303" s="348">
        <v>0</v>
      </c>
      <c r="E1303" s="348">
        <v>0</v>
      </c>
      <c r="F1303" s="348">
        <v>0</v>
      </c>
      <c r="G1303" s="348">
        <v>0</v>
      </c>
      <c r="H1303" s="348">
        <v>0</v>
      </c>
      <c r="I1303" s="348">
        <v>0</v>
      </c>
      <c r="J1303" s="348">
        <v>0</v>
      </c>
      <c r="K1303" s="348">
        <v>0</v>
      </c>
      <c r="L1303" s="348">
        <v>0</v>
      </c>
      <c r="M1303" s="348">
        <v>0</v>
      </c>
      <c r="N1303" s="348">
        <v>0</v>
      </c>
      <c r="O1303" s="348">
        <v>0</v>
      </c>
      <c r="P1303" s="348">
        <v>0</v>
      </c>
      <c r="Q1303" s="348">
        <v>0</v>
      </c>
      <c r="R1303" s="348">
        <v>0</v>
      </c>
      <c r="S1303" s="348">
        <v>0</v>
      </c>
      <c r="T1303" s="348">
        <v>0</v>
      </c>
      <c r="U1303" s="348">
        <v>0</v>
      </c>
      <c r="V1303" s="348">
        <v>0</v>
      </c>
      <c r="W1303" s="348">
        <v>0</v>
      </c>
    </row>
    <row r="1304" spans="1:23" ht="13.5" thickBot="1" x14ac:dyDescent="0.25">
      <c r="A1304" s="290" t="s">
        <v>199</v>
      </c>
      <c r="B1304" s="309"/>
      <c r="C1304" s="283"/>
      <c r="D1304" s="349">
        <v>0</v>
      </c>
      <c r="E1304" s="349">
        <v>0</v>
      </c>
      <c r="F1304" s="349">
        <v>0</v>
      </c>
      <c r="G1304" s="349">
        <v>0</v>
      </c>
      <c r="H1304" s="349">
        <v>0</v>
      </c>
      <c r="I1304" s="349">
        <v>0</v>
      </c>
      <c r="J1304" s="349">
        <v>0</v>
      </c>
      <c r="K1304" s="349">
        <v>0</v>
      </c>
      <c r="L1304" s="349">
        <v>0</v>
      </c>
      <c r="M1304" s="349">
        <v>0</v>
      </c>
      <c r="N1304" s="349">
        <v>0</v>
      </c>
      <c r="O1304" s="349">
        <v>0</v>
      </c>
      <c r="P1304" s="349">
        <v>0</v>
      </c>
      <c r="Q1304" s="349">
        <v>0</v>
      </c>
      <c r="R1304" s="349">
        <v>0</v>
      </c>
      <c r="S1304" s="349">
        <v>0</v>
      </c>
      <c r="T1304" s="349">
        <v>0</v>
      </c>
      <c r="U1304" s="349">
        <v>0</v>
      </c>
      <c r="V1304" s="349">
        <v>0</v>
      </c>
      <c r="W1304" s="349">
        <v>0</v>
      </c>
    </row>
    <row r="1305" spans="1:23" ht="13.5" thickTop="1" x14ac:dyDescent="0.2">
      <c r="A1305" s="290"/>
      <c r="B1305" s="309"/>
      <c r="C1305" s="283"/>
      <c r="D1305" s="347"/>
      <c r="E1305" s="347"/>
      <c r="F1305" s="347"/>
      <c r="G1305" s="347"/>
      <c r="H1305" s="347"/>
      <c r="I1305" s="347"/>
      <c r="J1305" s="347"/>
      <c r="K1305" s="347"/>
      <c r="L1305" s="347"/>
      <c r="M1305" s="347"/>
      <c r="N1305" s="347"/>
      <c r="O1305" s="347"/>
      <c r="P1305" s="347"/>
      <c r="Q1305" s="347"/>
      <c r="R1305" s="347"/>
      <c r="S1305" s="347"/>
      <c r="T1305" s="347"/>
      <c r="U1305" s="347"/>
      <c r="V1305" s="347"/>
      <c r="W1305" s="347"/>
    </row>
    <row r="1306" spans="1:23" x14ac:dyDescent="0.2">
      <c r="A1306" s="290" t="s">
        <v>200</v>
      </c>
      <c r="B1306" s="309"/>
      <c r="C1306" s="283"/>
      <c r="D1306" s="347">
        <v>0</v>
      </c>
      <c r="E1306" s="347">
        <v>0</v>
      </c>
      <c r="F1306" s="347">
        <v>0</v>
      </c>
      <c r="G1306" s="347">
        <v>0</v>
      </c>
      <c r="H1306" s="347">
        <v>0</v>
      </c>
      <c r="I1306" s="347">
        <v>0</v>
      </c>
      <c r="J1306" s="347">
        <v>0</v>
      </c>
      <c r="K1306" s="347">
        <v>0</v>
      </c>
      <c r="L1306" s="347">
        <v>0</v>
      </c>
      <c r="M1306" s="347">
        <v>0</v>
      </c>
      <c r="N1306" s="347">
        <v>0</v>
      </c>
      <c r="O1306" s="347">
        <v>0</v>
      </c>
      <c r="P1306" s="347">
        <v>0</v>
      </c>
      <c r="Q1306" s="347">
        <v>0</v>
      </c>
      <c r="R1306" s="347">
        <v>0</v>
      </c>
      <c r="S1306" s="347">
        <v>0</v>
      </c>
      <c r="T1306" s="347">
        <v>0</v>
      </c>
      <c r="U1306" s="347">
        <v>0</v>
      </c>
      <c r="V1306" s="347">
        <v>0</v>
      </c>
      <c r="W1306" s="347">
        <v>0</v>
      </c>
    </row>
    <row r="1307" spans="1:23" x14ac:dyDescent="0.2">
      <c r="A1307" s="290"/>
      <c r="B1307" s="309"/>
      <c r="C1307" s="283"/>
      <c r="D1307" s="283"/>
      <c r="E1307" s="283"/>
      <c r="F1307" s="283"/>
      <c r="G1307" s="283"/>
      <c r="H1307" s="283"/>
      <c r="I1307" s="283"/>
      <c r="J1307" s="283"/>
      <c r="K1307" s="283"/>
      <c r="L1307" s="283"/>
      <c r="M1307" s="283"/>
      <c r="N1307" s="283"/>
      <c r="O1307" s="283"/>
      <c r="P1307" s="283"/>
      <c r="Q1307" s="283"/>
      <c r="R1307" s="283"/>
      <c r="S1307" s="283"/>
      <c r="T1307" s="283"/>
      <c r="U1307" s="283"/>
      <c r="V1307" s="283"/>
      <c r="W1307" s="283"/>
    </row>
    <row r="1308" spans="1:23" x14ac:dyDescent="0.2">
      <c r="A1308" s="290" t="s">
        <v>201</v>
      </c>
      <c r="B1308" s="309"/>
      <c r="C1308" s="283"/>
      <c r="D1308" s="347">
        <v>0</v>
      </c>
      <c r="E1308" s="347">
        <v>0</v>
      </c>
      <c r="F1308" s="347">
        <v>0</v>
      </c>
      <c r="G1308" s="347">
        <v>0</v>
      </c>
      <c r="H1308" s="347">
        <v>0</v>
      </c>
      <c r="I1308" s="347">
        <v>0</v>
      </c>
      <c r="J1308" s="347">
        <v>0</v>
      </c>
      <c r="K1308" s="347">
        <v>0</v>
      </c>
      <c r="L1308" s="347">
        <v>0</v>
      </c>
      <c r="M1308" s="347">
        <v>0</v>
      </c>
      <c r="N1308" s="347">
        <v>0</v>
      </c>
      <c r="O1308" s="347">
        <v>0</v>
      </c>
      <c r="P1308" s="347">
        <v>0</v>
      </c>
      <c r="Q1308" s="347">
        <v>0</v>
      </c>
      <c r="R1308" s="347">
        <v>0</v>
      </c>
      <c r="S1308" s="347">
        <v>0</v>
      </c>
      <c r="T1308" s="347">
        <v>0</v>
      </c>
      <c r="U1308" s="347">
        <v>0</v>
      </c>
      <c r="V1308" s="347">
        <v>0</v>
      </c>
      <c r="W1308" s="347">
        <v>0</v>
      </c>
    </row>
    <row r="1309" spans="1:23" x14ac:dyDescent="0.2">
      <c r="A1309" s="283">
        <v>1</v>
      </c>
      <c r="B1309" s="309"/>
      <c r="C1309" s="283"/>
      <c r="D1309" s="283"/>
      <c r="E1309" s="283"/>
      <c r="F1309" s="283"/>
      <c r="G1309" s="283"/>
      <c r="H1309" s="283"/>
      <c r="I1309" s="283"/>
      <c r="J1309" s="283"/>
      <c r="K1309" s="283"/>
      <c r="L1309" s="283"/>
      <c r="M1309" s="283"/>
      <c r="N1309" s="283"/>
      <c r="O1309" s="283"/>
      <c r="P1309" s="283"/>
      <c r="Q1309" s="283"/>
      <c r="R1309" s="283"/>
      <c r="S1309" s="283"/>
      <c r="T1309" s="283"/>
      <c r="U1309" s="283"/>
      <c r="V1309" s="283"/>
      <c r="W1309" s="283"/>
    </row>
    <row r="1310" spans="1:23" x14ac:dyDescent="0.2">
      <c r="A1310" s="283"/>
      <c r="B1310" s="309"/>
      <c r="C1310" s="283"/>
      <c r="D1310" s="283"/>
      <c r="E1310" s="283"/>
      <c r="F1310" s="283"/>
      <c r="G1310" s="283"/>
      <c r="H1310" s="283"/>
      <c r="I1310" s="283"/>
      <c r="J1310" s="283"/>
      <c r="K1310" s="283"/>
      <c r="L1310" s="283"/>
      <c r="M1310" s="283"/>
      <c r="N1310" s="283"/>
      <c r="O1310" s="283"/>
      <c r="P1310" s="283"/>
      <c r="Q1310" s="283"/>
      <c r="R1310" s="283"/>
      <c r="S1310" s="283"/>
      <c r="T1310" s="283"/>
      <c r="U1310" s="283"/>
      <c r="V1310" s="283"/>
      <c r="W1310" s="283"/>
    </row>
    <row r="1311" spans="1:23" x14ac:dyDescent="0.2">
      <c r="A1311" s="290" t="s">
        <v>203</v>
      </c>
      <c r="B1311" s="285"/>
      <c r="C1311" s="284"/>
      <c r="D1311" s="441">
        <v>2940788.3250308959</v>
      </c>
      <c r="E1311" s="441">
        <v>1644700.1732167916</v>
      </c>
      <c r="F1311" s="441">
        <v>1482787.6445829009</v>
      </c>
      <c r="G1311" s="441">
        <v>1187436.7423143073</v>
      </c>
      <c r="H1311" s="441">
        <v>962311.22039640008</v>
      </c>
      <c r="I1311" s="441">
        <v>520504.04647568194</v>
      </c>
      <c r="J1311" s="441">
        <v>588484.35558417276</v>
      </c>
      <c r="K1311" s="441">
        <v>948770.13745332044</v>
      </c>
      <c r="L1311" s="441">
        <v>970049.69422995171</v>
      </c>
      <c r="M1311" s="441">
        <v>1177025.1367655378</v>
      </c>
      <c r="N1311" s="441">
        <v>653400.71277491865</v>
      </c>
      <c r="O1311" s="441">
        <v>812947.38782646472</v>
      </c>
      <c r="P1311" s="441">
        <v>854318.63481416448</v>
      </c>
      <c r="Q1311" s="441">
        <v>1072340.7207455123</v>
      </c>
      <c r="R1311" s="441">
        <v>719756.64768501616</v>
      </c>
      <c r="S1311" s="441">
        <v>378597.82904218626</v>
      </c>
      <c r="T1311" s="441">
        <v>594317.94823093305</v>
      </c>
      <c r="U1311" s="441">
        <v>726883.89505586517</v>
      </c>
      <c r="V1311" s="441">
        <v>362770.72344801889</v>
      </c>
      <c r="W1311" s="441">
        <v>4517706.7171064364</v>
      </c>
    </row>
    <row r="1312" spans="1:23" x14ac:dyDescent="0.2">
      <c r="A1312" s="9"/>
      <c r="B1312" s="6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</row>
    <row r="1313" spans="1:23" x14ac:dyDescent="0.2">
      <c r="A1313" s="370"/>
      <c r="B1313" s="295"/>
      <c r="C1313" s="360"/>
      <c r="D1313" s="372"/>
      <c r="E1313" s="372"/>
      <c r="F1313" s="372"/>
      <c r="G1313" s="372"/>
      <c r="H1313" s="372"/>
      <c r="I1313" s="372"/>
      <c r="J1313" s="372"/>
      <c r="K1313" s="372"/>
      <c r="L1313" s="372"/>
      <c r="M1313" s="372"/>
      <c r="N1313" s="372"/>
      <c r="O1313" s="372"/>
      <c r="P1313" s="372"/>
      <c r="Q1313" s="372"/>
      <c r="R1313" s="372"/>
      <c r="S1313" s="372"/>
      <c r="T1313" s="372"/>
      <c r="U1313" s="372"/>
      <c r="V1313" s="372"/>
    </row>
    <row r="1314" spans="1:23" x14ac:dyDescent="0.2">
      <c r="B1314" s="295"/>
      <c r="C1314" s="360"/>
      <c r="D1314" s="372"/>
      <c r="E1314" s="372"/>
      <c r="F1314" s="372"/>
      <c r="G1314" s="372"/>
      <c r="H1314" s="372"/>
      <c r="I1314" s="372"/>
      <c r="J1314" s="372"/>
      <c r="K1314" s="372"/>
      <c r="L1314" s="372"/>
      <c r="M1314" s="372"/>
      <c r="N1314" s="372"/>
      <c r="O1314" s="372"/>
      <c r="P1314" s="372"/>
      <c r="Q1314" s="372"/>
      <c r="R1314" s="372"/>
      <c r="S1314" s="372"/>
      <c r="T1314" s="372"/>
      <c r="U1314" s="372"/>
      <c r="V1314" s="372"/>
    </row>
    <row r="1315" spans="1:23" x14ac:dyDescent="0.2">
      <c r="B1315" s="306"/>
      <c r="C1315" s="307"/>
      <c r="D1315" s="371"/>
      <c r="E1315" s="371"/>
      <c r="F1315" s="371"/>
      <c r="G1315" s="371"/>
      <c r="H1315" s="371"/>
      <c r="I1315" s="371"/>
      <c r="J1315" s="371"/>
      <c r="K1315" s="371"/>
      <c r="L1315" s="371"/>
      <c r="M1315" s="371"/>
      <c r="N1315" s="371"/>
      <c r="O1315" s="371"/>
      <c r="P1315" s="371"/>
      <c r="Q1315" s="371"/>
      <c r="R1315" s="371"/>
      <c r="S1315" s="371"/>
      <c r="T1315" s="371"/>
      <c r="U1315" s="371"/>
      <c r="V1315" s="371"/>
    </row>
    <row r="1316" spans="1:23" x14ac:dyDescent="0.2">
      <c r="B1316" s="295"/>
      <c r="C1316" s="360"/>
      <c r="D1316" s="372"/>
      <c r="E1316" s="372"/>
      <c r="F1316" s="372"/>
      <c r="G1316" s="372"/>
      <c r="H1316" s="372"/>
      <c r="I1316" s="372"/>
      <c r="J1316" s="372"/>
      <c r="K1316" s="372"/>
      <c r="L1316" s="372"/>
      <c r="M1316" s="372"/>
      <c r="N1316" s="372"/>
      <c r="O1316" s="372"/>
      <c r="P1316" s="372"/>
      <c r="Q1316" s="372"/>
      <c r="R1316" s="372"/>
      <c r="S1316" s="372"/>
      <c r="T1316" s="372"/>
      <c r="U1316" s="372"/>
      <c r="V1316" s="372"/>
    </row>
    <row r="1317" spans="1:23" x14ac:dyDescent="0.2">
      <c r="B1317" s="306"/>
      <c r="C1317" s="307"/>
      <c r="D1317" s="371"/>
      <c r="E1317" s="371"/>
      <c r="F1317" s="371"/>
      <c r="G1317" s="371"/>
      <c r="H1317" s="371"/>
      <c r="I1317" s="371"/>
      <c r="J1317" s="371"/>
      <c r="K1317" s="371"/>
      <c r="L1317" s="371"/>
      <c r="M1317" s="371"/>
      <c r="N1317" s="371"/>
      <c r="O1317" s="371"/>
      <c r="P1317" s="371"/>
      <c r="Q1317" s="371"/>
      <c r="R1317" s="371"/>
      <c r="S1317" s="371"/>
      <c r="T1317" s="371"/>
      <c r="U1317" s="371"/>
      <c r="V1317" s="371"/>
    </row>
    <row r="1318" spans="1:23" x14ac:dyDescent="0.2">
      <c r="C1318" s="360"/>
      <c r="E1318" s="369"/>
      <c r="F1318" s="319"/>
      <c r="G1318" s="328"/>
    </row>
    <row r="1319" spans="1:23" ht="15.75" x14ac:dyDescent="0.25">
      <c r="A1319" s="373"/>
      <c r="B1319" s="374"/>
    </row>
    <row r="1320" spans="1:23" ht="15.75" x14ac:dyDescent="0.25">
      <c r="A1320" s="308" t="s">
        <v>29</v>
      </c>
      <c r="B1320" s="311" t="s">
        <v>74</v>
      </c>
      <c r="C1320" s="312">
        <v>2000</v>
      </c>
      <c r="D1320" s="312">
        <v>2001</v>
      </c>
      <c r="E1320" s="312">
        <v>2002</v>
      </c>
      <c r="F1320" s="312">
        <v>2003</v>
      </c>
      <c r="G1320" s="312">
        <v>2004</v>
      </c>
      <c r="H1320" s="312">
        <v>2005</v>
      </c>
      <c r="I1320" s="312">
        <v>2006</v>
      </c>
      <c r="J1320" s="312">
        <v>2007</v>
      </c>
      <c r="K1320" s="312">
        <v>2008</v>
      </c>
      <c r="L1320" s="312">
        <v>2009</v>
      </c>
      <c r="M1320" s="312">
        <v>2010</v>
      </c>
      <c r="N1320" s="312">
        <v>2011</v>
      </c>
      <c r="O1320" s="312">
        <v>2012</v>
      </c>
      <c r="P1320" s="312">
        <v>2013</v>
      </c>
      <c r="Q1320" s="312">
        <v>2014</v>
      </c>
      <c r="R1320" s="312">
        <v>2015</v>
      </c>
      <c r="S1320" s="312">
        <v>2016</v>
      </c>
      <c r="T1320" s="312">
        <v>2017</v>
      </c>
      <c r="U1320" s="312">
        <v>2018</v>
      </c>
      <c r="V1320" s="312">
        <v>2019</v>
      </c>
      <c r="W1320" s="312" t="s">
        <v>154</v>
      </c>
    </row>
    <row r="1321" spans="1:23" x14ac:dyDescent="0.2">
      <c r="A1321" s="308" t="s">
        <v>26</v>
      </c>
      <c r="B1321" s="309">
        <v>14.2</v>
      </c>
      <c r="C1321" s="314"/>
      <c r="D1321" s="314"/>
      <c r="E1321" s="314"/>
      <c r="F1321" s="314"/>
      <c r="G1321" s="314"/>
      <c r="H1321" s="314"/>
      <c r="I1321" s="314"/>
      <c r="J1321" s="314"/>
      <c r="K1321" s="314"/>
      <c r="L1321" s="314"/>
      <c r="M1321" s="314"/>
      <c r="N1321" s="314"/>
      <c r="O1321" s="314"/>
      <c r="P1321" s="314"/>
      <c r="Q1321" s="314"/>
      <c r="R1321" s="314"/>
      <c r="S1321" s="314"/>
      <c r="T1321" s="314"/>
      <c r="U1321" s="314"/>
      <c r="V1321" s="314"/>
      <c r="W1321" s="314"/>
    </row>
    <row r="1322" spans="1:23" x14ac:dyDescent="0.2">
      <c r="A1322" s="9"/>
      <c r="B1322" s="315" t="s">
        <v>27</v>
      </c>
      <c r="C1322" s="449">
        <v>0</v>
      </c>
      <c r="D1322" s="410">
        <v>897915.46239843126</v>
      </c>
      <c r="E1322" s="410">
        <v>667256.80688958359</v>
      </c>
      <c r="F1322" s="410">
        <v>527686.37674820737</v>
      </c>
      <c r="G1322" s="410">
        <v>454799.22511993558</v>
      </c>
      <c r="H1322" s="410">
        <v>468032.89884676039</v>
      </c>
      <c r="I1322" s="410">
        <v>350190.13823613687</v>
      </c>
      <c r="J1322" s="410">
        <v>397565.0434438166</v>
      </c>
      <c r="K1322" s="410">
        <v>639647.24310132535</v>
      </c>
      <c r="L1322" s="410">
        <v>644932.13638601766</v>
      </c>
      <c r="M1322" s="410">
        <v>707509.52275744407</v>
      </c>
      <c r="N1322" s="410">
        <v>593219.79980754701</v>
      </c>
      <c r="O1322" s="410">
        <v>646065.28716329846</v>
      </c>
      <c r="P1322" s="410">
        <v>732200.08836678124</v>
      </c>
      <c r="Q1322" s="410">
        <v>884147.82764508843</v>
      </c>
      <c r="R1322" s="410">
        <v>713429.98056312418</v>
      </c>
      <c r="S1322" s="410">
        <v>577967.69355775928</v>
      </c>
      <c r="T1322" s="410">
        <v>722619.60837985203</v>
      </c>
      <c r="U1322" s="410">
        <v>867769.40456277074</v>
      </c>
      <c r="V1322" s="410">
        <v>684781.16456786252</v>
      </c>
      <c r="W1322" s="333"/>
    </row>
    <row r="1323" spans="1:23" x14ac:dyDescent="0.2">
      <c r="A1323" s="9"/>
      <c r="B1323" s="315" t="s">
        <v>20</v>
      </c>
      <c r="C1323" s="449">
        <v>0</v>
      </c>
      <c r="D1323" s="410">
        <v>-129030.20549978016</v>
      </c>
      <c r="E1323" s="410">
        <v>-142066.77367384994</v>
      </c>
      <c r="F1323" s="410">
        <v>-124219.5756884432</v>
      </c>
      <c r="G1323" s="410">
        <v>-120571.9862048119</v>
      </c>
      <c r="H1323" s="410">
        <v>-168068.92363971687</v>
      </c>
      <c r="I1323" s="410">
        <v>-156689.99467362493</v>
      </c>
      <c r="J1323" s="410">
        <v>-182812.37682211754</v>
      </c>
      <c r="K1323" s="410">
        <v>-315920.73893060902</v>
      </c>
      <c r="L1323" s="410">
        <v>-314363.90490665409</v>
      </c>
      <c r="M1323" s="410">
        <v>-321134.68265766103</v>
      </c>
      <c r="N1323" s="410">
        <v>-335582.17743976833</v>
      </c>
      <c r="O1323" s="410">
        <v>-340384.98867547262</v>
      </c>
      <c r="P1323" s="410">
        <v>-407062.02204495278</v>
      </c>
      <c r="Q1323" s="410">
        <v>-478630.73402241373</v>
      </c>
      <c r="R1323" s="410">
        <v>-396953.01343209576</v>
      </c>
      <c r="S1323" s="410">
        <v>-352362.27029537194</v>
      </c>
      <c r="T1323" s="410">
        <v>-432067.49399133649</v>
      </c>
      <c r="U1323" s="410">
        <v>-537606.70245801646</v>
      </c>
      <c r="V1323" s="410">
        <v>-454257.30007092661</v>
      </c>
      <c r="W1323" s="333"/>
    </row>
    <row r="1324" spans="1:23" x14ac:dyDescent="0.2">
      <c r="A1324" s="9"/>
      <c r="B1324" s="315" t="s">
        <v>31</v>
      </c>
      <c r="C1324" s="449">
        <v>0</v>
      </c>
      <c r="D1324" s="410">
        <v>-5465.7594594334287</v>
      </c>
      <c r="E1324" s="410">
        <v>-6685.0811689495204</v>
      </c>
      <c r="F1324" s="410">
        <v>-6138.6114181385383</v>
      </c>
      <c r="G1324" s="410">
        <v>-6030.2807457541949</v>
      </c>
      <c r="H1324" s="410">
        <v>-8519.6009819320916</v>
      </c>
      <c r="I1324" s="410">
        <v>-7973.3112084411641</v>
      </c>
      <c r="J1324" s="410">
        <v>-9360.1724982778724</v>
      </c>
      <c r="K1324" s="410">
        <v>-17836.779616258456</v>
      </c>
      <c r="L1324" s="410">
        <v>-17686.891174974473</v>
      </c>
      <c r="M1324" s="410">
        <v>-17802.935350109565</v>
      </c>
      <c r="N1324" s="410">
        <v>-18377.933569322835</v>
      </c>
      <c r="O1324" s="410">
        <v>-19334.54569836369</v>
      </c>
      <c r="P1324" s="410">
        <v>-22237.41248898059</v>
      </c>
      <c r="Q1324" s="410">
        <v>-26906.297913888167</v>
      </c>
      <c r="R1324" s="410">
        <v>-20791.950385093452</v>
      </c>
      <c r="S1324" s="410">
        <v>-17983.494150517039</v>
      </c>
      <c r="T1324" s="410">
        <v>-21968.423476461623</v>
      </c>
      <c r="U1324" s="410">
        <v>-26100.843194641988</v>
      </c>
      <c r="V1324" s="410">
        <v>-22209.305060217001</v>
      </c>
      <c r="W1324" s="333"/>
    </row>
    <row r="1325" spans="1:23" x14ac:dyDescent="0.2">
      <c r="A1325" s="9"/>
      <c r="B1325" s="315" t="s">
        <v>32</v>
      </c>
      <c r="C1325" s="449">
        <v>0</v>
      </c>
      <c r="D1325" s="410">
        <v>0</v>
      </c>
      <c r="E1325" s="410">
        <v>0</v>
      </c>
      <c r="F1325" s="410">
        <v>0</v>
      </c>
      <c r="G1325" s="410">
        <v>0</v>
      </c>
      <c r="H1325" s="410">
        <v>0</v>
      </c>
      <c r="I1325" s="410">
        <v>-2236.9214145423875</v>
      </c>
      <c r="J1325" s="410">
        <v>-2855.1227384178228</v>
      </c>
      <c r="K1325" s="410">
        <v>-6139.9111546604563</v>
      </c>
      <c r="L1325" s="410">
        <v>-6283.2426832346291</v>
      </c>
      <c r="M1325" s="410">
        <v>-6886.6575397911311</v>
      </c>
      <c r="N1325" s="410">
        <v>-7697.7354584796831</v>
      </c>
      <c r="O1325" s="410">
        <v>-8776.073439223881</v>
      </c>
      <c r="P1325" s="410">
        <v>-11087.647275337038</v>
      </c>
      <c r="Q1325" s="410">
        <v>-14656.459413949508</v>
      </c>
      <c r="R1325" s="410">
        <v>-12304.329909197777</v>
      </c>
      <c r="S1325" s="410">
        <v>-11446.090078389989</v>
      </c>
      <c r="T1325" s="410">
        <v>-13457.400982141069</v>
      </c>
      <c r="U1325" s="410">
        <v>-13406.170212293799</v>
      </c>
      <c r="V1325" s="410">
        <v>-11610.358628115375</v>
      </c>
      <c r="W1325" s="333"/>
    </row>
    <row r="1326" spans="1:23" ht="13.5" thickBot="1" x14ac:dyDescent="0.25">
      <c r="A1326" s="9"/>
      <c r="B1326" s="316" t="s">
        <v>33</v>
      </c>
      <c r="C1326" s="450">
        <v>0</v>
      </c>
      <c r="D1326" s="412">
        <v>0</v>
      </c>
      <c r="E1326" s="412">
        <v>0</v>
      </c>
      <c r="F1326" s="412">
        <v>0</v>
      </c>
      <c r="G1326" s="412">
        <v>0</v>
      </c>
      <c r="H1326" s="412">
        <v>0</v>
      </c>
      <c r="I1326" s="412">
        <v>-2236.9214145423875</v>
      </c>
      <c r="J1326" s="412">
        <v>-2855.1227384178228</v>
      </c>
      <c r="K1326" s="412">
        <v>-6139.9111546604563</v>
      </c>
      <c r="L1326" s="412">
        <v>-6283.2426832346291</v>
      </c>
      <c r="M1326" s="412">
        <v>-6886.6575397911311</v>
      </c>
      <c r="N1326" s="412">
        <v>-7697.7354584796831</v>
      </c>
      <c r="O1326" s="412">
        <v>-8776.073439223881</v>
      </c>
      <c r="P1326" s="412">
        <v>-11087.647275337038</v>
      </c>
      <c r="Q1326" s="412">
        <v>-14656.459413949508</v>
      </c>
      <c r="R1326" s="412">
        <v>-12304.329909197777</v>
      </c>
      <c r="S1326" s="412">
        <v>-11446.090078389989</v>
      </c>
      <c r="T1326" s="412">
        <v>-13457.400982141069</v>
      </c>
      <c r="U1326" s="412">
        <v>-13406.170212293799</v>
      </c>
      <c r="V1326" s="412">
        <v>-11610.358628115375</v>
      </c>
      <c r="W1326" s="333"/>
    </row>
    <row r="1327" spans="1:23" ht="13.5" thickTop="1" x14ac:dyDescent="0.2">
      <c r="A1327" s="9"/>
      <c r="B1327" s="317" t="s">
        <v>38</v>
      </c>
      <c r="C1327" s="451">
        <v>0</v>
      </c>
      <c r="D1327" s="414">
        <v>763419.49743921775</v>
      </c>
      <c r="E1327" s="414">
        <v>518504.95204678416</v>
      </c>
      <c r="F1327" s="414">
        <v>397328.18964162562</v>
      </c>
      <c r="G1327" s="414">
        <v>328196.95816936949</v>
      </c>
      <c r="H1327" s="414">
        <v>291444.37422511145</v>
      </c>
      <c r="I1327" s="414">
        <v>181052.98952498601</v>
      </c>
      <c r="J1327" s="414">
        <v>199682.24864658553</v>
      </c>
      <c r="K1327" s="414">
        <v>293609.90224513697</v>
      </c>
      <c r="L1327" s="414">
        <v>300314.85493791988</v>
      </c>
      <c r="M1327" s="414">
        <v>354798.58967009117</v>
      </c>
      <c r="N1327" s="414">
        <v>223864.2178814965</v>
      </c>
      <c r="O1327" s="414">
        <v>268793.60591101443</v>
      </c>
      <c r="P1327" s="414">
        <v>280725.35928217386</v>
      </c>
      <c r="Q1327" s="414">
        <v>349297.87688088749</v>
      </c>
      <c r="R1327" s="414">
        <v>271076.35692753945</v>
      </c>
      <c r="S1327" s="414">
        <v>184729.7489550903</v>
      </c>
      <c r="T1327" s="414">
        <v>241668.8889477718</v>
      </c>
      <c r="U1327" s="414">
        <v>277249.51848552469</v>
      </c>
      <c r="V1327" s="414">
        <v>185093.84218048814</v>
      </c>
      <c r="W1327" s="333"/>
    </row>
    <row r="1328" spans="1:23" x14ac:dyDescent="0.2">
      <c r="A1328" s="9"/>
      <c r="B1328" s="315" t="s">
        <v>34</v>
      </c>
      <c r="C1328" s="449">
        <v>0</v>
      </c>
      <c r="D1328" s="410">
        <v>-43632.116662773282</v>
      </c>
      <c r="E1328" s="410">
        <v>-44504.758996028751</v>
      </c>
      <c r="F1328" s="410">
        <v>-45394.854175949324</v>
      </c>
      <c r="G1328" s="410">
        <v>-46302.751259468314</v>
      </c>
      <c r="H1328" s="410">
        <v>-47228.806284657679</v>
      </c>
      <c r="I1328" s="410">
        <v>-48173.38241035083</v>
      </c>
      <c r="J1328" s="410">
        <v>-49136.850058557851</v>
      </c>
      <c r="K1328" s="410">
        <v>-50119.587059729012</v>
      </c>
      <c r="L1328" s="410">
        <v>-51121.978800923593</v>
      </c>
      <c r="M1328" s="410">
        <v>-52144.418376942063</v>
      </c>
      <c r="N1328" s="410">
        <v>-53187.306744480906</v>
      </c>
      <c r="O1328" s="410">
        <v>-54251.052879370523</v>
      </c>
      <c r="P1328" s="410">
        <v>-55336.073936957931</v>
      </c>
      <c r="Q1328" s="410">
        <v>-56442.795415697088</v>
      </c>
      <c r="R1328" s="410">
        <v>-57571.651324011029</v>
      </c>
      <c r="S1328" s="410">
        <v>-58723.084350491248</v>
      </c>
      <c r="T1328" s="410">
        <v>-59897.546037501073</v>
      </c>
      <c r="U1328" s="410">
        <v>-61095.496958251097</v>
      </c>
      <c r="V1328" s="410">
        <v>-62317.40689741612</v>
      </c>
      <c r="W1328" s="333"/>
    </row>
    <row r="1329" spans="1:23" x14ac:dyDescent="0.2">
      <c r="A1329" s="9"/>
      <c r="B1329" s="315" t="s">
        <v>35</v>
      </c>
      <c r="C1329" s="449">
        <v>0</v>
      </c>
      <c r="D1329" s="410">
        <v>-11310.490214379086</v>
      </c>
      <c r="E1329" s="410">
        <v>-11310.490214379086</v>
      </c>
      <c r="F1329" s="410">
        <v>-11310.490214379086</v>
      </c>
      <c r="G1329" s="410">
        <v>-11310.490214379086</v>
      </c>
      <c r="H1329" s="410">
        <v>-11310.490214379086</v>
      </c>
      <c r="I1329" s="410">
        <v>-11310.490214379086</v>
      </c>
      <c r="J1329" s="410">
        <v>-11310.490214379086</v>
      </c>
      <c r="K1329" s="410">
        <v>-11310.490214379086</v>
      </c>
      <c r="L1329" s="410">
        <v>-11310.490214379086</v>
      </c>
      <c r="M1329" s="410">
        <v>-11310.490214379086</v>
      </c>
      <c r="N1329" s="410">
        <v>-11310.490214379086</v>
      </c>
      <c r="O1329" s="410">
        <v>-11310.490214379086</v>
      </c>
      <c r="P1329" s="410">
        <v>-11310.490214379086</v>
      </c>
      <c r="Q1329" s="410">
        <v>-11310.490214379086</v>
      </c>
      <c r="R1329" s="410">
        <v>-11310.490214379086</v>
      </c>
      <c r="S1329" s="410">
        <v>-11310.490214379086</v>
      </c>
      <c r="T1329" s="410">
        <v>-11310.490214379086</v>
      </c>
      <c r="U1329" s="410">
        <v>-11310.490214379086</v>
      </c>
      <c r="V1329" s="410">
        <v>-11310.490214379086</v>
      </c>
      <c r="W1329" s="333"/>
    </row>
    <row r="1330" spans="1:23" ht="13.5" thickBot="1" x14ac:dyDescent="0.25">
      <c r="A1330" s="9"/>
      <c r="B1330" s="316" t="s">
        <v>36</v>
      </c>
      <c r="C1330" s="450">
        <v>0</v>
      </c>
      <c r="D1330" s="412">
        <v>-1728.8814379671401</v>
      </c>
      <c r="E1330" s="412">
        <v>-1765.3608363082501</v>
      </c>
      <c r="F1330" s="412">
        <v>-1804.02223862341</v>
      </c>
      <c r="G1330" s="412">
        <v>-1844.79314121628</v>
      </c>
      <c r="H1330" s="412">
        <v>-1888.6992179772301</v>
      </c>
      <c r="I1330" s="412">
        <v>-1936.03021025407</v>
      </c>
      <c r="J1330" s="412">
        <v>-1984.04915300005</v>
      </c>
      <c r="K1330" s="412">
        <v>-2034.2695372472799</v>
      </c>
      <c r="L1330" s="412">
        <v>-2084.51599481729</v>
      </c>
      <c r="M1330" s="412">
        <v>-2137.67115268512</v>
      </c>
      <c r="N1330" s="412">
        <v>-2189.4027945801099</v>
      </c>
      <c r="O1330" s="412">
        <v>-2244.5757450035298</v>
      </c>
      <c r="P1330" s="412">
        <v>-2301.5879689266098</v>
      </c>
      <c r="Q1330" s="412">
        <v>-2359.1276681497802</v>
      </c>
      <c r="R1330" s="412">
        <v>-2418.3417726203402</v>
      </c>
      <c r="S1330" s="412">
        <v>-2478.8003169358499</v>
      </c>
      <c r="T1330" s="412">
        <v>-2540.27456479585</v>
      </c>
      <c r="U1330" s="412">
        <v>-2604.0354563722299</v>
      </c>
      <c r="V1330" s="412">
        <v>-2669.3967463271802</v>
      </c>
      <c r="W1330" s="333"/>
    </row>
    <row r="1331" spans="1:23" ht="13.5" thickTop="1" x14ac:dyDescent="0.2">
      <c r="A1331" s="9"/>
      <c r="B1331" s="317" t="s">
        <v>221</v>
      </c>
      <c r="C1331" s="452">
        <v>0</v>
      </c>
      <c r="D1331" s="416">
        <v>706748.00912409823</v>
      </c>
      <c r="E1331" s="416">
        <v>460924.34200006805</v>
      </c>
      <c r="F1331" s="416">
        <v>338818.82301267376</v>
      </c>
      <c r="G1331" s="416">
        <v>268738.9235543058</v>
      </c>
      <c r="H1331" s="416">
        <v>231016.37850809743</v>
      </c>
      <c r="I1331" s="416">
        <v>119633.08669000202</v>
      </c>
      <c r="J1331" s="416">
        <v>137250.85922064853</v>
      </c>
      <c r="K1331" s="416">
        <v>230145.55543378158</v>
      </c>
      <c r="L1331" s="416">
        <v>235797.86992779991</v>
      </c>
      <c r="M1331" s="416">
        <v>289206.00992608489</v>
      </c>
      <c r="N1331" s="416">
        <v>157177.01812805637</v>
      </c>
      <c r="O1331" s="416">
        <v>200987.48707226128</v>
      </c>
      <c r="P1331" s="416">
        <v>211777.20716191022</v>
      </c>
      <c r="Q1331" s="416">
        <v>279185.46358266153</v>
      </c>
      <c r="R1331" s="416">
        <v>199775.87361652899</v>
      </c>
      <c r="S1331" s="416">
        <v>112217.37407328411</v>
      </c>
      <c r="T1331" s="416">
        <v>167920.5781310958</v>
      </c>
      <c r="U1331" s="416">
        <v>202239.49585652226</v>
      </c>
      <c r="V1331" s="416">
        <v>108796.54832236575</v>
      </c>
      <c r="W1331" s="333"/>
    </row>
    <row r="1332" spans="1:23" x14ac:dyDescent="0.2">
      <c r="A1332" s="9"/>
      <c r="B1332" s="315" t="s">
        <v>37</v>
      </c>
      <c r="C1332" s="449">
        <v>0</v>
      </c>
      <c r="D1332" s="410">
        <v>-75748.244359058153</v>
      </c>
      <c r="E1332" s="410">
        <v>-69523.090994243423</v>
      </c>
      <c r="F1332" s="410">
        <v>-60662.791707652483</v>
      </c>
      <c r="G1332" s="410">
        <v>-51681.305849159784</v>
      </c>
      <c r="H1332" s="410">
        <v>-48224.466919924649</v>
      </c>
      <c r="I1332" s="410">
        <v>-48526.19725998411</v>
      </c>
      <c r="J1332" s="410">
        <v>-52068.475069218453</v>
      </c>
      <c r="K1332" s="410">
        <v>-55375.699761984113</v>
      </c>
      <c r="L1332" s="410">
        <v>-58644.860367068453</v>
      </c>
      <c r="M1332" s="410">
        <v>-61707.542435591611</v>
      </c>
      <c r="N1332" s="410">
        <v>-60746.524196070961</v>
      </c>
      <c r="O1332" s="410">
        <v>-59589.58457937721</v>
      </c>
      <c r="P1332" s="410">
        <v>-62619.20973063889</v>
      </c>
      <c r="Q1332" s="410">
        <v>-48201.441215744853</v>
      </c>
      <c r="R1332" s="410">
        <v>-33934.645537009077</v>
      </c>
      <c r="S1332" s="410">
        <v>-37180.691650219342</v>
      </c>
      <c r="T1332" s="410">
        <v>-40524.119146825935</v>
      </c>
      <c r="U1332" s="410">
        <v>-43967.849468330707</v>
      </c>
      <c r="V1332" s="410">
        <v>-47514.891699480635</v>
      </c>
      <c r="W1332" s="333"/>
    </row>
    <row r="1333" spans="1:23" ht="13.5" thickBot="1" x14ac:dyDescent="0.25">
      <c r="A1333" s="9"/>
      <c r="B1333" s="316" t="s">
        <v>222</v>
      </c>
      <c r="C1333" s="450">
        <v>0</v>
      </c>
      <c r="D1333" s="412">
        <v>-252399.90590601601</v>
      </c>
      <c r="E1333" s="412">
        <v>-156560.50040232987</v>
      </c>
      <c r="F1333" s="412">
        <v>-111262.41252200851</v>
      </c>
      <c r="G1333" s="412">
        <v>-86823.047082058416</v>
      </c>
      <c r="H1333" s="412">
        <v>-73116.764635269108</v>
      </c>
      <c r="I1333" s="412">
        <v>-28442.755772007164</v>
      </c>
      <c r="J1333" s="412">
        <v>-34072.953660572028</v>
      </c>
      <c r="K1333" s="412">
        <v>-69907.942268718994</v>
      </c>
      <c r="L1333" s="412">
        <v>-70861.203824292592</v>
      </c>
      <c r="M1333" s="412">
        <v>-90999.386996197325</v>
      </c>
      <c r="N1333" s="412">
        <v>-38572.197572794161</v>
      </c>
      <c r="O1333" s="412">
        <v>-56559.160997153638</v>
      </c>
      <c r="P1333" s="412">
        <v>-59663.198972508537</v>
      </c>
      <c r="Q1333" s="412">
        <v>-92393.608946766675</v>
      </c>
      <c r="R1333" s="412">
        <v>-66336.491231807959</v>
      </c>
      <c r="S1333" s="412">
        <v>-30014.67296922591</v>
      </c>
      <c r="T1333" s="412">
        <v>-50958.583593707946</v>
      </c>
      <c r="U1333" s="412">
        <v>-63308.658555276626</v>
      </c>
      <c r="V1333" s="412">
        <v>-24512.662649154048</v>
      </c>
      <c r="W1333" s="333"/>
    </row>
    <row r="1334" spans="1:23" ht="13.5" thickTop="1" x14ac:dyDescent="0.2">
      <c r="A1334" s="9"/>
      <c r="B1334" s="317" t="s">
        <v>183</v>
      </c>
      <c r="C1334" s="452">
        <v>0</v>
      </c>
      <c r="D1334" s="416">
        <v>378599.85885902401</v>
      </c>
      <c r="E1334" s="416">
        <v>234840.75060349479</v>
      </c>
      <c r="F1334" s="416">
        <v>166893.61878301273</v>
      </c>
      <c r="G1334" s="416">
        <v>130234.57062308761</v>
      </c>
      <c r="H1334" s="416">
        <v>109675.14695290367</v>
      </c>
      <c r="I1334" s="416">
        <v>42664.133658010745</v>
      </c>
      <c r="J1334" s="416">
        <v>51109.430490858045</v>
      </c>
      <c r="K1334" s="416">
        <v>104861.91340307848</v>
      </c>
      <c r="L1334" s="416">
        <v>106291.80573643888</v>
      </c>
      <c r="M1334" s="416">
        <v>136499.08049429598</v>
      </c>
      <c r="N1334" s="416">
        <v>57858.296359191241</v>
      </c>
      <c r="O1334" s="416">
        <v>84838.741495730443</v>
      </c>
      <c r="P1334" s="416">
        <v>89494.798458762787</v>
      </c>
      <c r="Q1334" s="416">
        <v>138590.41342015</v>
      </c>
      <c r="R1334" s="416">
        <v>99504.736847711945</v>
      </c>
      <c r="S1334" s="416">
        <v>45022.009453838866</v>
      </c>
      <c r="T1334" s="416">
        <v>76437.875390561909</v>
      </c>
      <c r="U1334" s="416">
        <v>94962.987832914921</v>
      </c>
      <c r="V1334" s="416">
        <v>36768.993973731063</v>
      </c>
      <c r="W1334" s="333"/>
    </row>
    <row r="1335" spans="1:23" x14ac:dyDescent="0.2">
      <c r="A1335" s="9"/>
      <c r="B1335" s="315" t="s">
        <v>37</v>
      </c>
      <c r="C1335" s="449">
        <v>0</v>
      </c>
      <c r="D1335" s="410">
        <v>75748.244359058153</v>
      </c>
      <c r="E1335" s="410">
        <v>69523.090994243423</v>
      </c>
      <c r="F1335" s="410">
        <v>60662.791707652483</v>
      </c>
      <c r="G1335" s="410">
        <v>51681.305849159784</v>
      </c>
      <c r="H1335" s="410">
        <v>48224.466919924649</v>
      </c>
      <c r="I1335" s="410">
        <v>48526.19725998411</v>
      </c>
      <c r="J1335" s="410">
        <v>52068.475069218453</v>
      </c>
      <c r="K1335" s="410">
        <v>55375.699761984113</v>
      </c>
      <c r="L1335" s="410">
        <v>58644.860367068453</v>
      </c>
      <c r="M1335" s="410">
        <v>61707.542435591611</v>
      </c>
      <c r="N1335" s="410">
        <v>60746.524196070961</v>
      </c>
      <c r="O1335" s="410">
        <v>59589.58457937721</v>
      </c>
      <c r="P1335" s="410">
        <v>62619.20973063889</v>
      </c>
      <c r="Q1335" s="410">
        <v>48201.441215744853</v>
      </c>
      <c r="R1335" s="410">
        <v>33934.645537009077</v>
      </c>
      <c r="S1335" s="410">
        <v>37180.691650219342</v>
      </c>
      <c r="T1335" s="410">
        <v>40524.119146825935</v>
      </c>
      <c r="U1335" s="410">
        <v>43967.849468330707</v>
      </c>
      <c r="V1335" s="410">
        <v>47514.891699480635</v>
      </c>
      <c r="W1335" s="333"/>
    </row>
    <row r="1336" spans="1:23" x14ac:dyDescent="0.2">
      <c r="A1336" s="9"/>
      <c r="B1336" s="315" t="s">
        <v>39</v>
      </c>
      <c r="C1336" s="449">
        <v>0</v>
      </c>
      <c r="D1336" s="410">
        <v>-438.02</v>
      </c>
      <c r="E1336" s="410">
        <v>-455.7</v>
      </c>
      <c r="F1336" s="410">
        <v>-474.1</v>
      </c>
      <c r="G1336" s="410">
        <v>-495.18</v>
      </c>
      <c r="H1336" s="410">
        <v>-50000</v>
      </c>
      <c r="I1336" s="410">
        <v>-51500</v>
      </c>
      <c r="J1336" s="410">
        <v>-53045</v>
      </c>
      <c r="K1336" s="410">
        <v>-54636.35</v>
      </c>
      <c r="L1336" s="410">
        <v>-56275.440499999997</v>
      </c>
      <c r="M1336" s="410">
        <v>-57963.703714999996</v>
      </c>
      <c r="N1336" s="410">
        <v>-59702.614826450001</v>
      </c>
      <c r="O1336" s="410">
        <v>-61493.693271243501</v>
      </c>
      <c r="P1336" s="410">
        <v>-63338.504069380804</v>
      </c>
      <c r="Q1336" s="410">
        <v>-65238.659191462233</v>
      </c>
      <c r="R1336" s="410">
        <v>-67195.818967206098</v>
      </c>
      <c r="S1336" s="410">
        <v>-69211.693536222287</v>
      </c>
      <c r="T1336" s="410">
        <v>-71288.04434230896</v>
      </c>
      <c r="U1336" s="410">
        <v>-73426.685672578227</v>
      </c>
      <c r="V1336" s="410">
        <v>-75629.486242755578</v>
      </c>
      <c r="W1336" s="333"/>
    </row>
    <row r="1337" spans="1:23" ht="13.5" thickBot="1" x14ac:dyDescent="0.25">
      <c r="A1337" s="9"/>
      <c r="B1337" s="316" t="s">
        <v>40</v>
      </c>
      <c r="C1337" s="450">
        <v>0</v>
      </c>
      <c r="D1337" s="412">
        <v>0</v>
      </c>
      <c r="E1337" s="412">
        <v>0</v>
      </c>
      <c r="F1337" s="412">
        <v>0</v>
      </c>
      <c r="G1337" s="412">
        <v>0</v>
      </c>
      <c r="H1337" s="412">
        <v>0</v>
      </c>
      <c r="I1337" s="412">
        <v>0</v>
      </c>
      <c r="J1337" s="412">
        <v>0</v>
      </c>
      <c r="K1337" s="412">
        <v>0</v>
      </c>
      <c r="L1337" s="412">
        <v>0</v>
      </c>
      <c r="M1337" s="412">
        <v>0</v>
      </c>
      <c r="N1337" s="412">
        <v>0</v>
      </c>
      <c r="O1337" s="412">
        <v>0</v>
      </c>
      <c r="P1337" s="412">
        <v>0</v>
      </c>
      <c r="Q1337" s="412">
        <v>0</v>
      </c>
      <c r="R1337" s="412">
        <v>0</v>
      </c>
      <c r="S1337" s="412">
        <v>0</v>
      </c>
      <c r="T1337" s="412">
        <v>0</v>
      </c>
      <c r="U1337" s="412">
        <v>0</v>
      </c>
      <c r="V1337" s="412">
        <v>0</v>
      </c>
      <c r="W1337" s="333"/>
    </row>
    <row r="1338" spans="1:23" ht="13.5" thickTop="1" x14ac:dyDescent="0.2">
      <c r="A1338" s="9"/>
      <c r="B1338" s="315"/>
      <c r="C1338" s="453"/>
      <c r="D1338" s="333"/>
      <c r="E1338" s="333"/>
      <c r="F1338" s="333"/>
      <c r="G1338" s="333"/>
      <c r="H1338" s="333"/>
      <c r="I1338" s="333"/>
      <c r="J1338" s="333"/>
      <c r="K1338" s="333"/>
      <c r="L1338" s="333"/>
      <c r="M1338" s="333"/>
      <c r="N1338" s="333"/>
      <c r="O1338" s="333"/>
      <c r="P1338" s="333"/>
      <c r="Q1338" s="333"/>
      <c r="R1338" s="333"/>
      <c r="S1338" s="333"/>
      <c r="T1338" s="333"/>
      <c r="U1338" s="333"/>
      <c r="V1338" s="333"/>
      <c r="W1338" s="333"/>
    </row>
    <row r="1339" spans="1:23" x14ac:dyDescent="0.2">
      <c r="A1339" s="9"/>
      <c r="B1339" s="317" t="s">
        <v>234</v>
      </c>
      <c r="C1339" s="452">
        <v>0</v>
      </c>
      <c r="D1339" s="416">
        <v>453910.08321808215</v>
      </c>
      <c r="E1339" s="416">
        <v>303908.1415977382</v>
      </c>
      <c r="F1339" s="416">
        <v>227082.3104906652</v>
      </c>
      <c r="G1339" s="416">
        <v>181420.69647224739</v>
      </c>
      <c r="H1339" s="416">
        <v>107899.61387282831</v>
      </c>
      <c r="I1339" s="416">
        <v>39690.330917994856</v>
      </c>
      <c r="J1339" s="416">
        <v>50132.905560076499</v>
      </c>
      <c r="K1339" s="416">
        <v>105601.26316506258</v>
      </c>
      <c r="L1339" s="416">
        <v>108661.22560350734</v>
      </c>
      <c r="M1339" s="416">
        <v>140242.9192148876</v>
      </c>
      <c r="N1339" s="416">
        <v>58902.205728812209</v>
      </c>
      <c r="O1339" s="416">
        <v>82934.632803864137</v>
      </c>
      <c r="P1339" s="416">
        <v>88775.504120020865</v>
      </c>
      <c r="Q1339" s="416">
        <v>121553.19544443261</v>
      </c>
      <c r="R1339" s="416">
        <v>66243.563417514917</v>
      </c>
      <c r="S1339" s="416">
        <v>12991.007567835928</v>
      </c>
      <c r="T1339" s="416">
        <v>45673.950195078884</v>
      </c>
      <c r="U1339" s="416">
        <v>65504.151628667401</v>
      </c>
      <c r="V1339" s="416">
        <v>8654.3994304561202</v>
      </c>
      <c r="W1339" s="414">
        <v>424881.77932823088</v>
      </c>
    </row>
    <row r="1340" spans="1:23" x14ac:dyDescent="0.2">
      <c r="A1340" s="9"/>
      <c r="B1340" s="292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</row>
    <row r="1341" spans="1:23" x14ac:dyDescent="0.2">
      <c r="A1341" s="308" t="s">
        <v>219</v>
      </c>
      <c r="B1341" s="306" t="s">
        <v>170</v>
      </c>
      <c r="C1341" s="439">
        <v>1075374.6857193296</v>
      </c>
      <c r="D1341" s="9"/>
      <c r="E1341" s="137" t="s">
        <v>220</v>
      </c>
      <c r="F1341" s="319" t="s">
        <v>170</v>
      </c>
      <c r="G1341" s="443">
        <v>1075374.6857193296</v>
      </c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</row>
    <row r="1342" spans="1:23" x14ac:dyDescent="0.2">
      <c r="A1342" s="9"/>
      <c r="B1342" s="306" t="s">
        <v>180</v>
      </c>
      <c r="C1342" s="439">
        <v>360013.36963941366</v>
      </c>
      <c r="D1342" s="9"/>
      <c r="E1342" s="321"/>
      <c r="F1342" s="319" t="s">
        <v>180</v>
      </c>
      <c r="G1342" s="443">
        <v>360013.36963941366</v>
      </c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</row>
    <row r="1343" spans="1:23" ht="13.5" thickBot="1" x14ac:dyDescent="0.25">
      <c r="A1343" s="9"/>
      <c r="B1343" s="322" t="s">
        <v>137</v>
      </c>
      <c r="C1343" s="440">
        <v>66238.539270505236</v>
      </c>
      <c r="D1343" s="323"/>
      <c r="E1343" s="321"/>
      <c r="F1343" s="319" t="s">
        <v>137</v>
      </c>
      <c r="G1343" s="443">
        <v>66238.539270505236</v>
      </c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</row>
    <row r="1344" spans="1:23" ht="14.25" thickTop="1" thickBot="1" x14ac:dyDescent="0.25">
      <c r="A1344" s="9"/>
      <c r="B1344" s="306" t="s">
        <v>28</v>
      </c>
      <c r="C1344" s="438">
        <v>1501626.5946292486</v>
      </c>
      <c r="D1344" s="305"/>
      <c r="E1344" s="321"/>
      <c r="F1344" s="324" t="s">
        <v>204</v>
      </c>
      <c r="G1344" s="325">
        <v>0</v>
      </c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</row>
    <row r="1345" spans="1:23" ht="13.5" thickTop="1" x14ac:dyDescent="0.2">
      <c r="A1345" s="9"/>
      <c r="B1345" s="292"/>
      <c r="C1345" s="326"/>
      <c r="D1345" s="9"/>
      <c r="E1345" s="327"/>
      <c r="F1345" s="319" t="s">
        <v>28</v>
      </c>
      <c r="G1345" s="368">
        <v>1501626.5946292486</v>
      </c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</row>
    <row r="1346" spans="1:23" x14ac:dyDescent="0.2">
      <c r="A1346" s="9"/>
      <c r="B1346" s="292"/>
      <c r="C1346" s="326"/>
      <c r="D1346" s="9"/>
      <c r="E1346" s="327"/>
      <c r="F1346" s="319"/>
      <c r="G1346" s="328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</row>
    <row r="1347" spans="1:23" x14ac:dyDescent="0.2">
      <c r="A1347" s="9"/>
      <c r="B1347" s="292"/>
      <c r="C1347" s="326"/>
      <c r="D1347" s="9"/>
      <c r="E1347" s="327"/>
      <c r="F1347" s="319"/>
      <c r="G1347" s="328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</row>
    <row r="1348" spans="1:23" x14ac:dyDescent="0.2">
      <c r="A1348" s="9"/>
      <c r="B1348" s="329" t="s">
        <v>223</v>
      </c>
      <c r="C1348" s="326"/>
      <c r="D1348" s="9"/>
      <c r="E1348" s="327"/>
      <c r="F1348" s="319"/>
      <c r="G1348" s="328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</row>
    <row r="1349" spans="1:23" x14ac:dyDescent="0.2">
      <c r="A1349" s="330" t="s">
        <v>225</v>
      </c>
      <c r="B1349" s="329" t="s">
        <v>224</v>
      </c>
      <c r="C1349" s="331"/>
      <c r="D1349" s="332">
        <v>378599.85885902401</v>
      </c>
      <c r="E1349" s="332">
        <v>234840.75060349479</v>
      </c>
      <c r="F1349" s="332">
        <v>166893.61878301273</v>
      </c>
      <c r="G1349" s="332">
        <v>130234.57062308761</v>
      </c>
      <c r="H1349" s="332">
        <v>109675.14695290367</v>
      </c>
      <c r="I1349" s="332">
        <v>42664.133658010745</v>
      </c>
      <c r="J1349" s="332">
        <v>51109.430490858045</v>
      </c>
      <c r="K1349" s="332">
        <v>104861.91340307848</v>
      </c>
      <c r="L1349" s="332">
        <v>106291.80573643888</v>
      </c>
      <c r="M1349" s="332">
        <v>136499.08049429598</v>
      </c>
      <c r="N1349" s="332">
        <v>57858.296359191241</v>
      </c>
      <c r="O1349" s="332">
        <v>84838.741495730443</v>
      </c>
      <c r="P1349" s="332">
        <v>89494.798458762787</v>
      </c>
      <c r="Q1349" s="332">
        <v>138590.41342015</v>
      </c>
      <c r="R1349" s="332">
        <v>99504.736847711945</v>
      </c>
      <c r="S1349" s="332">
        <v>45022.009453838866</v>
      </c>
      <c r="T1349" s="332">
        <v>76437.875390561909</v>
      </c>
      <c r="U1349" s="332">
        <v>94962.987832914921</v>
      </c>
      <c r="V1349" s="332">
        <v>36768.993973731063</v>
      </c>
      <c r="W1349" s="9"/>
    </row>
    <row r="1350" spans="1:23" x14ac:dyDescent="0.2">
      <c r="A1350" s="9"/>
      <c r="B1350" s="292" t="s">
        <v>226</v>
      </c>
      <c r="C1350" s="326"/>
      <c r="D1350" s="333">
        <v>252399.90590601601</v>
      </c>
      <c r="E1350" s="333">
        <v>156560.50040232987</v>
      </c>
      <c r="F1350" s="333">
        <v>111262.41252200851</v>
      </c>
      <c r="G1350" s="333">
        <v>86823.047082058416</v>
      </c>
      <c r="H1350" s="333">
        <v>73116.764635269108</v>
      </c>
      <c r="I1350" s="333">
        <v>28442.755772007164</v>
      </c>
      <c r="J1350" s="333">
        <v>34072.953660572028</v>
      </c>
      <c r="K1350" s="333">
        <v>69907.942268718994</v>
      </c>
      <c r="L1350" s="333">
        <v>70861.203824292592</v>
      </c>
      <c r="M1350" s="333">
        <v>90999.386996197325</v>
      </c>
      <c r="N1350" s="333">
        <v>38572.197572794161</v>
      </c>
      <c r="O1350" s="333">
        <v>56559.160997153638</v>
      </c>
      <c r="P1350" s="333">
        <v>59663.198972508537</v>
      </c>
      <c r="Q1350" s="333">
        <v>92393.608946766675</v>
      </c>
      <c r="R1350" s="333">
        <v>66336.491231807959</v>
      </c>
      <c r="S1350" s="333">
        <v>30014.67296922591</v>
      </c>
      <c r="T1350" s="333">
        <v>50958.583593707946</v>
      </c>
      <c r="U1350" s="333">
        <v>63308.658555276626</v>
      </c>
      <c r="V1350" s="333">
        <v>24512.662649154048</v>
      </c>
      <c r="W1350" s="9"/>
    </row>
    <row r="1351" spans="1:23" x14ac:dyDescent="0.2">
      <c r="A1351" s="9"/>
      <c r="B1351" s="334" t="s">
        <v>227</v>
      </c>
      <c r="C1351" s="335"/>
      <c r="D1351" s="333">
        <v>75748.244359058153</v>
      </c>
      <c r="E1351" s="333">
        <v>69523.090994243423</v>
      </c>
      <c r="F1351" s="333">
        <v>60662.791707652483</v>
      </c>
      <c r="G1351" s="333">
        <v>51681.305849159784</v>
      </c>
      <c r="H1351" s="333">
        <v>48224.466919924649</v>
      </c>
      <c r="I1351" s="333">
        <v>48526.19725998411</v>
      </c>
      <c r="J1351" s="333">
        <v>52068.475069218453</v>
      </c>
      <c r="K1351" s="333">
        <v>55375.699761984113</v>
      </c>
      <c r="L1351" s="333">
        <v>58644.860367068453</v>
      </c>
      <c r="M1351" s="333">
        <v>61707.542435591611</v>
      </c>
      <c r="N1351" s="333">
        <v>60746.524196070961</v>
      </c>
      <c r="O1351" s="333">
        <v>59589.58457937721</v>
      </c>
      <c r="P1351" s="333">
        <v>62619.20973063889</v>
      </c>
      <c r="Q1351" s="333">
        <v>48201.441215744853</v>
      </c>
      <c r="R1351" s="333">
        <v>33934.645537009077</v>
      </c>
      <c r="S1351" s="333">
        <v>37180.691650219342</v>
      </c>
      <c r="T1351" s="333">
        <v>40524.119146825935</v>
      </c>
      <c r="U1351" s="333">
        <v>43967.849468330707</v>
      </c>
      <c r="V1351" s="333">
        <v>47514.891699480635</v>
      </c>
      <c r="W1351" s="9"/>
    </row>
    <row r="1352" spans="1:23" ht="13.5" thickBot="1" x14ac:dyDescent="0.25">
      <c r="A1352" s="9"/>
      <c r="B1352" s="336" t="s">
        <v>228</v>
      </c>
      <c r="C1352" s="337"/>
      <c r="D1352" s="338">
        <v>706748.00912409811</v>
      </c>
      <c r="E1352" s="338">
        <v>460924.34200006805</v>
      </c>
      <c r="F1352" s="338">
        <v>338818.82301267376</v>
      </c>
      <c r="G1352" s="338">
        <v>268738.9235543058</v>
      </c>
      <c r="H1352" s="338">
        <v>231016.37850809743</v>
      </c>
      <c r="I1352" s="338">
        <v>119633.08669000202</v>
      </c>
      <c r="J1352" s="338">
        <v>137250.85922064853</v>
      </c>
      <c r="K1352" s="338">
        <v>230145.55543378158</v>
      </c>
      <c r="L1352" s="338">
        <v>235797.86992779991</v>
      </c>
      <c r="M1352" s="338">
        <v>289206.00992608495</v>
      </c>
      <c r="N1352" s="338">
        <v>157177.01812805637</v>
      </c>
      <c r="O1352" s="338">
        <v>200987.48707226128</v>
      </c>
      <c r="P1352" s="338">
        <v>211777.20716191022</v>
      </c>
      <c r="Q1352" s="338">
        <v>279185.46358266153</v>
      </c>
      <c r="R1352" s="338">
        <v>199775.87361652899</v>
      </c>
      <c r="S1352" s="338">
        <v>112217.37407328413</v>
      </c>
      <c r="T1352" s="338">
        <v>167920.5781310958</v>
      </c>
      <c r="U1352" s="338">
        <v>202239.49585652226</v>
      </c>
      <c r="V1352" s="338">
        <v>108796.54832236575</v>
      </c>
      <c r="W1352" s="9"/>
    </row>
    <row r="1353" spans="1:23" ht="13.5" thickTop="1" x14ac:dyDescent="0.2">
      <c r="A1353" s="330" t="s">
        <v>229</v>
      </c>
      <c r="B1353" s="292" t="s">
        <v>230</v>
      </c>
      <c r="C1353" s="326"/>
      <c r="D1353" s="333">
        <v>-101955.07727943399</v>
      </c>
      <c r="E1353" s="333">
        <v>-101977.86227943399</v>
      </c>
      <c r="F1353" s="333">
        <v>-102001.56727943399</v>
      </c>
      <c r="G1353" s="333">
        <v>-95670.916103222553</v>
      </c>
      <c r="H1353" s="333">
        <v>-6979.6535628407346</v>
      </c>
      <c r="I1353" s="333">
        <v>-9554.6535628407346</v>
      </c>
      <c r="J1353" s="333">
        <v>-12206.903562840735</v>
      </c>
      <c r="K1353" s="333">
        <v>-14938.721062840734</v>
      </c>
      <c r="L1353" s="333">
        <v>-17752.493087840732</v>
      </c>
      <c r="M1353" s="333">
        <v>-20650.678273590733</v>
      </c>
      <c r="N1353" s="333">
        <v>-23635.809014913233</v>
      </c>
      <c r="O1353" s="333">
        <v>-26710.49367847541</v>
      </c>
      <c r="P1353" s="333">
        <v>-29877.41888194445</v>
      </c>
      <c r="Q1353" s="333">
        <v>-33139.351841517564</v>
      </c>
      <c r="R1353" s="333">
        <v>-36499.142789877864</v>
      </c>
      <c r="S1353" s="333">
        <v>-39959.727466688979</v>
      </c>
      <c r="T1353" s="333">
        <v>-43524.129683804429</v>
      </c>
      <c r="U1353" s="333">
        <v>-47195.463967433338</v>
      </c>
      <c r="V1353" s="333">
        <v>-50976.938279571114</v>
      </c>
      <c r="W1353" s="9"/>
    </row>
    <row r="1354" spans="1:23" x14ac:dyDescent="0.2">
      <c r="A1354" s="9"/>
      <c r="B1354" s="292" t="s">
        <v>231</v>
      </c>
      <c r="C1354" s="326"/>
      <c r="D1354" s="333">
        <v>0</v>
      </c>
      <c r="E1354" s="333">
        <v>0</v>
      </c>
      <c r="F1354" s="333">
        <v>0</v>
      </c>
      <c r="G1354" s="333">
        <v>0</v>
      </c>
      <c r="H1354" s="333">
        <v>0</v>
      </c>
      <c r="I1354" s="333">
        <v>0</v>
      </c>
      <c r="J1354" s="333">
        <v>0</v>
      </c>
      <c r="K1354" s="333">
        <v>0</v>
      </c>
      <c r="L1354" s="333">
        <v>0</v>
      </c>
      <c r="M1354" s="333">
        <v>0</v>
      </c>
      <c r="N1354" s="333">
        <v>0</v>
      </c>
      <c r="O1354" s="333">
        <v>0</v>
      </c>
      <c r="P1354" s="333">
        <v>0</v>
      </c>
      <c r="Q1354" s="333">
        <v>0</v>
      </c>
      <c r="R1354" s="333">
        <v>0</v>
      </c>
      <c r="S1354" s="333">
        <v>0</v>
      </c>
      <c r="T1354" s="333">
        <v>0</v>
      </c>
      <c r="U1354" s="333">
        <v>0</v>
      </c>
      <c r="V1354" s="333">
        <v>0</v>
      </c>
      <c r="W1354" s="9"/>
    </row>
    <row r="1355" spans="1:23" x14ac:dyDescent="0.2">
      <c r="A1355" s="9"/>
      <c r="B1355" s="329" t="s">
        <v>232</v>
      </c>
      <c r="C1355" s="331"/>
      <c r="D1355" s="332">
        <v>604792.93184466416</v>
      </c>
      <c r="E1355" s="332">
        <v>358946.47972063406</v>
      </c>
      <c r="F1355" s="332">
        <v>236817.25573323976</v>
      </c>
      <c r="G1355" s="332">
        <v>173068.00745108325</v>
      </c>
      <c r="H1355" s="332">
        <v>224036.72494525669</v>
      </c>
      <c r="I1355" s="332">
        <v>110078.43312716129</v>
      </c>
      <c r="J1355" s="332">
        <v>125043.9556578078</v>
      </c>
      <c r="K1355" s="332">
        <v>215206.83437094087</v>
      </c>
      <c r="L1355" s="332">
        <v>218045.37683995918</v>
      </c>
      <c r="M1355" s="332">
        <v>268555.33165249421</v>
      </c>
      <c r="N1355" s="332">
        <v>133541.20911314315</v>
      </c>
      <c r="O1355" s="332">
        <v>174276.99339378587</v>
      </c>
      <c r="P1355" s="332">
        <v>181899.78827996578</v>
      </c>
      <c r="Q1355" s="332">
        <v>246046.11174114398</v>
      </c>
      <c r="R1355" s="332">
        <v>163276.73082665112</v>
      </c>
      <c r="S1355" s="332">
        <v>72257.646606595139</v>
      </c>
      <c r="T1355" s="332">
        <v>124396.44844729136</v>
      </c>
      <c r="U1355" s="332">
        <v>155044.03188908892</v>
      </c>
      <c r="V1355" s="332">
        <v>57819.610042794637</v>
      </c>
      <c r="W1355" s="9"/>
    </row>
    <row r="1356" spans="1:23" ht="13.5" thickBot="1" x14ac:dyDescent="0.25">
      <c r="A1356" s="9"/>
      <c r="B1356" s="339" t="s">
        <v>238</v>
      </c>
      <c r="C1356" s="340"/>
      <c r="D1356" s="341">
        <v>-241917.17273786568</v>
      </c>
      <c r="E1356" s="341">
        <v>-143578.59188825364</v>
      </c>
      <c r="F1356" s="341">
        <v>-94726.902293295905</v>
      </c>
      <c r="G1356" s="341">
        <v>-69227.2029804333</v>
      </c>
      <c r="H1356" s="341">
        <v>-89614.689978102688</v>
      </c>
      <c r="I1356" s="341">
        <v>-44031.373250864519</v>
      </c>
      <c r="J1356" s="341">
        <v>-50017.582263123128</v>
      </c>
      <c r="K1356" s="341">
        <v>-86082.733748376355</v>
      </c>
      <c r="L1356" s="341">
        <v>-87218.150735983683</v>
      </c>
      <c r="M1356" s="341">
        <v>-107422.13266099768</v>
      </c>
      <c r="N1356" s="341">
        <v>-53416.483645257264</v>
      </c>
      <c r="O1356" s="341">
        <v>-69710.797357514355</v>
      </c>
      <c r="P1356" s="341">
        <v>-72759.915311986319</v>
      </c>
      <c r="Q1356" s="341">
        <v>-98418.444696457591</v>
      </c>
      <c r="R1356" s="341">
        <v>-65310.692330660451</v>
      </c>
      <c r="S1356" s="341">
        <v>-28903.058642638058</v>
      </c>
      <c r="T1356" s="341">
        <v>-49758.579378916547</v>
      </c>
      <c r="U1356" s="341">
        <v>-62017.612755635571</v>
      </c>
      <c r="V1356" s="341">
        <v>-23127.844017117855</v>
      </c>
      <c r="W1356" s="9"/>
    </row>
    <row r="1357" spans="1:23" ht="13.5" thickTop="1" x14ac:dyDescent="0.2">
      <c r="A1357" s="9"/>
      <c r="B1357" s="329" t="s">
        <v>233</v>
      </c>
      <c r="C1357" s="331"/>
      <c r="D1357" s="332">
        <v>362875.75910679845</v>
      </c>
      <c r="E1357" s="332">
        <v>215367.88783238042</v>
      </c>
      <c r="F1357" s="332">
        <v>142090.35343994386</v>
      </c>
      <c r="G1357" s="332">
        <v>103840.80447064995</v>
      </c>
      <c r="H1357" s="332">
        <v>134422.034967154</v>
      </c>
      <c r="I1357" s="332">
        <v>66047.059876296771</v>
      </c>
      <c r="J1357" s="332">
        <v>75026.373394684677</v>
      </c>
      <c r="K1357" s="332">
        <v>129124.10062256451</v>
      </c>
      <c r="L1357" s="332">
        <v>130827.2261039755</v>
      </c>
      <c r="M1357" s="332">
        <v>161133.19899149652</v>
      </c>
      <c r="N1357" s="332">
        <v>80124.725467885888</v>
      </c>
      <c r="O1357" s="332">
        <v>104566.19603627152</v>
      </c>
      <c r="P1357" s="332">
        <v>109139.87296797946</v>
      </c>
      <c r="Q1357" s="332">
        <v>147627.66704468639</v>
      </c>
      <c r="R1357" s="332">
        <v>97966.038495990681</v>
      </c>
      <c r="S1357" s="332">
        <v>43354.587963957078</v>
      </c>
      <c r="T1357" s="332">
        <v>74637.869068374814</v>
      </c>
      <c r="U1357" s="332">
        <v>93026.419133453339</v>
      </c>
      <c r="V1357" s="332">
        <v>34691.766025676785</v>
      </c>
      <c r="W1357" s="9"/>
    </row>
    <row r="1358" spans="1:23" x14ac:dyDescent="0.2">
      <c r="A1358" s="9"/>
      <c r="B1358" s="9"/>
      <c r="C1358" s="326"/>
      <c r="D1358" s="9"/>
      <c r="E1358" s="327"/>
      <c r="F1358" s="319"/>
      <c r="G1358" s="328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</row>
    <row r="1359" spans="1:23" ht="15.75" x14ac:dyDescent="0.25">
      <c r="A1359" s="342" t="s">
        <v>206</v>
      </c>
      <c r="B1359" s="343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</row>
    <row r="1360" spans="1:23" x14ac:dyDescent="0.2">
      <c r="A1360" s="290" t="s">
        <v>191</v>
      </c>
      <c r="B1360" s="309"/>
      <c r="C1360" s="344">
        <v>0</v>
      </c>
      <c r="D1360" s="283"/>
      <c r="E1360" s="283"/>
      <c r="F1360" s="283"/>
      <c r="G1360" s="283"/>
      <c r="H1360" s="283"/>
      <c r="I1360" s="283"/>
      <c r="J1360" s="283"/>
      <c r="K1360" s="283"/>
      <c r="L1360" s="283"/>
      <c r="M1360" s="283"/>
      <c r="N1360" s="283"/>
      <c r="O1360" s="283"/>
      <c r="P1360" s="283"/>
      <c r="Q1360" s="283"/>
      <c r="R1360" s="283"/>
      <c r="S1360" s="283"/>
      <c r="T1360" s="283"/>
      <c r="U1360" s="283"/>
      <c r="V1360" s="283"/>
      <c r="W1360" s="283"/>
    </row>
    <row r="1361" spans="1:23" x14ac:dyDescent="0.2">
      <c r="A1361" s="290" t="s">
        <v>192</v>
      </c>
      <c r="B1361" s="309"/>
      <c r="C1361" s="345">
        <v>0</v>
      </c>
      <c r="D1361" s="283"/>
      <c r="E1361" s="283"/>
      <c r="F1361" s="283"/>
      <c r="G1361" s="283"/>
      <c r="H1361" s="283"/>
      <c r="I1361" s="283"/>
      <c r="J1361" s="283"/>
      <c r="K1361" s="283"/>
      <c r="L1361" s="283"/>
      <c r="M1361" s="283"/>
      <c r="N1361" s="283"/>
      <c r="O1361" s="283"/>
      <c r="P1361" s="283"/>
      <c r="Q1361" s="283"/>
      <c r="R1361" s="283"/>
      <c r="S1361" s="283"/>
      <c r="T1361" s="283"/>
      <c r="U1361" s="283"/>
      <c r="V1361" s="283"/>
      <c r="W1361" s="283"/>
    </row>
    <row r="1362" spans="1:23" x14ac:dyDescent="0.2">
      <c r="A1362" s="290" t="s">
        <v>202</v>
      </c>
      <c r="B1362" s="309"/>
      <c r="C1362" s="290">
        <v>15</v>
      </c>
      <c r="D1362" s="283"/>
      <c r="E1362" s="283"/>
      <c r="F1362" s="283"/>
      <c r="G1362" s="283"/>
      <c r="H1362" s="283"/>
      <c r="I1362" s="283"/>
      <c r="J1362" s="283"/>
      <c r="K1362" s="283"/>
      <c r="L1362" s="283"/>
      <c r="M1362" s="283"/>
      <c r="N1362" s="283"/>
      <c r="O1362" s="283"/>
      <c r="P1362" s="283"/>
      <c r="Q1362" s="283"/>
      <c r="R1362" s="283"/>
      <c r="S1362" s="283"/>
      <c r="T1362" s="283"/>
      <c r="U1362" s="283"/>
      <c r="V1362" s="283"/>
      <c r="W1362" s="283"/>
    </row>
    <row r="1363" spans="1:23" x14ac:dyDescent="0.2">
      <c r="A1363" s="290" t="s">
        <v>193</v>
      </c>
      <c r="B1363" s="309"/>
      <c r="C1363" s="345">
        <v>0</v>
      </c>
      <c r="D1363" s="283"/>
      <c r="E1363" s="283"/>
      <c r="F1363" s="283"/>
      <c r="G1363" s="283"/>
      <c r="H1363" s="283"/>
      <c r="I1363" s="283"/>
      <c r="J1363" s="283"/>
      <c r="K1363" s="283"/>
      <c r="L1363" s="283"/>
      <c r="M1363" s="283"/>
      <c r="N1363" s="283"/>
      <c r="O1363" s="283"/>
      <c r="P1363" s="283"/>
      <c r="Q1363" s="283"/>
      <c r="R1363" s="283"/>
      <c r="S1363" s="283"/>
      <c r="T1363" s="283"/>
      <c r="U1363" s="283"/>
      <c r="V1363" s="283"/>
      <c r="W1363" s="283"/>
    </row>
    <row r="1364" spans="1:23" x14ac:dyDescent="0.2">
      <c r="A1364" s="290" t="s">
        <v>194</v>
      </c>
      <c r="B1364" s="309"/>
      <c r="C1364" s="346">
        <v>8.7499999999999994E-2</v>
      </c>
      <c r="D1364" s="283"/>
      <c r="E1364" s="283"/>
      <c r="F1364" s="283"/>
      <c r="G1364" s="283"/>
      <c r="H1364" s="283"/>
      <c r="I1364" s="283"/>
      <c r="J1364" s="283"/>
      <c r="K1364" s="283"/>
      <c r="L1364" s="283"/>
      <c r="M1364" s="283"/>
      <c r="N1364" s="283"/>
      <c r="O1364" s="283"/>
      <c r="P1364" s="283"/>
      <c r="Q1364" s="283"/>
      <c r="R1364" s="283"/>
      <c r="S1364" s="283"/>
      <c r="T1364" s="283"/>
      <c r="U1364" s="283"/>
      <c r="V1364" s="283"/>
      <c r="W1364" s="283"/>
    </row>
    <row r="1365" spans="1:23" x14ac:dyDescent="0.2">
      <c r="A1365" s="290"/>
      <c r="B1365" s="309"/>
      <c r="C1365" s="283"/>
      <c r="D1365" s="312">
        <v>2001</v>
      </c>
      <c r="E1365" s="312">
        <v>2002</v>
      </c>
      <c r="F1365" s="312">
        <v>2003</v>
      </c>
      <c r="G1365" s="312">
        <v>2004</v>
      </c>
      <c r="H1365" s="312">
        <v>2005</v>
      </c>
      <c r="I1365" s="312">
        <v>2006</v>
      </c>
      <c r="J1365" s="312">
        <v>2007</v>
      </c>
      <c r="K1365" s="312">
        <v>2008</v>
      </c>
      <c r="L1365" s="312">
        <v>2009</v>
      </c>
      <c r="M1365" s="312">
        <v>2010</v>
      </c>
      <c r="N1365" s="312">
        <v>2011</v>
      </c>
      <c r="O1365" s="312">
        <v>2012</v>
      </c>
      <c r="P1365" s="312">
        <v>2013</v>
      </c>
      <c r="Q1365" s="312">
        <v>2014</v>
      </c>
      <c r="R1365" s="312">
        <v>2015</v>
      </c>
      <c r="S1365" s="312">
        <v>2016</v>
      </c>
      <c r="T1365" s="312">
        <v>2017</v>
      </c>
      <c r="U1365" s="312">
        <v>2018</v>
      </c>
      <c r="V1365" s="312">
        <v>2019</v>
      </c>
      <c r="W1365" s="312" t="s">
        <v>154</v>
      </c>
    </row>
    <row r="1366" spans="1:23" x14ac:dyDescent="0.2">
      <c r="A1366" s="290" t="s">
        <v>195</v>
      </c>
      <c r="B1366" s="309"/>
      <c r="C1366" s="283"/>
      <c r="D1366" s="347">
        <v>0</v>
      </c>
      <c r="E1366" s="347">
        <v>0</v>
      </c>
      <c r="F1366" s="347">
        <v>0</v>
      </c>
      <c r="G1366" s="347">
        <v>0</v>
      </c>
      <c r="H1366" s="347">
        <v>0</v>
      </c>
      <c r="I1366" s="347">
        <v>0</v>
      </c>
      <c r="J1366" s="347">
        <v>0</v>
      </c>
      <c r="K1366" s="347">
        <v>0</v>
      </c>
      <c r="L1366" s="347">
        <v>0</v>
      </c>
      <c r="M1366" s="347">
        <v>0</v>
      </c>
      <c r="N1366" s="347">
        <v>0</v>
      </c>
      <c r="O1366" s="347">
        <v>0</v>
      </c>
      <c r="P1366" s="347">
        <v>0</v>
      </c>
      <c r="Q1366" s="347">
        <v>0</v>
      </c>
      <c r="R1366" s="347">
        <v>0</v>
      </c>
      <c r="S1366" s="347">
        <v>0</v>
      </c>
      <c r="T1366" s="347">
        <v>0</v>
      </c>
      <c r="U1366" s="347">
        <v>0</v>
      </c>
      <c r="V1366" s="347">
        <v>0</v>
      </c>
      <c r="W1366" s="347">
        <v>0</v>
      </c>
    </row>
    <row r="1367" spans="1:23" x14ac:dyDescent="0.2">
      <c r="A1367" s="290" t="s">
        <v>196</v>
      </c>
      <c r="B1367" s="309"/>
      <c r="C1367" s="283"/>
      <c r="D1367" s="347">
        <v>0</v>
      </c>
      <c r="E1367" s="347">
        <v>0</v>
      </c>
      <c r="F1367" s="347">
        <v>0</v>
      </c>
      <c r="G1367" s="347">
        <v>0</v>
      </c>
      <c r="H1367" s="347">
        <v>0</v>
      </c>
      <c r="I1367" s="347">
        <v>0</v>
      </c>
      <c r="J1367" s="347">
        <v>0</v>
      </c>
      <c r="K1367" s="347">
        <v>0</v>
      </c>
      <c r="L1367" s="347">
        <v>0</v>
      </c>
      <c r="M1367" s="347">
        <v>0</v>
      </c>
      <c r="N1367" s="347">
        <v>0</v>
      </c>
      <c r="O1367" s="347">
        <v>0</v>
      </c>
      <c r="P1367" s="347">
        <v>0</v>
      </c>
      <c r="Q1367" s="347">
        <v>0</v>
      </c>
      <c r="R1367" s="347">
        <v>0</v>
      </c>
      <c r="S1367" s="347">
        <v>0</v>
      </c>
      <c r="T1367" s="347">
        <v>0</v>
      </c>
      <c r="U1367" s="347">
        <v>0</v>
      </c>
      <c r="V1367" s="347">
        <v>0</v>
      </c>
      <c r="W1367" s="347">
        <v>0</v>
      </c>
    </row>
    <row r="1368" spans="1:23" x14ac:dyDescent="0.2">
      <c r="A1368" s="290" t="s">
        <v>197</v>
      </c>
      <c r="B1368" s="309"/>
      <c r="C1368" s="283"/>
      <c r="D1368" s="347">
        <v>0</v>
      </c>
      <c r="E1368" s="347">
        <v>0</v>
      </c>
      <c r="F1368" s="347">
        <v>0</v>
      </c>
      <c r="G1368" s="347">
        <v>0</v>
      </c>
      <c r="H1368" s="347">
        <v>0</v>
      </c>
      <c r="I1368" s="347">
        <v>0</v>
      </c>
      <c r="J1368" s="347">
        <v>0</v>
      </c>
      <c r="K1368" s="347">
        <v>0</v>
      </c>
      <c r="L1368" s="347">
        <v>0</v>
      </c>
      <c r="M1368" s="347">
        <v>0</v>
      </c>
      <c r="N1368" s="347">
        <v>0</v>
      </c>
      <c r="O1368" s="347">
        <v>0</v>
      </c>
      <c r="P1368" s="347">
        <v>0</v>
      </c>
      <c r="Q1368" s="347">
        <v>0</v>
      </c>
      <c r="R1368" s="347">
        <v>0</v>
      </c>
      <c r="S1368" s="347">
        <v>0</v>
      </c>
      <c r="T1368" s="347">
        <v>0</v>
      </c>
      <c r="U1368" s="347">
        <v>0</v>
      </c>
      <c r="V1368" s="347">
        <v>0</v>
      </c>
      <c r="W1368" s="347">
        <v>0</v>
      </c>
    </row>
    <row r="1369" spans="1:23" x14ac:dyDescent="0.2">
      <c r="A1369" s="290" t="s">
        <v>198</v>
      </c>
      <c r="B1369" s="309"/>
      <c r="C1369" s="283"/>
      <c r="D1369" s="348">
        <v>0</v>
      </c>
      <c r="E1369" s="348">
        <v>0</v>
      </c>
      <c r="F1369" s="348">
        <v>0</v>
      </c>
      <c r="G1369" s="348">
        <v>0</v>
      </c>
      <c r="H1369" s="348">
        <v>0</v>
      </c>
      <c r="I1369" s="348">
        <v>0</v>
      </c>
      <c r="J1369" s="348">
        <v>0</v>
      </c>
      <c r="K1369" s="348">
        <v>0</v>
      </c>
      <c r="L1369" s="348">
        <v>0</v>
      </c>
      <c r="M1369" s="348">
        <v>0</v>
      </c>
      <c r="N1369" s="348">
        <v>0</v>
      </c>
      <c r="O1369" s="348">
        <v>0</v>
      </c>
      <c r="P1369" s="348">
        <v>0</v>
      </c>
      <c r="Q1369" s="348">
        <v>0</v>
      </c>
      <c r="R1369" s="348">
        <v>0</v>
      </c>
      <c r="S1369" s="348">
        <v>0</v>
      </c>
      <c r="T1369" s="348">
        <v>0</v>
      </c>
      <c r="U1369" s="348">
        <v>0</v>
      </c>
      <c r="V1369" s="348">
        <v>0</v>
      </c>
      <c r="W1369" s="348">
        <v>0</v>
      </c>
    </row>
    <row r="1370" spans="1:23" ht="13.5" thickBot="1" x14ac:dyDescent="0.25">
      <c r="A1370" s="290" t="s">
        <v>199</v>
      </c>
      <c r="B1370" s="309"/>
      <c r="C1370" s="283"/>
      <c r="D1370" s="349">
        <v>0</v>
      </c>
      <c r="E1370" s="349">
        <v>0</v>
      </c>
      <c r="F1370" s="349">
        <v>0</v>
      </c>
      <c r="G1370" s="349">
        <v>0</v>
      </c>
      <c r="H1370" s="349">
        <v>0</v>
      </c>
      <c r="I1370" s="349">
        <v>0</v>
      </c>
      <c r="J1370" s="349">
        <v>0</v>
      </c>
      <c r="K1370" s="349">
        <v>0</v>
      </c>
      <c r="L1370" s="349">
        <v>0</v>
      </c>
      <c r="M1370" s="349">
        <v>0</v>
      </c>
      <c r="N1370" s="349">
        <v>0</v>
      </c>
      <c r="O1370" s="349">
        <v>0</v>
      </c>
      <c r="P1370" s="349">
        <v>0</v>
      </c>
      <c r="Q1370" s="349">
        <v>0</v>
      </c>
      <c r="R1370" s="349">
        <v>0</v>
      </c>
      <c r="S1370" s="349">
        <v>0</v>
      </c>
      <c r="T1370" s="349">
        <v>0</v>
      </c>
      <c r="U1370" s="349">
        <v>0</v>
      </c>
      <c r="V1370" s="349">
        <v>0</v>
      </c>
      <c r="W1370" s="349">
        <v>0</v>
      </c>
    </row>
    <row r="1371" spans="1:23" ht="13.5" thickTop="1" x14ac:dyDescent="0.2">
      <c r="A1371" s="290"/>
      <c r="B1371" s="309"/>
      <c r="C1371" s="283"/>
      <c r="D1371" s="347"/>
      <c r="E1371" s="347"/>
      <c r="F1371" s="347"/>
      <c r="G1371" s="347"/>
      <c r="H1371" s="347"/>
      <c r="I1371" s="347"/>
      <c r="J1371" s="347"/>
      <c r="K1371" s="347"/>
      <c r="L1371" s="347"/>
      <c r="M1371" s="347"/>
      <c r="N1371" s="347"/>
      <c r="O1371" s="347"/>
      <c r="P1371" s="347"/>
      <c r="Q1371" s="347"/>
      <c r="R1371" s="347"/>
      <c r="S1371" s="347"/>
      <c r="T1371" s="347"/>
      <c r="U1371" s="347"/>
      <c r="V1371" s="347"/>
      <c r="W1371" s="347"/>
    </row>
    <row r="1372" spans="1:23" x14ac:dyDescent="0.2">
      <c r="A1372" s="290" t="s">
        <v>200</v>
      </c>
      <c r="B1372" s="309"/>
      <c r="C1372" s="283"/>
      <c r="D1372" s="347">
        <v>0</v>
      </c>
      <c r="E1372" s="347">
        <v>0</v>
      </c>
      <c r="F1372" s="347">
        <v>0</v>
      </c>
      <c r="G1372" s="347">
        <v>0</v>
      </c>
      <c r="H1372" s="347">
        <v>0</v>
      </c>
      <c r="I1372" s="347">
        <v>0</v>
      </c>
      <c r="J1372" s="347">
        <v>0</v>
      </c>
      <c r="K1372" s="347">
        <v>0</v>
      </c>
      <c r="L1372" s="347">
        <v>0</v>
      </c>
      <c r="M1372" s="347">
        <v>0</v>
      </c>
      <c r="N1372" s="347">
        <v>0</v>
      </c>
      <c r="O1372" s="347">
        <v>0</v>
      </c>
      <c r="P1372" s="347">
        <v>0</v>
      </c>
      <c r="Q1372" s="347">
        <v>0</v>
      </c>
      <c r="R1372" s="347">
        <v>0</v>
      </c>
      <c r="S1372" s="347">
        <v>0</v>
      </c>
      <c r="T1372" s="347">
        <v>0</v>
      </c>
      <c r="U1372" s="347">
        <v>0</v>
      </c>
      <c r="V1372" s="347">
        <v>0</v>
      </c>
      <c r="W1372" s="347">
        <v>0</v>
      </c>
    </row>
    <row r="1373" spans="1:23" x14ac:dyDescent="0.2">
      <c r="A1373" s="290"/>
      <c r="B1373" s="309"/>
      <c r="C1373" s="283"/>
      <c r="D1373" s="283"/>
      <c r="E1373" s="283"/>
      <c r="F1373" s="283"/>
      <c r="G1373" s="283"/>
      <c r="H1373" s="283"/>
      <c r="I1373" s="283"/>
      <c r="J1373" s="283"/>
      <c r="K1373" s="283"/>
      <c r="L1373" s="283"/>
      <c r="M1373" s="283"/>
      <c r="N1373" s="283"/>
      <c r="O1373" s="283"/>
      <c r="P1373" s="283"/>
      <c r="Q1373" s="283"/>
      <c r="R1373" s="283"/>
      <c r="S1373" s="283"/>
      <c r="T1373" s="283"/>
      <c r="U1373" s="283"/>
      <c r="V1373" s="283"/>
      <c r="W1373" s="283"/>
    </row>
    <row r="1374" spans="1:23" x14ac:dyDescent="0.2">
      <c r="A1374" s="290" t="s">
        <v>201</v>
      </c>
      <c r="B1374" s="309"/>
      <c r="C1374" s="283"/>
      <c r="D1374" s="347">
        <v>0</v>
      </c>
      <c r="E1374" s="347">
        <v>0</v>
      </c>
      <c r="F1374" s="347">
        <v>0</v>
      </c>
      <c r="G1374" s="347">
        <v>0</v>
      </c>
      <c r="H1374" s="347">
        <v>0</v>
      </c>
      <c r="I1374" s="347">
        <v>0</v>
      </c>
      <c r="J1374" s="347">
        <v>0</v>
      </c>
      <c r="K1374" s="347">
        <v>0</v>
      </c>
      <c r="L1374" s="347">
        <v>0</v>
      </c>
      <c r="M1374" s="347">
        <v>0</v>
      </c>
      <c r="N1374" s="347">
        <v>0</v>
      </c>
      <c r="O1374" s="347">
        <v>0</v>
      </c>
      <c r="P1374" s="347">
        <v>0</v>
      </c>
      <c r="Q1374" s="347">
        <v>0</v>
      </c>
      <c r="R1374" s="347">
        <v>0</v>
      </c>
      <c r="S1374" s="347">
        <v>0</v>
      </c>
      <c r="T1374" s="347">
        <v>0</v>
      </c>
      <c r="U1374" s="347">
        <v>0</v>
      </c>
      <c r="V1374" s="347">
        <v>0</v>
      </c>
      <c r="W1374" s="347">
        <v>0</v>
      </c>
    </row>
    <row r="1375" spans="1:23" x14ac:dyDescent="0.2">
      <c r="A1375" s="283"/>
      <c r="B1375" s="309"/>
      <c r="C1375" s="283"/>
      <c r="D1375" s="283"/>
      <c r="E1375" s="283"/>
      <c r="F1375" s="283"/>
      <c r="G1375" s="283"/>
      <c r="H1375" s="283"/>
      <c r="I1375" s="283"/>
      <c r="J1375" s="283"/>
      <c r="K1375" s="283"/>
      <c r="L1375" s="283"/>
      <c r="M1375" s="283"/>
      <c r="N1375" s="283"/>
      <c r="O1375" s="283"/>
      <c r="P1375" s="283"/>
      <c r="Q1375" s="283"/>
      <c r="R1375" s="283"/>
      <c r="S1375" s="283"/>
      <c r="T1375" s="283"/>
      <c r="U1375" s="283"/>
      <c r="V1375" s="283"/>
      <c r="W1375" s="283"/>
    </row>
    <row r="1376" spans="1:23" x14ac:dyDescent="0.2">
      <c r="A1376" s="283"/>
      <c r="B1376" s="309"/>
      <c r="C1376" s="283"/>
      <c r="D1376" s="283"/>
      <c r="E1376" s="283"/>
      <c r="F1376" s="283"/>
      <c r="G1376" s="283"/>
      <c r="H1376" s="283"/>
      <c r="I1376" s="283"/>
      <c r="J1376" s="283"/>
      <c r="K1376" s="283"/>
      <c r="L1376" s="283"/>
      <c r="M1376" s="283"/>
      <c r="N1376" s="283"/>
      <c r="O1376" s="283"/>
      <c r="P1376" s="283"/>
      <c r="Q1376" s="283"/>
      <c r="R1376" s="283"/>
      <c r="S1376" s="283"/>
      <c r="T1376" s="283"/>
      <c r="U1376" s="283"/>
      <c r="V1376" s="283"/>
      <c r="W1376" s="283"/>
    </row>
    <row r="1377" spans="1:23" x14ac:dyDescent="0.2">
      <c r="A1377" s="290" t="s">
        <v>203</v>
      </c>
      <c r="B1377" s="285"/>
      <c r="C1377" s="284"/>
      <c r="D1377" s="441">
        <v>453910.08321808215</v>
      </c>
      <c r="E1377" s="441">
        <v>303908.1415977382</v>
      </c>
      <c r="F1377" s="441">
        <v>227082.3104906652</v>
      </c>
      <c r="G1377" s="441">
        <v>181420.69647224739</v>
      </c>
      <c r="H1377" s="441">
        <v>107899.61387282831</v>
      </c>
      <c r="I1377" s="441">
        <v>39690.330917994856</v>
      </c>
      <c r="J1377" s="441">
        <v>50132.905560076499</v>
      </c>
      <c r="K1377" s="441">
        <v>105601.26316506258</v>
      </c>
      <c r="L1377" s="441">
        <v>108661.22560350734</v>
      </c>
      <c r="M1377" s="441">
        <v>140242.9192148876</v>
      </c>
      <c r="N1377" s="441">
        <v>58902.205728812209</v>
      </c>
      <c r="O1377" s="441">
        <v>82934.632803864137</v>
      </c>
      <c r="P1377" s="441">
        <v>88775.504120020865</v>
      </c>
      <c r="Q1377" s="441">
        <v>121553.19544443261</v>
      </c>
      <c r="R1377" s="441">
        <v>66243.563417514917</v>
      </c>
      <c r="S1377" s="441">
        <v>12991.007567835928</v>
      </c>
      <c r="T1377" s="441">
        <v>45673.950195078884</v>
      </c>
      <c r="U1377" s="441">
        <v>65504.151628667401</v>
      </c>
      <c r="V1377" s="441">
        <v>8654.3994304561202</v>
      </c>
      <c r="W1377" s="441">
        <v>424881.77932823088</v>
      </c>
    </row>
    <row r="1378" spans="1:23" x14ac:dyDescent="0.2">
      <c r="A1378" s="9"/>
      <c r="B1378" s="6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</row>
    <row r="1379" spans="1:23" x14ac:dyDescent="0.2">
      <c r="B1379" s="306"/>
      <c r="C1379" s="307"/>
      <c r="D1379" s="371"/>
      <c r="E1379" s="371"/>
      <c r="F1379" s="371"/>
      <c r="G1379" s="371"/>
      <c r="H1379" s="371"/>
      <c r="I1379" s="371"/>
      <c r="J1379" s="371"/>
      <c r="K1379" s="371"/>
      <c r="L1379" s="371"/>
      <c r="M1379" s="371"/>
      <c r="N1379" s="371"/>
      <c r="O1379" s="371"/>
      <c r="P1379" s="371"/>
      <c r="Q1379" s="371"/>
      <c r="R1379" s="371"/>
      <c r="S1379" s="371"/>
      <c r="T1379" s="371"/>
      <c r="U1379" s="371"/>
      <c r="V1379" s="371"/>
    </row>
    <row r="1380" spans="1:23" x14ac:dyDescent="0.2">
      <c r="B1380" s="295"/>
      <c r="C1380" s="360"/>
      <c r="D1380" s="372"/>
      <c r="E1380" s="372"/>
      <c r="F1380" s="372"/>
      <c r="G1380" s="372"/>
      <c r="H1380" s="372"/>
      <c r="I1380" s="372"/>
      <c r="J1380" s="372"/>
      <c r="K1380" s="372"/>
      <c r="L1380" s="372"/>
      <c r="M1380" s="372"/>
      <c r="N1380" s="372"/>
      <c r="O1380" s="372"/>
      <c r="P1380" s="372"/>
      <c r="Q1380" s="372"/>
      <c r="R1380" s="372"/>
      <c r="S1380" s="372"/>
      <c r="T1380" s="372"/>
      <c r="U1380" s="372"/>
      <c r="V1380" s="372"/>
    </row>
    <row r="1381" spans="1:23" x14ac:dyDescent="0.2">
      <c r="B1381" s="306"/>
      <c r="C1381" s="307"/>
      <c r="D1381" s="371"/>
      <c r="E1381" s="371"/>
      <c r="F1381" s="371"/>
      <c r="G1381" s="371"/>
      <c r="H1381" s="371"/>
      <c r="I1381" s="371"/>
      <c r="J1381" s="371"/>
      <c r="K1381" s="371"/>
      <c r="L1381" s="371"/>
      <c r="M1381" s="371"/>
      <c r="N1381" s="371"/>
      <c r="O1381" s="371"/>
      <c r="P1381" s="371"/>
      <c r="Q1381" s="371"/>
      <c r="R1381" s="371"/>
      <c r="S1381" s="371"/>
      <c r="T1381" s="371"/>
      <c r="U1381" s="371"/>
      <c r="V1381" s="371"/>
    </row>
    <row r="1382" spans="1:23" x14ac:dyDescent="0.2">
      <c r="C1382" s="360"/>
      <c r="E1382" s="369"/>
      <c r="F1382" s="319"/>
      <c r="G1382" s="328"/>
    </row>
    <row r="1383" spans="1:23" ht="15.75" x14ac:dyDescent="0.25">
      <c r="A1383" s="373"/>
      <c r="B1383" s="374"/>
    </row>
    <row r="1384" spans="1:23" x14ac:dyDescent="0.2">
      <c r="A1384" s="298"/>
      <c r="B1384" s="366"/>
      <c r="C1384" s="375"/>
      <c r="D1384" s="376"/>
      <c r="E1384" s="376"/>
      <c r="F1384" s="376"/>
      <c r="G1384" s="376"/>
      <c r="H1384" s="376"/>
      <c r="I1384" s="376"/>
      <c r="J1384" s="376"/>
      <c r="K1384" s="376"/>
      <c r="L1384" s="376"/>
      <c r="M1384" s="376"/>
      <c r="N1384" s="376"/>
      <c r="O1384" s="376"/>
      <c r="P1384" s="376"/>
      <c r="Q1384" s="376"/>
      <c r="R1384" s="376"/>
      <c r="S1384" s="376"/>
      <c r="T1384" s="376"/>
      <c r="U1384" s="376"/>
      <c r="V1384" s="376"/>
      <c r="W1384" s="376"/>
    </row>
    <row r="1385" spans="1:23" x14ac:dyDescent="0.2">
      <c r="A1385" s="298"/>
      <c r="B1385" s="366"/>
      <c r="C1385" s="377"/>
      <c r="D1385" s="376"/>
      <c r="E1385" s="376"/>
      <c r="F1385" s="376"/>
      <c r="G1385" s="376"/>
      <c r="H1385" s="376"/>
      <c r="I1385" s="376"/>
      <c r="J1385" s="376"/>
      <c r="K1385" s="376"/>
      <c r="L1385" s="376"/>
      <c r="M1385" s="376"/>
      <c r="N1385" s="376"/>
      <c r="O1385" s="376"/>
      <c r="P1385" s="376"/>
      <c r="Q1385" s="376"/>
      <c r="R1385" s="376"/>
      <c r="S1385" s="376"/>
      <c r="T1385" s="376"/>
      <c r="U1385" s="376"/>
      <c r="V1385" s="376"/>
      <c r="W1385" s="376"/>
    </row>
    <row r="1386" spans="1:23" ht="15.75" x14ac:dyDescent="0.25">
      <c r="A1386" s="308" t="s">
        <v>29</v>
      </c>
      <c r="B1386" s="311" t="s">
        <v>75</v>
      </c>
      <c r="C1386" s="312">
        <v>2000</v>
      </c>
      <c r="D1386" s="312">
        <v>2001</v>
      </c>
      <c r="E1386" s="312">
        <v>2002</v>
      </c>
      <c r="F1386" s="312">
        <v>2003</v>
      </c>
      <c r="G1386" s="312">
        <v>2004</v>
      </c>
      <c r="H1386" s="312">
        <v>2005</v>
      </c>
      <c r="I1386" s="312">
        <v>2006</v>
      </c>
      <c r="J1386" s="312">
        <v>2007</v>
      </c>
      <c r="K1386" s="312">
        <v>2008</v>
      </c>
      <c r="L1386" s="312">
        <v>2009</v>
      </c>
      <c r="M1386" s="312">
        <v>2010</v>
      </c>
      <c r="N1386" s="312">
        <v>2011</v>
      </c>
      <c r="O1386" s="312">
        <v>2012</v>
      </c>
      <c r="P1386" s="312">
        <v>2013</v>
      </c>
      <c r="Q1386" s="312">
        <v>2014</v>
      </c>
      <c r="R1386" s="312">
        <v>2015</v>
      </c>
      <c r="S1386" s="312">
        <v>2016</v>
      </c>
      <c r="T1386" s="312">
        <v>2017</v>
      </c>
      <c r="U1386" s="312">
        <v>2018</v>
      </c>
      <c r="V1386" s="312">
        <v>2019</v>
      </c>
      <c r="W1386" s="312" t="s">
        <v>154</v>
      </c>
    </row>
    <row r="1387" spans="1:23" x14ac:dyDescent="0.2">
      <c r="A1387" s="308" t="s">
        <v>26</v>
      </c>
      <c r="B1387" s="309">
        <v>30</v>
      </c>
      <c r="C1387" s="314"/>
      <c r="D1387" s="314"/>
      <c r="E1387" s="314"/>
      <c r="F1387" s="314"/>
      <c r="G1387" s="314"/>
      <c r="H1387" s="314"/>
      <c r="I1387" s="314"/>
      <c r="J1387" s="314"/>
      <c r="K1387" s="314"/>
      <c r="L1387" s="314"/>
      <c r="M1387" s="314"/>
      <c r="N1387" s="314"/>
      <c r="O1387" s="314"/>
      <c r="P1387" s="314"/>
      <c r="Q1387" s="314"/>
      <c r="R1387" s="314"/>
      <c r="S1387" s="314"/>
      <c r="T1387" s="314"/>
      <c r="U1387" s="314"/>
      <c r="V1387" s="314"/>
      <c r="W1387" s="314"/>
    </row>
    <row r="1388" spans="1:23" x14ac:dyDescent="0.2">
      <c r="A1388" s="9"/>
      <c r="B1388" s="315" t="s">
        <v>27</v>
      </c>
      <c r="C1388" s="449">
        <v>0</v>
      </c>
      <c r="D1388" s="410">
        <v>2008592.99790867</v>
      </c>
      <c r="E1388" s="410">
        <v>1492620.8604820843</v>
      </c>
      <c r="F1388" s="410">
        <v>1136901.8422556603</v>
      </c>
      <c r="G1388" s="410">
        <v>1017363.6353138577</v>
      </c>
      <c r="H1388" s="410">
        <v>992808.56817646266</v>
      </c>
      <c r="I1388" s="410">
        <v>726272.74761600513</v>
      </c>
      <c r="J1388" s="410">
        <v>889333.56859842991</v>
      </c>
      <c r="K1388" s="410">
        <v>1306318.5862744052</v>
      </c>
      <c r="L1388" s="410">
        <v>1428812.219516505</v>
      </c>
      <c r="M1388" s="410">
        <v>1557208.9378760201</v>
      </c>
      <c r="N1388" s="410">
        <v>1207188.861373683</v>
      </c>
      <c r="O1388" s="410">
        <v>1326437.8277149145</v>
      </c>
      <c r="P1388" s="410">
        <v>1472714.1459579726</v>
      </c>
      <c r="Q1388" s="410">
        <v>1808580.4431110064</v>
      </c>
      <c r="R1388" s="410">
        <v>1562290.1913675785</v>
      </c>
      <c r="S1388" s="410">
        <v>1241766.7749435129</v>
      </c>
      <c r="T1388" s="410">
        <v>1616464.7411976811</v>
      </c>
      <c r="U1388" s="410">
        <v>1767509.3331457919</v>
      </c>
      <c r="V1388" s="410">
        <v>1495529.2378647521</v>
      </c>
      <c r="W1388" s="333"/>
    </row>
    <row r="1389" spans="1:23" x14ac:dyDescent="0.2">
      <c r="A1389" s="9"/>
      <c r="B1389" s="315" t="s">
        <v>20</v>
      </c>
      <c r="C1389" s="449">
        <v>0</v>
      </c>
      <c r="D1389" s="410">
        <v>-288634.26250986452</v>
      </c>
      <c r="E1389" s="410">
        <v>-317796.42826793279</v>
      </c>
      <c r="F1389" s="410">
        <v>-247142.09865242883</v>
      </c>
      <c r="G1389" s="410">
        <v>-269713.63939767372</v>
      </c>
      <c r="H1389" s="410">
        <v>-334188.4148594205</v>
      </c>
      <c r="I1389" s="410">
        <v>-308371.51389798243</v>
      </c>
      <c r="J1389" s="410">
        <v>-408942.35080341133</v>
      </c>
      <c r="K1389" s="410">
        <v>-605031.96404042945</v>
      </c>
      <c r="L1389" s="410">
        <v>-691859.21861624066</v>
      </c>
      <c r="M1389" s="410">
        <v>-697562.69550191506</v>
      </c>
      <c r="N1389" s="410">
        <v>-655099.06674357574</v>
      </c>
      <c r="O1389" s="410">
        <v>-665116.59146037523</v>
      </c>
      <c r="P1389" s="410">
        <v>-777493.39115972433</v>
      </c>
      <c r="Q1389" s="410">
        <v>-932191.22763182421</v>
      </c>
      <c r="R1389" s="410">
        <v>-860376.74052970158</v>
      </c>
      <c r="S1389" s="410">
        <v>-746252.21875805955</v>
      </c>
      <c r="T1389" s="410">
        <v>-966513.86394085223</v>
      </c>
      <c r="U1389" s="410">
        <v>-1059513.5415219332</v>
      </c>
      <c r="V1389" s="410">
        <v>-984038.91064105497</v>
      </c>
      <c r="W1389" s="333"/>
    </row>
    <row r="1390" spans="1:23" x14ac:dyDescent="0.2">
      <c r="A1390" s="9"/>
      <c r="B1390" s="315" t="s">
        <v>31</v>
      </c>
      <c r="C1390" s="449">
        <v>0</v>
      </c>
      <c r="D1390" s="410">
        <v>-12226.636736097977</v>
      </c>
      <c r="E1390" s="410">
        <v>-14954.19979798153</v>
      </c>
      <c r="F1390" s="410">
        <v>-12206.679089616317</v>
      </c>
      <c r="G1390" s="410">
        <v>-13489.443258936477</v>
      </c>
      <c r="H1390" s="410">
        <v>-16945.082195878633</v>
      </c>
      <c r="I1390" s="410">
        <v>-15676.819693325655</v>
      </c>
      <c r="J1390" s="410">
        <v>-20938.24833914686</v>
      </c>
      <c r="K1390" s="410">
        <v>-34301.74795901739</v>
      </c>
      <c r="L1390" s="410">
        <v>-38997.287981204914</v>
      </c>
      <c r="M1390" s="410">
        <v>-38651.016933921957</v>
      </c>
      <c r="N1390" s="410">
        <v>-35744.107099904308</v>
      </c>
      <c r="O1390" s="410">
        <v>-37777.700347580532</v>
      </c>
      <c r="P1390" s="410">
        <v>-42298.378687819262</v>
      </c>
      <c r="Q1390" s="410">
        <v>-52600.508458857716</v>
      </c>
      <c r="R1390" s="410">
        <v>-45229.036802637165</v>
      </c>
      <c r="S1390" s="410">
        <v>-38264.906142106607</v>
      </c>
      <c r="T1390" s="410">
        <v>-49142.289466815579</v>
      </c>
      <c r="U1390" s="410">
        <v>-51514.36267070676</v>
      </c>
      <c r="V1390" s="410">
        <v>-48282.446230364832</v>
      </c>
      <c r="W1390" s="333"/>
    </row>
    <row r="1391" spans="1:23" x14ac:dyDescent="0.2">
      <c r="A1391" s="9"/>
      <c r="B1391" s="315" t="s">
        <v>32</v>
      </c>
      <c r="C1391" s="449">
        <v>0</v>
      </c>
      <c r="D1391" s="410">
        <v>0</v>
      </c>
      <c r="E1391" s="410">
        <v>0</v>
      </c>
      <c r="F1391" s="410">
        <v>0</v>
      </c>
      <c r="G1391" s="410">
        <v>0</v>
      </c>
      <c r="H1391" s="410">
        <v>0</v>
      </c>
      <c r="I1391" s="410">
        <v>-4397.3524832082794</v>
      </c>
      <c r="J1391" s="410">
        <v>-6386.7700030887518</v>
      </c>
      <c r="K1391" s="410">
        <v>-11835.989853492923</v>
      </c>
      <c r="L1391" s="410">
        <v>-13851.606650119207</v>
      </c>
      <c r="M1391" s="410">
        <v>-14952.024630717626</v>
      </c>
      <c r="N1391" s="410">
        <v>-14973.441690065303</v>
      </c>
      <c r="O1391" s="410">
        <v>-17143.128624410165</v>
      </c>
      <c r="P1391" s="410">
        <v>-21082.146227753525</v>
      </c>
      <c r="Q1391" s="410">
        <v>-28644.421180535344</v>
      </c>
      <c r="R1391" s="410">
        <v>-26759.623870459127</v>
      </c>
      <c r="S1391" s="410">
        <v>-24345.113970090766</v>
      </c>
      <c r="T1391" s="410">
        <v>-30103.548178774567</v>
      </c>
      <c r="U1391" s="410">
        <v>-26460.835986056776</v>
      </c>
      <c r="V1391" s="410">
        <v>-25240.204586133637</v>
      </c>
      <c r="W1391" s="333"/>
    </row>
    <row r="1392" spans="1:23" ht="13.5" thickBot="1" x14ac:dyDescent="0.25">
      <c r="A1392" s="9"/>
      <c r="B1392" s="316" t="s">
        <v>33</v>
      </c>
      <c r="C1392" s="450">
        <v>0</v>
      </c>
      <c r="D1392" s="412">
        <v>0</v>
      </c>
      <c r="E1392" s="412">
        <v>0</v>
      </c>
      <c r="F1392" s="412">
        <v>0</v>
      </c>
      <c r="G1392" s="412">
        <v>0</v>
      </c>
      <c r="H1392" s="412">
        <v>0</v>
      </c>
      <c r="I1392" s="412">
        <v>-4397.3524832082794</v>
      </c>
      <c r="J1392" s="412">
        <v>-6386.7700030887518</v>
      </c>
      <c r="K1392" s="412">
        <v>-11835.989853492923</v>
      </c>
      <c r="L1392" s="412">
        <v>-13851.606650119207</v>
      </c>
      <c r="M1392" s="412">
        <v>-14952.024630717626</v>
      </c>
      <c r="N1392" s="412">
        <v>-14973.441690065303</v>
      </c>
      <c r="O1392" s="412">
        <v>-17143.128624410165</v>
      </c>
      <c r="P1392" s="412">
        <v>-21082.146227753525</v>
      </c>
      <c r="Q1392" s="412">
        <v>-28644.421180535344</v>
      </c>
      <c r="R1392" s="412">
        <v>-26759.623870459127</v>
      </c>
      <c r="S1392" s="412">
        <v>-24345.113970090766</v>
      </c>
      <c r="T1392" s="412">
        <v>-30103.548178774567</v>
      </c>
      <c r="U1392" s="412">
        <v>-26460.835986056776</v>
      </c>
      <c r="V1392" s="412">
        <v>-25240.204586133637</v>
      </c>
      <c r="W1392" s="333"/>
    </row>
    <row r="1393" spans="1:23" ht="13.5" thickTop="1" x14ac:dyDescent="0.2">
      <c r="A1393" s="9"/>
      <c r="B1393" s="317" t="s">
        <v>38</v>
      </c>
      <c r="C1393" s="451">
        <v>0</v>
      </c>
      <c r="D1393" s="414">
        <v>1707732.0986627075</v>
      </c>
      <c r="E1393" s="414">
        <v>1159870.2324161702</v>
      </c>
      <c r="F1393" s="414">
        <v>877553.06451361522</v>
      </c>
      <c r="G1393" s="414">
        <v>734160.55265724752</v>
      </c>
      <c r="H1393" s="414">
        <v>641675.07112116355</v>
      </c>
      <c r="I1393" s="414">
        <v>393429.70905828045</v>
      </c>
      <c r="J1393" s="414">
        <v>446679.42944969423</v>
      </c>
      <c r="K1393" s="414">
        <v>643312.89456797251</v>
      </c>
      <c r="L1393" s="414">
        <v>670252.49961882108</v>
      </c>
      <c r="M1393" s="414">
        <v>791091.1761787479</v>
      </c>
      <c r="N1393" s="414">
        <v>486398.80415007228</v>
      </c>
      <c r="O1393" s="414">
        <v>589257.27865813847</v>
      </c>
      <c r="P1393" s="414">
        <v>610758.08365492208</v>
      </c>
      <c r="Q1393" s="414">
        <v>766499.86465925374</v>
      </c>
      <c r="R1393" s="414">
        <v>603165.16629432142</v>
      </c>
      <c r="S1393" s="414">
        <v>408559.42210316518</v>
      </c>
      <c r="T1393" s="414">
        <v>540601.49143246422</v>
      </c>
      <c r="U1393" s="414">
        <v>603559.75698103826</v>
      </c>
      <c r="V1393" s="414">
        <v>412727.47182106494</v>
      </c>
      <c r="W1393" s="333"/>
    </row>
    <row r="1394" spans="1:23" x14ac:dyDescent="0.2">
      <c r="A1394" s="9"/>
      <c r="B1394" s="315" t="s">
        <v>34</v>
      </c>
      <c r="C1394" s="449">
        <v>0</v>
      </c>
      <c r="D1394" s="410">
        <v>-95881.418765655035</v>
      </c>
      <c r="E1394" s="410">
        <v>-97799.047140968134</v>
      </c>
      <c r="F1394" s="410">
        <v>-99755.028083787503</v>
      </c>
      <c r="G1394" s="410">
        <v>-101750.12864546325</v>
      </c>
      <c r="H1394" s="410">
        <v>-103785.13121837252</v>
      </c>
      <c r="I1394" s="410">
        <v>-105860.83384273997</v>
      </c>
      <c r="J1394" s="410">
        <v>-107978.05051959478</v>
      </c>
      <c r="K1394" s="410">
        <v>-110137.61152998668</v>
      </c>
      <c r="L1394" s="410">
        <v>-112340.36376058642</v>
      </c>
      <c r="M1394" s="410">
        <v>-114587.17103579815</v>
      </c>
      <c r="N1394" s="410">
        <v>-116878.91445651412</v>
      </c>
      <c r="O1394" s="410">
        <v>-119216.4927456444</v>
      </c>
      <c r="P1394" s="410">
        <v>-121600.82260055729</v>
      </c>
      <c r="Q1394" s="410">
        <v>-124032.83905256844</v>
      </c>
      <c r="R1394" s="410">
        <v>-126513.4958336198</v>
      </c>
      <c r="S1394" s="410">
        <v>-129043.76575029221</v>
      </c>
      <c r="T1394" s="410">
        <v>-131624.64106529806</v>
      </c>
      <c r="U1394" s="410">
        <v>-134257.13388660402</v>
      </c>
      <c r="V1394" s="410">
        <v>-136942.27656433609</v>
      </c>
      <c r="W1394" s="333"/>
    </row>
    <row r="1395" spans="1:23" x14ac:dyDescent="0.2">
      <c r="A1395" s="9"/>
      <c r="B1395" s="315" t="s">
        <v>35</v>
      </c>
      <c r="C1395" s="449">
        <v>0</v>
      </c>
      <c r="D1395" s="410">
        <v>-25448.602982352939</v>
      </c>
      <c r="E1395" s="410">
        <v>-25448.602982352939</v>
      </c>
      <c r="F1395" s="410">
        <v>-25448.602982352939</v>
      </c>
      <c r="G1395" s="410">
        <v>-25448.602982352939</v>
      </c>
      <c r="H1395" s="410">
        <v>-25448.602982352939</v>
      </c>
      <c r="I1395" s="410">
        <v>-25448.602982352939</v>
      </c>
      <c r="J1395" s="410">
        <v>-25448.602982352939</v>
      </c>
      <c r="K1395" s="410">
        <v>-25448.602982352939</v>
      </c>
      <c r="L1395" s="410">
        <v>-25448.602982352939</v>
      </c>
      <c r="M1395" s="410">
        <v>-25448.602982352939</v>
      </c>
      <c r="N1395" s="410">
        <v>-25448.602982352939</v>
      </c>
      <c r="O1395" s="410">
        <v>-25448.602982352939</v>
      </c>
      <c r="P1395" s="410">
        <v>-25448.602982352939</v>
      </c>
      <c r="Q1395" s="410">
        <v>-25448.602982352939</v>
      </c>
      <c r="R1395" s="410">
        <v>-25448.602982352939</v>
      </c>
      <c r="S1395" s="410">
        <v>-25448.602982352939</v>
      </c>
      <c r="T1395" s="410">
        <v>-25448.602982352939</v>
      </c>
      <c r="U1395" s="410">
        <v>-25448.602982352939</v>
      </c>
      <c r="V1395" s="410">
        <v>-25448.602982352939</v>
      </c>
      <c r="W1395" s="333"/>
    </row>
    <row r="1396" spans="1:23" ht="13.5" thickBot="1" x14ac:dyDescent="0.25">
      <c r="A1396" s="9"/>
      <c r="B1396" s="316" t="s">
        <v>36</v>
      </c>
      <c r="C1396" s="450">
        <v>0</v>
      </c>
      <c r="D1396" s="412">
        <v>-3652.5664182404298</v>
      </c>
      <c r="E1396" s="412">
        <v>-3729.63556966532</v>
      </c>
      <c r="F1396" s="412">
        <v>-3811.3145886409998</v>
      </c>
      <c r="G1396" s="412">
        <v>-3897.4502983442499</v>
      </c>
      <c r="H1396" s="412">
        <v>-3990.20961544486</v>
      </c>
      <c r="I1396" s="412">
        <v>-4090.2046695508502</v>
      </c>
      <c r="J1396" s="412">
        <v>-4191.6531401409502</v>
      </c>
      <c r="K1396" s="412">
        <v>-4297.7525434801701</v>
      </c>
      <c r="L1396" s="412">
        <v>-4403.9070313041402</v>
      </c>
      <c r="M1396" s="412">
        <v>-4516.20666060238</v>
      </c>
      <c r="N1396" s="412">
        <v>-4625.4988617889703</v>
      </c>
      <c r="O1396" s="412">
        <v>-4742.0614331060397</v>
      </c>
      <c r="P1396" s="412">
        <v>-4862.5097935069298</v>
      </c>
      <c r="Q1396" s="412">
        <v>-4984.0725383445997</v>
      </c>
      <c r="R1396" s="412">
        <v>-5109.1727590570499</v>
      </c>
      <c r="S1396" s="412">
        <v>-5236.9020780334804</v>
      </c>
      <c r="T1396" s="412">
        <v>-5366.7772495687004</v>
      </c>
      <c r="U1396" s="412">
        <v>-5501.4833585328897</v>
      </c>
      <c r="V1396" s="412">
        <v>-5639.5705908320597</v>
      </c>
      <c r="W1396" s="333"/>
    </row>
    <row r="1397" spans="1:23" ht="13.5" thickTop="1" x14ac:dyDescent="0.2">
      <c r="A1397" s="9"/>
      <c r="B1397" s="317" t="s">
        <v>221</v>
      </c>
      <c r="C1397" s="452">
        <v>0</v>
      </c>
      <c r="D1397" s="416">
        <v>1582749.510496459</v>
      </c>
      <c r="E1397" s="416">
        <v>1032892.9467231838</v>
      </c>
      <c r="F1397" s="416">
        <v>748538.11885883368</v>
      </c>
      <c r="G1397" s="416">
        <v>603064.37073108705</v>
      </c>
      <c r="H1397" s="416">
        <v>508451.12730499322</v>
      </c>
      <c r="I1397" s="416">
        <v>258030.06756363666</v>
      </c>
      <c r="J1397" s="416">
        <v>309061.12280760554</v>
      </c>
      <c r="K1397" s="416">
        <v>503428.92751215264</v>
      </c>
      <c r="L1397" s="416">
        <v>528059.62584457768</v>
      </c>
      <c r="M1397" s="416">
        <v>646539.19549999444</v>
      </c>
      <c r="N1397" s="416">
        <v>339445.78784941626</v>
      </c>
      <c r="O1397" s="416">
        <v>439850.12149703508</v>
      </c>
      <c r="P1397" s="416">
        <v>458846.1482785049</v>
      </c>
      <c r="Q1397" s="416">
        <v>612034.35008598771</v>
      </c>
      <c r="R1397" s="416">
        <v>446093.89471929165</v>
      </c>
      <c r="S1397" s="416">
        <v>248830.15129248652</v>
      </c>
      <c r="T1397" s="416">
        <v>378161.47013524448</v>
      </c>
      <c r="U1397" s="416">
        <v>438352.53675354843</v>
      </c>
      <c r="V1397" s="416">
        <v>244697.02168354383</v>
      </c>
      <c r="W1397" s="333"/>
    </row>
    <row r="1398" spans="1:23" x14ac:dyDescent="0.2">
      <c r="A1398" s="9"/>
      <c r="B1398" s="315" t="s">
        <v>37</v>
      </c>
      <c r="C1398" s="449">
        <v>0</v>
      </c>
      <c r="D1398" s="410">
        <v>-168361.33607054193</v>
      </c>
      <c r="E1398" s="410">
        <v>-154519.9530873629</v>
      </c>
      <c r="F1398" s="410">
        <v>-134821.65461738346</v>
      </c>
      <c r="G1398" s="410">
        <v>-114854.12729364686</v>
      </c>
      <c r="H1398" s="410">
        <v>-106751.61665344334</v>
      </c>
      <c r="I1398" s="410">
        <v>-106607.35732462924</v>
      </c>
      <c r="J1398" s="410">
        <v>-113701.42884545858</v>
      </c>
      <c r="K1398" s="410">
        <v>-120305.21250662924</v>
      </c>
      <c r="L1398" s="410">
        <v>-126853.22212775858</v>
      </c>
      <c r="M1398" s="410">
        <v>-132968.18877944423</v>
      </c>
      <c r="N1398" s="410">
        <v>-130162.78963530177</v>
      </c>
      <c r="O1398" s="410">
        <v>-126942.41828731765</v>
      </c>
      <c r="P1398" s="410">
        <v>-133014.81386177582</v>
      </c>
      <c r="Q1398" s="410">
        <v>-100287.45837453086</v>
      </c>
      <c r="R1398" s="410">
        <v>-67875.226880618153</v>
      </c>
      <c r="S1398" s="410">
        <v>-74367.319107038682</v>
      </c>
      <c r="T1398" s="410">
        <v>-81054.174100251868</v>
      </c>
      <c r="U1398" s="410">
        <v>-87941.634743261413</v>
      </c>
      <c r="V1398" s="410">
        <v>-95035.719205561269</v>
      </c>
      <c r="W1398" s="333"/>
    </row>
    <row r="1399" spans="1:23" ht="13.5" thickBot="1" x14ac:dyDescent="0.25">
      <c r="A1399" s="9"/>
      <c r="B1399" s="316" t="s">
        <v>222</v>
      </c>
      <c r="C1399" s="450">
        <v>0</v>
      </c>
      <c r="D1399" s="412">
        <v>-565755.26977036684</v>
      </c>
      <c r="E1399" s="412">
        <v>-351349.19745432842</v>
      </c>
      <c r="F1399" s="412">
        <v>-245486.58569658009</v>
      </c>
      <c r="G1399" s="412">
        <v>-195284.09737497609</v>
      </c>
      <c r="H1399" s="412">
        <v>-160679.80426061997</v>
      </c>
      <c r="I1399" s="412">
        <v>-60569.084095602972</v>
      </c>
      <c r="J1399" s="412">
        <v>-78143.877584858783</v>
      </c>
      <c r="K1399" s="412">
        <v>-153249.48600220936</v>
      </c>
      <c r="L1399" s="412">
        <v>-160482.56148672767</v>
      </c>
      <c r="M1399" s="412">
        <v>-205428.40268822011</v>
      </c>
      <c r="N1399" s="412">
        <v>-83713.199285645795</v>
      </c>
      <c r="O1399" s="412">
        <v>-125163.08128388698</v>
      </c>
      <c r="P1399" s="412">
        <v>-130332.53376669163</v>
      </c>
      <c r="Q1399" s="412">
        <v>-204698.75668458274</v>
      </c>
      <c r="R1399" s="412">
        <v>-151287.4671354694</v>
      </c>
      <c r="S1399" s="412">
        <v>-69785.132874179151</v>
      </c>
      <c r="T1399" s="412">
        <v>-118842.91841399705</v>
      </c>
      <c r="U1399" s="412">
        <v>-140164.36080411481</v>
      </c>
      <c r="V1399" s="412">
        <v>-59864.520991193029</v>
      </c>
      <c r="W1399" s="333"/>
    </row>
    <row r="1400" spans="1:23" ht="13.5" thickTop="1" x14ac:dyDescent="0.2">
      <c r="A1400" s="9"/>
      <c r="B1400" s="317" t="s">
        <v>183</v>
      </c>
      <c r="C1400" s="452">
        <v>0</v>
      </c>
      <c r="D1400" s="416">
        <v>848632.90465555014</v>
      </c>
      <c r="E1400" s="416">
        <v>527023.79618149251</v>
      </c>
      <c r="F1400" s="416">
        <v>368229.87854487007</v>
      </c>
      <c r="G1400" s="416">
        <v>292926.1460624641</v>
      </c>
      <c r="H1400" s="416">
        <v>241019.70639092993</v>
      </c>
      <c r="I1400" s="416">
        <v>90853.626143404457</v>
      </c>
      <c r="J1400" s="416">
        <v>117215.81637728818</v>
      </c>
      <c r="K1400" s="416">
        <v>229874.22900331405</v>
      </c>
      <c r="L1400" s="416">
        <v>240723.84223009145</v>
      </c>
      <c r="M1400" s="416">
        <v>308142.6040323301</v>
      </c>
      <c r="N1400" s="416">
        <v>125569.79892846869</v>
      </c>
      <c r="O1400" s="416">
        <v>187744.62192583043</v>
      </c>
      <c r="P1400" s="416">
        <v>195498.80065003742</v>
      </c>
      <c r="Q1400" s="416">
        <v>307048.13502687408</v>
      </c>
      <c r="R1400" s="416">
        <v>226931.20070320411</v>
      </c>
      <c r="S1400" s="416">
        <v>104677.69931126871</v>
      </c>
      <c r="T1400" s="416">
        <v>178264.37762099557</v>
      </c>
      <c r="U1400" s="416">
        <v>210246.54120617223</v>
      </c>
      <c r="V1400" s="416">
        <v>89796.781486789536</v>
      </c>
      <c r="W1400" s="333"/>
    </row>
    <row r="1401" spans="1:23" x14ac:dyDescent="0.2">
      <c r="A1401" s="9"/>
      <c r="B1401" s="315" t="s">
        <v>37</v>
      </c>
      <c r="C1401" s="449">
        <v>0</v>
      </c>
      <c r="D1401" s="410">
        <v>168361.33607054193</v>
      </c>
      <c r="E1401" s="410">
        <v>154519.9530873629</v>
      </c>
      <c r="F1401" s="410">
        <v>134821.65461738346</v>
      </c>
      <c r="G1401" s="410">
        <v>114854.12729364686</v>
      </c>
      <c r="H1401" s="410">
        <v>106751.61665344334</v>
      </c>
      <c r="I1401" s="410">
        <v>106607.35732462924</v>
      </c>
      <c r="J1401" s="410">
        <v>113701.42884545858</v>
      </c>
      <c r="K1401" s="410">
        <v>120305.21250662924</v>
      </c>
      <c r="L1401" s="410">
        <v>126853.22212775858</v>
      </c>
      <c r="M1401" s="410">
        <v>132968.18877944423</v>
      </c>
      <c r="N1401" s="410">
        <v>130162.78963530177</v>
      </c>
      <c r="O1401" s="410">
        <v>126942.41828731765</v>
      </c>
      <c r="P1401" s="410">
        <v>133014.81386177582</v>
      </c>
      <c r="Q1401" s="410">
        <v>100287.45837453086</v>
      </c>
      <c r="R1401" s="410">
        <v>67875.226880618153</v>
      </c>
      <c r="S1401" s="410">
        <v>74367.319107038682</v>
      </c>
      <c r="T1401" s="410">
        <v>81054.174100251868</v>
      </c>
      <c r="U1401" s="410">
        <v>87941.634743261413</v>
      </c>
      <c r="V1401" s="410">
        <v>95035.719205561269</v>
      </c>
      <c r="W1401" s="333"/>
    </row>
    <row r="1402" spans="1:23" x14ac:dyDescent="0.2">
      <c r="A1402" s="9"/>
      <c r="B1402" s="315" t="s">
        <v>39</v>
      </c>
      <c r="C1402" s="449">
        <v>0</v>
      </c>
      <c r="D1402" s="410">
        <v>-907.34</v>
      </c>
      <c r="E1402" s="410">
        <v>-943.94</v>
      </c>
      <c r="F1402" s="410">
        <v>-982.06</v>
      </c>
      <c r="G1402" s="410">
        <v>-1025.72</v>
      </c>
      <c r="H1402" s="410">
        <v>-100000</v>
      </c>
      <c r="I1402" s="410">
        <v>-103000</v>
      </c>
      <c r="J1402" s="410">
        <v>-106090</v>
      </c>
      <c r="K1402" s="410">
        <v>-109272.7</v>
      </c>
      <c r="L1402" s="410">
        <v>-112550.88099999999</v>
      </c>
      <c r="M1402" s="410">
        <v>-115927.40742999999</v>
      </c>
      <c r="N1402" s="410">
        <v>-119405.2296529</v>
      </c>
      <c r="O1402" s="410">
        <v>-122987.386542487</v>
      </c>
      <c r="P1402" s="410">
        <v>-126677.00813876161</v>
      </c>
      <c r="Q1402" s="410">
        <v>-130477.31838292447</v>
      </c>
      <c r="R1402" s="410">
        <v>-134391.6379344122</v>
      </c>
      <c r="S1402" s="410">
        <v>-138423.38707244457</v>
      </c>
      <c r="T1402" s="410">
        <v>-142576.08868461792</v>
      </c>
      <c r="U1402" s="410">
        <v>-146853.37134515645</v>
      </c>
      <c r="V1402" s="410">
        <v>-151258.97248551116</v>
      </c>
      <c r="W1402" s="333"/>
    </row>
    <row r="1403" spans="1:23" ht="13.5" thickBot="1" x14ac:dyDescent="0.25">
      <c r="A1403" s="9"/>
      <c r="B1403" s="316" t="s">
        <v>40</v>
      </c>
      <c r="C1403" s="450">
        <v>0</v>
      </c>
      <c r="D1403" s="412">
        <v>0</v>
      </c>
      <c r="E1403" s="412">
        <v>0</v>
      </c>
      <c r="F1403" s="412">
        <v>0</v>
      </c>
      <c r="G1403" s="412">
        <v>0</v>
      </c>
      <c r="H1403" s="412">
        <v>0</v>
      </c>
      <c r="I1403" s="412">
        <v>0</v>
      </c>
      <c r="J1403" s="412">
        <v>0</v>
      </c>
      <c r="K1403" s="412">
        <v>0</v>
      </c>
      <c r="L1403" s="412">
        <v>0</v>
      </c>
      <c r="M1403" s="412">
        <v>0</v>
      </c>
      <c r="N1403" s="412">
        <v>0</v>
      </c>
      <c r="O1403" s="412">
        <v>0</v>
      </c>
      <c r="P1403" s="412">
        <v>0</v>
      </c>
      <c r="Q1403" s="412">
        <v>0</v>
      </c>
      <c r="R1403" s="412">
        <v>0</v>
      </c>
      <c r="S1403" s="412">
        <v>0</v>
      </c>
      <c r="T1403" s="412">
        <v>0</v>
      </c>
      <c r="U1403" s="412">
        <v>0</v>
      </c>
      <c r="V1403" s="412">
        <v>0</v>
      </c>
      <c r="W1403" s="333"/>
    </row>
    <row r="1404" spans="1:23" ht="13.5" thickTop="1" x14ac:dyDescent="0.2">
      <c r="A1404" s="9"/>
      <c r="B1404" s="315"/>
      <c r="C1404" s="453"/>
      <c r="D1404" s="333"/>
      <c r="E1404" s="333"/>
      <c r="F1404" s="333"/>
      <c r="G1404" s="333"/>
      <c r="H1404" s="333"/>
      <c r="I1404" s="333"/>
      <c r="J1404" s="333"/>
      <c r="K1404" s="333"/>
      <c r="L1404" s="333"/>
      <c r="M1404" s="333"/>
      <c r="N1404" s="333"/>
      <c r="O1404" s="333"/>
      <c r="P1404" s="333"/>
      <c r="Q1404" s="333"/>
      <c r="R1404" s="333"/>
      <c r="S1404" s="333"/>
      <c r="T1404" s="333"/>
      <c r="U1404" s="333"/>
      <c r="V1404" s="333"/>
      <c r="W1404" s="333"/>
    </row>
    <row r="1405" spans="1:23" x14ac:dyDescent="0.2">
      <c r="A1405" s="9"/>
      <c r="B1405" s="317" t="s">
        <v>234</v>
      </c>
      <c r="C1405" s="452">
        <v>0</v>
      </c>
      <c r="D1405" s="416">
        <v>1016086.9007260922</v>
      </c>
      <c r="E1405" s="416">
        <v>680599.80926885549</v>
      </c>
      <c r="F1405" s="416">
        <v>502069.47316225356</v>
      </c>
      <c r="G1405" s="416">
        <v>406754.55335611099</v>
      </c>
      <c r="H1405" s="416">
        <v>247771.3230443733</v>
      </c>
      <c r="I1405" s="416">
        <v>94460.983468033693</v>
      </c>
      <c r="J1405" s="416">
        <v>124827.24522274674</v>
      </c>
      <c r="K1405" s="416">
        <v>240906.74150994327</v>
      </c>
      <c r="L1405" s="416">
        <v>255026.18335785001</v>
      </c>
      <c r="M1405" s="416">
        <v>325183.38538177428</v>
      </c>
      <c r="N1405" s="416">
        <v>136327.35891087045</v>
      </c>
      <c r="O1405" s="416">
        <v>191699.65367066109</v>
      </c>
      <c r="P1405" s="416">
        <v>201836.60637305165</v>
      </c>
      <c r="Q1405" s="416">
        <v>276858.27501848043</v>
      </c>
      <c r="R1405" s="416">
        <v>160414.78964941009</v>
      </c>
      <c r="S1405" s="416">
        <v>40621.631345862814</v>
      </c>
      <c r="T1405" s="416">
        <v>116742.46303662952</v>
      </c>
      <c r="U1405" s="416">
        <v>151334.80460427719</v>
      </c>
      <c r="V1405" s="416">
        <v>33573.528206839634</v>
      </c>
      <c r="W1405" s="414">
        <v>1004386.3283369066</v>
      </c>
    </row>
    <row r="1406" spans="1:23" x14ac:dyDescent="0.2">
      <c r="A1406" s="9"/>
      <c r="B1406" s="292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</row>
    <row r="1407" spans="1:23" x14ac:dyDescent="0.2">
      <c r="A1407" s="308" t="s">
        <v>219</v>
      </c>
      <c r="B1407" s="306" t="s">
        <v>170</v>
      </c>
      <c r="C1407" s="439">
        <v>2407091.9282612097</v>
      </c>
      <c r="D1407" s="9"/>
      <c r="E1407" s="137" t="s">
        <v>220</v>
      </c>
      <c r="F1407" s="319" t="s">
        <v>170</v>
      </c>
      <c r="G1407" s="443">
        <v>2407091.9282612097</v>
      </c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</row>
    <row r="1408" spans="1:23" x14ac:dyDescent="0.2">
      <c r="A1408" s="9"/>
      <c r="B1408" s="306" t="s">
        <v>180</v>
      </c>
      <c r="C1408" s="439">
        <v>845939.15878870641</v>
      </c>
      <c r="D1408" s="9"/>
      <c r="E1408" s="321"/>
      <c r="F1408" s="319" t="s">
        <v>180</v>
      </c>
      <c r="G1408" s="443">
        <v>845939.15878870641</v>
      </c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</row>
    <row r="1409" spans="1:23" ht="13.5" thickBot="1" x14ac:dyDescent="0.25">
      <c r="A1409" s="9"/>
      <c r="B1409" s="322" t="s">
        <v>137</v>
      </c>
      <c r="C1409" s="440">
        <v>156582.57541071801</v>
      </c>
      <c r="D1409" s="323"/>
      <c r="E1409" s="321"/>
      <c r="F1409" s="319" t="s">
        <v>137</v>
      </c>
      <c r="G1409" s="443">
        <v>156582.57541071801</v>
      </c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</row>
    <row r="1410" spans="1:23" ht="14.25" thickTop="1" thickBot="1" x14ac:dyDescent="0.25">
      <c r="A1410" s="9"/>
      <c r="B1410" s="306" t="s">
        <v>28</v>
      </c>
      <c r="C1410" s="438">
        <v>3409613.662460635</v>
      </c>
      <c r="D1410" s="305"/>
      <c r="E1410" s="321"/>
      <c r="F1410" s="324" t="s">
        <v>204</v>
      </c>
      <c r="G1410" s="325">
        <v>0</v>
      </c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</row>
    <row r="1411" spans="1:23" ht="13.5" thickTop="1" x14ac:dyDescent="0.2">
      <c r="A1411" s="9"/>
      <c r="B1411" s="292"/>
      <c r="C1411" s="326"/>
      <c r="D1411" s="9"/>
      <c r="E1411" s="327"/>
      <c r="F1411" s="319" t="s">
        <v>28</v>
      </c>
      <c r="G1411" s="368">
        <v>3409613.662460635</v>
      </c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</row>
    <row r="1412" spans="1:23" x14ac:dyDescent="0.2">
      <c r="A1412" s="9"/>
      <c r="B1412" s="292"/>
      <c r="C1412" s="326"/>
      <c r="D1412" s="9"/>
      <c r="E1412" s="327"/>
      <c r="F1412" s="319"/>
      <c r="G1412" s="328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</row>
    <row r="1413" spans="1:23" x14ac:dyDescent="0.2">
      <c r="A1413" s="9"/>
      <c r="B1413" s="292"/>
      <c r="C1413" s="326"/>
      <c r="D1413" s="9"/>
      <c r="E1413" s="327"/>
      <c r="F1413" s="319"/>
      <c r="G1413" s="328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</row>
    <row r="1414" spans="1:23" x14ac:dyDescent="0.2">
      <c r="A1414" s="9"/>
      <c r="B1414" s="329" t="s">
        <v>223</v>
      </c>
      <c r="C1414" s="326"/>
      <c r="D1414" s="9"/>
      <c r="E1414" s="327"/>
      <c r="F1414" s="319"/>
      <c r="G1414" s="328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</row>
    <row r="1415" spans="1:23" x14ac:dyDescent="0.2">
      <c r="A1415" s="330" t="s">
        <v>225</v>
      </c>
      <c r="B1415" s="329" t="s">
        <v>224</v>
      </c>
      <c r="C1415" s="331"/>
      <c r="D1415" s="332">
        <v>848632.90465555014</v>
      </c>
      <c r="E1415" s="332">
        <v>527023.79618149251</v>
      </c>
      <c r="F1415" s="332">
        <v>368229.87854487007</v>
      </c>
      <c r="G1415" s="332">
        <v>292926.1460624641</v>
      </c>
      <c r="H1415" s="332">
        <v>241019.70639092993</v>
      </c>
      <c r="I1415" s="332">
        <v>90853.626143404457</v>
      </c>
      <c r="J1415" s="332">
        <v>117215.81637728818</v>
      </c>
      <c r="K1415" s="332">
        <v>229874.22900331405</v>
      </c>
      <c r="L1415" s="332">
        <v>240723.84223009145</v>
      </c>
      <c r="M1415" s="332">
        <v>308142.6040323301</v>
      </c>
      <c r="N1415" s="332">
        <v>125569.79892846869</v>
      </c>
      <c r="O1415" s="332">
        <v>187744.62192583043</v>
      </c>
      <c r="P1415" s="332">
        <v>195498.80065003742</v>
      </c>
      <c r="Q1415" s="332">
        <v>307048.13502687408</v>
      </c>
      <c r="R1415" s="332">
        <v>226931.20070320411</v>
      </c>
      <c r="S1415" s="332">
        <v>104677.69931126871</v>
      </c>
      <c r="T1415" s="332">
        <v>178264.37762099557</v>
      </c>
      <c r="U1415" s="332">
        <v>210246.54120617223</v>
      </c>
      <c r="V1415" s="332">
        <v>89796.781486789536</v>
      </c>
      <c r="W1415" s="9"/>
    </row>
    <row r="1416" spans="1:23" x14ac:dyDescent="0.2">
      <c r="A1416" s="9"/>
      <c r="B1416" s="292" t="s">
        <v>226</v>
      </c>
      <c r="C1416" s="326"/>
      <c r="D1416" s="333">
        <v>565755.26977036684</v>
      </c>
      <c r="E1416" s="333">
        <v>351349.19745432842</v>
      </c>
      <c r="F1416" s="333">
        <v>245486.58569658009</v>
      </c>
      <c r="G1416" s="333">
        <v>195284.09737497609</v>
      </c>
      <c r="H1416" s="333">
        <v>160679.80426061997</v>
      </c>
      <c r="I1416" s="333">
        <v>60569.084095602972</v>
      </c>
      <c r="J1416" s="333">
        <v>78143.877584858783</v>
      </c>
      <c r="K1416" s="333">
        <v>153249.48600220936</v>
      </c>
      <c r="L1416" s="333">
        <v>160482.56148672767</v>
      </c>
      <c r="M1416" s="333">
        <v>205428.40268822011</v>
      </c>
      <c r="N1416" s="333">
        <v>83713.199285645795</v>
      </c>
      <c r="O1416" s="333">
        <v>125163.08128388698</v>
      </c>
      <c r="P1416" s="333">
        <v>130332.53376669163</v>
      </c>
      <c r="Q1416" s="333">
        <v>204698.75668458274</v>
      </c>
      <c r="R1416" s="333">
        <v>151287.4671354694</v>
      </c>
      <c r="S1416" s="333">
        <v>69785.132874179151</v>
      </c>
      <c r="T1416" s="333">
        <v>118842.91841399705</v>
      </c>
      <c r="U1416" s="333">
        <v>140164.36080411481</v>
      </c>
      <c r="V1416" s="333">
        <v>59864.520991193029</v>
      </c>
      <c r="W1416" s="9"/>
    </row>
    <row r="1417" spans="1:23" x14ac:dyDescent="0.2">
      <c r="A1417" s="9"/>
      <c r="B1417" s="334" t="s">
        <v>227</v>
      </c>
      <c r="C1417" s="335"/>
      <c r="D1417" s="333">
        <v>168361.33607054193</v>
      </c>
      <c r="E1417" s="333">
        <v>154519.9530873629</v>
      </c>
      <c r="F1417" s="333">
        <v>134821.65461738346</v>
      </c>
      <c r="G1417" s="333">
        <v>114854.12729364686</v>
      </c>
      <c r="H1417" s="333">
        <v>106751.61665344334</v>
      </c>
      <c r="I1417" s="333">
        <v>106607.35732462924</v>
      </c>
      <c r="J1417" s="333">
        <v>113701.42884545858</v>
      </c>
      <c r="K1417" s="333">
        <v>120305.21250662924</v>
      </c>
      <c r="L1417" s="333">
        <v>126853.22212775858</v>
      </c>
      <c r="M1417" s="333">
        <v>132968.18877944423</v>
      </c>
      <c r="N1417" s="333">
        <v>130162.78963530177</v>
      </c>
      <c r="O1417" s="333">
        <v>126942.41828731765</v>
      </c>
      <c r="P1417" s="333">
        <v>133014.81386177582</v>
      </c>
      <c r="Q1417" s="333">
        <v>100287.45837453086</v>
      </c>
      <c r="R1417" s="333">
        <v>67875.226880618153</v>
      </c>
      <c r="S1417" s="333">
        <v>74367.319107038682</v>
      </c>
      <c r="T1417" s="333">
        <v>81054.174100251868</v>
      </c>
      <c r="U1417" s="333">
        <v>87941.634743261413</v>
      </c>
      <c r="V1417" s="333">
        <v>95035.719205561269</v>
      </c>
      <c r="W1417" s="9"/>
    </row>
    <row r="1418" spans="1:23" ht="13.5" thickBot="1" x14ac:dyDescent="0.25">
      <c r="A1418" s="9"/>
      <c r="B1418" s="336" t="s">
        <v>228</v>
      </c>
      <c r="C1418" s="337"/>
      <c r="D1418" s="338">
        <v>1582749.510496459</v>
      </c>
      <c r="E1418" s="338">
        <v>1032892.9467231838</v>
      </c>
      <c r="F1418" s="338">
        <v>748538.11885883368</v>
      </c>
      <c r="G1418" s="338">
        <v>603064.37073108705</v>
      </c>
      <c r="H1418" s="338">
        <v>508451.12730499322</v>
      </c>
      <c r="I1418" s="338">
        <v>258030.06756363666</v>
      </c>
      <c r="J1418" s="338">
        <v>309061.12280760554</v>
      </c>
      <c r="K1418" s="338">
        <v>503428.92751215264</v>
      </c>
      <c r="L1418" s="338">
        <v>528059.62584457768</v>
      </c>
      <c r="M1418" s="338">
        <v>646539.19549999444</v>
      </c>
      <c r="N1418" s="338">
        <v>339445.78784941626</v>
      </c>
      <c r="O1418" s="338">
        <v>439850.12149703503</v>
      </c>
      <c r="P1418" s="338">
        <v>458846.14827850484</v>
      </c>
      <c r="Q1418" s="338">
        <v>612034.35008598771</v>
      </c>
      <c r="R1418" s="338">
        <v>446093.89471929165</v>
      </c>
      <c r="S1418" s="338">
        <v>248830.15129248652</v>
      </c>
      <c r="T1418" s="338">
        <v>378161.47013524448</v>
      </c>
      <c r="U1418" s="338">
        <v>438352.53675354843</v>
      </c>
      <c r="V1418" s="338">
        <v>244697.02168354383</v>
      </c>
      <c r="W1418" s="9"/>
    </row>
    <row r="1419" spans="1:23" ht="13.5" thickTop="1" x14ac:dyDescent="0.2">
      <c r="A1419" s="330" t="s">
        <v>229</v>
      </c>
      <c r="B1419" s="292" t="s">
        <v>230</v>
      </c>
      <c r="C1419" s="326"/>
      <c r="D1419" s="333">
        <v>-215397.14787204363</v>
      </c>
      <c r="E1419" s="333">
        <v>-215444.34487204364</v>
      </c>
      <c r="F1419" s="333">
        <v>-215493.44787204362</v>
      </c>
      <c r="G1419" s="333">
        <v>-202117.81096455472</v>
      </c>
      <c r="H1419" s="333">
        <v>-14460.214048255075</v>
      </c>
      <c r="I1419" s="333">
        <v>-19610.214048255075</v>
      </c>
      <c r="J1419" s="333">
        <v>-24914.714048255075</v>
      </c>
      <c r="K1419" s="333">
        <v>-30378.349048255077</v>
      </c>
      <c r="L1419" s="333">
        <v>-36005.893098255081</v>
      </c>
      <c r="M1419" s="333">
        <v>-41802.263469755075</v>
      </c>
      <c r="N1419" s="333">
        <v>-47772.524952400076</v>
      </c>
      <c r="O1419" s="333">
        <v>-53921.894279524429</v>
      </c>
      <c r="P1419" s="333">
        <v>-60255.744686462509</v>
      </c>
      <c r="Q1419" s="333">
        <v>-66779.61060560873</v>
      </c>
      <c r="R1419" s="333">
        <v>-73499.192502329344</v>
      </c>
      <c r="S1419" s="333">
        <v>-80420.361855951574</v>
      </c>
      <c r="T1419" s="333">
        <v>-87549.166290182475</v>
      </c>
      <c r="U1419" s="333">
        <v>-94891.834857440292</v>
      </c>
      <c r="V1419" s="333">
        <v>-102454.78348171584</v>
      </c>
      <c r="W1419" s="9"/>
    </row>
    <row r="1420" spans="1:23" x14ac:dyDescent="0.2">
      <c r="A1420" s="9"/>
      <c r="B1420" s="292" t="s">
        <v>231</v>
      </c>
      <c r="C1420" s="326"/>
      <c r="D1420" s="333">
        <v>0</v>
      </c>
      <c r="E1420" s="333">
        <v>0</v>
      </c>
      <c r="F1420" s="333">
        <v>0</v>
      </c>
      <c r="G1420" s="333">
        <v>0</v>
      </c>
      <c r="H1420" s="333">
        <v>0</v>
      </c>
      <c r="I1420" s="333">
        <v>0</v>
      </c>
      <c r="J1420" s="333">
        <v>0</v>
      </c>
      <c r="K1420" s="333">
        <v>0</v>
      </c>
      <c r="L1420" s="333">
        <v>0</v>
      </c>
      <c r="M1420" s="333">
        <v>0</v>
      </c>
      <c r="N1420" s="333">
        <v>0</v>
      </c>
      <c r="O1420" s="333">
        <v>0</v>
      </c>
      <c r="P1420" s="333">
        <v>0</v>
      </c>
      <c r="Q1420" s="333">
        <v>0</v>
      </c>
      <c r="R1420" s="333">
        <v>0</v>
      </c>
      <c r="S1420" s="333">
        <v>0</v>
      </c>
      <c r="T1420" s="333">
        <v>0</v>
      </c>
      <c r="U1420" s="333">
        <v>0</v>
      </c>
      <c r="V1420" s="333">
        <v>0</v>
      </c>
      <c r="W1420" s="9"/>
    </row>
    <row r="1421" spans="1:23" x14ac:dyDescent="0.2">
      <c r="A1421" s="9"/>
      <c r="B1421" s="329" t="s">
        <v>232</v>
      </c>
      <c r="C1421" s="331"/>
      <c r="D1421" s="332">
        <v>1367352.3626244154</v>
      </c>
      <c r="E1421" s="332">
        <v>817448.60185114015</v>
      </c>
      <c r="F1421" s="332">
        <v>533044.67098679009</v>
      </c>
      <c r="G1421" s="332">
        <v>400946.55976653233</v>
      </c>
      <c r="H1421" s="332">
        <v>493990.91325673816</v>
      </c>
      <c r="I1421" s="332">
        <v>238419.85351538158</v>
      </c>
      <c r="J1421" s="332">
        <v>284146.40875935048</v>
      </c>
      <c r="K1421" s="332">
        <v>473050.57846389757</v>
      </c>
      <c r="L1421" s="332">
        <v>492053.73274632258</v>
      </c>
      <c r="M1421" s="332">
        <v>604736.93203023938</v>
      </c>
      <c r="N1421" s="332">
        <v>291673.26289701619</v>
      </c>
      <c r="O1421" s="332">
        <v>385928.22721751058</v>
      </c>
      <c r="P1421" s="332">
        <v>398590.40359204233</v>
      </c>
      <c r="Q1421" s="332">
        <v>545254.73948037904</v>
      </c>
      <c r="R1421" s="332">
        <v>372594.70221696229</v>
      </c>
      <c r="S1421" s="332">
        <v>168409.78943653495</v>
      </c>
      <c r="T1421" s="332">
        <v>290612.30384506204</v>
      </c>
      <c r="U1421" s="332">
        <v>343460.7018961081</v>
      </c>
      <c r="V1421" s="332">
        <v>142242.23820182797</v>
      </c>
      <c r="W1421" s="9"/>
    </row>
    <row r="1422" spans="1:23" ht="13.5" thickBot="1" x14ac:dyDescent="0.25">
      <c r="A1422" s="9"/>
      <c r="B1422" s="339" t="s">
        <v>238</v>
      </c>
      <c r="C1422" s="340"/>
      <c r="D1422" s="341">
        <v>-546940.94504976622</v>
      </c>
      <c r="E1422" s="341">
        <v>-326979.44074045611</v>
      </c>
      <c r="F1422" s="341">
        <v>-213217.86839471606</v>
      </c>
      <c r="G1422" s="341">
        <v>-160378.62390661295</v>
      </c>
      <c r="H1422" s="341">
        <v>-197596.36530269528</v>
      </c>
      <c r="I1422" s="341">
        <v>-95367.941406152633</v>
      </c>
      <c r="J1422" s="341">
        <v>-113658.5635037402</v>
      </c>
      <c r="K1422" s="341">
        <v>-189220.23138555905</v>
      </c>
      <c r="L1422" s="341">
        <v>-196821.49309852906</v>
      </c>
      <c r="M1422" s="341">
        <v>-241894.77281209576</v>
      </c>
      <c r="N1422" s="341">
        <v>-116669.30515880648</v>
      </c>
      <c r="O1422" s="341">
        <v>-154371.29088700423</v>
      </c>
      <c r="P1422" s="341">
        <v>-159436.16143681694</v>
      </c>
      <c r="Q1422" s="341">
        <v>-218101.89579215163</v>
      </c>
      <c r="R1422" s="341">
        <v>-149037.88088678493</v>
      </c>
      <c r="S1422" s="341">
        <v>-67363.915774613983</v>
      </c>
      <c r="T1422" s="341">
        <v>-116244.92153802482</v>
      </c>
      <c r="U1422" s="341">
        <v>-137384.28075844326</v>
      </c>
      <c r="V1422" s="341">
        <v>-56896.895280731194</v>
      </c>
      <c r="W1422" s="9"/>
    </row>
    <row r="1423" spans="1:23" ht="13.5" thickTop="1" x14ac:dyDescent="0.2">
      <c r="A1423" s="9"/>
      <c r="B1423" s="329" t="s">
        <v>233</v>
      </c>
      <c r="C1423" s="331"/>
      <c r="D1423" s="332">
        <v>820411.41757464921</v>
      </c>
      <c r="E1423" s="332">
        <v>490469.16111068404</v>
      </c>
      <c r="F1423" s="332">
        <v>319826.80259207403</v>
      </c>
      <c r="G1423" s="332">
        <v>240567.93585991938</v>
      </c>
      <c r="H1423" s="332">
        <v>296394.54795404291</v>
      </c>
      <c r="I1423" s="332">
        <v>143051.91210922896</v>
      </c>
      <c r="J1423" s="332">
        <v>170487.8452556103</v>
      </c>
      <c r="K1423" s="332">
        <v>283830.3470783385</v>
      </c>
      <c r="L1423" s="332">
        <v>295232.23964779353</v>
      </c>
      <c r="M1423" s="332">
        <v>362842.15921814361</v>
      </c>
      <c r="N1423" s="332">
        <v>175003.95773820969</v>
      </c>
      <c r="O1423" s="332">
        <v>231556.93633050635</v>
      </c>
      <c r="P1423" s="332">
        <v>239154.24215522539</v>
      </c>
      <c r="Q1423" s="332">
        <v>327152.84368822741</v>
      </c>
      <c r="R1423" s="332">
        <v>223556.82133017736</v>
      </c>
      <c r="S1423" s="332">
        <v>101045.87366192097</v>
      </c>
      <c r="T1423" s="332">
        <v>174367.38230703722</v>
      </c>
      <c r="U1423" s="332">
        <v>206076.42113766485</v>
      </c>
      <c r="V1423" s="332">
        <v>85345.342921096773</v>
      </c>
      <c r="W1423" s="9"/>
    </row>
    <row r="1424" spans="1:23" x14ac:dyDescent="0.2">
      <c r="A1424" s="9"/>
      <c r="B1424" s="9"/>
      <c r="C1424" s="326"/>
      <c r="D1424" s="9"/>
      <c r="E1424" s="327"/>
      <c r="F1424" s="319"/>
      <c r="G1424" s="328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</row>
    <row r="1425" spans="1:23" ht="15.75" x14ac:dyDescent="0.25">
      <c r="A1425" s="342" t="s">
        <v>206</v>
      </c>
      <c r="B1425" s="343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</row>
    <row r="1426" spans="1:23" x14ac:dyDescent="0.2">
      <c r="A1426" s="290" t="s">
        <v>191</v>
      </c>
      <c r="B1426" s="309"/>
      <c r="C1426" s="344">
        <v>0</v>
      </c>
      <c r="D1426" s="283"/>
      <c r="E1426" s="283"/>
      <c r="F1426" s="283"/>
      <c r="G1426" s="283"/>
      <c r="H1426" s="283"/>
      <c r="I1426" s="283"/>
      <c r="J1426" s="283"/>
      <c r="K1426" s="283"/>
      <c r="L1426" s="283"/>
      <c r="M1426" s="283"/>
      <c r="N1426" s="283"/>
      <c r="O1426" s="283"/>
      <c r="P1426" s="283"/>
      <c r="Q1426" s="283"/>
      <c r="R1426" s="283"/>
      <c r="S1426" s="283"/>
      <c r="T1426" s="283"/>
      <c r="U1426" s="283"/>
      <c r="V1426" s="283"/>
      <c r="W1426" s="283"/>
    </row>
    <row r="1427" spans="1:23" x14ac:dyDescent="0.2">
      <c r="A1427" s="290" t="s">
        <v>192</v>
      </c>
      <c r="B1427" s="309"/>
      <c r="C1427" s="345">
        <v>0</v>
      </c>
      <c r="D1427" s="283"/>
      <c r="E1427" s="283"/>
      <c r="F1427" s="283"/>
      <c r="G1427" s="283"/>
      <c r="H1427" s="283"/>
      <c r="I1427" s="283"/>
      <c r="J1427" s="283"/>
      <c r="K1427" s="283"/>
      <c r="L1427" s="283"/>
      <c r="M1427" s="283"/>
      <c r="N1427" s="283"/>
      <c r="O1427" s="283"/>
      <c r="P1427" s="283"/>
      <c r="Q1427" s="283"/>
      <c r="R1427" s="283"/>
      <c r="S1427" s="283"/>
      <c r="T1427" s="283"/>
      <c r="U1427" s="283"/>
      <c r="V1427" s="283"/>
      <c r="W1427" s="283"/>
    </row>
    <row r="1428" spans="1:23" x14ac:dyDescent="0.2">
      <c r="A1428" s="290" t="s">
        <v>202</v>
      </c>
      <c r="B1428" s="309"/>
      <c r="C1428" s="290">
        <v>15</v>
      </c>
      <c r="D1428" s="283"/>
      <c r="E1428" s="283"/>
      <c r="F1428" s="283"/>
      <c r="G1428" s="283"/>
      <c r="H1428" s="283"/>
      <c r="I1428" s="283"/>
      <c r="J1428" s="283"/>
      <c r="K1428" s="283"/>
      <c r="L1428" s="283"/>
      <c r="M1428" s="283"/>
      <c r="N1428" s="283"/>
      <c r="O1428" s="283"/>
      <c r="P1428" s="283"/>
      <c r="Q1428" s="283"/>
      <c r="R1428" s="283"/>
      <c r="S1428" s="283"/>
      <c r="T1428" s="283"/>
      <c r="U1428" s="283"/>
      <c r="V1428" s="283"/>
      <c r="W1428" s="283"/>
    </row>
    <row r="1429" spans="1:23" x14ac:dyDescent="0.2">
      <c r="A1429" s="290" t="s">
        <v>193</v>
      </c>
      <c r="B1429" s="309"/>
      <c r="C1429" s="345">
        <v>0</v>
      </c>
      <c r="D1429" s="283"/>
      <c r="E1429" s="283"/>
      <c r="F1429" s="283"/>
      <c r="G1429" s="283"/>
      <c r="H1429" s="283"/>
      <c r="I1429" s="283"/>
      <c r="J1429" s="283"/>
      <c r="K1429" s="283"/>
      <c r="L1429" s="283"/>
      <c r="M1429" s="283"/>
      <c r="N1429" s="283"/>
      <c r="O1429" s="283"/>
      <c r="P1429" s="283"/>
      <c r="Q1429" s="283"/>
      <c r="R1429" s="283"/>
      <c r="S1429" s="283"/>
      <c r="T1429" s="283"/>
      <c r="U1429" s="283"/>
      <c r="V1429" s="283"/>
      <c r="W1429" s="283"/>
    </row>
    <row r="1430" spans="1:23" x14ac:dyDescent="0.2">
      <c r="A1430" s="290" t="s">
        <v>194</v>
      </c>
      <c r="B1430" s="309"/>
      <c r="C1430" s="346">
        <v>8.7499999999999994E-2</v>
      </c>
      <c r="D1430" s="283"/>
      <c r="E1430" s="283"/>
      <c r="F1430" s="283"/>
      <c r="G1430" s="283"/>
      <c r="H1430" s="283"/>
      <c r="I1430" s="283"/>
      <c r="J1430" s="283"/>
      <c r="K1430" s="283"/>
      <c r="L1430" s="283"/>
      <c r="M1430" s="283"/>
      <c r="N1430" s="283"/>
      <c r="O1430" s="283"/>
      <c r="P1430" s="283"/>
      <c r="Q1430" s="283"/>
      <c r="R1430" s="283"/>
      <c r="S1430" s="283"/>
      <c r="T1430" s="283"/>
      <c r="U1430" s="283"/>
      <c r="V1430" s="283"/>
      <c r="W1430" s="283"/>
    </row>
    <row r="1431" spans="1:23" x14ac:dyDescent="0.2">
      <c r="A1431" s="290"/>
      <c r="B1431" s="309"/>
      <c r="C1431" s="283"/>
      <c r="D1431" s="312">
        <v>2001</v>
      </c>
      <c r="E1431" s="312">
        <v>2002</v>
      </c>
      <c r="F1431" s="312">
        <v>2003</v>
      </c>
      <c r="G1431" s="312">
        <v>2004</v>
      </c>
      <c r="H1431" s="312">
        <v>2005</v>
      </c>
      <c r="I1431" s="312">
        <v>2006</v>
      </c>
      <c r="J1431" s="312">
        <v>2007</v>
      </c>
      <c r="K1431" s="312">
        <v>2008</v>
      </c>
      <c r="L1431" s="312">
        <v>2009</v>
      </c>
      <c r="M1431" s="312">
        <v>2010</v>
      </c>
      <c r="N1431" s="312">
        <v>2011</v>
      </c>
      <c r="O1431" s="312">
        <v>2012</v>
      </c>
      <c r="P1431" s="312">
        <v>2013</v>
      </c>
      <c r="Q1431" s="312">
        <v>2014</v>
      </c>
      <c r="R1431" s="312">
        <v>2015</v>
      </c>
      <c r="S1431" s="312">
        <v>2016</v>
      </c>
      <c r="T1431" s="312">
        <v>2017</v>
      </c>
      <c r="U1431" s="312">
        <v>2018</v>
      </c>
      <c r="V1431" s="312">
        <v>2019</v>
      </c>
      <c r="W1431" s="312" t="s">
        <v>154</v>
      </c>
    </row>
    <row r="1432" spans="1:23" x14ac:dyDescent="0.2">
      <c r="A1432" s="290" t="s">
        <v>195</v>
      </c>
      <c r="B1432" s="309"/>
      <c r="C1432" s="283"/>
      <c r="D1432" s="347">
        <v>0</v>
      </c>
      <c r="E1432" s="347">
        <v>0</v>
      </c>
      <c r="F1432" s="347">
        <v>0</v>
      </c>
      <c r="G1432" s="347">
        <v>0</v>
      </c>
      <c r="H1432" s="347">
        <v>0</v>
      </c>
      <c r="I1432" s="347">
        <v>0</v>
      </c>
      <c r="J1432" s="347">
        <v>0</v>
      </c>
      <c r="K1432" s="347">
        <v>0</v>
      </c>
      <c r="L1432" s="347">
        <v>0</v>
      </c>
      <c r="M1432" s="347">
        <v>0</v>
      </c>
      <c r="N1432" s="347">
        <v>0</v>
      </c>
      <c r="O1432" s="347">
        <v>0</v>
      </c>
      <c r="P1432" s="347">
        <v>0</v>
      </c>
      <c r="Q1432" s="347">
        <v>0</v>
      </c>
      <c r="R1432" s="347">
        <v>0</v>
      </c>
      <c r="S1432" s="347">
        <v>0</v>
      </c>
      <c r="T1432" s="347">
        <v>0</v>
      </c>
      <c r="U1432" s="347">
        <v>0</v>
      </c>
      <c r="V1432" s="347">
        <v>0</v>
      </c>
      <c r="W1432" s="347">
        <v>0</v>
      </c>
    </row>
    <row r="1433" spans="1:23" x14ac:dyDescent="0.2">
      <c r="A1433" s="290" t="s">
        <v>196</v>
      </c>
      <c r="B1433" s="309"/>
      <c r="C1433" s="283"/>
      <c r="D1433" s="347">
        <v>0</v>
      </c>
      <c r="E1433" s="347">
        <v>0</v>
      </c>
      <c r="F1433" s="347">
        <v>0</v>
      </c>
      <c r="G1433" s="347">
        <v>0</v>
      </c>
      <c r="H1433" s="347">
        <v>0</v>
      </c>
      <c r="I1433" s="347">
        <v>0</v>
      </c>
      <c r="J1433" s="347">
        <v>0</v>
      </c>
      <c r="K1433" s="347">
        <v>0</v>
      </c>
      <c r="L1433" s="347">
        <v>0</v>
      </c>
      <c r="M1433" s="347">
        <v>0</v>
      </c>
      <c r="N1433" s="347">
        <v>0</v>
      </c>
      <c r="O1433" s="347">
        <v>0</v>
      </c>
      <c r="P1433" s="347">
        <v>0</v>
      </c>
      <c r="Q1433" s="347">
        <v>0</v>
      </c>
      <c r="R1433" s="347">
        <v>0</v>
      </c>
      <c r="S1433" s="347">
        <v>0</v>
      </c>
      <c r="T1433" s="347">
        <v>0</v>
      </c>
      <c r="U1433" s="347">
        <v>0</v>
      </c>
      <c r="V1433" s="347">
        <v>0</v>
      </c>
      <c r="W1433" s="347">
        <v>0</v>
      </c>
    </row>
    <row r="1434" spans="1:23" x14ac:dyDescent="0.2">
      <c r="A1434" s="290" t="s">
        <v>197</v>
      </c>
      <c r="B1434" s="309"/>
      <c r="C1434" s="283"/>
      <c r="D1434" s="347">
        <v>0</v>
      </c>
      <c r="E1434" s="347">
        <v>0</v>
      </c>
      <c r="F1434" s="347">
        <v>0</v>
      </c>
      <c r="G1434" s="347">
        <v>0</v>
      </c>
      <c r="H1434" s="347">
        <v>0</v>
      </c>
      <c r="I1434" s="347">
        <v>0</v>
      </c>
      <c r="J1434" s="347">
        <v>0</v>
      </c>
      <c r="K1434" s="347">
        <v>0</v>
      </c>
      <c r="L1434" s="347">
        <v>0</v>
      </c>
      <c r="M1434" s="347">
        <v>0</v>
      </c>
      <c r="N1434" s="347">
        <v>0</v>
      </c>
      <c r="O1434" s="347">
        <v>0</v>
      </c>
      <c r="P1434" s="347">
        <v>0</v>
      </c>
      <c r="Q1434" s="347">
        <v>0</v>
      </c>
      <c r="R1434" s="347">
        <v>0</v>
      </c>
      <c r="S1434" s="347">
        <v>0</v>
      </c>
      <c r="T1434" s="347">
        <v>0</v>
      </c>
      <c r="U1434" s="347">
        <v>0</v>
      </c>
      <c r="V1434" s="347">
        <v>0</v>
      </c>
      <c r="W1434" s="347">
        <v>0</v>
      </c>
    </row>
    <row r="1435" spans="1:23" x14ac:dyDescent="0.2">
      <c r="A1435" s="290" t="s">
        <v>198</v>
      </c>
      <c r="B1435" s="309"/>
      <c r="C1435" s="283"/>
      <c r="D1435" s="348">
        <v>0</v>
      </c>
      <c r="E1435" s="348">
        <v>0</v>
      </c>
      <c r="F1435" s="348">
        <v>0</v>
      </c>
      <c r="G1435" s="348">
        <v>0</v>
      </c>
      <c r="H1435" s="348">
        <v>0</v>
      </c>
      <c r="I1435" s="348">
        <v>0</v>
      </c>
      <c r="J1435" s="348">
        <v>0</v>
      </c>
      <c r="K1435" s="348">
        <v>0</v>
      </c>
      <c r="L1435" s="348">
        <v>0</v>
      </c>
      <c r="M1435" s="348">
        <v>0</v>
      </c>
      <c r="N1435" s="348">
        <v>0</v>
      </c>
      <c r="O1435" s="348">
        <v>0</v>
      </c>
      <c r="P1435" s="348">
        <v>0</v>
      </c>
      <c r="Q1435" s="348">
        <v>0</v>
      </c>
      <c r="R1435" s="348">
        <v>0</v>
      </c>
      <c r="S1435" s="348">
        <v>0</v>
      </c>
      <c r="T1435" s="348">
        <v>0</v>
      </c>
      <c r="U1435" s="348">
        <v>0</v>
      </c>
      <c r="V1435" s="348">
        <v>0</v>
      </c>
      <c r="W1435" s="348">
        <v>0</v>
      </c>
    </row>
    <row r="1436" spans="1:23" ht="13.5" thickBot="1" x14ac:dyDescent="0.25">
      <c r="A1436" s="290" t="s">
        <v>199</v>
      </c>
      <c r="B1436" s="309"/>
      <c r="C1436" s="283"/>
      <c r="D1436" s="349">
        <v>0</v>
      </c>
      <c r="E1436" s="349">
        <v>0</v>
      </c>
      <c r="F1436" s="349">
        <v>0</v>
      </c>
      <c r="G1436" s="349">
        <v>0</v>
      </c>
      <c r="H1436" s="349">
        <v>0</v>
      </c>
      <c r="I1436" s="349">
        <v>0</v>
      </c>
      <c r="J1436" s="349">
        <v>0</v>
      </c>
      <c r="K1436" s="349">
        <v>0</v>
      </c>
      <c r="L1436" s="349">
        <v>0</v>
      </c>
      <c r="M1436" s="349">
        <v>0</v>
      </c>
      <c r="N1436" s="349">
        <v>0</v>
      </c>
      <c r="O1436" s="349">
        <v>0</v>
      </c>
      <c r="P1436" s="349">
        <v>0</v>
      </c>
      <c r="Q1436" s="349">
        <v>0</v>
      </c>
      <c r="R1436" s="349">
        <v>0</v>
      </c>
      <c r="S1436" s="349">
        <v>0</v>
      </c>
      <c r="T1436" s="349">
        <v>0</v>
      </c>
      <c r="U1436" s="349">
        <v>0</v>
      </c>
      <c r="V1436" s="349">
        <v>0</v>
      </c>
      <c r="W1436" s="349">
        <v>0</v>
      </c>
    </row>
    <row r="1437" spans="1:23" ht="13.5" thickTop="1" x14ac:dyDescent="0.2">
      <c r="A1437" s="290"/>
      <c r="B1437" s="309"/>
      <c r="C1437" s="283"/>
      <c r="D1437" s="347"/>
      <c r="E1437" s="347"/>
      <c r="F1437" s="347"/>
      <c r="G1437" s="347"/>
      <c r="H1437" s="347"/>
      <c r="I1437" s="347"/>
      <c r="J1437" s="347"/>
      <c r="K1437" s="347"/>
      <c r="L1437" s="347"/>
      <c r="M1437" s="347"/>
      <c r="N1437" s="347"/>
      <c r="O1437" s="347"/>
      <c r="P1437" s="347"/>
      <c r="Q1437" s="347"/>
      <c r="R1437" s="347"/>
      <c r="S1437" s="347"/>
      <c r="T1437" s="347"/>
      <c r="U1437" s="347"/>
      <c r="V1437" s="347"/>
      <c r="W1437" s="347"/>
    </row>
    <row r="1438" spans="1:23" x14ac:dyDescent="0.2">
      <c r="A1438" s="290" t="s">
        <v>200</v>
      </c>
      <c r="B1438" s="309"/>
      <c r="C1438" s="283"/>
      <c r="D1438" s="347">
        <v>0</v>
      </c>
      <c r="E1438" s="347">
        <v>0</v>
      </c>
      <c r="F1438" s="347">
        <v>0</v>
      </c>
      <c r="G1438" s="347">
        <v>0</v>
      </c>
      <c r="H1438" s="347">
        <v>0</v>
      </c>
      <c r="I1438" s="347">
        <v>0</v>
      </c>
      <c r="J1438" s="347">
        <v>0</v>
      </c>
      <c r="K1438" s="347">
        <v>0</v>
      </c>
      <c r="L1438" s="347">
        <v>0</v>
      </c>
      <c r="M1438" s="347">
        <v>0</v>
      </c>
      <c r="N1438" s="347">
        <v>0</v>
      </c>
      <c r="O1438" s="347">
        <v>0</v>
      </c>
      <c r="P1438" s="347">
        <v>0</v>
      </c>
      <c r="Q1438" s="347">
        <v>0</v>
      </c>
      <c r="R1438" s="347">
        <v>0</v>
      </c>
      <c r="S1438" s="347">
        <v>0</v>
      </c>
      <c r="T1438" s="347">
        <v>0</v>
      </c>
      <c r="U1438" s="347">
        <v>0</v>
      </c>
      <c r="V1438" s="347">
        <v>0</v>
      </c>
      <c r="W1438" s="347">
        <v>0</v>
      </c>
    </row>
    <row r="1439" spans="1:23" x14ac:dyDescent="0.2">
      <c r="A1439" s="290"/>
      <c r="B1439" s="309"/>
      <c r="C1439" s="283"/>
      <c r="D1439" s="283"/>
      <c r="E1439" s="283"/>
      <c r="F1439" s="283"/>
      <c r="G1439" s="283"/>
      <c r="H1439" s="283"/>
      <c r="I1439" s="283"/>
      <c r="J1439" s="283"/>
      <c r="K1439" s="283"/>
      <c r="L1439" s="283"/>
      <c r="M1439" s="283"/>
      <c r="N1439" s="283"/>
      <c r="O1439" s="283"/>
      <c r="P1439" s="283"/>
      <c r="Q1439" s="283"/>
      <c r="R1439" s="283"/>
      <c r="S1439" s="283"/>
      <c r="T1439" s="283"/>
      <c r="U1439" s="283"/>
      <c r="V1439" s="283"/>
      <c r="W1439" s="283"/>
    </row>
    <row r="1440" spans="1:23" x14ac:dyDescent="0.2">
      <c r="A1440" s="290" t="s">
        <v>201</v>
      </c>
      <c r="B1440" s="309"/>
      <c r="C1440" s="283"/>
      <c r="D1440" s="347">
        <v>0</v>
      </c>
      <c r="E1440" s="347">
        <v>0</v>
      </c>
      <c r="F1440" s="347">
        <v>0</v>
      </c>
      <c r="G1440" s="347">
        <v>0</v>
      </c>
      <c r="H1440" s="347">
        <v>0</v>
      </c>
      <c r="I1440" s="347">
        <v>0</v>
      </c>
      <c r="J1440" s="347">
        <v>0</v>
      </c>
      <c r="K1440" s="347">
        <v>0</v>
      </c>
      <c r="L1440" s="347">
        <v>0</v>
      </c>
      <c r="M1440" s="347">
        <v>0</v>
      </c>
      <c r="N1440" s="347">
        <v>0</v>
      </c>
      <c r="O1440" s="347">
        <v>0</v>
      </c>
      <c r="P1440" s="347">
        <v>0</v>
      </c>
      <c r="Q1440" s="347">
        <v>0</v>
      </c>
      <c r="R1440" s="347">
        <v>0</v>
      </c>
      <c r="S1440" s="347">
        <v>0</v>
      </c>
      <c r="T1440" s="347">
        <v>0</v>
      </c>
      <c r="U1440" s="347">
        <v>0</v>
      </c>
      <c r="V1440" s="347">
        <v>0</v>
      </c>
      <c r="W1440" s="347">
        <v>0</v>
      </c>
    </row>
    <row r="1441" spans="1:23" x14ac:dyDescent="0.2">
      <c r="A1441" s="283"/>
      <c r="B1441" s="309"/>
      <c r="C1441" s="283"/>
      <c r="D1441" s="283"/>
      <c r="E1441" s="283"/>
      <c r="F1441" s="283"/>
      <c r="G1441" s="283"/>
      <c r="H1441" s="283"/>
      <c r="I1441" s="283"/>
      <c r="J1441" s="283"/>
      <c r="K1441" s="283"/>
      <c r="L1441" s="283"/>
      <c r="M1441" s="283"/>
      <c r="N1441" s="283"/>
      <c r="O1441" s="283"/>
      <c r="P1441" s="283"/>
      <c r="Q1441" s="283"/>
      <c r="R1441" s="283"/>
      <c r="S1441" s="283"/>
      <c r="T1441" s="283"/>
      <c r="U1441" s="283"/>
      <c r="V1441" s="283"/>
      <c r="W1441" s="283"/>
    </row>
    <row r="1442" spans="1:23" x14ac:dyDescent="0.2">
      <c r="A1442" s="283"/>
      <c r="B1442" s="309"/>
      <c r="C1442" s="283"/>
      <c r="D1442" s="283"/>
      <c r="E1442" s="283"/>
      <c r="F1442" s="283"/>
      <c r="G1442" s="283"/>
      <c r="H1442" s="283"/>
      <c r="I1442" s="283"/>
      <c r="J1442" s="283"/>
      <c r="K1442" s="283"/>
      <c r="L1442" s="283"/>
      <c r="M1442" s="283"/>
      <c r="N1442" s="283"/>
      <c r="O1442" s="283"/>
      <c r="P1442" s="283"/>
      <c r="Q1442" s="283"/>
      <c r="R1442" s="283"/>
      <c r="S1442" s="283"/>
      <c r="T1442" s="283"/>
      <c r="U1442" s="283"/>
      <c r="V1442" s="283"/>
      <c r="W1442" s="283"/>
    </row>
    <row r="1443" spans="1:23" x14ac:dyDescent="0.2">
      <c r="A1443" s="290" t="s">
        <v>203</v>
      </c>
      <c r="B1443" s="285"/>
      <c r="C1443" s="284"/>
      <c r="D1443" s="441">
        <v>1016086.9007260922</v>
      </c>
      <c r="E1443" s="441">
        <v>680599.80926885549</v>
      </c>
      <c r="F1443" s="441">
        <v>502069.47316225356</v>
      </c>
      <c r="G1443" s="441">
        <v>406754.55335611099</v>
      </c>
      <c r="H1443" s="441">
        <v>247771.3230443733</v>
      </c>
      <c r="I1443" s="441">
        <v>94460.983468033693</v>
      </c>
      <c r="J1443" s="441">
        <v>124827.24522274674</v>
      </c>
      <c r="K1443" s="441">
        <v>240906.74150994327</v>
      </c>
      <c r="L1443" s="441">
        <v>255026.18335785001</v>
      </c>
      <c r="M1443" s="441">
        <v>325183.38538177428</v>
      </c>
      <c r="N1443" s="441">
        <v>136327.35891087045</v>
      </c>
      <c r="O1443" s="441">
        <v>191699.65367066109</v>
      </c>
      <c r="P1443" s="441">
        <v>201836.60637305165</v>
      </c>
      <c r="Q1443" s="441">
        <v>276858.27501848043</v>
      </c>
      <c r="R1443" s="441">
        <v>160414.78964941009</v>
      </c>
      <c r="S1443" s="441">
        <v>40621.631345862814</v>
      </c>
      <c r="T1443" s="441">
        <v>116742.46303662952</v>
      </c>
      <c r="U1443" s="441">
        <v>151334.80460427719</v>
      </c>
      <c r="V1443" s="441">
        <v>33573.528206839634</v>
      </c>
      <c r="W1443" s="441">
        <v>1004386.3283369066</v>
      </c>
    </row>
    <row r="1444" spans="1:23" x14ac:dyDescent="0.2">
      <c r="A1444" s="9"/>
      <c r="B1444" s="6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</row>
    <row r="1445" spans="1:23" x14ac:dyDescent="0.2">
      <c r="B1445" s="306"/>
      <c r="C1445" s="307"/>
      <c r="D1445" s="371"/>
      <c r="E1445" s="371"/>
      <c r="F1445" s="371"/>
      <c r="G1445" s="371"/>
      <c r="H1445" s="371"/>
      <c r="I1445" s="371"/>
      <c r="J1445" s="371"/>
      <c r="K1445" s="371"/>
      <c r="L1445" s="371"/>
      <c r="M1445" s="371"/>
      <c r="N1445" s="371"/>
      <c r="O1445" s="371"/>
      <c r="P1445" s="371"/>
      <c r="Q1445" s="371"/>
      <c r="R1445" s="371"/>
      <c r="S1445" s="371"/>
      <c r="T1445" s="371"/>
      <c r="U1445" s="371"/>
      <c r="V1445" s="371"/>
    </row>
    <row r="1446" spans="1:23" x14ac:dyDescent="0.2">
      <c r="C1446" s="360"/>
      <c r="E1446" s="369"/>
      <c r="F1446" s="319"/>
      <c r="G1446" s="328"/>
    </row>
    <row r="1447" spans="1:23" ht="15.75" x14ac:dyDescent="0.25">
      <c r="A1447" s="373"/>
      <c r="B1447" s="374"/>
    </row>
    <row r="1448" spans="1:23" x14ac:dyDescent="0.2">
      <c r="A1448" s="298"/>
      <c r="B1448" s="366"/>
      <c r="C1448" s="375"/>
      <c r="D1448" s="376"/>
      <c r="E1448" s="376"/>
      <c r="F1448" s="376"/>
      <c r="G1448" s="376"/>
      <c r="H1448" s="376"/>
      <c r="I1448" s="376"/>
      <c r="J1448" s="376"/>
      <c r="K1448" s="376"/>
      <c r="L1448" s="376"/>
      <c r="M1448" s="376"/>
      <c r="N1448" s="376"/>
      <c r="O1448" s="376"/>
      <c r="P1448" s="376"/>
      <c r="Q1448" s="376"/>
      <c r="R1448" s="376"/>
      <c r="S1448" s="376"/>
      <c r="T1448" s="376"/>
      <c r="U1448" s="376"/>
      <c r="V1448" s="376"/>
      <c r="W1448" s="376"/>
    </row>
    <row r="1449" spans="1:23" x14ac:dyDescent="0.2">
      <c r="A1449" s="298"/>
      <c r="B1449" s="366"/>
      <c r="C1449" s="377"/>
      <c r="D1449" s="376"/>
      <c r="E1449" s="376"/>
      <c r="F1449" s="376"/>
      <c r="G1449" s="376"/>
      <c r="H1449" s="376"/>
      <c r="I1449" s="376"/>
      <c r="J1449" s="376"/>
      <c r="K1449" s="376"/>
      <c r="L1449" s="376"/>
      <c r="M1449" s="376"/>
      <c r="N1449" s="376"/>
      <c r="O1449" s="376"/>
      <c r="P1449" s="376"/>
      <c r="Q1449" s="376"/>
      <c r="R1449" s="376"/>
      <c r="S1449" s="376"/>
      <c r="T1449" s="376"/>
      <c r="U1449" s="376"/>
      <c r="V1449" s="376"/>
      <c r="W1449" s="376"/>
    </row>
    <row r="1450" spans="1:23" x14ac:dyDescent="0.2">
      <c r="A1450" s="298"/>
      <c r="B1450" s="366"/>
      <c r="C1450" s="298"/>
      <c r="D1450" s="376"/>
      <c r="E1450" s="376"/>
      <c r="F1450" s="376"/>
      <c r="G1450" s="376"/>
      <c r="H1450" s="376"/>
      <c r="I1450" s="376"/>
      <c r="J1450" s="376"/>
      <c r="K1450" s="376"/>
      <c r="L1450" s="376"/>
      <c r="M1450" s="376"/>
      <c r="N1450" s="376"/>
      <c r="O1450" s="376"/>
      <c r="P1450" s="376"/>
      <c r="Q1450" s="376"/>
      <c r="R1450" s="376"/>
      <c r="S1450" s="376"/>
      <c r="T1450" s="376"/>
      <c r="U1450" s="376"/>
      <c r="V1450" s="376"/>
      <c r="W1450" s="376"/>
    </row>
    <row r="1451" spans="1:23" x14ac:dyDescent="0.2">
      <c r="A1451" s="298"/>
      <c r="B1451" s="366"/>
      <c r="C1451" s="377"/>
      <c r="D1451" s="376"/>
      <c r="E1451" s="376"/>
      <c r="F1451" s="376"/>
      <c r="G1451" s="376"/>
      <c r="H1451" s="376"/>
      <c r="I1451" s="376"/>
      <c r="J1451" s="376"/>
      <c r="K1451" s="376"/>
      <c r="L1451" s="376"/>
      <c r="M1451" s="376"/>
      <c r="N1451" s="376"/>
      <c r="O1451" s="376"/>
      <c r="P1451" s="376"/>
      <c r="Q1451" s="376"/>
      <c r="R1451" s="376"/>
      <c r="S1451" s="376"/>
      <c r="T1451" s="376"/>
      <c r="U1451" s="376"/>
      <c r="V1451" s="376"/>
      <c r="W1451" s="376"/>
    </row>
    <row r="1452" spans="1:23" ht="15.75" x14ac:dyDescent="0.25">
      <c r="A1452" s="308" t="s">
        <v>29</v>
      </c>
      <c r="B1452" s="311" t="s">
        <v>86</v>
      </c>
      <c r="C1452" s="312">
        <v>2000</v>
      </c>
      <c r="D1452" s="312">
        <v>2001</v>
      </c>
      <c r="E1452" s="312">
        <v>2002</v>
      </c>
      <c r="F1452" s="312">
        <v>2003</v>
      </c>
      <c r="G1452" s="312">
        <v>2004</v>
      </c>
      <c r="H1452" s="312">
        <v>2005</v>
      </c>
      <c r="I1452" s="312">
        <v>2006</v>
      </c>
      <c r="J1452" s="312">
        <v>2007</v>
      </c>
      <c r="K1452" s="312">
        <v>2008</v>
      </c>
      <c r="L1452" s="312">
        <v>2009</v>
      </c>
      <c r="M1452" s="312">
        <v>2010</v>
      </c>
      <c r="N1452" s="312">
        <v>2011</v>
      </c>
      <c r="O1452" s="312">
        <v>2012</v>
      </c>
      <c r="P1452" s="312">
        <v>2013</v>
      </c>
      <c r="Q1452" s="312">
        <v>2014</v>
      </c>
      <c r="R1452" s="312">
        <v>2015</v>
      </c>
      <c r="S1452" s="312">
        <v>2016</v>
      </c>
      <c r="T1452" s="312">
        <v>2017</v>
      </c>
      <c r="U1452" s="312">
        <v>2018</v>
      </c>
      <c r="V1452" s="312">
        <v>2019</v>
      </c>
      <c r="W1452" s="312" t="s">
        <v>154</v>
      </c>
    </row>
    <row r="1453" spans="1:23" x14ac:dyDescent="0.2">
      <c r="A1453" s="308" t="s">
        <v>26</v>
      </c>
      <c r="B1453" s="309">
        <v>56.8</v>
      </c>
      <c r="C1453" s="314"/>
      <c r="D1453" s="314"/>
      <c r="E1453" s="314"/>
      <c r="F1453" s="314"/>
      <c r="G1453" s="314"/>
      <c r="H1453" s="314"/>
      <c r="I1453" s="314"/>
      <c r="J1453" s="314"/>
      <c r="K1453" s="314"/>
      <c r="L1453" s="314"/>
      <c r="M1453" s="314"/>
      <c r="N1453" s="314"/>
      <c r="O1453" s="314"/>
      <c r="P1453" s="314"/>
      <c r="Q1453" s="314"/>
      <c r="R1453" s="314"/>
      <c r="S1453" s="314"/>
      <c r="T1453" s="314"/>
      <c r="U1453" s="314"/>
      <c r="V1453" s="314"/>
      <c r="W1453" s="314"/>
    </row>
    <row r="1454" spans="1:23" x14ac:dyDescent="0.2">
      <c r="A1454" s="9"/>
      <c r="B1454" s="315" t="s">
        <v>27</v>
      </c>
      <c r="C1454" s="449">
        <v>0</v>
      </c>
      <c r="D1454" s="410">
        <v>3655305.9461667333</v>
      </c>
      <c r="E1454" s="410">
        <v>2748401.4240698176</v>
      </c>
      <c r="F1454" s="410">
        <v>2149663.3289727028</v>
      </c>
      <c r="G1454" s="410">
        <v>1838034.9662923741</v>
      </c>
      <c r="H1454" s="410">
        <v>1953648.5834787795</v>
      </c>
      <c r="I1454" s="410">
        <v>1485150.0728251976</v>
      </c>
      <c r="J1454" s="410">
        <v>1766800.8727484834</v>
      </c>
      <c r="K1454" s="410">
        <v>2769335.5374383144</v>
      </c>
      <c r="L1454" s="410">
        <v>2602796.781588939</v>
      </c>
      <c r="M1454" s="410">
        <v>2964150.5059036529</v>
      </c>
      <c r="N1454" s="410">
        <v>2574805.6049712296</v>
      </c>
      <c r="O1454" s="410">
        <v>2702882.0213268334</v>
      </c>
      <c r="P1454" s="410">
        <v>2953725.5276337746</v>
      </c>
      <c r="Q1454" s="410">
        <v>3658940.3662458668</v>
      </c>
      <c r="R1454" s="410">
        <v>2952115.6086892369</v>
      </c>
      <c r="S1454" s="410">
        <v>2570411.2572813295</v>
      </c>
      <c r="T1454" s="410">
        <v>3107978.6711078119</v>
      </c>
      <c r="U1454" s="410">
        <v>3763143.801746496</v>
      </c>
      <c r="V1454" s="410">
        <v>3328642.0255069151</v>
      </c>
      <c r="W1454" s="333"/>
    </row>
    <row r="1455" spans="1:23" x14ac:dyDescent="0.2">
      <c r="A1455" s="9"/>
      <c r="B1455" s="315" t="s">
        <v>20</v>
      </c>
      <c r="C1455" s="449">
        <v>0</v>
      </c>
      <c r="D1455" s="410">
        <v>-508718.58209368965</v>
      </c>
      <c r="E1455" s="410">
        <v>-569562.09926626843</v>
      </c>
      <c r="F1455" s="410">
        <v>-469376.56766747276</v>
      </c>
      <c r="G1455" s="410">
        <v>-438617.67675538379</v>
      </c>
      <c r="H1455" s="410">
        <v>-661150.91553411062</v>
      </c>
      <c r="I1455" s="410">
        <v>-621186.7975793971</v>
      </c>
      <c r="J1455" s="410">
        <v>-772029.21879719931</v>
      </c>
      <c r="K1455" s="410">
        <v>-1265300.596379915</v>
      </c>
      <c r="L1455" s="410">
        <v>-1114869.7668679231</v>
      </c>
      <c r="M1455" s="410">
        <v>-1223476.6706092001</v>
      </c>
      <c r="N1455" s="410">
        <v>-1323570.0739984084</v>
      </c>
      <c r="O1455" s="410">
        <v>-1280490.284368692</v>
      </c>
      <c r="P1455" s="410">
        <v>-1441403.7781199035</v>
      </c>
      <c r="Q1455" s="410">
        <v>-1766504.3903079494</v>
      </c>
      <c r="R1455" s="410">
        <v>-1462897.4939118624</v>
      </c>
      <c r="S1455" s="410">
        <v>-1434981.8597129777</v>
      </c>
      <c r="T1455" s="410">
        <v>-1681091.0934604451</v>
      </c>
      <c r="U1455" s="410">
        <v>-2099924.6487623579</v>
      </c>
      <c r="V1455" s="410">
        <v>-2074706.9379244642</v>
      </c>
      <c r="W1455" s="333"/>
    </row>
    <row r="1456" spans="1:23" x14ac:dyDescent="0.2">
      <c r="A1456" s="9"/>
      <c r="B1456" s="315" t="s">
        <v>31</v>
      </c>
      <c r="C1456" s="449">
        <v>0</v>
      </c>
      <c r="D1456" s="410">
        <v>-24494.968773755376</v>
      </c>
      <c r="E1456" s="410">
        <v>-30303.129292754016</v>
      </c>
      <c r="F1456" s="410">
        <v>-26374.069512030845</v>
      </c>
      <c r="G1456" s="410">
        <v>-25054.698305571135</v>
      </c>
      <c r="H1456" s="410">
        <v>-37894.429143002235</v>
      </c>
      <c r="I1456" s="410">
        <v>-35754.15005065054</v>
      </c>
      <c r="J1456" s="410">
        <v>-45331.221639228213</v>
      </c>
      <c r="K1456" s="410">
        <v>-81356.036072384479</v>
      </c>
      <c r="L1456" s="410">
        <v>-71765.586053217019</v>
      </c>
      <c r="M1456" s="410">
        <v>-77495.329785699359</v>
      </c>
      <c r="N1456" s="410">
        <v>-83120.174270165124</v>
      </c>
      <c r="O1456" s="410">
        <v>-82782.700158991953</v>
      </c>
      <c r="P1456" s="410">
        <v>-90048.719268652203</v>
      </c>
      <c r="Q1456" s="410">
        <v>-113259.64282676723</v>
      </c>
      <c r="R1456" s="410">
        <v>-87808.570274503276</v>
      </c>
      <c r="S1456" s="410">
        <v>-83740.6085325764</v>
      </c>
      <c r="T1456" s="410">
        <v>-97473.711837587762</v>
      </c>
      <c r="U1456" s="410">
        <v>-116666.93519207215</v>
      </c>
      <c r="V1456" s="410">
        <v>-115092.43320329802</v>
      </c>
      <c r="W1456" s="333"/>
    </row>
    <row r="1457" spans="1:23" x14ac:dyDescent="0.2">
      <c r="A1457" s="9"/>
      <c r="B1457" s="315" t="s">
        <v>32</v>
      </c>
      <c r="C1457" s="449">
        <v>0</v>
      </c>
      <c r="D1457" s="410">
        <v>0</v>
      </c>
      <c r="E1457" s="410">
        <v>0</v>
      </c>
      <c r="F1457" s="410">
        <v>0</v>
      </c>
      <c r="G1457" s="410">
        <v>0</v>
      </c>
      <c r="H1457" s="410">
        <v>0</v>
      </c>
      <c r="I1457" s="410">
        <v>-8759.7462102573081</v>
      </c>
      <c r="J1457" s="410">
        <v>-12071.244051379805</v>
      </c>
      <c r="K1457" s="410">
        <v>-24406.582220219105</v>
      </c>
      <c r="L1457" s="410">
        <v>-22263.10814761692</v>
      </c>
      <c r="M1457" s="410">
        <v>-26174.856322365085</v>
      </c>
      <c r="N1457" s="410">
        <v>-30392.155770982121</v>
      </c>
      <c r="O1457" s="410">
        <v>-32810.171835252877</v>
      </c>
      <c r="P1457" s="410">
        <v>-39209.151666288293</v>
      </c>
      <c r="Q1457" s="410">
        <v>-53883.832439240607</v>
      </c>
      <c r="R1457" s="410">
        <v>-45361.987595886727</v>
      </c>
      <c r="S1457" s="410">
        <v>-46530.603530379951</v>
      </c>
      <c r="T1457" s="410">
        <v>-52152.648012370759</v>
      </c>
      <c r="U1457" s="410">
        <v>-52331.408176166457</v>
      </c>
      <c r="V1457" s="410">
        <v>-52544.604305134984</v>
      </c>
      <c r="W1457" s="333"/>
    </row>
    <row r="1458" spans="1:23" ht="13.5" thickBot="1" x14ac:dyDescent="0.25">
      <c r="A1458" s="9"/>
      <c r="B1458" s="316" t="s">
        <v>33</v>
      </c>
      <c r="C1458" s="450">
        <v>0</v>
      </c>
      <c r="D1458" s="412">
        <v>0</v>
      </c>
      <c r="E1458" s="412">
        <v>0</v>
      </c>
      <c r="F1458" s="412">
        <v>0</v>
      </c>
      <c r="G1458" s="412">
        <v>0</v>
      </c>
      <c r="H1458" s="412">
        <v>0</v>
      </c>
      <c r="I1458" s="412">
        <v>-8759.7462102573081</v>
      </c>
      <c r="J1458" s="412">
        <v>-12071.244051379805</v>
      </c>
      <c r="K1458" s="412">
        <v>-24406.582220219105</v>
      </c>
      <c r="L1458" s="412">
        <v>-22263.10814761692</v>
      </c>
      <c r="M1458" s="412">
        <v>-26174.856322365085</v>
      </c>
      <c r="N1458" s="412">
        <v>-30392.155770982121</v>
      </c>
      <c r="O1458" s="412">
        <v>-32810.171835252877</v>
      </c>
      <c r="P1458" s="412">
        <v>-39209.151666288293</v>
      </c>
      <c r="Q1458" s="412">
        <v>-53883.832439240607</v>
      </c>
      <c r="R1458" s="412">
        <v>-45361.987595886727</v>
      </c>
      <c r="S1458" s="412">
        <v>-46530.603530379951</v>
      </c>
      <c r="T1458" s="412">
        <v>-52152.648012370759</v>
      </c>
      <c r="U1458" s="412">
        <v>-52331.408176166457</v>
      </c>
      <c r="V1458" s="412">
        <v>-52544.604305134984</v>
      </c>
      <c r="W1458" s="333"/>
    </row>
    <row r="1459" spans="1:23" ht="13.5" thickTop="1" x14ac:dyDescent="0.2">
      <c r="A1459" s="9"/>
      <c r="B1459" s="317" t="s">
        <v>38</v>
      </c>
      <c r="C1459" s="451">
        <v>0</v>
      </c>
      <c r="D1459" s="414">
        <v>3122092.3952992884</v>
      </c>
      <c r="E1459" s="414">
        <v>2148536.1955107953</v>
      </c>
      <c r="F1459" s="414">
        <v>1653912.6917931994</v>
      </c>
      <c r="G1459" s="414">
        <v>1374362.591231419</v>
      </c>
      <c r="H1459" s="414">
        <v>1254603.2388016665</v>
      </c>
      <c r="I1459" s="414">
        <v>810689.63277463533</v>
      </c>
      <c r="J1459" s="414">
        <v>925297.94420929626</v>
      </c>
      <c r="K1459" s="414">
        <v>1373865.7405455767</v>
      </c>
      <c r="L1459" s="414">
        <v>1371635.2123725649</v>
      </c>
      <c r="M1459" s="414">
        <v>1610828.7928640232</v>
      </c>
      <c r="N1459" s="414">
        <v>1107331.0451606917</v>
      </c>
      <c r="O1459" s="414">
        <v>1273988.693128644</v>
      </c>
      <c r="P1459" s="414">
        <v>1343854.7269126424</v>
      </c>
      <c r="Q1459" s="414">
        <v>1671408.6682326691</v>
      </c>
      <c r="R1459" s="414">
        <v>1310685.569311098</v>
      </c>
      <c r="S1459" s="414">
        <v>958627.58197501558</v>
      </c>
      <c r="T1459" s="414">
        <v>1225108.5697850375</v>
      </c>
      <c r="U1459" s="414">
        <v>1441889.4014397331</v>
      </c>
      <c r="V1459" s="414">
        <v>1033753.4457688826</v>
      </c>
      <c r="W1459" s="333"/>
    </row>
    <row r="1460" spans="1:23" x14ac:dyDescent="0.2">
      <c r="A1460" s="9"/>
      <c r="B1460" s="315" t="s">
        <v>34</v>
      </c>
      <c r="C1460" s="449">
        <v>0</v>
      </c>
      <c r="D1460" s="410">
        <v>-192749.91537550156</v>
      </c>
      <c r="E1460" s="410">
        <v>-196604.9136830116</v>
      </c>
      <c r="F1460" s="410">
        <v>-200537.01195667183</v>
      </c>
      <c r="G1460" s="410">
        <v>-204547.75219580528</v>
      </c>
      <c r="H1460" s="410">
        <v>-208638.70723972138</v>
      </c>
      <c r="I1460" s="410">
        <v>-212811.48138451582</v>
      </c>
      <c r="J1460" s="410">
        <v>-217067.71101220613</v>
      </c>
      <c r="K1460" s="410">
        <v>-221409.06523245026</v>
      </c>
      <c r="L1460" s="410">
        <v>-225837.24653709927</v>
      </c>
      <c r="M1460" s="410">
        <v>-230353.99146784126</v>
      </c>
      <c r="N1460" s="410">
        <v>-234961.0712971981</v>
      </c>
      <c r="O1460" s="410">
        <v>-239660.29272314208</v>
      </c>
      <c r="P1460" s="410">
        <v>-244453.49857760491</v>
      </c>
      <c r="Q1460" s="410">
        <v>-249342.568549157</v>
      </c>
      <c r="R1460" s="410">
        <v>-254329.41992014015</v>
      </c>
      <c r="S1460" s="410">
        <v>-259416.00831854297</v>
      </c>
      <c r="T1460" s="410">
        <v>-264604.32848491386</v>
      </c>
      <c r="U1460" s="410">
        <v>-269896.41505461215</v>
      </c>
      <c r="V1460" s="410">
        <v>-275294.34335570439</v>
      </c>
      <c r="W1460" s="333"/>
    </row>
    <row r="1461" spans="1:23" x14ac:dyDescent="0.2">
      <c r="A1461" s="9"/>
      <c r="B1461" s="315" t="s">
        <v>35</v>
      </c>
      <c r="C1461" s="449">
        <v>0</v>
      </c>
      <c r="D1461" s="410">
        <v>-59295.153725000004</v>
      </c>
      <c r="E1461" s="410">
        <v>-59295.153725000004</v>
      </c>
      <c r="F1461" s="410">
        <v>-59295.153725000004</v>
      </c>
      <c r="G1461" s="410">
        <v>-59295.153725000004</v>
      </c>
      <c r="H1461" s="410">
        <v>-59295.153725000004</v>
      </c>
      <c r="I1461" s="410">
        <v>-59295.153725000004</v>
      </c>
      <c r="J1461" s="410">
        <v>-59295.153725000004</v>
      </c>
      <c r="K1461" s="410">
        <v>-59295.153725000004</v>
      </c>
      <c r="L1461" s="410">
        <v>-59295.153725000004</v>
      </c>
      <c r="M1461" s="410">
        <v>-59295.153725000004</v>
      </c>
      <c r="N1461" s="410">
        <v>-59295.153725000004</v>
      </c>
      <c r="O1461" s="410">
        <v>-59295.153725000004</v>
      </c>
      <c r="P1461" s="410">
        <v>-59295.153725000004</v>
      </c>
      <c r="Q1461" s="410">
        <v>-59295.153725000004</v>
      </c>
      <c r="R1461" s="410">
        <v>-59295.153725000004</v>
      </c>
      <c r="S1461" s="410">
        <v>-59295.153725000004</v>
      </c>
      <c r="T1461" s="410">
        <v>-59295.153725000004</v>
      </c>
      <c r="U1461" s="410">
        <v>-59295.153725000004</v>
      </c>
      <c r="V1461" s="410">
        <v>-59295.153725000004</v>
      </c>
      <c r="W1461" s="333"/>
    </row>
    <row r="1462" spans="1:23" ht="13.5" thickBot="1" x14ac:dyDescent="0.25">
      <c r="A1462" s="9"/>
      <c r="B1462" s="316" t="s">
        <v>36</v>
      </c>
      <c r="C1462" s="450">
        <v>0</v>
      </c>
      <c r="D1462" s="412">
        <v>-5527.5505129371804</v>
      </c>
      <c r="E1462" s="412">
        <v>-5644.18182876019</v>
      </c>
      <c r="F1462" s="412">
        <v>-5767.78941081004</v>
      </c>
      <c r="G1462" s="412">
        <v>-5898.1414514943099</v>
      </c>
      <c r="H1462" s="412">
        <v>-6038.5172180398804</v>
      </c>
      <c r="I1462" s="412">
        <v>-6189.84306658695</v>
      </c>
      <c r="J1462" s="412">
        <v>-6343.3684187466297</v>
      </c>
      <c r="K1462" s="412">
        <v>-6503.9321824666604</v>
      </c>
      <c r="L1462" s="412">
        <v>-6664.5793073735904</v>
      </c>
      <c r="M1462" s="412">
        <v>-6834.5260797115898</v>
      </c>
      <c r="N1462" s="412">
        <v>-6999.9216108406499</v>
      </c>
      <c r="O1462" s="412">
        <v>-7176.3196354338097</v>
      </c>
      <c r="P1462" s="412">
        <v>-7358.5981541738101</v>
      </c>
      <c r="Q1462" s="412">
        <v>-7542.5631080281501</v>
      </c>
      <c r="R1462" s="412">
        <v>-7731.8814420396602</v>
      </c>
      <c r="S1462" s="412">
        <v>-7925.1784780906701</v>
      </c>
      <c r="T1462" s="412">
        <v>-8121.7229043472998</v>
      </c>
      <c r="U1462" s="412">
        <v>-8325.5781492464394</v>
      </c>
      <c r="V1462" s="412">
        <v>-8534.5501607925198</v>
      </c>
      <c r="W1462" s="333"/>
    </row>
    <row r="1463" spans="1:23" ht="13.5" thickTop="1" x14ac:dyDescent="0.2">
      <c r="A1463" s="9"/>
      <c r="B1463" s="317" t="s">
        <v>221</v>
      </c>
      <c r="C1463" s="452">
        <v>0</v>
      </c>
      <c r="D1463" s="416">
        <v>2864519.7756858496</v>
      </c>
      <c r="E1463" s="416">
        <v>1886991.9462740235</v>
      </c>
      <c r="F1463" s="416">
        <v>1388312.7367007174</v>
      </c>
      <c r="G1463" s="416">
        <v>1104621.5438591193</v>
      </c>
      <c r="H1463" s="416">
        <v>980630.86061890528</v>
      </c>
      <c r="I1463" s="416">
        <v>532393.15459853248</v>
      </c>
      <c r="J1463" s="416">
        <v>642591.71105334349</v>
      </c>
      <c r="K1463" s="416">
        <v>1086657.5894056596</v>
      </c>
      <c r="L1463" s="416">
        <v>1079838.2328030919</v>
      </c>
      <c r="M1463" s="416">
        <v>1314345.1215914704</v>
      </c>
      <c r="N1463" s="416">
        <v>806074.89852765307</v>
      </c>
      <c r="O1463" s="416">
        <v>967856.92704506812</v>
      </c>
      <c r="P1463" s="416">
        <v>1032747.4764558636</v>
      </c>
      <c r="Q1463" s="416">
        <v>1355228.3828504838</v>
      </c>
      <c r="R1463" s="416">
        <v>989329.11422391818</v>
      </c>
      <c r="S1463" s="416">
        <v>631991.24145338195</v>
      </c>
      <c r="T1463" s="416">
        <v>893087.36467077641</v>
      </c>
      <c r="U1463" s="416">
        <v>1104372.2545108744</v>
      </c>
      <c r="V1463" s="416">
        <v>690629.39852738567</v>
      </c>
      <c r="W1463" s="333"/>
    </row>
    <row r="1464" spans="1:23" x14ac:dyDescent="0.2">
      <c r="A1464" s="9"/>
      <c r="B1464" s="315" t="s">
        <v>37</v>
      </c>
      <c r="C1464" s="449">
        <v>0</v>
      </c>
      <c r="D1464" s="410">
        <v>-302992.97743623261</v>
      </c>
      <c r="E1464" s="410">
        <v>-278092.36397697369</v>
      </c>
      <c r="F1464" s="410">
        <v>-242651.16683060993</v>
      </c>
      <c r="G1464" s="410">
        <v>-206725.22339663914</v>
      </c>
      <c r="H1464" s="410">
        <v>-192897.8676796986</v>
      </c>
      <c r="I1464" s="410">
        <v>-194104.78903993644</v>
      </c>
      <c r="J1464" s="410">
        <v>-208273.90027687381</v>
      </c>
      <c r="K1464" s="410">
        <v>-221502.79904793645</v>
      </c>
      <c r="L1464" s="410">
        <v>-234579.44146827381</v>
      </c>
      <c r="M1464" s="410">
        <v>-246830.16974236644</v>
      </c>
      <c r="N1464" s="410">
        <v>-242986.09678428384</v>
      </c>
      <c r="O1464" s="410">
        <v>-238358.33831750884</v>
      </c>
      <c r="P1464" s="410">
        <v>-250476.83892255556</v>
      </c>
      <c r="Q1464" s="410">
        <v>-192805.76486297941</v>
      </c>
      <c r="R1464" s="410">
        <v>-135738.58214803631</v>
      </c>
      <c r="S1464" s="410">
        <v>-148722.76660087737</v>
      </c>
      <c r="T1464" s="410">
        <v>-162096.47658730374</v>
      </c>
      <c r="U1464" s="410">
        <v>-175871.39787332283</v>
      </c>
      <c r="V1464" s="410">
        <v>-190059.56679792254</v>
      </c>
      <c r="W1464" s="333"/>
    </row>
    <row r="1465" spans="1:23" ht="13.5" thickBot="1" x14ac:dyDescent="0.25">
      <c r="A1465" s="9"/>
      <c r="B1465" s="316" t="s">
        <v>222</v>
      </c>
      <c r="C1465" s="450">
        <v>0</v>
      </c>
      <c r="D1465" s="412">
        <v>-1024610.7192998469</v>
      </c>
      <c r="E1465" s="412">
        <v>-643559.83291881997</v>
      </c>
      <c r="F1465" s="412">
        <v>-458264.62794804294</v>
      </c>
      <c r="G1465" s="412">
        <v>-359158.52818499209</v>
      </c>
      <c r="H1465" s="412">
        <v>-315093.1971756827</v>
      </c>
      <c r="I1465" s="412">
        <v>-135315.34622343842</v>
      </c>
      <c r="J1465" s="412">
        <v>-173727.12431058788</v>
      </c>
      <c r="K1465" s="412">
        <v>-346061.9161430893</v>
      </c>
      <c r="L1465" s="412">
        <v>-338103.51653392729</v>
      </c>
      <c r="M1465" s="412">
        <v>-427005.98073964159</v>
      </c>
      <c r="N1465" s="412">
        <v>-225235.5206973477</v>
      </c>
      <c r="O1465" s="412">
        <v>-291799.43549102376</v>
      </c>
      <c r="P1465" s="412">
        <v>-312908.25501332321</v>
      </c>
      <c r="Q1465" s="412">
        <v>-464969.04719500174</v>
      </c>
      <c r="R1465" s="412">
        <v>-341436.21283035277</v>
      </c>
      <c r="S1465" s="412">
        <v>-193307.38994100183</v>
      </c>
      <c r="T1465" s="412">
        <v>-292396.35523338907</v>
      </c>
      <c r="U1465" s="412">
        <v>-371400.34265502065</v>
      </c>
      <c r="V1465" s="412">
        <v>-200227.93269178527</v>
      </c>
      <c r="W1465" s="333"/>
    </row>
    <row r="1466" spans="1:23" ht="13.5" thickTop="1" x14ac:dyDescent="0.2">
      <c r="A1466" s="9"/>
      <c r="B1466" s="317" t="s">
        <v>183</v>
      </c>
      <c r="C1466" s="452">
        <v>0</v>
      </c>
      <c r="D1466" s="416">
        <v>1536916.0789497704</v>
      </c>
      <c r="E1466" s="416">
        <v>965339.74937822996</v>
      </c>
      <c r="F1466" s="416">
        <v>687396.9419220644</v>
      </c>
      <c r="G1466" s="416">
        <v>538737.79227748816</v>
      </c>
      <c r="H1466" s="416">
        <v>472639.79576352396</v>
      </c>
      <c r="I1466" s="416">
        <v>202973.01933515762</v>
      </c>
      <c r="J1466" s="416">
        <v>260590.68646588176</v>
      </c>
      <c r="K1466" s="416">
        <v>519092.87421463383</v>
      </c>
      <c r="L1466" s="416">
        <v>507155.27480089082</v>
      </c>
      <c r="M1466" s="416">
        <v>640508.97110946232</v>
      </c>
      <c r="N1466" s="416">
        <v>337853.2810460215</v>
      </c>
      <c r="O1466" s="416">
        <v>437699.15323653555</v>
      </c>
      <c r="P1466" s="416">
        <v>469362.38251998479</v>
      </c>
      <c r="Q1466" s="416">
        <v>697453.57079250249</v>
      </c>
      <c r="R1466" s="416">
        <v>512154.31924552907</v>
      </c>
      <c r="S1466" s="416">
        <v>289961.08491150272</v>
      </c>
      <c r="T1466" s="416">
        <v>438594.53285008355</v>
      </c>
      <c r="U1466" s="416">
        <v>557100.51398253092</v>
      </c>
      <c r="V1466" s="416">
        <v>300341.89903767785</v>
      </c>
      <c r="W1466" s="333"/>
    </row>
    <row r="1467" spans="1:23" x14ac:dyDescent="0.2">
      <c r="A1467" s="9"/>
      <c r="B1467" s="315" t="s">
        <v>37</v>
      </c>
      <c r="C1467" s="449">
        <v>0</v>
      </c>
      <c r="D1467" s="410">
        <v>302992.97743623261</v>
      </c>
      <c r="E1467" s="410">
        <v>278092.36397697369</v>
      </c>
      <c r="F1467" s="410">
        <v>242651.16683060993</v>
      </c>
      <c r="G1467" s="410">
        <v>206725.22339663914</v>
      </c>
      <c r="H1467" s="410">
        <v>192897.8676796986</v>
      </c>
      <c r="I1467" s="410">
        <v>194104.78903993644</v>
      </c>
      <c r="J1467" s="410">
        <v>208273.90027687381</v>
      </c>
      <c r="K1467" s="410">
        <v>221502.79904793645</v>
      </c>
      <c r="L1467" s="410">
        <v>234579.44146827381</v>
      </c>
      <c r="M1467" s="410">
        <v>246830.16974236644</v>
      </c>
      <c r="N1467" s="410">
        <v>242986.09678428384</v>
      </c>
      <c r="O1467" s="410">
        <v>238358.33831750884</v>
      </c>
      <c r="P1467" s="410">
        <v>250476.83892255556</v>
      </c>
      <c r="Q1467" s="410">
        <v>192805.76486297941</v>
      </c>
      <c r="R1467" s="410">
        <v>135738.58214803631</v>
      </c>
      <c r="S1467" s="410">
        <v>148722.76660087737</v>
      </c>
      <c r="T1467" s="410">
        <v>162096.47658730374</v>
      </c>
      <c r="U1467" s="410">
        <v>175871.39787332283</v>
      </c>
      <c r="V1467" s="410">
        <v>190059.56679792254</v>
      </c>
      <c r="W1467" s="333"/>
    </row>
    <row r="1468" spans="1:23" x14ac:dyDescent="0.2">
      <c r="A1468" s="9"/>
      <c r="B1468" s="315" t="s">
        <v>39</v>
      </c>
      <c r="C1468" s="449">
        <v>0</v>
      </c>
      <c r="D1468" s="410">
        <v>-1752.08</v>
      </c>
      <c r="E1468" s="410">
        <v>-1822.8</v>
      </c>
      <c r="F1468" s="410">
        <v>-1896.4</v>
      </c>
      <c r="G1468" s="410">
        <v>-1980.72</v>
      </c>
      <c r="H1468" s="410">
        <v>-200000</v>
      </c>
      <c r="I1468" s="410">
        <v>-206000</v>
      </c>
      <c r="J1468" s="410">
        <v>-212180</v>
      </c>
      <c r="K1468" s="410">
        <v>-218545.4</v>
      </c>
      <c r="L1468" s="410">
        <v>-225101.76199999999</v>
      </c>
      <c r="M1468" s="410">
        <v>-231854.81485999998</v>
      </c>
      <c r="N1468" s="410">
        <v>-238810.4593058</v>
      </c>
      <c r="O1468" s="410">
        <v>-245974.773084974</v>
      </c>
      <c r="P1468" s="410">
        <v>-253354.01627752322</v>
      </c>
      <c r="Q1468" s="410">
        <v>-260954.63676584893</v>
      </c>
      <c r="R1468" s="410">
        <v>-268783.27586882439</v>
      </c>
      <c r="S1468" s="410">
        <v>-276846.77414488915</v>
      </c>
      <c r="T1468" s="410">
        <v>-285152.17736923584</v>
      </c>
      <c r="U1468" s="410">
        <v>-293706.74269031291</v>
      </c>
      <c r="V1468" s="410">
        <v>-302517.94497102231</v>
      </c>
      <c r="W1468" s="333"/>
    </row>
    <row r="1469" spans="1:23" ht="13.5" thickBot="1" x14ac:dyDescent="0.25">
      <c r="A1469" s="9"/>
      <c r="B1469" s="316" t="s">
        <v>40</v>
      </c>
      <c r="C1469" s="450">
        <v>0</v>
      </c>
      <c r="D1469" s="412">
        <v>0</v>
      </c>
      <c r="E1469" s="412">
        <v>0</v>
      </c>
      <c r="F1469" s="412">
        <v>0</v>
      </c>
      <c r="G1469" s="412">
        <v>0</v>
      </c>
      <c r="H1469" s="412">
        <v>0</v>
      </c>
      <c r="I1469" s="412">
        <v>0</v>
      </c>
      <c r="J1469" s="412">
        <v>0</v>
      </c>
      <c r="K1469" s="412">
        <v>0</v>
      </c>
      <c r="L1469" s="412">
        <v>0</v>
      </c>
      <c r="M1469" s="412">
        <v>0</v>
      </c>
      <c r="N1469" s="412">
        <v>0</v>
      </c>
      <c r="O1469" s="412">
        <v>0</v>
      </c>
      <c r="P1469" s="412">
        <v>0</v>
      </c>
      <c r="Q1469" s="412">
        <v>0</v>
      </c>
      <c r="R1469" s="412">
        <v>0</v>
      </c>
      <c r="S1469" s="412">
        <v>0</v>
      </c>
      <c r="T1469" s="412">
        <v>0</v>
      </c>
      <c r="U1469" s="412">
        <v>0</v>
      </c>
      <c r="V1469" s="412">
        <v>0</v>
      </c>
      <c r="W1469" s="333"/>
    </row>
    <row r="1470" spans="1:23" ht="13.5" thickTop="1" x14ac:dyDescent="0.2">
      <c r="A1470" s="9"/>
      <c r="B1470" s="315"/>
      <c r="C1470" s="453"/>
      <c r="D1470" s="333"/>
      <c r="E1470" s="333"/>
      <c r="F1470" s="333"/>
      <c r="G1470" s="333"/>
      <c r="H1470" s="333"/>
      <c r="I1470" s="333"/>
      <c r="J1470" s="333"/>
      <c r="K1470" s="333"/>
      <c r="L1470" s="333"/>
      <c r="M1470" s="333"/>
      <c r="N1470" s="333"/>
      <c r="O1470" s="333"/>
      <c r="P1470" s="333"/>
      <c r="Q1470" s="333"/>
      <c r="R1470" s="333"/>
      <c r="S1470" s="333"/>
      <c r="T1470" s="333"/>
      <c r="U1470" s="333"/>
      <c r="V1470" s="333"/>
      <c r="W1470" s="333"/>
    </row>
    <row r="1471" spans="1:23" x14ac:dyDescent="0.2">
      <c r="A1471" s="9"/>
      <c r="B1471" s="317" t="s">
        <v>234</v>
      </c>
      <c r="C1471" s="452">
        <v>0</v>
      </c>
      <c r="D1471" s="416">
        <v>1838156.976386003</v>
      </c>
      <c r="E1471" s="416">
        <v>1241609.3133552035</v>
      </c>
      <c r="F1471" s="416">
        <v>928151.70875267428</v>
      </c>
      <c r="G1471" s="416">
        <v>743482.29567412729</v>
      </c>
      <c r="H1471" s="416">
        <v>465537.66344322253</v>
      </c>
      <c r="I1471" s="416">
        <v>191077.80837509409</v>
      </c>
      <c r="J1471" s="416">
        <v>256684.58674275561</v>
      </c>
      <c r="K1471" s="416">
        <v>522050.27326257026</v>
      </c>
      <c r="L1471" s="416">
        <v>516632.95426916459</v>
      </c>
      <c r="M1471" s="416">
        <v>655484.32599182869</v>
      </c>
      <c r="N1471" s="416">
        <v>342028.91852450534</v>
      </c>
      <c r="O1471" s="416">
        <v>430082.71846907039</v>
      </c>
      <c r="P1471" s="416">
        <v>466485.20516501716</v>
      </c>
      <c r="Q1471" s="416">
        <v>629304.69888963294</v>
      </c>
      <c r="R1471" s="416">
        <v>379109.62552474096</v>
      </c>
      <c r="S1471" s="416">
        <v>161837.07736749091</v>
      </c>
      <c r="T1471" s="416">
        <v>315538.8320681515</v>
      </c>
      <c r="U1471" s="416">
        <v>439265.16916554084</v>
      </c>
      <c r="V1471" s="416">
        <v>187883.52086457808</v>
      </c>
      <c r="W1471" s="414">
        <v>2462140.384938872</v>
      </c>
    </row>
    <row r="1472" spans="1:23" x14ac:dyDescent="0.2">
      <c r="A1472" s="9"/>
      <c r="B1472" s="292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</row>
    <row r="1473" spans="1:23" x14ac:dyDescent="0.2">
      <c r="A1473" s="308" t="s">
        <v>219</v>
      </c>
      <c r="B1473" s="306" t="s">
        <v>170</v>
      </c>
      <c r="C1473" s="439">
        <v>4395956.4155067168</v>
      </c>
      <c r="D1473" s="9"/>
      <c r="E1473" s="137" t="s">
        <v>220</v>
      </c>
      <c r="F1473" s="319" t="s">
        <v>170</v>
      </c>
      <c r="G1473" s="443">
        <v>4395956.4155067168</v>
      </c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</row>
    <row r="1474" spans="1:23" x14ac:dyDescent="0.2">
      <c r="A1474" s="9"/>
      <c r="B1474" s="306" t="s">
        <v>180</v>
      </c>
      <c r="C1474" s="439">
        <v>1899209.7480964009</v>
      </c>
      <c r="D1474" s="9"/>
      <c r="E1474" s="321"/>
      <c r="F1474" s="319" t="s">
        <v>180</v>
      </c>
      <c r="G1474" s="443">
        <v>1899209.7480964009</v>
      </c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</row>
    <row r="1475" spans="1:23" ht="13.5" thickBot="1" x14ac:dyDescent="0.25">
      <c r="A1475" s="9"/>
      <c r="B1475" s="322" t="s">
        <v>137</v>
      </c>
      <c r="C1475" s="440">
        <v>383844.61398915556</v>
      </c>
      <c r="D1475" s="323"/>
      <c r="E1475" s="321"/>
      <c r="F1475" s="319" t="s">
        <v>137</v>
      </c>
      <c r="G1475" s="443">
        <v>383844.61398915556</v>
      </c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</row>
    <row r="1476" spans="1:23" ht="14.25" thickTop="1" thickBot="1" x14ac:dyDescent="0.25">
      <c r="A1476" s="9"/>
      <c r="B1476" s="306" t="s">
        <v>28</v>
      </c>
      <c r="C1476" s="438">
        <v>6679010.7775922744</v>
      </c>
      <c r="D1476" s="305"/>
      <c r="E1476" s="321"/>
      <c r="F1476" s="324" t="s">
        <v>204</v>
      </c>
      <c r="G1476" s="325">
        <v>0</v>
      </c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</row>
    <row r="1477" spans="1:23" ht="13.5" thickTop="1" x14ac:dyDescent="0.2">
      <c r="A1477" s="9"/>
      <c r="B1477" s="292"/>
      <c r="C1477" s="326"/>
      <c r="D1477" s="9"/>
      <c r="E1477" s="327"/>
      <c r="F1477" s="319" t="s">
        <v>28</v>
      </c>
      <c r="G1477" s="368">
        <v>6679010.7775922744</v>
      </c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</row>
    <row r="1478" spans="1:23" x14ac:dyDescent="0.2">
      <c r="A1478" s="9"/>
      <c r="B1478" s="292"/>
      <c r="C1478" s="326"/>
      <c r="D1478" s="9"/>
      <c r="E1478" s="327"/>
      <c r="F1478" s="319"/>
      <c r="G1478" s="328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</row>
    <row r="1479" spans="1:23" x14ac:dyDescent="0.2">
      <c r="A1479" s="9"/>
      <c r="B1479" s="292"/>
      <c r="C1479" s="326"/>
      <c r="D1479" s="9"/>
      <c r="E1479" s="327"/>
      <c r="F1479" s="319"/>
      <c r="G1479" s="328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</row>
    <row r="1480" spans="1:23" x14ac:dyDescent="0.2">
      <c r="A1480" s="9"/>
      <c r="B1480" s="329" t="s">
        <v>223</v>
      </c>
      <c r="C1480" s="326"/>
      <c r="D1480" s="9"/>
      <c r="E1480" s="327"/>
      <c r="F1480" s="319"/>
      <c r="G1480" s="328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</row>
    <row r="1481" spans="1:23" x14ac:dyDescent="0.2">
      <c r="A1481" s="330" t="s">
        <v>225</v>
      </c>
      <c r="B1481" s="329" t="s">
        <v>224</v>
      </c>
      <c r="C1481" s="331"/>
      <c r="D1481" s="332">
        <v>1536916.0789497704</v>
      </c>
      <c r="E1481" s="332">
        <v>965339.74937822996</v>
      </c>
      <c r="F1481" s="332">
        <v>687396.9419220644</v>
      </c>
      <c r="G1481" s="332">
        <v>538737.79227748816</v>
      </c>
      <c r="H1481" s="332">
        <v>472639.79576352396</v>
      </c>
      <c r="I1481" s="332">
        <v>202973.01933515762</v>
      </c>
      <c r="J1481" s="332">
        <v>260590.68646588176</v>
      </c>
      <c r="K1481" s="332">
        <v>519092.87421463383</v>
      </c>
      <c r="L1481" s="332">
        <v>507155.27480089082</v>
      </c>
      <c r="M1481" s="332">
        <v>640508.97110946232</v>
      </c>
      <c r="N1481" s="332">
        <v>337853.2810460215</v>
      </c>
      <c r="O1481" s="332">
        <v>437699.15323653555</v>
      </c>
      <c r="P1481" s="332">
        <v>469362.38251998479</v>
      </c>
      <c r="Q1481" s="332">
        <v>697453.57079250249</v>
      </c>
      <c r="R1481" s="332">
        <v>512154.31924552907</v>
      </c>
      <c r="S1481" s="332">
        <v>289961.08491150272</v>
      </c>
      <c r="T1481" s="332">
        <v>438594.53285008355</v>
      </c>
      <c r="U1481" s="332">
        <v>557100.51398253092</v>
      </c>
      <c r="V1481" s="332">
        <v>300341.89903767785</v>
      </c>
      <c r="W1481" s="9"/>
    </row>
    <row r="1482" spans="1:23" x14ac:dyDescent="0.2">
      <c r="A1482" s="9"/>
      <c r="B1482" s="292" t="s">
        <v>226</v>
      </c>
      <c r="C1482" s="326"/>
      <c r="D1482" s="333">
        <v>1024610.7192998469</v>
      </c>
      <c r="E1482" s="333">
        <v>643559.83291881997</v>
      </c>
      <c r="F1482" s="333">
        <v>458264.62794804294</v>
      </c>
      <c r="G1482" s="333">
        <v>359158.52818499209</v>
      </c>
      <c r="H1482" s="333">
        <v>315093.1971756827</v>
      </c>
      <c r="I1482" s="333">
        <v>135315.34622343842</v>
      </c>
      <c r="J1482" s="333">
        <v>173727.12431058788</v>
      </c>
      <c r="K1482" s="333">
        <v>346061.9161430893</v>
      </c>
      <c r="L1482" s="333">
        <v>338103.51653392729</v>
      </c>
      <c r="M1482" s="333">
        <v>427005.98073964159</v>
      </c>
      <c r="N1482" s="333">
        <v>225235.5206973477</v>
      </c>
      <c r="O1482" s="333">
        <v>291799.43549102376</v>
      </c>
      <c r="P1482" s="333">
        <v>312908.25501332321</v>
      </c>
      <c r="Q1482" s="333">
        <v>464969.04719500174</v>
      </c>
      <c r="R1482" s="333">
        <v>341436.21283035277</v>
      </c>
      <c r="S1482" s="333">
        <v>193307.38994100183</v>
      </c>
      <c r="T1482" s="333">
        <v>292396.35523338907</v>
      </c>
      <c r="U1482" s="333">
        <v>371400.34265502065</v>
      </c>
      <c r="V1482" s="333">
        <v>200227.93269178527</v>
      </c>
      <c r="W1482" s="9"/>
    </row>
    <row r="1483" spans="1:23" x14ac:dyDescent="0.2">
      <c r="A1483" s="9"/>
      <c r="B1483" s="334" t="s">
        <v>227</v>
      </c>
      <c r="C1483" s="335"/>
      <c r="D1483" s="333">
        <v>302992.97743623261</v>
      </c>
      <c r="E1483" s="333">
        <v>278092.36397697369</v>
      </c>
      <c r="F1483" s="333">
        <v>242651.16683060993</v>
      </c>
      <c r="G1483" s="333">
        <v>206725.22339663914</v>
      </c>
      <c r="H1483" s="333">
        <v>192897.8676796986</v>
      </c>
      <c r="I1483" s="333">
        <v>194104.78903993644</v>
      </c>
      <c r="J1483" s="333">
        <v>208273.90027687381</v>
      </c>
      <c r="K1483" s="333">
        <v>221502.79904793645</v>
      </c>
      <c r="L1483" s="333">
        <v>234579.44146827381</v>
      </c>
      <c r="M1483" s="333">
        <v>246830.16974236644</v>
      </c>
      <c r="N1483" s="333">
        <v>242986.09678428384</v>
      </c>
      <c r="O1483" s="333">
        <v>238358.33831750884</v>
      </c>
      <c r="P1483" s="333">
        <v>250476.83892255556</v>
      </c>
      <c r="Q1483" s="333">
        <v>192805.76486297941</v>
      </c>
      <c r="R1483" s="333">
        <v>135738.58214803631</v>
      </c>
      <c r="S1483" s="333">
        <v>148722.76660087737</v>
      </c>
      <c r="T1483" s="333">
        <v>162096.47658730374</v>
      </c>
      <c r="U1483" s="333">
        <v>175871.39787332283</v>
      </c>
      <c r="V1483" s="333">
        <v>190059.56679792254</v>
      </c>
      <c r="W1483" s="9"/>
    </row>
    <row r="1484" spans="1:23" ht="13.5" thickBot="1" x14ac:dyDescent="0.25">
      <c r="A1484" s="9"/>
      <c r="B1484" s="336" t="s">
        <v>228</v>
      </c>
      <c r="C1484" s="337"/>
      <c r="D1484" s="338">
        <v>2864519.7756858496</v>
      </c>
      <c r="E1484" s="338">
        <v>1886991.9462740235</v>
      </c>
      <c r="F1484" s="338">
        <v>1388312.7367007174</v>
      </c>
      <c r="G1484" s="338">
        <v>1104621.5438591193</v>
      </c>
      <c r="H1484" s="338">
        <v>980630.86061890528</v>
      </c>
      <c r="I1484" s="338">
        <v>532393.15459853248</v>
      </c>
      <c r="J1484" s="338">
        <v>642591.71105334349</v>
      </c>
      <c r="K1484" s="338">
        <v>1086657.5894056596</v>
      </c>
      <c r="L1484" s="338">
        <v>1079838.2328030919</v>
      </c>
      <c r="M1484" s="338">
        <v>1314345.1215914704</v>
      </c>
      <c r="N1484" s="338">
        <v>806074.89852765307</v>
      </c>
      <c r="O1484" s="338">
        <v>967856.92704506812</v>
      </c>
      <c r="P1484" s="338">
        <v>1032747.4764558636</v>
      </c>
      <c r="Q1484" s="338">
        <v>1355228.3828504835</v>
      </c>
      <c r="R1484" s="338">
        <v>989329.11422391818</v>
      </c>
      <c r="S1484" s="338">
        <v>631991.24145338195</v>
      </c>
      <c r="T1484" s="338">
        <v>893087.3646707763</v>
      </c>
      <c r="U1484" s="338">
        <v>1104372.2545108744</v>
      </c>
      <c r="V1484" s="338">
        <v>690629.39852738567</v>
      </c>
      <c r="W1484" s="9"/>
    </row>
    <row r="1485" spans="1:23" ht="13.5" thickTop="1" x14ac:dyDescent="0.2">
      <c r="A1485" s="330" t="s">
        <v>229</v>
      </c>
      <c r="B1485" s="292" t="s">
        <v>230</v>
      </c>
      <c r="C1485" s="326"/>
      <c r="D1485" s="333">
        <v>-625019.49955267261</v>
      </c>
      <c r="E1485" s="333">
        <v>-623803.93615194887</v>
      </c>
      <c r="F1485" s="333">
        <v>-619173.10373228521</v>
      </c>
      <c r="G1485" s="333">
        <v>-619206.34347776289</v>
      </c>
      <c r="H1485" s="333">
        <v>-629139.11483337055</v>
      </c>
      <c r="I1485" s="333">
        <v>-639439.11483337055</v>
      </c>
      <c r="J1485" s="333">
        <v>-552705.15300319321</v>
      </c>
      <c r="K1485" s="333">
        <v>-490171.32759566046</v>
      </c>
      <c r="L1485" s="333">
        <v>-466481.10595316201</v>
      </c>
      <c r="M1485" s="333">
        <v>-475040.28428713884</v>
      </c>
      <c r="N1485" s="333">
        <v>-486980.80725242884</v>
      </c>
      <c r="O1485" s="333">
        <v>-499279.54590667755</v>
      </c>
      <c r="P1485" s="333">
        <v>-428276.50966160547</v>
      </c>
      <c r="Q1485" s="333">
        <v>-327004.1591674863</v>
      </c>
      <c r="R1485" s="333">
        <v>-166675.02433568743</v>
      </c>
      <c r="S1485" s="333">
        <v>-169580.51035087041</v>
      </c>
      <c r="T1485" s="333">
        <v>-183091.6730563188</v>
      </c>
      <c r="U1485" s="333">
        <v>-197777.01019083444</v>
      </c>
      <c r="V1485" s="333">
        <v>-212264.50880137744</v>
      </c>
      <c r="W1485" s="9"/>
    </row>
    <row r="1486" spans="1:23" x14ac:dyDescent="0.2">
      <c r="A1486" s="9"/>
      <c r="B1486" s="292" t="s">
        <v>231</v>
      </c>
      <c r="C1486" s="326"/>
      <c r="D1486" s="333">
        <v>0</v>
      </c>
      <c r="E1486" s="333">
        <v>0</v>
      </c>
      <c r="F1486" s="333">
        <v>0</v>
      </c>
      <c r="G1486" s="333">
        <v>0</v>
      </c>
      <c r="H1486" s="333">
        <v>0</v>
      </c>
      <c r="I1486" s="333">
        <v>0</v>
      </c>
      <c r="J1486" s="333">
        <v>0</v>
      </c>
      <c r="K1486" s="333">
        <v>0</v>
      </c>
      <c r="L1486" s="333">
        <v>0</v>
      </c>
      <c r="M1486" s="333">
        <v>0</v>
      </c>
      <c r="N1486" s="333">
        <v>0</v>
      </c>
      <c r="O1486" s="333">
        <v>0</v>
      </c>
      <c r="P1486" s="333">
        <v>0</v>
      </c>
      <c r="Q1486" s="333">
        <v>0</v>
      </c>
      <c r="R1486" s="333">
        <v>0</v>
      </c>
      <c r="S1486" s="333">
        <v>0</v>
      </c>
      <c r="T1486" s="333">
        <v>0</v>
      </c>
      <c r="U1486" s="333">
        <v>0</v>
      </c>
      <c r="V1486" s="333">
        <v>0</v>
      </c>
      <c r="W1486" s="9"/>
    </row>
    <row r="1487" spans="1:23" x14ac:dyDescent="0.2">
      <c r="A1487" s="9"/>
      <c r="B1487" s="329" t="s">
        <v>232</v>
      </c>
      <c r="C1487" s="331"/>
      <c r="D1487" s="332">
        <v>2239500.2761331769</v>
      </c>
      <c r="E1487" s="332">
        <v>1263188.0101220747</v>
      </c>
      <c r="F1487" s="332">
        <v>769139.63296843215</v>
      </c>
      <c r="G1487" s="332">
        <v>485415.20038135641</v>
      </c>
      <c r="H1487" s="332">
        <v>351491.74578553473</v>
      </c>
      <c r="I1487" s="332">
        <v>-107045.96023483807</v>
      </c>
      <c r="J1487" s="332">
        <v>89886.558050150285</v>
      </c>
      <c r="K1487" s="332">
        <v>596486.26180999912</v>
      </c>
      <c r="L1487" s="332">
        <v>613357.1268499298</v>
      </c>
      <c r="M1487" s="332">
        <v>839304.8373043316</v>
      </c>
      <c r="N1487" s="332">
        <v>319094.09127522423</v>
      </c>
      <c r="O1487" s="332">
        <v>468577.38113839057</v>
      </c>
      <c r="P1487" s="332">
        <v>604470.9667942581</v>
      </c>
      <c r="Q1487" s="332">
        <v>1028224.2236829973</v>
      </c>
      <c r="R1487" s="332">
        <v>822654.08988823078</v>
      </c>
      <c r="S1487" s="332">
        <v>462410.73110251152</v>
      </c>
      <c r="T1487" s="332">
        <v>709995.69161445752</v>
      </c>
      <c r="U1487" s="332">
        <v>906595.24432003999</v>
      </c>
      <c r="V1487" s="332">
        <v>478364.88972600823</v>
      </c>
      <c r="W1487" s="9"/>
    </row>
    <row r="1488" spans="1:23" ht="13.5" thickBot="1" x14ac:dyDescent="0.25">
      <c r="A1488" s="9"/>
      <c r="B1488" s="339" t="s">
        <v>238</v>
      </c>
      <c r="C1488" s="340"/>
      <c r="D1488" s="341">
        <v>-895800.11045327084</v>
      </c>
      <c r="E1488" s="341">
        <v>-505275.20404882991</v>
      </c>
      <c r="F1488" s="341">
        <v>-307655.85318737285</v>
      </c>
      <c r="G1488" s="341">
        <v>-194166.08015254256</v>
      </c>
      <c r="H1488" s="341">
        <v>-140596.69831421389</v>
      </c>
      <c r="I1488" s="341">
        <v>42818.38409393523</v>
      </c>
      <c r="J1488" s="341">
        <v>-35954.623220060115</v>
      </c>
      <c r="K1488" s="341">
        <v>-238594.50472399965</v>
      </c>
      <c r="L1488" s="341">
        <v>-245342.85073997194</v>
      </c>
      <c r="M1488" s="341">
        <v>-335721.93492173264</v>
      </c>
      <c r="N1488" s="341">
        <v>-127637.63651008969</v>
      </c>
      <c r="O1488" s="341">
        <v>-187430.95245535625</v>
      </c>
      <c r="P1488" s="341">
        <v>-241788.38671770325</v>
      </c>
      <c r="Q1488" s="341">
        <v>-411289.68947319896</v>
      </c>
      <c r="R1488" s="341">
        <v>-329061.63595529232</v>
      </c>
      <c r="S1488" s="341">
        <v>-184964.29244100463</v>
      </c>
      <c r="T1488" s="341">
        <v>-283998.27664578304</v>
      </c>
      <c r="U1488" s="341">
        <v>-362638.09772801603</v>
      </c>
      <c r="V1488" s="341">
        <v>-191345.9558904033</v>
      </c>
      <c r="W1488" s="9"/>
    </row>
    <row r="1489" spans="1:23" ht="13.5" thickTop="1" x14ac:dyDescent="0.2">
      <c r="A1489" s="9"/>
      <c r="B1489" s="329" t="s">
        <v>233</v>
      </c>
      <c r="C1489" s="331"/>
      <c r="D1489" s="332">
        <v>1343700.165679906</v>
      </c>
      <c r="E1489" s="332">
        <v>757912.80607324489</v>
      </c>
      <c r="F1489" s="332">
        <v>461483.7797810593</v>
      </c>
      <c r="G1489" s="332">
        <v>291249.12022881384</v>
      </c>
      <c r="H1489" s="332">
        <v>210895.04747132084</v>
      </c>
      <c r="I1489" s="332">
        <v>-64227.576140902842</v>
      </c>
      <c r="J1489" s="332">
        <v>53931.934830090169</v>
      </c>
      <c r="K1489" s="332">
        <v>357891.75708599947</v>
      </c>
      <c r="L1489" s="332">
        <v>368014.27610995783</v>
      </c>
      <c r="M1489" s="332">
        <v>503582.90238259896</v>
      </c>
      <c r="N1489" s="332">
        <v>191456.45476513455</v>
      </c>
      <c r="O1489" s="332">
        <v>281146.42868303432</v>
      </c>
      <c r="P1489" s="332">
        <v>362682.58007655485</v>
      </c>
      <c r="Q1489" s="332">
        <v>616934.53420979832</v>
      </c>
      <c r="R1489" s="332">
        <v>493592.45393293846</v>
      </c>
      <c r="S1489" s="332">
        <v>277446.43866150687</v>
      </c>
      <c r="T1489" s="332">
        <v>425997.41496867448</v>
      </c>
      <c r="U1489" s="332">
        <v>543957.14659202402</v>
      </c>
      <c r="V1489" s="332">
        <v>287018.93383560493</v>
      </c>
      <c r="W1489" s="9"/>
    </row>
    <row r="1490" spans="1:23" x14ac:dyDescent="0.2">
      <c r="A1490" s="9"/>
      <c r="B1490" s="9"/>
      <c r="C1490" s="326"/>
      <c r="D1490" s="9"/>
      <c r="E1490" s="327"/>
      <c r="F1490" s="319"/>
      <c r="G1490" s="328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</row>
    <row r="1491" spans="1:23" ht="15.75" x14ac:dyDescent="0.25">
      <c r="A1491" s="342" t="s">
        <v>206</v>
      </c>
      <c r="B1491" s="343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</row>
    <row r="1492" spans="1:23" x14ac:dyDescent="0.2">
      <c r="A1492" s="290" t="s">
        <v>191</v>
      </c>
      <c r="B1492" s="309"/>
      <c r="C1492" s="344">
        <v>0</v>
      </c>
      <c r="D1492" s="283"/>
      <c r="E1492" s="283"/>
      <c r="F1492" s="283"/>
      <c r="G1492" s="283"/>
      <c r="H1492" s="283"/>
      <c r="I1492" s="283"/>
      <c r="J1492" s="283"/>
      <c r="K1492" s="283"/>
      <c r="L1492" s="283"/>
      <c r="M1492" s="283"/>
      <c r="N1492" s="283"/>
      <c r="O1492" s="283"/>
      <c r="P1492" s="283"/>
      <c r="Q1492" s="283"/>
      <c r="R1492" s="283"/>
      <c r="S1492" s="283"/>
      <c r="T1492" s="283"/>
      <c r="U1492" s="283"/>
      <c r="V1492" s="283"/>
      <c r="W1492" s="283"/>
    </row>
    <row r="1493" spans="1:23" x14ac:dyDescent="0.2">
      <c r="A1493" s="290" t="s">
        <v>192</v>
      </c>
      <c r="B1493" s="309"/>
      <c r="C1493" s="345">
        <v>0</v>
      </c>
      <c r="D1493" s="283"/>
      <c r="E1493" s="283"/>
      <c r="F1493" s="283"/>
      <c r="G1493" s="283"/>
      <c r="H1493" s="283"/>
      <c r="I1493" s="283"/>
      <c r="J1493" s="283"/>
      <c r="K1493" s="283"/>
      <c r="L1493" s="283"/>
      <c r="M1493" s="283"/>
      <c r="N1493" s="283"/>
      <c r="O1493" s="283"/>
      <c r="P1493" s="283"/>
      <c r="Q1493" s="283"/>
      <c r="R1493" s="283"/>
      <c r="S1493" s="283"/>
      <c r="T1493" s="283"/>
      <c r="U1493" s="283"/>
      <c r="V1493" s="283"/>
      <c r="W1493" s="283"/>
    </row>
    <row r="1494" spans="1:23" x14ac:dyDescent="0.2">
      <c r="A1494" s="290" t="s">
        <v>202</v>
      </c>
      <c r="B1494" s="309"/>
      <c r="C1494" s="290">
        <v>15</v>
      </c>
      <c r="D1494" s="283"/>
      <c r="E1494" s="283"/>
      <c r="F1494" s="283"/>
      <c r="G1494" s="283"/>
      <c r="H1494" s="283"/>
      <c r="I1494" s="283"/>
      <c r="J1494" s="283"/>
      <c r="K1494" s="283"/>
      <c r="L1494" s="283"/>
      <c r="M1494" s="283"/>
      <c r="N1494" s="283"/>
      <c r="O1494" s="283"/>
      <c r="P1494" s="283"/>
      <c r="Q1494" s="283"/>
      <c r="R1494" s="283"/>
      <c r="S1494" s="283"/>
      <c r="T1494" s="283"/>
      <c r="U1494" s="283"/>
      <c r="V1494" s="283"/>
      <c r="W1494" s="283"/>
    </row>
    <row r="1495" spans="1:23" x14ac:dyDescent="0.2">
      <c r="A1495" s="290" t="s">
        <v>193</v>
      </c>
      <c r="B1495" s="309"/>
      <c r="C1495" s="345">
        <v>0</v>
      </c>
      <c r="D1495" s="283"/>
      <c r="E1495" s="283"/>
      <c r="F1495" s="283"/>
      <c r="G1495" s="283"/>
      <c r="H1495" s="283"/>
      <c r="I1495" s="283"/>
      <c r="J1495" s="283"/>
      <c r="K1495" s="283"/>
      <c r="L1495" s="283"/>
      <c r="M1495" s="283"/>
      <c r="N1495" s="283"/>
      <c r="O1495" s="283"/>
      <c r="P1495" s="283"/>
      <c r="Q1495" s="283"/>
      <c r="R1495" s="283"/>
      <c r="S1495" s="283"/>
      <c r="T1495" s="283"/>
      <c r="U1495" s="283"/>
      <c r="V1495" s="283"/>
      <c r="W1495" s="283"/>
    </row>
    <row r="1496" spans="1:23" x14ac:dyDescent="0.2">
      <c r="A1496" s="290" t="s">
        <v>194</v>
      </c>
      <c r="B1496" s="309"/>
      <c r="C1496" s="346">
        <v>8.7499999999999994E-2</v>
      </c>
      <c r="D1496" s="283"/>
      <c r="E1496" s="283"/>
      <c r="F1496" s="283"/>
      <c r="G1496" s="283"/>
      <c r="H1496" s="283"/>
      <c r="I1496" s="283"/>
      <c r="J1496" s="283"/>
      <c r="K1496" s="283"/>
      <c r="L1496" s="283"/>
      <c r="M1496" s="283"/>
      <c r="N1496" s="283"/>
      <c r="O1496" s="283"/>
      <c r="P1496" s="283"/>
      <c r="Q1496" s="283"/>
      <c r="R1496" s="283"/>
      <c r="S1496" s="283"/>
      <c r="T1496" s="283"/>
      <c r="U1496" s="283"/>
      <c r="V1496" s="283"/>
      <c r="W1496" s="283"/>
    </row>
    <row r="1497" spans="1:23" x14ac:dyDescent="0.2">
      <c r="A1497" s="290"/>
      <c r="B1497" s="309"/>
      <c r="C1497" s="283"/>
      <c r="D1497" s="312">
        <v>2001</v>
      </c>
      <c r="E1497" s="312">
        <v>2002</v>
      </c>
      <c r="F1497" s="312">
        <v>2003</v>
      </c>
      <c r="G1497" s="312">
        <v>2004</v>
      </c>
      <c r="H1497" s="312">
        <v>2005</v>
      </c>
      <c r="I1497" s="312">
        <v>2006</v>
      </c>
      <c r="J1497" s="312">
        <v>2007</v>
      </c>
      <c r="K1497" s="312">
        <v>2008</v>
      </c>
      <c r="L1497" s="312">
        <v>2009</v>
      </c>
      <c r="M1497" s="312">
        <v>2010</v>
      </c>
      <c r="N1497" s="312">
        <v>2011</v>
      </c>
      <c r="O1497" s="312">
        <v>2012</v>
      </c>
      <c r="P1497" s="312">
        <v>2013</v>
      </c>
      <c r="Q1497" s="312">
        <v>2014</v>
      </c>
      <c r="R1497" s="312">
        <v>2015</v>
      </c>
      <c r="S1497" s="312">
        <v>2016</v>
      </c>
      <c r="T1497" s="312">
        <v>2017</v>
      </c>
      <c r="U1497" s="312">
        <v>2018</v>
      </c>
      <c r="V1497" s="312">
        <v>2019</v>
      </c>
      <c r="W1497" s="312" t="s">
        <v>154</v>
      </c>
    </row>
    <row r="1498" spans="1:23" x14ac:dyDescent="0.2">
      <c r="A1498" s="290" t="s">
        <v>195</v>
      </c>
      <c r="B1498" s="309"/>
      <c r="C1498" s="283"/>
      <c r="D1498" s="347">
        <v>0</v>
      </c>
      <c r="E1498" s="347">
        <v>0</v>
      </c>
      <c r="F1498" s="347">
        <v>0</v>
      </c>
      <c r="G1498" s="347">
        <v>0</v>
      </c>
      <c r="H1498" s="347">
        <v>0</v>
      </c>
      <c r="I1498" s="347">
        <v>0</v>
      </c>
      <c r="J1498" s="347">
        <v>0</v>
      </c>
      <c r="K1498" s="347">
        <v>0</v>
      </c>
      <c r="L1498" s="347">
        <v>0</v>
      </c>
      <c r="M1498" s="347">
        <v>0</v>
      </c>
      <c r="N1498" s="347">
        <v>0</v>
      </c>
      <c r="O1498" s="347">
        <v>0</v>
      </c>
      <c r="P1498" s="347">
        <v>0</v>
      </c>
      <c r="Q1498" s="347">
        <v>0</v>
      </c>
      <c r="R1498" s="347">
        <v>0</v>
      </c>
      <c r="S1498" s="347">
        <v>0</v>
      </c>
      <c r="T1498" s="347">
        <v>0</v>
      </c>
      <c r="U1498" s="347">
        <v>0</v>
      </c>
      <c r="V1498" s="347">
        <v>0</v>
      </c>
      <c r="W1498" s="347">
        <v>0</v>
      </c>
    </row>
    <row r="1499" spans="1:23" x14ac:dyDescent="0.2">
      <c r="A1499" s="290" t="s">
        <v>196</v>
      </c>
      <c r="B1499" s="309"/>
      <c r="C1499" s="283"/>
      <c r="D1499" s="347">
        <v>0</v>
      </c>
      <c r="E1499" s="347">
        <v>0</v>
      </c>
      <c r="F1499" s="347">
        <v>0</v>
      </c>
      <c r="G1499" s="347">
        <v>0</v>
      </c>
      <c r="H1499" s="347">
        <v>0</v>
      </c>
      <c r="I1499" s="347">
        <v>0</v>
      </c>
      <c r="J1499" s="347">
        <v>0</v>
      </c>
      <c r="K1499" s="347">
        <v>0</v>
      </c>
      <c r="L1499" s="347">
        <v>0</v>
      </c>
      <c r="M1499" s="347">
        <v>0</v>
      </c>
      <c r="N1499" s="347">
        <v>0</v>
      </c>
      <c r="O1499" s="347">
        <v>0</v>
      </c>
      <c r="P1499" s="347">
        <v>0</v>
      </c>
      <c r="Q1499" s="347">
        <v>0</v>
      </c>
      <c r="R1499" s="347">
        <v>0</v>
      </c>
      <c r="S1499" s="347">
        <v>0</v>
      </c>
      <c r="T1499" s="347">
        <v>0</v>
      </c>
      <c r="U1499" s="347">
        <v>0</v>
      </c>
      <c r="V1499" s="347">
        <v>0</v>
      </c>
      <c r="W1499" s="347">
        <v>0</v>
      </c>
    </row>
    <row r="1500" spans="1:23" x14ac:dyDescent="0.2">
      <c r="A1500" s="290" t="s">
        <v>197</v>
      </c>
      <c r="B1500" s="309"/>
      <c r="C1500" s="283"/>
      <c r="D1500" s="347">
        <v>0</v>
      </c>
      <c r="E1500" s="347">
        <v>0</v>
      </c>
      <c r="F1500" s="347">
        <v>0</v>
      </c>
      <c r="G1500" s="347">
        <v>0</v>
      </c>
      <c r="H1500" s="347">
        <v>0</v>
      </c>
      <c r="I1500" s="347">
        <v>0</v>
      </c>
      <c r="J1500" s="347">
        <v>0</v>
      </c>
      <c r="K1500" s="347">
        <v>0</v>
      </c>
      <c r="L1500" s="347">
        <v>0</v>
      </c>
      <c r="M1500" s="347">
        <v>0</v>
      </c>
      <c r="N1500" s="347">
        <v>0</v>
      </c>
      <c r="O1500" s="347">
        <v>0</v>
      </c>
      <c r="P1500" s="347">
        <v>0</v>
      </c>
      <c r="Q1500" s="347">
        <v>0</v>
      </c>
      <c r="R1500" s="347">
        <v>0</v>
      </c>
      <c r="S1500" s="347">
        <v>0</v>
      </c>
      <c r="T1500" s="347">
        <v>0</v>
      </c>
      <c r="U1500" s="347">
        <v>0</v>
      </c>
      <c r="V1500" s="347">
        <v>0</v>
      </c>
      <c r="W1500" s="347">
        <v>0</v>
      </c>
    </row>
    <row r="1501" spans="1:23" x14ac:dyDescent="0.2">
      <c r="A1501" s="290" t="s">
        <v>198</v>
      </c>
      <c r="B1501" s="309"/>
      <c r="C1501" s="283"/>
      <c r="D1501" s="348">
        <v>0</v>
      </c>
      <c r="E1501" s="348">
        <v>0</v>
      </c>
      <c r="F1501" s="348">
        <v>0</v>
      </c>
      <c r="G1501" s="348">
        <v>0</v>
      </c>
      <c r="H1501" s="348">
        <v>0</v>
      </c>
      <c r="I1501" s="348">
        <v>0</v>
      </c>
      <c r="J1501" s="348">
        <v>0</v>
      </c>
      <c r="K1501" s="348">
        <v>0</v>
      </c>
      <c r="L1501" s="348">
        <v>0</v>
      </c>
      <c r="M1501" s="348">
        <v>0</v>
      </c>
      <c r="N1501" s="348">
        <v>0</v>
      </c>
      <c r="O1501" s="348">
        <v>0</v>
      </c>
      <c r="P1501" s="348">
        <v>0</v>
      </c>
      <c r="Q1501" s="348">
        <v>0</v>
      </c>
      <c r="R1501" s="348">
        <v>0</v>
      </c>
      <c r="S1501" s="348">
        <v>0</v>
      </c>
      <c r="T1501" s="348">
        <v>0</v>
      </c>
      <c r="U1501" s="348">
        <v>0</v>
      </c>
      <c r="V1501" s="348">
        <v>0</v>
      </c>
      <c r="W1501" s="348">
        <v>0</v>
      </c>
    </row>
    <row r="1502" spans="1:23" ht="13.5" thickBot="1" x14ac:dyDescent="0.25">
      <c r="A1502" s="290" t="s">
        <v>199</v>
      </c>
      <c r="B1502" s="309"/>
      <c r="C1502" s="283"/>
      <c r="D1502" s="349">
        <v>0</v>
      </c>
      <c r="E1502" s="349">
        <v>0</v>
      </c>
      <c r="F1502" s="349">
        <v>0</v>
      </c>
      <c r="G1502" s="349">
        <v>0</v>
      </c>
      <c r="H1502" s="349">
        <v>0</v>
      </c>
      <c r="I1502" s="349">
        <v>0</v>
      </c>
      <c r="J1502" s="349">
        <v>0</v>
      </c>
      <c r="K1502" s="349">
        <v>0</v>
      </c>
      <c r="L1502" s="349">
        <v>0</v>
      </c>
      <c r="M1502" s="349">
        <v>0</v>
      </c>
      <c r="N1502" s="349">
        <v>0</v>
      </c>
      <c r="O1502" s="349">
        <v>0</v>
      </c>
      <c r="P1502" s="349">
        <v>0</v>
      </c>
      <c r="Q1502" s="349">
        <v>0</v>
      </c>
      <c r="R1502" s="349">
        <v>0</v>
      </c>
      <c r="S1502" s="349">
        <v>0</v>
      </c>
      <c r="T1502" s="349">
        <v>0</v>
      </c>
      <c r="U1502" s="349">
        <v>0</v>
      </c>
      <c r="V1502" s="349">
        <v>0</v>
      </c>
      <c r="W1502" s="349">
        <v>0</v>
      </c>
    </row>
    <row r="1503" spans="1:23" ht="13.5" thickTop="1" x14ac:dyDescent="0.2">
      <c r="A1503" s="290"/>
      <c r="B1503" s="309"/>
      <c r="C1503" s="283"/>
      <c r="D1503" s="347"/>
      <c r="E1503" s="347"/>
      <c r="F1503" s="347"/>
      <c r="G1503" s="347"/>
      <c r="H1503" s="347"/>
      <c r="I1503" s="347"/>
      <c r="J1503" s="347"/>
      <c r="K1503" s="347"/>
      <c r="L1503" s="347"/>
      <c r="M1503" s="347"/>
      <c r="N1503" s="347"/>
      <c r="O1503" s="347"/>
      <c r="P1503" s="347"/>
      <c r="Q1503" s="347"/>
      <c r="R1503" s="347"/>
      <c r="S1503" s="347"/>
      <c r="T1503" s="347"/>
      <c r="U1503" s="347"/>
      <c r="V1503" s="347"/>
      <c r="W1503" s="347"/>
    </row>
    <row r="1504" spans="1:23" x14ac:dyDescent="0.2">
      <c r="A1504" s="290" t="s">
        <v>200</v>
      </c>
      <c r="B1504" s="309"/>
      <c r="C1504" s="283"/>
      <c r="D1504" s="347">
        <v>0</v>
      </c>
      <c r="E1504" s="347">
        <v>0</v>
      </c>
      <c r="F1504" s="347">
        <v>0</v>
      </c>
      <c r="G1504" s="347">
        <v>0</v>
      </c>
      <c r="H1504" s="347">
        <v>0</v>
      </c>
      <c r="I1504" s="347">
        <v>0</v>
      </c>
      <c r="J1504" s="347">
        <v>0</v>
      </c>
      <c r="K1504" s="347">
        <v>0</v>
      </c>
      <c r="L1504" s="347">
        <v>0</v>
      </c>
      <c r="M1504" s="347">
        <v>0</v>
      </c>
      <c r="N1504" s="347">
        <v>0</v>
      </c>
      <c r="O1504" s="347">
        <v>0</v>
      </c>
      <c r="P1504" s="347">
        <v>0</v>
      </c>
      <c r="Q1504" s="347">
        <v>0</v>
      </c>
      <c r="R1504" s="347">
        <v>0</v>
      </c>
      <c r="S1504" s="347">
        <v>0</v>
      </c>
      <c r="T1504" s="347">
        <v>0</v>
      </c>
      <c r="U1504" s="347">
        <v>0</v>
      </c>
      <c r="V1504" s="347">
        <v>0</v>
      </c>
      <c r="W1504" s="347">
        <v>0</v>
      </c>
    </row>
    <row r="1505" spans="1:23" x14ac:dyDescent="0.2">
      <c r="A1505" s="290"/>
      <c r="B1505" s="309"/>
      <c r="C1505" s="283"/>
      <c r="D1505" s="283"/>
      <c r="E1505" s="283"/>
      <c r="F1505" s="283"/>
      <c r="G1505" s="283"/>
      <c r="H1505" s="283"/>
      <c r="I1505" s="283"/>
      <c r="J1505" s="283"/>
      <c r="K1505" s="283"/>
      <c r="L1505" s="283"/>
      <c r="M1505" s="283"/>
      <c r="N1505" s="283"/>
      <c r="O1505" s="283"/>
      <c r="P1505" s="283"/>
      <c r="Q1505" s="283"/>
      <c r="R1505" s="283"/>
      <c r="S1505" s="283"/>
      <c r="T1505" s="283"/>
      <c r="U1505" s="283"/>
      <c r="V1505" s="283"/>
      <c r="W1505" s="283"/>
    </row>
    <row r="1506" spans="1:23" x14ac:dyDescent="0.2">
      <c r="A1506" s="290" t="s">
        <v>201</v>
      </c>
      <c r="B1506" s="309"/>
      <c r="C1506" s="283"/>
      <c r="D1506" s="347">
        <v>0</v>
      </c>
      <c r="E1506" s="347">
        <v>0</v>
      </c>
      <c r="F1506" s="347">
        <v>0</v>
      </c>
      <c r="G1506" s="347">
        <v>0</v>
      </c>
      <c r="H1506" s="347">
        <v>0</v>
      </c>
      <c r="I1506" s="347">
        <v>0</v>
      </c>
      <c r="J1506" s="347">
        <v>0</v>
      </c>
      <c r="K1506" s="347">
        <v>0</v>
      </c>
      <c r="L1506" s="347">
        <v>0</v>
      </c>
      <c r="M1506" s="347">
        <v>0</v>
      </c>
      <c r="N1506" s="347">
        <v>0</v>
      </c>
      <c r="O1506" s="347">
        <v>0</v>
      </c>
      <c r="P1506" s="347">
        <v>0</v>
      </c>
      <c r="Q1506" s="347">
        <v>0</v>
      </c>
      <c r="R1506" s="347">
        <v>0</v>
      </c>
      <c r="S1506" s="347">
        <v>0</v>
      </c>
      <c r="T1506" s="347">
        <v>0</v>
      </c>
      <c r="U1506" s="347">
        <v>0</v>
      </c>
      <c r="V1506" s="347">
        <v>0</v>
      </c>
      <c r="W1506" s="347">
        <v>0</v>
      </c>
    </row>
    <row r="1507" spans="1:23" x14ac:dyDescent="0.2">
      <c r="A1507" s="283"/>
      <c r="B1507" s="309"/>
      <c r="C1507" s="283"/>
      <c r="D1507" s="283"/>
      <c r="E1507" s="283"/>
      <c r="F1507" s="283"/>
      <c r="G1507" s="283"/>
      <c r="H1507" s="283"/>
      <c r="I1507" s="283"/>
      <c r="J1507" s="283"/>
      <c r="K1507" s="283"/>
      <c r="L1507" s="283"/>
      <c r="M1507" s="283"/>
      <c r="N1507" s="283"/>
      <c r="O1507" s="283"/>
      <c r="P1507" s="283"/>
      <c r="Q1507" s="283"/>
      <c r="R1507" s="283"/>
      <c r="S1507" s="283"/>
      <c r="T1507" s="283"/>
      <c r="U1507" s="283"/>
      <c r="V1507" s="283"/>
      <c r="W1507" s="283"/>
    </row>
    <row r="1508" spans="1:23" x14ac:dyDescent="0.2">
      <c r="A1508" s="283"/>
      <c r="B1508" s="309"/>
      <c r="C1508" s="283"/>
      <c r="D1508" s="283"/>
      <c r="E1508" s="283"/>
      <c r="F1508" s="283"/>
      <c r="G1508" s="283"/>
      <c r="H1508" s="283"/>
      <c r="I1508" s="283"/>
      <c r="J1508" s="283"/>
      <c r="K1508" s="283"/>
      <c r="L1508" s="283"/>
      <c r="M1508" s="283"/>
      <c r="N1508" s="283"/>
      <c r="O1508" s="283"/>
      <c r="P1508" s="283"/>
      <c r="Q1508" s="283"/>
      <c r="R1508" s="283"/>
      <c r="S1508" s="283"/>
      <c r="T1508" s="283"/>
      <c r="U1508" s="283"/>
      <c r="V1508" s="283"/>
      <c r="W1508" s="283"/>
    </row>
    <row r="1509" spans="1:23" x14ac:dyDescent="0.2">
      <c r="A1509" s="290" t="s">
        <v>203</v>
      </c>
      <c r="B1509" s="285"/>
      <c r="C1509" s="284"/>
      <c r="D1509" s="441">
        <v>1838156.976386003</v>
      </c>
      <c r="E1509" s="441">
        <v>1241609.3133552035</v>
      </c>
      <c r="F1509" s="441">
        <v>928151.70875267428</v>
      </c>
      <c r="G1509" s="441">
        <v>743482.29567412729</v>
      </c>
      <c r="H1509" s="441">
        <v>465537.66344322253</v>
      </c>
      <c r="I1509" s="441">
        <v>191077.80837509409</v>
      </c>
      <c r="J1509" s="441">
        <v>256684.58674275561</v>
      </c>
      <c r="K1509" s="441">
        <v>522050.27326257026</v>
      </c>
      <c r="L1509" s="441">
        <v>516632.95426916459</v>
      </c>
      <c r="M1509" s="441">
        <v>655484.32599182869</v>
      </c>
      <c r="N1509" s="441">
        <v>342028.91852450534</v>
      </c>
      <c r="O1509" s="441">
        <v>430082.71846907039</v>
      </c>
      <c r="P1509" s="441">
        <v>466485.20516501716</v>
      </c>
      <c r="Q1509" s="441">
        <v>629304.69888963294</v>
      </c>
      <c r="R1509" s="441">
        <v>379109.62552474096</v>
      </c>
      <c r="S1509" s="441">
        <v>161837.07736749091</v>
      </c>
      <c r="T1509" s="441">
        <v>315538.8320681515</v>
      </c>
      <c r="U1509" s="441">
        <v>439265.16916554084</v>
      </c>
      <c r="V1509" s="441">
        <v>187883.52086457808</v>
      </c>
      <c r="W1509" s="441">
        <v>2462140.384938872</v>
      </c>
    </row>
    <row r="1510" spans="1:23" x14ac:dyDescent="0.2">
      <c r="A1510" s="9"/>
      <c r="B1510" s="6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</row>
    <row r="1511" spans="1:23" ht="15.75" x14ac:dyDescent="0.25">
      <c r="A1511" s="373"/>
      <c r="B1511" s="374"/>
    </row>
    <row r="1512" spans="1:23" x14ac:dyDescent="0.2">
      <c r="A1512" s="298"/>
      <c r="B1512" s="366"/>
      <c r="C1512" s="375"/>
      <c r="D1512" s="376"/>
      <c r="E1512" s="376"/>
      <c r="F1512" s="376"/>
      <c r="G1512" s="376"/>
      <c r="H1512" s="376"/>
      <c r="I1512" s="376"/>
      <c r="J1512" s="376"/>
      <c r="K1512" s="376"/>
      <c r="L1512" s="376"/>
      <c r="M1512" s="376"/>
      <c r="N1512" s="376"/>
      <c r="O1512" s="376"/>
      <c r="P1512" s="376"/>
      <c r="Q1512" s="376"/>
      <c r="R1512" s="376"/>
      <c r="S1512" s="376"/>
      <c r="T1512" s="376"/>
      <c r="U1512" s="376"/>
      <c r="V1512" s="376"/>
      <c r="W1512" s="376"/>
    </row>
    <row r="1513" spans="1:23" x14ac:dyDescent="0.2">
      <c r="A1513" s="298"/>
      <c r="B1513" s="366"/>
      <c r="C1513" s="377"/>
      <c r="D1513" s="376"/>
      <c r="E1513" s="376"/>
      <c r="F1513" s="376"/>
      <c r="G1513" s="376"/>
      <c r="H1513" s="376"/>
      <c r="I1513" s="376"/>
      <c r="J1513" s="376"/>
      <c r="K1513" s="376"/>
      <c r="L1513" s="376"/>
      <c r="M1513" s="376"/>
      <c r="N1513" s="376"/>
      <c r="O1513" s="376"/>
      <c r="P1513" s="376"/>
      <c r="Q1513" s="376"/>
      <c r="R1513" s="376"/>
      <c r="S1513" s="376"/>
      <c r="T1513" s="376"/>
      <c r="U1513" s="376"/>
      <c r="V1513" s="376"/>
      <c r="W1513" s="376"/>
    </row>
    <row r="1514" spans="1:23" x14ac:dyDescent="0.2">
      <c r="A1514" s="298"/>
      <c r="B1514" s="366"/>
      <c r="C1514" s="298"/>
      <c r="D1514" s="376"/>
      <c r="E1514" s="376"/>
      <c r="F1514" s="376"/>
      <c r="G1514" s="376"/>
      <c r="H1514" s="376"/>
      <c r="I1514" s="376"/>
      <c r="J1514" s="376"/>
      <c r="K1514" s="376"/>
      <c r="L1514" s="376"/>
      <c r="M1514" s="376"/>
      <c r="N1514" s="376"/>
      <c r="O1514" s="376"/>
      <c r="P1514" s="376"/>
      <c r="Q1514" s="376"/>
      <c r="R1514" s="376"/>
      <c r="S1514" s="376"/>
      <c r="T1514" s="376"/>
      <c r="U1514" s="376"/>
      <c r="V1514" s="376"/>
      <c r="W1514" s="376"/>
    </row>
    <row r="1515" spans="1:23" x14ac:dyDescent="0.2">
      <c r="A1515" s="298"/>
      <c r="B1515" s="366"/>
      <c r="C1515" s="377"/>
      <c r="D1515" s="376"/>
      <c r="E1515" s="376"/>
      <c r="F1515" s="376"/>
      <c r="G1515" s="376"/>
      <c r="H1515" s="376"/>
      <c r="I1515" s="376"/>
      <c r="J1515" s="376"/>
      <c r="K1515" s="376"/>
      <c r="L1515" s="376"/>
      <c r="M1515" s="376"/>
      <c r="N1515" s="376"/>
      <c r="O1515" s="376"/>
      <c r="P1515" s="376"/>
      <c r="Q1515" s="376"/>
      <c r="R1515" s="376"/>
      <c r="S1515" s="376"/>
      <c r="T1515" s="376"/>
      <c r="U1515" s="376"/>
      <c r="V1515" s="376"/>
      <c r="W1515" s="376"/>
    </row>
    <row r="1516" spans="1:23" x14ac:dyDescent="0.2">
      <c r="A1516" s="298"/>
      <c r="B1516" s="366"/>
      <c r="C1516" s="378"/>
      <c r="D1516" s="376"/>
      <c r="E1516" s="376"/>
      <c r="F1516" s="376"/>
      <c r="G1516" s="376"/>
      <c r="H1516" s="376"/>
      <c r="I1516" s="376"/>
      <c r="J1516" s="376"/>
      <c r="K1516" s="376"/>
      <c r="L1516" s="376"/>
      <c r="M1516" s="376"/>
      <c r="N1516" s="376"/>
      <c r="O1516" s="376"/>
      <c r="P1516" s="376"/>
      <c r="Q1516" s="376"/>
      <c r="R1516" s="376"/>
      <c r="S1516" s="376"/>
      <c r="T1516" s="376"/>
      <c r="U1516" s="376"/>
      <c r="V1516" s="376"/>
      <c r="W1516" s="376"/>
    </row>
    <row r="1517" spans="1:23" x14ac:dyDescent="0.2">
      <c r="A1517" s="298"/>
      <c r="B1517" s="366"/>
      <c r="C1517" s="376"/>
      <c r="D1517" s="353"/>
      <c r="E1517" s="353"/>
      <c r="F1517" s="353"/>
      <c r="G1517" s="353"/>
      <c r="H1517" s="353"/>
      <c r="I1517" s="353"/>
      <c r="J1517" s="353"/>
      <c r="K1517" s="353"/>
      <c r="L1517" s="353"/>
      <c r="M1517" s="353"/>
      <c r="N1517" s="353"/>
      <c r="O1517" s="353"/>
      <c r="P1517" s="353"/>
      <c r="Q1517" s="353"/>
      <c r="R1517" s="353"/>
      <c r="S1517" s="353"/>
      <c r="T1517" s="353"/>
      <c r="U1517" s="353"/>
      <c r="V1517" s="353"/>
      <c r="W1517" s="353"/>
    </row>
    <row r="1518" spans="1:23" ht="15.75" x14ac:dyDescent="0.25">
      <c r="A1518" s="308" t="s">
        <v>29</v>
      </c>
      <c r="B1518" s="311" t="s">
        <v>76</v>
      </c>
      <c r="C1518" s="312">
        <v>2000</v>
      </c>
      <c r="D1518" s="312">
        <v>2001</v>
      </c>
      <c r="E1518" s="312">
        <v>2002</v>
      </c>
      <c r="F1518" s="312">
        <v>2003</v>
      </c>
      <c r="G1518" s="312">
        <v>2004</v>
      </c>
      <c r="H1518" s="312">
        <v>2005</v>
      </c>
      <c r="I1518" s="312">
        <v>2006</v>
      </c>
      <c r="J1518" s="312">
        <v>2007</v>
      </c>
      <c r="K1518" s="312">
        <v>2008</v>
      </c>
      <c r="L1518" s="312">
        <v>2009</v>
      </c>
      <c r="M1518" s="312">
        <v>2010</v>
      </c>
      <c r="N1518" s="312">
        <v>2011</v>
      </c>
      <c r="O1518" s="312">
        <v>2012</v>
      </c>
      <c r="P1518" s="312">
        <v>2013</v>
      </c>
      <c r="Q1518" s="312">
        <v>2014</v>
      </c>
      <c r="R1518" s="312">
        <v>2015</v>
      </c>
      <c r="S1518" s="312">
        <v>2016</v>
      </c>
      <c r="T1518" s="312">
        <v>2017</v>
      </c>
      <c r="U1518" s="312">
        <v>2018</v>
      </c>
      <c r="V1518" s="312">
        <v>2019</v>
      </c>
      <c r="W1518" s="312" t="s">
        <v>154</v>
      </c>
    </row>
    <row r="1519" spans="1:23" x14ac:dyDescent="0.2">
      <c r="A1519" s="308" t="s">
        <v>26</v>
      </c>
      <c r="B1519" s="309">
        <v>51.225000000000001</v>
      </c>
      <c r="C1519" s="314"/>
      <c r="D1519" s="314"/>
      <c r="E1519" s="314"/>
      <c r="F1519" s="314"/>
      <c r="G1519" s="314"/>
      <c r="H1519" s="314"/>
      <c r="I1519" s="314"/>
      <c r="J1519" s="314"/>
      <c r="K1519" s="314"/>
      <c r="L1519" s="314"/>
      <c r="M1519" s="314"/>
      <c r="N1519" s="314"/>
      <c r="O1519" s="314"/>
      <c r="P1519" s="314"/>
      <c r="Q1519" s="314"/>
      <c r="R1519" s="314"/>
      <c r="S1519" s="314"/>
      <c r="T1519" s="314"/>
      <c r="U1519" s="314"/>
      <c r="V1519" s="314"/>
      <c r="W1519" s="314"/>
    </row>
    <row r="1520" spans="1:23" x14ac:dyDescent="0.2">
      <c r="A1520" s="9"/>
      <c r="B1520" s="315" t="s">
        <v>27</v>
      </c>
      <c r="C1520" s="449">
        <v>0</v>
      </c>
      <c r="D1520" s="410">
        <v>3932629.2505932907</v>
      </c>
      <c r="E1520" s="410">
        <v>3141040.7783542834</v>
      </c>
      <c r="F1520" s="410">
        <v>2615520.6994223217</v>
      </c>
      <c r="G1520" s="410">
        <v>2326762.6919740476</v>
      </c>
      <c r="H1520" s="410">
        <v>2724752.3173856148</v>
      </c>
      <c r="I1520" s="410">
        <v>2561881.8735290668</v>
      </c>
      <c r="J1520" s="410">
        <v>2507578.6085568587</v>
      </c>
      <c r="K1520" s="410">
        <v>3758660.5542759527</v>
      </c>
      <c r="L1520" s="410">
        <v>3844320.9983198829</v>
      </c>
      <c r="M1520" s="410">
        <v>4054799.1431282964</v>
      </c>
      <c r="N1520" s="410">
        <v>3177612.1473593414</v>
      </c>
      <c r="O1520" s="410">
        <v>4036787.0694221179</v>
      </c>
      <c r="P1520" s="410">
        <v>3461174.5996071901</v>
      </c>
      <c r="Q1520" s="410">
        <v>4377009.5104747592</v>
      </c>
      <c r="R1520" s="410">
        <v>3952327.7457407187</v>
      </c>
      <c r="S1520" s="410">
        <v>3107784.9848807929</v>
      </c>
      <c r="T1520" s="410">
        <v>3407390.5079389154</v>
      </c>
      <c r="U1520" s="410">
        <v>4372681.2798432019</v>
      </c>
      <c r="V1520" s="410">
        <v>4856559.3808346866</v>
      </c>
      <c r="W1520" s="333"/>
    </row>
    <row r="1521" spans="1:23" x14ac:dyDescent="0.2">
      <c r="A1521" s="9"/>
      <c r="B1521" s="315" t="s">
        <v>20</v>
      </c>
      <c r="C1521" s="449">
        <v>0</v>
      </c>
      <c r="D1521" s="410">
        <v>-921514.63171836792</v>
      </c>
      <c r="E1521" s="410">
        <v>-1017134.2808738259</v>
      </c>
      <c r="F1521" s="410">
        <v>-888691.41810096893</v>
      </c>
      <c r="G1521" s="410">
        <v>-901742.62775995571</v>
      </c>
      <c r="H1521" s="410">
        <v>-1309413.2079526091</v>
      </c>
      <c r="I1521" s="410">
        <v>-1424418.9126627457</v>
      </c>
      <c r="J1521" s="410">
        <v>-1264154.5256430693</v>
      </c>
      <c r="K1521" s="410">
        <v>-1917918.1905474176</v>
      </c>
      <c r="L1521" s="410">
        <v>-1968538.935589765</v>
      </c>
      <c r="M1521" s="410">
        <v>-1969411.9365027028</v>
      </c>
      <c r="N1521" s="410">
        <v>-1664135.1900272174</v>
      </c>
      <c r="O1521" s="410">
        <v>-2172160.9866473414</v>
      </c>
      <c r="P1521" s="410">
        <v>-1699763.9933335797</v>
      </c>
      <c r="Q1521" s="410">
        <v>-2175452.8721647346</v>
      </c>
      <c r="R1521" s="410">
        <v>-2116084.970615353</v>
      </c>
      <c r="S1521" s="410">
        <v>-1686679.291937277</v>
      </c>
      <c r="T1521" s="410">
        <v>-1768139.6821102754</v>
      </c>
      <c r="U1521" s="410">
        <v>-2369503.8068865053</v>
      </c>
      <c r="V1521" s="410">
        <v>-3137999.2985180374</v>
      </c>
      <c r="W1521" s="333"/>
    </row>
    <row r="1522" spans="1:23" x14ac:dyDescent="0.2">
      <c r="A1522" s="9"/>
      <c r="B1522" s="315" t="s">
        <v>31</v>
      </c>
      <c r="C1522" s="449">
        <v>0</v>
      </c>
      <c r="D1522" s="410">
        <v>-29761.106619846207</v>
      </c>
      <c r="E1522" s="410">
        <v>-37108.009232978227</v>
      </c>
      <c r="F1522" s="410">
        <v>-33915.450813918687</v>
      </c>
      <c r="G1522" s="410">
        <v>-34017.043170885205</v>
      </c>
      <c r="H1522" s="410">
        <v>-49833.615768598487</v>
      </c>
      <c r="I1522" s="410">
        <v>-56078.027739004123</v>
      </c>
      <c r="J1522" s="410">
        <v>-50745.194332858366</v>
      </c>
      <c r="K1522" s="410">
        <v>-84134.52079434901</v>
      </c>
      <c r="L1522" s="410">
        <v>-86431.113602915546</v>
      </c>
      <c r="M1522" s="410">
        <v>-84158.84313420899</v>
      </c>
      <c r="N1522" s="410">
        <v>-71809.432849317469</v>
      </c>
      <c r="O1522" s="410">
        <v>-95309.256368646849</v>
      </c>
      <c r="P1522" s="410">
        <v>-72989.520366164012</v>
      </c>
      <c r="Q1522" s="410">
        <v>-94239.823128980439</v>
      </c>
      <c r="R1522" s="410">
        <v>-86056.716620490159</v>
      </c>
      <c r="S1522" s="410">
        <v>-67219.204203505011</v>
      </c>
      <c r="T1522" s="410">
        <v>-69752.867363956058</v>
      </c>
      <c r="U1522" s="410">
        <v>-89393.852002076106</v>
      </c>
      <c r="V1522" s="410">
        <v>-117840.30510948293</v>
      </c>
      <c r="W1522" s="333"/>
    </row>
    <row r="1523" spans="1:23" x14ac:dyDescent="0.2">
      <c r="A1523" s="9"/>
      <c r="B1523" s="315" t="s">
        <v>32</v>
      </c>
      <c r="C1523" s="449">
        <v>0</v>
      </c>
      <c r="D1523" s="410">
        <v>0</v>
      </c>
      <c r="E1523" s="410">
        <v>0</v>
      </c>
      <c r="F1523" s="410">
        <v>0</v>
      </c>
      <c r="G1523" s="410">
        <v>0</v>
      </c>
      <c r="H1523" s="410">
        <v>0</v>
      </c>
      <c r="I1523" s="410">
        <v>-19765.763398171523</v>
      </c>
      <c r="J1523" s="410">
        <v>-19428.531673524565</v>
      </c>
      <c r="K1523" s="410">
        <v>-36246.043751448458</v>
      </c>
      <c r="L1523" s="410">
        <v>-38576.818185353564</v>
      </c>
      <c r="M1523" s="410">
        <v>-40953.200616373564</v>
      </c>
      <c r="N1523" s="410">
        <v>-37747.652001500959</v>
      </c>
      <c r="O1523" s="410">
        <v>-54404.249377345332</v>
      </c>
      <c r="P1523" s="410">
        <v>-45751.106339284692</v>
      </c>
      <c r="Q1523" s="410">
        <v>-64508.952860510253</v>
      </c>
      <c r="R1523" s="410">
        <v>-63934.506748056476</v>
      </c>
      <c r="S1523" s="410">
        <v>-53682.360423999577</v>
      </c>
      <c r="T1523" s="410">
        <v>-53754.538551799444</v>
      </c>
      <c r="U1523" s="410">
        <v>-57704.327537854864</v>
      </c>
      <c r="V1523" s="410">
        <v>-77372.507685713063</v>
      </c>
      <c r="W1523" s="333"/>
    </row>
    <row r="1524" spans="1:23" ht="13.5" thickBot="1" x14ac:dyDescent="0.25">
      <c r="A1524" s="9"/>
      <c r="B1524" s="316" t="s">
        <v>33</v>
      </c>
      <c r="C1524" s="450">
        <v>0</v>
      </c>
      <c r="D1524" s="412">
        <v>0</v>
      </c>
      <c r="E1524" s="412">
        <v>0</v>
      </c>
      <c r="F1524" s="412">
        <v>0</v>
      </c>
      <c r="G1524" s="412">
        <v>0</v>
      </c>
      <c r="H1524" s="412">
        <v>0</v>
      </c>
      <c r="I1524" s="412">
        <v>-19765.763398171523</v>
      </c>
      <c r="J1524" s="412">
        <v>-19428.531673524565</v>
      </c>
      <c r="K1524" s="412">
        <v>-36246.043751448458</v>
      </c>
      <c r="L1524" s="412">
        <v>-38576.818185353564</v>
      </c>
      <c r="M1524" s="412">
        <v>-40953.200616373564</v>
      </c>
      <c r="N1524" s="412">
        <v>-37747.652001500959</v>
      </c>
      <c r="O1524" s="412">
        <v>-54404.249377345332</v>
      </c>
      <c r="P1524" s="412">
        <v>-45751.106339284692</v>
      </c>
      <c r="Q1524" s="412">
        <v>-64508.952860510253</v>
      </c>
      <c r="R1524" s="412">
        <v>-63934.506748056476</v>
      </c>
      <c r="S1524" s="412">
        <v>-53682.360423999577</v>
      </c>
      <c r="T1524" s="412">
        <v>-53754.538551799444</v>
      </c>
      <c r="U1524" s="412">
        <v>-57704.327537854864</v>
      </c>
      <c r="V1524" s="412">
        <v>-77372.507685713063</v>
      </c>
      <c r="W1524" s="333"/>
    </row>
    <row r="1525" spans="1:23" ht="13.5" thickTop="1" x14ac:dyDescent="0.2">
      <c r="A1525" s="9"/>
      <c r="B1525" s="317" t="s">
        <v>38</v>
      </c>
      <c r="C1525" s="451">
        <v>0</v>
      </c>
      <c r="D1525" s="414">
        <v>2981353.5122550768</v>
      </c>
      <c r="E1525" s="414">
        <v>2086798.4882474793</v>
      </c>
      <c r="F1525" s="414">
        <v>1692913.8305074342</v>
      </c>
      <c r="G1525" s="414">
        <v>1391003.0210432066</v>
      </c>
      <c r="H1525" s="414">
        <v>1365505.4936644074</v>
      </c>
      <c r="I1525" s="414">
        <v>1041853.4063309737</v>
      </c>
      <c r="J1525" s="414">
        <v>1153821.8252338821</v>
      </c>
      <c r="K1525" s="414">
        <v>1684115.7554312893</v>
      </c>
      <c r="L1525" s="414">
        <v>1712197.3127564951</v>
      </c>
      <c r="M1525" s="414">
        <v>1919321.9622586374</v>
      </c>
      <c r="N1525" s="414">
        <v>1366172.2204798043</v>
      </c>
      <c r="O1525" s="414">
        <v>1660508.3276514388</v>
      </c>
      <c r="P1525" s="414">
        <v>1596918.8732288771</v>
      </c>
      <c r="Q1525" s="414">
        <v>1978298.9094600235</v>
      </c>
      <c r="R1525" s="414">
        <v>1622317.0450087625</v>
      </c>
      <c r="S1525" s="414">
        <v>1246521.7678920117</v>
      </c>
      <c r="T1525" s="414">
        <v>1461988.881361085</v>
      </c>
      <c r="U1525" s="414">
        <v>1798374.9658789106</v>
      </c>
      <c r="V1525" s="414">
        <v>1445974.7618357402</v>
      </c>
      <c r="W1525" s="333"/>
    </row>
    <row r="1526" spans="1:23" x14ac:dyDescent="0.2">
      <c r="A1526" s="9"/>
      <c r="B1526" s="315" t="s">
        <v>34</v>
      </c>
      <c r="C1526" s="449">
        <v>0</v>
      </c>
      <c r="D1526" s="410">
        <v>-91566.271378944657</v>
      </c>
      <c r="E1526" s="410">
        <v>-93397.59680652355</v>
      </c>
      <c r="F1526" s="410">
        <v>-95265.54874265402</v>
      </c>
      <c r="G1526" s="410">
        <v>-97170.859717507105</v>
      </c>
      <c r="H1526" s="410">
        <v>-99114.276911857247</v>
      </c>
      <c r="I1526" s="410">
        <v>-101096.5624500944</v>
      </c>
      <c r="J1526" s="410">
        <v>-103118.49369909629</v>
      </c>
      <c r="K1526" s="410">
        <v>-105180.86357307821</v>
      </c>
      <c r="L1526" s="410">
        <v>-107284.48084453978</v>
      </c>
      <c r="M1526" s="410">
        <v>-109430.17046143058</v>
      </c>
      <c r="N1526" s="410">
        <v>-111618.77387065919</v>
      </c>
      <c r="O1526" s="410">
        <v>-113851.14934807237</v>
      </c>
      <c r="P1526" s="410">
        <v>-116128.17233503383</v>
      </c>
      <c r="Q1526" s="410">
        <v>-118450.7357817345</v>
      </c>
      <c r="R1526" s="410">
        <v>-120819.7504973692</v>
      </c>
      <c r="S1526" s="410">
        <v>-123236.14550731659</v>
      </c>
      <c r="T1526" s="410">
        <v>-125700.86841746292</v>
      </c>
      <c r="U1526" s="410">
        <v>-128214.88578581218</v>
      </c>
      <c r="V1526" s="410">
        <v>-130779.18350152842</v>
      </c>
      <c r="W1526" s="333"/>
    </row>
    <row r="1527" spans="1:23" x14ac:dyDescent="0.2">
      <c r="A1527" s="9"/>
      <c r="B1527" s="315" t="s">
        <v>35</v>
      </c>
      <c r="C1527" s="449">
        <v>0</v>
      </c>
      <c r="D1527" s="410">
        <v>-45161.410471875002</v>
      </c>
      <c r="E1527" s="410">
        <v>-45161.410471875002</v>
      </c>
      <c r="F1527" s="410">
        <v>-45161.410471875002</v>
      </c>
      <c r="G1527" s="410">
        <v>-45161.410471875002</v>
      </c>
      <c r="H1527" s="410">
        <v>-45161.410471875002</v>
      </c>
      <c r="I1527" s="410">
        <v>-45161.410471875002</v>
      </c>
      <c r="J1527" s="410">
        <v>-45161.410471875002</v>
      </c>
      <c r="K1527" s="410">
        <v>-45161.410471875002</v>
      </c>
      <c r="L1527" s="410">
        <v>-45161.410471875002</v>
      </c>
      <c r="M1527" s="410">
        <v>-45161.410471875002</v>
      </c>
      <c r="N1527" s="410">
        <v>-45161.410471875002</v>
      </c>
      <c r="O1527" s="410">
        <v>-45161.410471875002</v>
      </c>
      <c r="P1527" s="410">
        <v>-45161.410471875002</v>
      </c>
      <c r="Q1527" s="410">
        <v>-45161.410471875002</v>
      </c>
      <c r="R1527" s="410">
        <v>-45161.410471875002</v>
      </c>
      <c r="S1527" s="410">
        <v>-45161.410471875002</v>
      </c>
      <c r="T1527" s="410">
        <v>-45161.410471875002</v>
      </c>
      <c r="U1527" s="410">
        <v>-45161.410471875002</v>
      </c>
      <c r="V1527" s="410">
        <v>-45161.410471875002</v>
      </c>
      <c r="W1527" s="333"/>
    </row>
    <row r="1528" spans="1:23" ht="13.5" thickBot="1" x14ac:dyDescent="0.25">
      <c r="A1528" s="9"/>
      <c r="B1528" s="316" t="s">
        <v>36</v>
      </c>
      <c r="C1528" s="450">
        <v>0</v>
      </c>
      <c r="D1528" s="412">
        <v>-4145.6628847028896</v>
      </c>
      <c r="E1528" s="412">
        <v>-4233.13637157014</v>
      </c>
      <c r="F1528" s="412">
        <v>-4325.8420581075297</v>
      </c>
      <c r="G1528" s="412">
        <v>-4423.6060886207297</v>
      </c>
      <c r="H1528" s="412">
        <v>-4528.8879135299103</v>
      </c>
      <c r="I1528" s="412">
        <v>-4642.38229994021</v>
      </c>
      <c r="J1528" s="412">
        <v>-4757.52631405997</v>
      </c>
      <c r="K1528" s="412">
        <v>-4877.9491368499903</v>
      </c>
      <c r="L1528" s="412">
        <v>-4998.4344805301898</v>
      </c>
      <c r="M1528" s="412">
        <v>-5125.8945597837001</v>
      </c>
      <c r="N1528" s="412">
        <v>-5249.9412081304899</v>
      </c>
      <c r="O1528" s="412">
        <v>-5382.2397265753598</v>
      </c>
      <c r="P1528" s="412">
        <v>-5518.9486156303601</v>
      </c>
      <c r="Q1528" s="412">
        <v>-5656.92233102112</v>
      </c>
      <c r="R1528" s="412">
        <v>-5798.9110815297499</v>
      </c>
      <c r="S1528" s="412">
        <v>-5943.8838585679996</v>
      </c>
      <c r="T1528" s="412">
        <v>-6091.2921782604799</v>
      </c>
      <c r="U1528" s="412">
        <v>-6244.18361193483</v>
      </c>
      <c r="V1528" s="412">
        <v>-6400.9126205943903</v>
      </c>
      <c r="W1528" s="333"/>
    </row>
    <row r="1529" spans="1:23" ht="13.5" thickTop="1" x14ac:dyDescent="0.2">
      <c r="A1529" s="9"/>
      <c r="B1529" s="317" t="s">
        <v>221</v>
      </c>
      <c r="C1529" s="452">
        <v>0</v>
      </c>
      <c r="D1529" s="416">
        <v>2840480.167519554</v>
      </c>
      <c r="E1529" s="416">
        <v>1944006.3445975105</v>
      </c>
      <c r="F1529" s="416">
        <v>1548161.0292347977</v>
      </c>
      <c r="G1529" s="416">
        <v>1244247.1447652036</v>
      </c>
      <c r="H1529" s="416">
        <v>1216700.9183671451</v>
      </c>
      <c r="I1529" s="416">
        <v>890953.05110906414</v>
      </c>
      <c r="J1529" s="416">
        <v>1000784.3947488507</v>
      </c>
      <c r="K1529" s="416">
        <v>1528895.5322494861</v>
      </c>
      <c r="L1529" s="416">
        <v>1554752.9869595501</v>
      </c>
      <c r="M1529" s="416">
        <v>1759604.4867655481</v>
      </c>
      <c r="N1529" s="416">
        <v>1204142.0949291396</v>
      </c>
      <c r="O1529" s="416">
        <v>1496113.528104916</v>
      </c>
      <c r="P1529" s="416">
        <v>1430110.3418063379</v>
      </c>
      <c r="Q1529" s="416">
        <v>1809029.8408753928</v>
      </c>
      <c r="R1529" s="416">
        <v>1450536.9729579887</v>
      </c>
      <c r="S1529" s="416">
        <v>1072180.3280542521</v>
      </c>
      <c r="T1529" s="416">
        <v>1285035.3102934868</v>
      </c>
      <c r="U1529" s="416">
        <v>1618754.4860092886</v>
      </c>
      <c r="V1529" s="416">
        <v>1263633.2552417424</v>
      </c>
      <c r="W1529" s="333"/>
    </row>
    <row r="1530" spans="1:23" x14ac:dyDescent="0.2">
      <c r="A1530" s="9"/>
      <c r="B1530" s="315" t="s">
        <v>37</v>
      </c>
      <c r="C1530" s="449">
        <v>0</v>
      </c>
      <c r="D1530" s="410">
        <v>-256373.48737677658</v>
      </c>
      <c r="E1530" s="410">
        <v>-235299.63781481623</v>
      </c>
      <c r="F1530" s="410">
        <v>-205307.07945894302</v>
      </c>
      <c r="G1530" s="410">
        <v>-174904.47125886939</v>
      </c>
      <c r="H1530" s="410">
        <v>-160607.06942284212</v>
      </c>
      <c r="I1530" s="410">
        <v>-156554.00520463297</v>
      </c>
      <c r="J1530" s="410">
        <v>-163690.99180529558</v>
      </c>
      <c r="K1530" s="410">
        <v>-170232.88617273298</v>
      </c>
      <c r="L1530" s="410">
        <v>-176826.65684389556</v>
      </c>
      <c r="M1530" s="410">
        <v>-182884.16010594799</v>
      </c>
      <c r="N1530" s="410">
        <v>-175467.77021218458</v>
      </c>
      <c r="O1530" s="410">
        <v>-167517.17536217629</v>
      </c>
      <c r="P1530" s="410">
        <v>-173658.16151840443</v>
      </c>
      <c r="Q1530" s="410">
        <v>-120623.72577722732</v>
      </c>
      <c r="R1530" s="410">
        <v>-67973.177057618159</v>
      </c>
      <c r="S1530" s="410">
        <v>-74465.269284038688</v>
      </c>
      <c r="T1530" s="410">
        <v>-81152.124277251874</v>
      </c>
      <c r="U1530" s="410">
        <v>-88039.584920261419</v>
      </c>
      <c r="V1530" s="410">
        <v>-95133.669382561275</v>
      </c>
      <c r="W1530" s="333"/>
    </row>
    <row r="1531" spans="1:23" ht="13.5" thickBot="1" x14ac:dyDescent="0.25">
      <c r="A1531" s="9"/>
      <c r="B1531" s="316" t="s">
        <v>222</v>
      </c>
      <c r="C1531" s="450">
        <v>0</v>
      </c>
      <c r="D1531" s="412">
        <v>-1033642.672057111</v>
      </c>
      <c r="E1531" s="412">
        <v>-683482.68271307775</v>
      </c>
      <c r="F1531" s="412">
        <v>-537141.57991034188</v>
      </c>
      <c r="G1531" s="412">
        <v>-427737.0694025337</v>
      </c>
      <c r="H1531" s="412">
        <v>-422437.53957772127</v>
      </c>
      <c r="I1531" s="412">
        <v>-293759.61836177245</v>
      </c>
      <c r="J1531" s="412">
        <v>-334837.36117742211</v>
      </c>
      <c r="K1531" s="412">
        <v>-543465.05843070126</v>
      </c>
      <c r="L1531" s="412">
        <v>-551170.53204626183</v>
      </c>
      <c r="M1531" s="412">
        <v>-630688.1306638401</v>
      </c>
      <c r="N1531" s="412">
        <v>-411469.72988678201</v>
      </c>
      <c r="O1531" s="412">
        <v>-531438.54109709593</v>
      </c>
      <c r="P1531" s="412">
        <v>-502580.87211517338</v>
      </c>
      <c r="Q1531" s="412">
        <v>-675362.44603926619</v>
      </c>
      <c r="R1531" s="412">
        <v>-553025.51836014818</v>
      </c>
      <c r="S1531" s="412">
        <v>-399086.0235080854</v>
      </c>
      <c r="T1531" s="412">
        <v>-481553.27440649405</v>
      </c>
      <c r="U1531" s="412">
        <v>-612285.96043561085</v>
      </c>
      <c r="V1531" s="412">
        <v>-467399.8343436725</v>
      </c>
      <c r="W1531" s="333"/>
    </row>
    <row r="1532" spans="1:23" ht="13.5" thickTop="1" x14ac:dyDescent="0.2">
      <c r="A1532" s="9"/>
      <c r="B1532" s="317" t="s">
        <v>183</v>
      </c>
      <c r="C1532" s="452">
        <v>0</v>
      </c>
      <c r="D1532" s="416">
        <v>1550464.0080856665</v>
      </c>
      <c r="E1532" s="416">
        <v>1025224.0240696165</v>
      </c>
      <c r="F1532" s="416">
        <v>805712.36986551271</v>
      </c>
      <c r="G1532" s="416">
        <v>641605.60410380049</v>
      </c>
      <c r="H1532" s="416">
        <v>633656.30936658185</v>
      </c>
      <c r="I1532" s="416">
        <v>440639.4275426587</v>
      </c>
      <c r="J1532" s="416">
        <v>502256.04176613304</v>
      </c>
      <c r="K1532" s="416">
        <v>815197.58764605178</v>
      </c>
      <c r="L1532" s="416">
        <v>826755.79806939268</v>
      </c>
      <c r="M1532" s="416">
        <v>946032.19599576015</v>
      </c>
      <c r="N1532" s="416">
        <v>617204.59483017295</v>
      </c>
      <c r="O1532" s="416">
        <v>797157.81164564379</v>
      </c>
      <c r="P1532" s="416">
        <v>753871.30817276007</v>
      </c>
      <c r="Q1532" s="416">
        <v>1013043.6690588992</v>
      </c>
      <c r="R1532" s="416">
        <v>829538.27754022228</v>
      </c>
      <c r="S1532" s="416">
        <v>598629.03526212799</v>
      </c>
      <c r="T1532" s="416">
        <v>722329.91160974093</v>
      </c>
      <c r="U1532" s="416">
        <v>918428.94065341621</v>
      </c>
      <c r="V1532" s="416">
        <v>701099.75151550863</v>
      </c>
      <c r="W1532" s="333"/>
    </row>
    <row r="1533" spans="1:23" x14ac:dyDescent="0.2">
      <c r="A1533" s="9"/>
      <c r="B1533" s="315" t="s">
        <v>37</v>
      </c>
      <c r="C1533" s="449">
        <v>0</v>
      </c>
      <c r="D1533" s="410">
        <v>256373.48737677658</v>
      </c>
      <c r="E1533" s="410">
        <v>235299.63781481623</v>
      </c>
      <c r="F1533" s="410">
        <v>205307.07945894302</v>
      </c>
      <c r="G1533" s="410">
        <v>174904.47125886939</v>
      </c>
      <c r="H1533" s="410">
        <v>160607.06942284212</v>
      </c>
      <c r="I1533" s="410">
        <v>156554.00520463297</v>
      </c>
      <c r="J1533" s="410">
        <v>163690.99180529558</v>
      </c>
      <c r="K1533" s="410">
        <v>170232.88617273298</v>
      </c>
      <c r="L1533" s="410">
        <v>176826.65684389556</v>
      </c>
      <c r="M1533" s="410">
        <v>182884.16010594799</v>
      </c>
      <c r="N1533" s="410">
        <v>175467.77021218458</v>
      </c>
      <c r="O1533" s="410">
        <v>167517.17536217629</v>
      </c>
      <c r="P1533" s="410">
        <v>173658.16151840443</v>
      </c>
      <c r="Q1533" s="410">
        <v>120623.72577722732</v>
      </c>
      <c r="R1533" s="410">
        <v>67973.177057618159</v>
      </c>
      <c r="S1533" s="410">
        <v>74465.269284038688</v>
      </c>
      <c r="T1533" s="410">
        <v>81152.124277251874</v>
      </c>
      <c r="U1533" s="410">
        <v>88039.584920261419</v>
      </c>
      <c r="V1533" s="410">
        <v>95133.669382561275</v>
      </c>
      <c r="W1533" s="333"/>
    </row>
    <row r="1534" spans="1:23" x14ac:dyDescent="0.2">
      <c r="A1534" s="9"/>
      <c r="B1534" s="315" t="s">
        <v>39</v>
      </c>
      <c r="C1534" s="449">
        <v>0</v>
      </c>
      <c r="D1534" s="410">
        <v>-1423.58</v>
      </c>
      <c r="E1534" s="410">
        <v>-1481.02</v>
      </c>
      <c r="F1534" s="410">
        <v>-1540.83</v>
      </c>
      <c r="G1534" s="410">
        <v>-1609.33</v>
      </c>
      <c r="H1534" s="410">
        <v>-100000</v>
      </c>
      <c r="I1534" s="410">
        <v>-103000</v>
      </c>
      <c r="J1534" s="410">
        <v>-106090</v>
      </c>
      <c r="K1534" s="410">
        <v>-109272.7</v>
      </c>
      <c r="L1534" s="410">
        <v>-112550.88099999999</v>
      </c>
      <c r="M1534" s="410">
        <v>-115927.40742999999</v>
      </c>
      <c r="N1534" s="410">
        <v>-119405.2296529</v>
      </c>
      <c r="O1534" s="410">
        <v>-122987.386542487</v>
      </c>
      <c r="P1534" s="410">
        <v>-126677.00813876161</v>
      </c>
      <c r="Q1534" s="410">
        <v>-130477.31838292447</v>
      </c>
      <c r="R1534" s="410">
        <v>-134391.6379344122</v>
      </c>
      <c r="S1534" s="410">
        <v>-138423.38707244457</v>
      </c>
      <c r="T1534" s="410">
        <v>-142576.08868461792</v>
      </c>
      <c r="U1534" s="410">
        <v>-146853.37134515645</v>
      </c>
      <c r="V1534" s="410">
        <v>-151258.97248551116</v>
      </c>
      <c r="W1534" s="333"/>
    </row>
    <row r="1535" spans="1:23" ht="13.5" thickBot="1" x14ac:dyDescent="0.25">
      <c r="A1535" s="9"/>
      <c r="B1535" s="316" t="s">
        <v>40</v>
      </c>
      <c r="C1535" s="450">
        <v>0</v>
      </c>
      <c r="D1535" s="412">
        <v>0</v>
      </c>
      <c r="E1535" s="412">
        <v>0</v>
      </c>
      <c r="F1535" s="412">
        <v>0</v>
      </c>
      <c r="G1535" s="412">
        <v>0</v>
      </c>
      <c r="H1535" s="412">
        <v>0</v>
      </c>
      <c r="I1535" s="412">
        <v>0</v>
      </c>
      <c r="J1535" s="412">
        <v>0</v>
      </c>
      <c r="K1535" s="412">
        <v>0</v>
      </c>
      <c r="L1535" s="412">
        <v>0</v>
      </c>
      <c r="M1535" s="412">
        <v>0</v>
      </c>
      <c r="N1535" s="412">
        <v>0</v>
      </c>
      <c r="O1535" s="412">
        <v>0</v>
      </c>
      <c r="P1535" s="412">
        <v>0</v>
      </c>
      <c r="Q1535" s="412">
        <v>0</v>
      </c>
      <c r="R1535" s="412">
        <v>0</v>
      </c>
      <c r="S1535" s="412">
        <v>0</v>
      </c>
      <c r="T1535" s="412">
        <v>0</v>
      </c>
      <c r="U1535" s="412">
        <v>0</v>
      </c>
      <c r="V1535" s="412">
        <v>0</v>
      </c>
      <c r="W1535" s="333"/>
    </row>
    <row r="1536" spans="1:23" ht="13.5" thickTop="1" x14ac:dyDescent="0.2">
      <c r="A1536" s="9"/>
      <c r="B1536" s="315"/>
      <c r="C1536" s="453"/>
      <c r="D1536" s="333"/>
      <c r="E1536" s="333"/>
      <c r="F1536" s="333"/>
      <c r="G1536" s="333"/>
      <c r="H1536" s="333"/>
      <c r="I1536" s="333"/>
      <c r="J1536" s="333"/>
      <c r="K1536" s="333"/>
      <c r="L1536" s="333"/>
      <c r="M1536" s="333"/>
      <c r="N1536" s="333"/>
      <c r="O1536" s="333"/>
      <c r="P1536" s="333"/>
      <c r="Q1536" s="333"/>
      <c r="R1536" s="333"/>
      <c r="S1536" s="333"/>
      <c r="T1536" s="333"/>
      <c r="U1536" s="333"/>
      <c r="V1536" s="333"/>
      <c r="W1536" s="333"/>
    </row>
    <row r="1537" spans="1:23" x14ac:dyDescent="0.2">
      <c r="A1537" s="9"/>
      <c r="B1537" s="317" t="s">
        <v>234</v>
      </c>
      <c r="C1537" s="452">
        <v>0</v>
      </c>
      <c r="D1537" s="416">
        <v>1805413.9154624429</v>
      </c>
      <c r="E1537" s="416">
        <v>1259042.6418844326</v>
      </c>
      <c r="F1537" s="416">
        <v>1009478.6193244557</v>
      </c>
      <c r="G1537" s="416">
        <v>814900.74536266993</v>
      </c>
      <c r="H1537" s="416">
        <v>694263.37878942396</v>
      </c>
      <c r="I1537" s="416">
        <v>494193.43274729163</v>
      </c>
      <c r="J1537" s="416">
        <v>559857.03357142862</v>
      </c>
      <c r="K1537" s="416">
        <v>876157.77381878486</v>
      </c>
      <c r="L1537" s="416">
        <v>891031.5739132883</v>
      </c>
      <c r="M1537" s="416">
        <v>1012988.948671708</v>
      </c>
      <c r="N1537" s="416">
        <v>673267.13538945746</v>
      </c>
      <c r="O1537" s="416">
        <v>841687.60046533309</v>
      </c>
      <c r="P1537" s="416">
        <v>800852.46155240294</v>
      </c>
      <c r="Q1537" s="416">
        <v>1003190.0764532019</v>
      </c>
      <c r="R1537" s="416">
        <v>763119.81666342821</v>
      </c>
      <c r="S1537" s="416">
        <v>534670.91747372213</v>
      </c>
      <c r="T1537" s="416">
        <v>660905.94720237493</v>
      </c>
      <c r="U1537" s="416">
        <v>859615.15422852116</v>
      </c>
      <c r="V1537" s="416">
        <v>644974.44841255876</v>
      </c>
      <c r="W1537" s="414">
        <v>4789857.5023522098</v>
      </c>
    </row>
    <row r="1538" spans="1:23" x14ac:dyDescent="0.2">
      <c r="A1538" s="9"/>
      <c r="B1538" s="292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</row>
    <row r="1539" spans="1:23" x14ac:dyDescent="0.2">
      <c r="A1539" s="308" t="s">
        <v>219</v>
      </c>
      <c r="B1539" s="306" t="s">
        <v>170</v>
      </c>
      <c r="C1539" s="439">
        <v>4644045.6858022744</v>
      </c>
      <c r="D1539" s="9"/>
      <c r="E1539" s="137" t="s">
        <v>220</v>
      </c>
      <c r="F1539" s="319" t="s">
        <v>170</v>
      </c>
      <c r="G1539" s="443">
        <v>4644045.6858022744</v>
      </c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</row>
    <row r="1540" spans="1:23" x14ac:dyDescent="0.2">
      <c r="A1540" s="9"/>
      <c r="B1540" s="306" t="s">
        <v>180</v>
      </c>
      <c r="C1540" s="439">
        <v>3601197.0941158026</v>
      </c>
      <c r="D1540" s="9"/>
      <c r="E1540" s="321"/>
      <c r="F1540" s="319" t="s">
        <v>180</v>
      </c>
      <c r="G1540" s="443">
        <v>3601197.0941158026</v>
      </c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</row>
    <row r="1541" spans="1:23" ht="13.5" thickBot="1" x14ac:dyDescent="0.25">
      <c r="A1541" s="9"/>
      <c r="B1541" s="322" t="s">
        <v>137</v>
      </c>
      <c r="C1541" s="440">
        <v>746732.80829155119</v>
      </c>
      <c r="D1541" s="323"/>
      <c r="E1541" s="321"/>
      <c r="F1541" s="319" t="s">
        <v>137</v>
      </c>
      <c r="G1541" s="443">
        <v>746732.80829155119</v>
      </c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</row>
    <row r="1542" spans="1:23" ht="14.25" thickTop="1" thickBot="1" x14ac:dyDescent="0.25">
      <c r="A1542" s="9"/>
      <c r="B1542" s="306" t="s">
        <v>28</v>
      </c>
      <c r="C1542" s="438">
        <v>8991975.5882096272</v>
      </c>
      <c r="D1542" s="305"/>
      <c r="E1542" s="321"/>
      <c r="F1542" s="324" t="s">
        <v>204</v>
      </c>
      <c r="G1542" s="325">
        <v>0</v>
      </c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</row>
    <row r="1543" spans="1:23" ht="13.5" thickTop="1" x14ac:dyDescent="0.2">
      <c r="A1543" s="9"/>
      <c r="B1543" s="292"/>
      <c r="C1543" s="326"/>
      <c r="D1543" s="9"/>
      <c r="E1543" s="327"/>
      <c r="F1543" s="319" t="s">
        <v>28</v>
      </c>
      <c r="G1543" s="368">
        <v>8991975.5882096272</v>
      </c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</row>
    <row r="1544" spans="1:23" x14ac:dyDescent="0.2">
      <c r="A1544" s="9"/>
      <c r="B1544" s="292"/>
      <c r="C1544" s="326"/>
      <c r="D1544" s="9"/>
      <c r="E1544" s="327"/>
      <c r="F1544" s="319"/>
      <c r="G1544" s="328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</row>
    <row r="1545" spans="1:23" x14ac:dyDescent="0.2">
      <c r="A1545" s="9"/>
      <c r="B1545" s="292"/>
      <c r="C1545" s="326"/>
      <c r="D1545" s="9"/>
      <c r="E1545" s="327"/>
      <c r="F1545" s="319"/>
      <c r="G1545" s="328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</row>
    <row r="1546" spans="1:23" x14ac:dyDescent="0.2">
      <c r="A1546" s="9"/>
      <c r="B1546" s="329" t="s">
        <v>223</v>
      </c>
      <c r="C1546" s="326"/>
      <c r="D1546" s="9"/>
      <c r="E1546" s="327"/>
      <c r="F1546" s="319"/>
      <c r="G1546" s="328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</row>
    <row r="1547" spans="1:23" x14ac:dyDescent="0.2">
      <c r="A1547" s="330" t="s">
        <v>225</v>
      </c>
      <c r="B1547" s="329" t="s">
        <v>224</v>
      </c>
      <c r="C1547" s="331"/>
      <c r="D1547" s="332">
        <v>1550464.0080856665</v>
      </c>
      <c r="E1547" s="332">
        <v>1025224.0240696165</v>
      </c>
      <c r="F1547" s="332">
        <v>805712.36986551271</v>
      </c>
      <c r="G1547" s="332">
        <v>641605.60410380049</v>
      </c>
      <c r="H1547" s="332">
        <v>633656.30936658185</v>
      </c>
      <c r="I1547" s="332">
        <v>440639.4275426587</v>
      </c>
      <c r="J1547" s="332">
        <v>502256.04176613304</v>
      </c>
      <c r="K1547" s="332">
        <v>815197.58764605178</v>
      </c>
      <c r="L1547" s="332">
        <v>826755.79806939268</v>
      </c>
      <c r="M1547" s="332">
        <v>946032.19599576015</v>
      </c>
      <c r="N1547" s="332">
        <v>617204.59483017295</v>
      </c>
      <c r="O1547" s="332">
        <v>797157.81164564379</v>
      </c>
      <c r="P1547" s="332">
        <v>753871.30817276007</v>
      </c>
      <c r="Q1547" s="332">
        <v>1013043.6690588992</v>
      </c>
      <c r="R1547" s="332">
        <v>829538.27754022228</v>
      </c>
      <c r="S1547" s="332">
        <v>598629.03526212799</v>
      </c>
      <c r="T1547" s="332">
        <v>722329.91160974093</v>
      </c>
      <c r="U1547" s="332">
        <v>918428.94065341621</v>
      </c>
      <c r="V1547" s="332">
        <v>701099.75151550863</v>
      </c>
      <c r="W1547" s="9"/>
    </row>
    <row r="1548" spans="1:23" x14ac:dyDescent="0.2">
      <c r="A1548" s="9"/>
      <c r="B1548" s="292" t="s">
        <v>226</v>
      </c>
      <c r="C1548" s="326"/>
      <c r="D1548" s="333">
        <v>1033642.672057111</v>
      </c>
      <c r="E1548" s="333">
        <v>683482.68271307775</v>
      </c>
      <c r="F1548" s="333">
        <v>537141.57991034188</v>
      </c>
      <c r="G1548" s="333">
        <v>427737.0694025337</v>
      </c>
      <c r="H1548" s="333">
        <v>422437.53957772127</v>
      </c>
      <c r="I1548" s="333">
        <v>293759.61836177245</v>
      </c>
      <c r="J1548" s="333">
        <v>334837.36117742211</v>
      </c>
      <c r="K1548" s="333">
        <v>543465.05843070126</v>
      </c>
      <c r="L1548" s="333">
        <v>551170.53204626183</v>
      </c>
      <c r="M1548" s="333">
        <v>630688.1306638401</v>
      </c>
      <c r="N1548" s="333">
        <v>411469.72988678201</v>
      </c>
      <c r="O1548" s="333">
        <v>531438.54109709593</v>
      </c>
      <c r="P1548" s="333">
        <v>502580.87211517338</v>
      </c>
      <c r="Q1548" s="333">
        <v>675362.44603926619</v>
      </c>
      <c r="R1548" s="333">
        <v>553025.51836014818</v>
      </c>
      <c r="S1548" s="333">
        <v>399086.0235080854</v>
      </c>
      <c r="T1548" s="333">
        <v>481553.27440649405</v>
      </c>
      <c r="U1548" s="333">
        <v>612285.96043561085</v>
      </c>
      <c r="V1548" s="333">
        <v>467399.8343436725</v>
      </c>
      <c r="W1548" s="9"/>
    </row>
    <row r="1549" spans="1:23" x14ac:dyDescent="0.2">
      <c r="A1549" s="9"/>
      <c r="B1549" s="334" t="s">
        <v>227</v>
      </c>
      <c r="C1549" s="335"/>
      <c r="D1549" s="333">
        <v>256373.48737677658</v>
      </c>
      <c r="E1549" s="333">
        <v>235299.63781481623</v>
      </c>
      <c r="F1549" s="333">
        <v>205307.07945894302</v>
      </c>
      <c r="G1549" s="333">
        <v>174904.47125886939</v>
      </c>
      <c r="H1549" s="333">
        <v>160607.06942284212</v>
      </c>
      <c r="I1549" s="333">
        <v>156554.00520463297</v>
      </c>
      <c r="J1549" s="333">
        <v>163690.99180529558</v>
      </c>
      <c r="K1549" s="333">
        <v>170232.88617273298</v>
      </c>
      <c r="L1549" s="333">
        <v>176826.65684389556</v>
      </c>
      <c r="M1549" s="333">
        <v>182884.16010594799</v>
      </c>
      <c r="N1549" s="333">
        <v>175467.77021218458</v>
      </c>
      <c r="O1549" s="333">
        <v>167517.17536217629</v>
      </c>
      <c r="P1549" s="333">
        <v>173658.16151840443</v>
      </c>
      <c r="Q1549" s="333">
        <v>120623.72577722732</v>
      </c>
      <c r="R1549" s="333">
        <v>67973.177057618159</v>
      </c>
      <c r="S1549" s="333">
        <v>74465.269284038688</v>
      </c>
      <c r="T1549" s="333">
        <v>81152.124277251874</v>
      </c>
      <c r="U1549" s="333">
        <v>88039.584920261419</v>
      </c>
      <c r="V1549" s="333">
        <v>95133.669382561275</v>
      </c>
      <c r="W1549" s="9"/>
    </row>
    <row r="1550" spans="1:23" ht="13.5" thickBot="1" x14ac:dyDescent="0.25">
      <c r="A1550" s="9"/>
      <c r="B1550" s="336" t="s">
        <v>228</v>
      </c>
      <c r="C1550" s="337"/>
      <c r="D1550" s="338">
        <v>2840480.167519554</v>
      </c>
      <c r="E1550" s="338">
        <v>1944006.3445975105</v>
      </c>
      <c r="F1550" s="338">
        <v>1548161.0292347977</v>
      </c>
      <c r="G1550" s="338">
        <v>1244247.1447652036</v>
      </c>
      <c r="H1550" s="338">
        <v>1216700.9183671451</v>
      </c>
      <c r="I1550" s="338">
        <v>890953.05110906414</v>
      </c>
      <c r="J1550" s="338">
        <v>1000784.3947488507</v>
      </c>
      <c r="K1550" s="338">
        <v>1528895.5322494861</v>
      </c>
      <c r="L1550" s="338">
        <v>1554752.9869595501</v>
      </c>
      <c r="M1550" s="338">
        <v>1759604.4867655481</v>
      </c>
      <c r="N1550" s="338">
        <v>1204142.0949291396</v>
      </c>
      <c r="O1550" s="338">
        <v>1496113.528104916</v>
      </c>
      <c r="P1550" s="338">
        <v>1430110.3418063379</v>
      </c>
      <c r="Q1550" s="338">
        <v>1809029.8408753928</v>
      </c>
      <c r="R1550" s="338">
        <v>1450536.9729579887</v>
      </c>
      <c r="S1550" s="338">
        <v>1072180.3280542521</v>
      </c>
      <c r="T1550" s="338">
        <v>1285035.3102934868</v>
      </c>
      <c r="U1550" s="338">
        <v>1618754.4860092886</v>
      </c>
      <c r="V1550" s="338">
        <v>1263633.2552417424</v>
      </c>
      <c r="W1550" s="9"/>
    </row>
    <row r="1551" spans="1:23" ht="13.5" thickTop="1" x14ac:dyDescent="0.2">
      <c r="A1551" s="330" t="s">
        <v>229</v>
      </c>
      <c r="B1551" s="292" t="s">
        <v>230</v>
      </c>
      <c r="C1551" s="326"/>
      <c r="D1551" s="333">
        <v>-572072.6856983226</v>
      </c>
      <c r="E1551" s="333">
        <v>-571105.994308152</v>
      </c>
      <c r="F1551" s="333">
        <v>-567419.22315439081</v>
      </c>
      <c r="G1551" s="333">
        <v>-551343.67461045913</v>
      </c>
      <c r="H1551" s="333">
        <v>-509959.22651103698</v>
      </c>
      <c r="I1551" s="333">
        <v>-515109.22651103698</v>
      </c>
      <c r="J1551" s="333">
        <v>-297727.48179906013</v>
      </c>
      <c r="K1551" s="333">
        <v>-109683.59723414935</v>
      </c>
      <c r="L1551" s="333">
        <v>-115116.44440495</v>
      </c>
      <c r="M1551" s="333">
        <v>-113527.91955679125</v>
      </c>
      <c r="N1551" s="333">
        <v>-63875.927684645911</v>
      </c>
      <c r="O1551" s="333">
        <v>-70025.29701177025</v>
      </c>
      <c r="P1551" s="333">
        <v>-76359.147418708337</v>
      </c>
      <c r="Q1551" s="333">
        <v>-82883.013337854558</v>
      </c>
      <c r="R1551" s="333">
        <v>-89602.595234575158</v>
      </c>
      <c r="S1551" s="333">
        <v>-96173.377212357518</v>
      </c>
      <c r="T1551" s="333">
        <v>-102354.9396233774</v>
      </c>
      <c r="U1551" s="333">
        <v>-109697.60819063522</v>
      </c>
      <c r="V1551" s="333">
        <v>-117260.55681491077</v>
      </c>
      <c r="W1551" s="9"/>
    </row>
    <row r="1552" spans="1:23" x14ac:dyDescent="0.2">
      <c r="A1552" s="9"/>
      <c r="B1552" s="292" t="s">
        <v>231</v>
      </c>
      <c r="C1552" s="326"/>
      <c r="D1552" s="333">
        <v>0</v>
      </c>
      <c r="E1552" s="333">
        <v>0</v>
      </c>
      <c r="F1552" s="333">
        <v>0</v>
      </c>
      <c r="G1552" s="333">
        <v>0</v>
      </c>
      <c r="H1552" s="333">
        <v>0</v>
      </c>
      <c r="I1552" s="333">
        <v>0</v>
      </c>
      <c r="J1552" s="333">
        <v>0</v>
      </c>
      <c r="K1552" s="333">
        <v>0</v>
      </c>
      <c r="L1552" s="333">
        <v>0</v>
      </c>
      <c r="M1552" s="333">
        <v>0</v>
      </c>
      <c r="N1552" s="333">
        <v>0</v>
      </c>
      <c r="O1552" s="333">
        <v>0</v>
      </c>
      <c r="P1552" s="333">
        <v>0</v>
      </c>
      <c r="Q1552" s="333">
        <v>0</v>
      </c>
      <c r="R1552" s="333">
        <v>0</v>
      </c>
      <c r="S1552" s="333">
        <v>0</v>
      </c>
      <c r="T1552" s="333">
        <v>0</v>
      </c>
      <c r="U1552" s="333">
        <v>0</v>
      </c>
      <c r="V1552" s="333">
        <v>0</v>
      </c>
      <c r="W1552" s="9"/>
    </row>
    <row r="1553" spans="1:23" x14ac:dyDescent="0.2">
      <c r="A1553" s="9"/>
      <c r="B1553" s="329" t="s">
        <v>232</v>
      </c>
      <c r="C1553" s="331"/>
      <c r="D1553" s="332">
        <v>2268407.4818212315</v>
      </c>
      <c r="E1553" s="332">
        <v>1372900.3502893585</v>
      </c>
      <c r="F1553" s="332">
        <v>980741.80608040688</v>
      </c>
      <c r="G1553" s="332">
        <v>692903.47015474446</v>
      </c>
      <c r="H1553" s="332">
        <v>706741.69185610814</v>
      </c>
      <c r="I1553" s="332">
        <v>375843.82459802716</v>
      </c>
      <c r="J1553" s="332">
        <v>703056.9129497906</v>
      </c>
      <c r="K1553" s="332">
        <v>1419211.9350153366</v>
      </c>
      <c r="L1553" s="332">
        <v>1439636.5425546002</v>
      </c>
      <c r="M1553" s="332">
        <v>1646076.5672087569</v>
      </c>
      <c r="N1553" s="332">
        <v>1140266.1672444937</v>
      </c>
      <c r="O1553" s="332">
        <v>1426088.2310931457</v>
      </c>
      <c r="P1553" s="332">
        <v>1353751.1943876296</v>
      </c>
      <c r="Q1553" s="332">
        <v>1726146.8275375383</v>
      </c>
      <c r="R1553" s="332">
        <v>1360934.3777234135</v>
      </c>
      <c r="S1553" s="332">
        <v>976006.95084189461</v>
      </c>
      <c r="T1553" s="332">
        <v>1182680.3706701095</v>
      </c>
      <c r="U1553" s="332">
        <v>1509056.8778186534</v>
      </c>
      <c r="V1553" s="332">
        <v>1146372.6984268315</v>
      </c>
      <c r="W1553" s="9"/>
    </row>
    <row r="1554" spans="1:23" ht="13.5" thickBot="1" x14ac:dyDescent="0.25">
      <c r="A1554" s="9"/>
      <c r="B1554" s="339" t="s">
        <v>238</v>
      </c>
      <c r="C1554" s="340"/>
      <c r="D1554" s="341">
        <v>-907362.99272849271</v>
      </c>
      <c r="E1554" s="341">
        <v>-549160.14011574339</v>
      </c>
      <c r="F1554" s="341">
        <v>-392296.72243216279</v>
      </c>
      <c r="G1554" s="341">
        <v>-277161.38806189777</v>
      </c>
      <c r="H1554" s="341">
        <v>-282696.67674244329</v>
      </c>
      <c r="I1554" s="341">
        <v>-150337.52983921088</v>
      </c>
      <c r="J1554" s="341">
        <v>-281222.76517991623</v>
      </c>
      <c r="K1554" s="341">
        <v>-567684.77400613471</v>
      </c>
      <c r="L1554" s="341">
        <v>-575854.61702184007</v>
      </c>
      <c r="M1554" s="341">
        <v>-658430.62688350282</v>
      </c>
      <c r="N1554" s="341">
        <v>-456106.46689779754</v>
      </c>
      <c r="O1554" s="341">
        <v>-570435.29243725829</v>
      </c>
      <c r="P1554" s="341">
        <v>-541500.47775505192</v>
      </c>
      <c r="Q1554" s="341">
        <v>-690458.73101501539</v>
      </c>
      <c r="R1554" s="341">
        <v>-544373.75108936545</v>
      </c>
      <c r="S1554" s="341">
        <v>-390402.78033675789</v>
      </c>
      <c r="T1554" s="341">
        <v>-473072.14826804382</v>
      </c>
      <c r="U1554" s="341">
        <v>-603622.75112746132</v>
      </c>
      <c r="V1554" s="341">
        <v>-458549.07937073265</v>
      </c>
      <c r="W1554" s="9"/>
    </row>
    <row r="1555" spans="1:23" ht="13.5" thickTop="1" x14ac:dyDescent="0.2">
      <c r="A1555" s="9"/>
      <c r="B1555" s="329" t="s">
        <v>233</v>
      </c>
      <c r="C1555" s="331"/>
      <c r="D1555" s="332">
        <v>1361044.4890927388</v>
      </c>
      <c r="E1555" s="332">
        <v>823740.21017361514</v>
      </c>
      <c r="F1555" s="332">
        <v>588445.08364824415</v>
      </c>
      <c r="G1555" s="332">
        <v>415742.08209284669</v>
      </c>
      <c r="H1555" s="332">
        <v>424045.01511366485</v>
      </c>
      <c r="I1555" s="332">
        <v>225506.29475881628</v>
      </c>
      <c r="J1555" s="332">
        <v>421834.14776987437</v>
      </c>
      <c r="K1555" s="332">
        <v>851527.1610092019</v>
      </c>
      <c r="L1555" s="332">
        <v>863781.9255327601</v>
      </c>
      <c r="M1555" s="332">
        <v>987645.94032525411</v>
      </c>
      <c r="N1555" s="332">
        <v>684159.70034669619</v>
      </c>
      <c r="O1555" s="332">
        <v>855652.93865588738</v>
      </c>
      <c r="P1555" s="332">
        <v>812250.71663257771</v>
      </c>
      <c r="Q1555" s="332">
        <v>1035688.0965225229</v>
      </c>
      <c r="R1555" s="332">
        <v>816560.62663404807</v>
      </c>
      <c r="S1555" s="332">
        <v>585604.17050513672</v>
      </c>
      <c r="T1555" s="332">
        <v>709608.22240206576</v>
      </c>
      <c r="U1555" s="332">
        <v>905434.12669119204</v>
      </c>
      <c r="V1555" s="332">
        <v>687823.61905609886</v>
      </c>
      <c r="W1555" s="9"/>
    </row>
    <row r="1556" spans="1:23" x14ac:dyDescent="0.2">
      <c r="A1556" s="9"/>
      <c r="B1556" s="9"/>
      <c r="C1556" s="326"/>
      <c r="D1556" s="9"/>
      <c r="E1556" s="327"/>
      <c r="F1556" s="319"/>
      <c r="G1556" s="328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</row>
    <row r="1557" spans="1:23" ht="15.75" x14ac:dyDescent="0.25">
      <c r="A1557" s="342" t="s">
        <v>206</v>
      </c>
      <c r="B1557" s="343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</row>
    <row r="1558" spans="1:23" x14ac:dyDescent="0.2">
      <c r="A1558" s="290" t="s">
        <v>191</v>
      </c>
      <c r="B1558" s="309"/>
      <c r="C1558" s="344">
        <v>0</v>
      </c>
      <c r="D1558" s="283"/>
      <c r="E1558" s="283"/>
      <c r="F1558" s="283"/>
      <c r="G1558" s="283"/>
      <c r="H1558" s="283"/>
      <c r="I1558" s="283"/>
      <c r="J1558" s="283"/>
      <c r="K1558" s="283"/>
      <c r="L1558" s="283"/>
      <c r="M1558" s="283"/>
      <c r="N1558" s="283"/>
      <c r="O1558" s="283"/>
      <c r="P1558" s="283"/>
      <c r="Q1558" s="283"/>
      <c r="R1558" s="283"/>
      <c r="S1558" s="283"/>
      <c r="T1558" s="283"/>
      <c r="U1558" s="283"/>
      <c r="V1558" s="283"/>
      <c r="W1558" s="283"/>
    </row>
    <row r="1559" spans="1:23" x14ac:dyDescent="0.2">
      <c r="A1559" s="290" t="s">
        <v>192</v>
      </c>
      <c r="B1559" s="309"/>
      <c r="C1559" s="345">
        <v>0</v>
      </c>
      <c r="D1559" s="283"/>
      <c r="E1559" s="283"/>
      <c r="F1559" s="283"/>
      <c r="G1559" s="283"/>
      <c r="H1559" s="283"/>
      <c r="I1559" s="283"/>
      <c r="J1559" s="283"/>
      <c r="K1559" s="283"/>
      <c r="L1559" s="283"/>
      <c r="M1559" s="283"/>
      <c r="N1559" s="283"/>
      <c r="O1559" s="283"/>
      <c r="P1559" s="283"/>
      <c r="Q1559" s="283"/>
      <c r="R1559" s="283"/>
      <c r="S1559" s="283"/>
      <c r="T1559" s="283"/>
      <c r="U1559" s="283"/>
      <c r="V1559" s="283"/>
      <c r="W1559" s="283"/>
    </row>
    <row r="1560" spans="1:23" x14ac:dyDescent="0.2">
      <c r="A1560" s="290" t="s">
        <v>202</v>
      </c>
      <c r="B1560" s="309"/>
      <c r="C1560" s="290">
        <v>15</v>
      </c>
      <c r="D1560" s="283"/>
      <c r="E1560" s="283"/>
      <c r="F1560" s="283"/>
      <c r="G1560" s="283"/>
      <c r="H1560" s="283"/>
      <c r="I1560" s="283"/>
      <c r="J1560" s="283"/>
      <c r="K1560" s="283"/>
      <c r="L1560" s="283"/>
      <c r="M1560" s="283"/>
      <c r="N1560" s="283"/>
      <c r="O1560" s="283"/>
      <c r="P1560" s="283"/>
      <c r="Q1560" s="283"/>
      <c r="R1560" s="283"/>
      <c r="S1560" s="283"/>
      <c r="T1560" s="283"/>
      <c r="U1560" s="283"/>
      <c r="V1560" s="283"/>
      <c r="W1560" s="283"/>
    </row>
    <row r="1561" spans="1:23" x14ac:dyDescent="0.2">
      <c r="A1561" s="290" t="s">
        <v>193</v>
      </c>
      <c r="B1561" s="309"/>
      <c r="C1561" s="345">
        <v>0</v>
      </c>
      <c r="D1561" s="283"/>
      <c r="E1561" s="283"/>
      <c r="F1561" s="283"/>
      <c r="G1561" s="283"/>
      <c r="H1561" s="283"/>
      <c r="I1561" s="283"/>
      <c r="J1561" s="283"/>
      <c r="K1561" s="283"/>
      <c r="L1561" s="283"/>
      <c r="M1561" s="283"/>
      <c r="N1561" s="283"/>
      <c r="O1561" s="283"/>
      <c r="P1561" s="283"/>
      <c r="Q1561" s="283"/>
      <c r="R1561" s="283"/>
      <c r="S1561" s="283"/>
      <c r="T1561" s="283"/>
      <c r="U1561" s="283"/>
      <c r="V1561" s="283"/>
      <c r="W1561" s="283"/>
    </row>
    <row r="1562" spans="1:23" x14ac:dyDescent="0.2">
      <c r="A1562" s="290" t="s">
        <v>194</v>
      </c>
      <c r="B1562" s="309"/>
      <c r="C1562" s="346">
        <v>8.7499999999999994E-2</v>
      </c>
      <c r="D1562" s="283"/>
      <c r="E1562" s="283"/>
      <c r="F1562" s="283"/>
      <c r="G1562" s="283"/>
      <c r="H1562" s="283"/>
      <c r="I1562" s="283"/>
      <c r="J1562" s="283"/>
      <c r="K1562" s="283"/>
      <c r="L1562" s="283"/>
      <c r="M1562" s="283"/>
      <c r="N1562" s="283"/>
      <c r="O1562" s="283"/>
      <c r="P1562" s="283"/>
      <c r="Q1562" s="283"/>
      <c r="R1562" s="283"/>
      <c r="S1562" s="283"/>
      <c r="T1562" s="283"/>
      <c r="U1562" s="283"/>
      <c r="V1562" s="283"/>
      <c r="W1562" s="283"/>
    </row>
    <row r="1563" spans="1:23" x14ac:dyDescent="0.2">
      <c r="A1563" s="290"/>
      <c r="B1563" s="309"/>
      <c r="C1563" s="283"/>
      <c r="D1563" s="312">
        <v>2001</v>
      </c>
      <c r="E1563" s="312">
        <v>2002</v>
      </c>
      <c r="F1563" s="312">
        <v>2003</v>
      </c>
      <c r="G1563" s="312">
        <v>2004</v>
      </c>
      <c r="H1563" s="312">
        <v>2005</v>
      </c>
      <c r="I1563" s="312">
        <v>2006</v>
      </c>
      <c r="J1563" s="312">
        <v>2007</v>
      </c>
      <c r="K1563" s="312">
        <v>2008</v>
      </c>
      <c r="L1563" s="312">
        <v>2009</v>
      </c>
      <c r="M1563" s="312">
        <v>2010</v>
      </c>
      <c r="N1563" s="312">
        <v>2011</v>
      </c>
      <c r="O1563" s="312">
        <v>2012</v>
      </c>
      <c r="P1563" s="312">
        <v>2013</v>
      </c>
      <c r="Q1563" s="312">
        <v>2014</v>
      </c>
      <c r="R1563" s="312">
        <v>2015</v>
      </c>
      <c r="S1563" s="312">
        <v>2016</v>
      </c>
      <c r="T1563" s="312">
        <v>2017</v>
      </c>
      <c r="U1563" s="312">
        <v>2018</v>
      </c>
      <c r="V1563" s="312">
        <v>2019</v>
      </c>
      <c r="W1563" s="312" t="s">
        <v>154</v>
      </c>
    </row>
    <row r="1564" spans="1:23" x14ac:dyDescent="0.2">
      <c r="A1564" s="290" t="s">
        <v>195</v>
      </c>
      <c r="B1564" s="309"/>
      <c r="C1564" s="283"/>
      <c r="D1564" s="347">
        <v>0</v>
      </c>
      <c r="E1564" s="347">
        <v>0</v>
      </c>
      <c r="F1564" s="347">
        <v>0</v>
      </c>
      <c r="G1564" s="347">
        <v>0</v>
      </c>
      <c r="H1564" s="347">
        <v>0</v>
      </c>
      <c r="I1564" s="347">
        <v>0</v>
      </c>
      <c r="J1564" s="347">
        <v>0</v>
      </c>
      <c r="K1564" s="347">
        <v>0</v>
      </c>
      <c r="L1564" s="347">
        <v>0</v>
      </c>
      <c r="M1564" s="347">
        <v>0</v>
      </c>
      <c r="N1564" s="347">
        <v>0</v>
      </c>
      <c r="O1564" s="347">
        <v>0</v>
      </c>
      <c r="P1564" s="347">
        <v>0</v>
      </c>
      <c r="Q1564" s="347">
        <v>0</v>
      </c>
      <c r="R1564" s="347">
        <v>0</v>
      </c>
      <c r="S1564" s="347">
        <v>0</v>
      </c>
      <c r="T1564" s="347">
        <v>0</v>
      </c>
      <c r="U1564" s="347">
        <v>0</v>
      </c>
      <c r="V1564" s="347">
        <v>0</v>
      </c>
      <c r="W1564" s="347">
        <v>0</v>
      </c>
    </row>
    <row r="1565" spans="1:23" x14ac:dyDescent="0.2">
      <c r="A1565" s="290" t="s">
        <v>196</v>
      </c>
      <c r="B1565" s="309"/>
      <c r="C1565" s="283"/>
      <c r="D1565" s="347">
        <v>0</v>
      </c>
      <c r="E1565" s="347">
        <v>0</v>
      </c>
      <c r="F1565" s="347">
        <v>0</v>
      </c>
      <c r="G1565" s="347">
        <v>0</v>
      </c>
      <c r="H1565" s="347">
        <v>0</v>
      </c>
      <c r="I1565" s="347">
        <v>0</v>
      </c>
      <c r="J1565" s="347">
        <v>0</v>
      </c>
      <c r="K1565" s="347">
        <v>0</v>
      </c>
      <c r="L1565" s="347">
        <v>0</v>
      </c>
      <c r="M1565" s="347">
        <v>0</v>
      </c>
      <c r="N1565" s="347">
        <v>0</v>
      </c>
      <c r="O1565" s="347">
        <v>0</v>
      </c>
      <c r="P1565" s="347">
        <v>0</v>
      </c>
      <c r="Q1565" s="347">
        <v>0</v>
      </c>
      <c r="R1565" s="347">
        <v>0</v>
      </c>
      <c r="S1565" s="347">
        <v>0</v>
      </c>
      <c r="T1565" s="347">
        <v>0</v>
      </c>
      <c r="U1565" s="347">
        <v>0</v>
      </c>
      <c r="V1565" s="347">
        <v>0</v>
      </c>
      <c r="W1565" s="347">
        <v>0</v>
      </c>
    </row>
    <row r="1566" spans="1:23" x14ac:dyDescent="0.2">
      <c r="A1566" s="290" t="s">
        <v>197</v>
      </c>
      <c r="B1566" s="309"/>
      <c r="C1566" s="283"/>
      <c r="D1566" s="347">
        <v>0</v>
      </c>
      <c r="E1566" s="347">
        <v>0</v>
      </c>
      <c r="F1566" s="347">
        <v>0</v>
      </c>
      <c r="G1566" s="347">
        <v>0</v>
      </c>
      <c r="H1566" s="347">
        <v>0</v>
      </c>
      <c r="I1566" s="347">
        <v>0</v>
      </c>
      <c r="J1566" s="347">
        <v>0</v>
      </c>
      <c r="K1566" s="347">
        <v>0</v>
      </c>
      <c r="L1566" s="347">
        <v>0</v>
      </c>
      <c r="M1566" s="347">
        <v>0</v>
      </c>
      <c r="N1566" s="347">
        <v>0</v>
      </c>
      <c r="O1566" s="347">
        <v>0</v>
      </c>
      <c r="P1566" s="347">
        <v>0</v>
      </c>
      <c r="Q1566" s="347">
        <v>0</v>
      </c>
      <c r="R1566" s="347">
        <v>0</v>
      </c>
      <c r="S1566" s="347">
        <v>0</v>
      </c>
      <c r="T1566" s="347">
        <v>0</v>
      </c>
      <c r="U1566" s="347">
        <v>0</v>
      </c>
      <c r="V1566" s="347">
        <v>0</v>
      </c>
      <c r="W1566" s="347">
        <v>0</v>
      </c>
    </row>
    <row r="1567" spans="1:23" x14ac:dyDescent="0.2">
      <c r="A1567" s="290" t="s">
        <v>198</v>
      </c>
      <c r="B1567" s="309"/>
      <c r="C1567" s="283"/>
      <c r="D1567" s="348">
        <v>0</v>
      </c>
      <c r="E1567" s="348">
        <v>0</v>
      </c>
      <c r="F1567" s="348">
        <v>0</v>
      </c>
      <c r="G1567" s="348">
        <v>0</v>
      </c>
      <c r="H1567" s="348">
        <v>0</v>
      </c>
      <c r="I1567" s="348">
        <v>0</v>
      </c>
      <c r="J1567" s="348">
        <v>0</v>
      </c>
      <c r="K1567" s="348">
        <v>0</v>
      </c>
      <c r="L1567" s="348">
        <v>0</v>
      </c>
      <c r="M1567" s="348">
        <v>0</v>
      </c>
      <c r="N1567" s="348">
        <v>0</v>
      </c>
      <c r="O1567" s="348">
        <v>0</v>
      </c>
      <c r="P1567" s="348">
        <v>0</v>
      </c>
      <c r="Q1567" s="348">
        <v>0</v>
      </c>
      <c r="R1567" s="348">
        <v>0</v>
      </c>
      <c r="S1567" s="348">
        <v>0</v>
      </c>
      <c r="T1567" s="348">
        <v>0</v>
      </c>
      <c r="U1567" s="348">
        <v>0</v>
      </c>
      <c r="V1567" s="348">
        <v>0</v>
      </c>
      <c r="W1567" s="348">
        <v>0</v>
      </c>
    </row>
    <row r="1568" spans="1:23" ht="13.5" thickBot="1" x14ac:dyDescent="0.25">
      <c r="A1568" s="290" t="s">
        <v>199</v>
      </c>
      <c r="B1568" s="309"/>
      <c r="C1568" s="283"/>
      <c r="D1568" s="349">
        <v>0</v>
      </c>
      <c r="E1568" s="349">
        <v>0</v>
      </c>
      <c r="F1568" s="349">
        <v>0</v>
      </c>
      <c r="G1568" s="349">
        <v>0</v>
      </c>
      <c r="H1568" s="349">
        <v>0</v>
      </c>
      <c r="I1568" s="349">
        <v>0</v>
      </c>
      <c r="J1568" s="349">
        <v>0</v>
      </c>
      <c r="K1568" s="349">
        <v>0</v>
      </c>
      <c r="L1568" s="349">
        <v>0</v>
      </c>
      <c r="M1568" s="349">
        <v>0</v>
      </c>
      <c r="N1568" s="349">
        <v>0</v>
      </c>
      <c r="O1568" s="349">
        <v>0</v>
      </c>
      <c r="P1568" s="349">
        <v>0</v>
      </c>
      <c r="Q1568" s="349">
        <v>0</v>
      </c>
      <c r="R1568" s="349">
        <v>0</v>
      </c>
      <c r="S1568" s="349">
        <v>0</v>
      </c>
      <c r="T1568" s="349">
        <v>0</v>
      </c>
      <c r="U1568" s="349">
        <v>0</v>
      </c>
      <c r="V1568" s="349">
        <v>0</v>
      </c>
      <c r="W1568" s="349">
        <v>0</v>
      </c>
    </row>
    <row r="1569" spans="1:23" ht="13.5" thickTop="1" x14ac:dyDescent="0.2">
      <c r="A1569" s="290"/>
      <c r="B1569" s="309"/>
      <c r="C1569" s="283"/>
      <c r="D1569" s="347"/>
      <c r="E1569" s="347"/>
      <c r="F1569" s="347"/>
      <c r="G1569" s="347"/>
      <c r="H1569" s="347"/>
      <c r="I1569" s="347"/>
      <c r="J1569" s="347"/>
      <c r="K1569" s="347"/>
      <c r="L1569" s="347"/>
      <c r="M1569" s="347"/>
      <c r="N1569" s="347"/>
      <c r="O1569" s="347"/>
      <c r="P1569" s="347"/>
      <c r="Q1569" s="347"/>
      <c r="R1569" s="347"/>
      <c r="S1569" s="347"/>
      <c r="T1569" s="347"/>
      <c r="U1569" s="347"/>
      <c r="V1569" s="347"/>
      <c r="W1569" s="347"/>
    </row>
    <row r="1570" spans="1:23" x14ac:dyDescent="0.2">
      <c r="A1570" s="290" t="s">
        <v>200</v>
      </c>
      <c r="B1570" s="309"/>
      <c r="C1570" s="283"/>
      <c r="D1570" s="347">
        <v>0</v>
      </c>
      <c r="E1570" s="347">
        <v>0</v>
      </c>
      <c r="F1570" s="347">
        <v>0</v>
      </c>
      <c r="G1570" s="347">
        <v>0</v>
      </c>
      <c r="H1570" s="347">
        <v>0</v>
      </c>
      <c r="I1570" s="347">
        <v>0</v>
      </c>
      <c r="J1570" s="347">
        <v>0</v>
      </c>
      <c r="K1570" s="347">
        <v>0</v>
      </c>
      <c r="L1570" s="347">
        <v>0</v>
      </c>
      <c r="M1570" s="347">
        <v>0</v>
      </c>
      <c r="N1570" s="347">
        <v>0</v>
      </c>
      <c r="O1570" s="347">
        <v>0</v>
      </c>
      <c r="P1570" s="347">
        <v>0</v>
      </c>
      <c r="Q1570" s="347">
        <v>0</v>
      </c>
      <c r="R1570" s="347">
        <v>0</v>
      </c>
      <c r="S1570" s="347">
        <v>0</v>
      </c>
      <c r="T1570" s="347">
        <v>0</v>
      </c>
      <c r="U1570" s="347">
        <v>0</v>
      </c>
      <c r="V1570" s="347">
        <v>0</v>
      </c>
      <c r="W1570" s="347">
        <v>0</v>
      </c>
    </row>
    <row r="1571" spans="1:23" x14ac:dyDescent="0.2">
      <c r="A1571" s="290"/>
      <c r="B1571" s="309"/>
      <c r="C1571" s="283"/>
      <c r="D1571" s="283"/>
      <c r="E1571" s="283"/>
      <c r="F1571" s="283"/>
      <c r="G1571" s="283"/>
      <c r="H1571" s="283"/>
      <c r="I1571" s="283"/>
      <c r="J1571" s="283"/>
      <c r="K1571" s="283"/>
      <c r="L1571" s="283"/>
      <c r="M1571" s="283"/>
      <c r="N1571" s="283"/>
      <c r="O1571" s="283"/>
      <c r="P1571" s="283"/>
      <c r="Q1571" s="283"/>
      <c r="R1571" s="283"/>
      <c r="S1571" s="283"/>
      <c r="T1571" s="283"/>
      <c r="U1571" s="283"/>
      <c r="V1571" s="283"/>
      <c r="W1571" s="283"/>
    </row>
    <row r="1572" spans="1:23" x14ac:dyDescent="0.2">
      <c r="A1572" s="290" t="s">
        <v>201</v>
      </c>
      <c r="B1572" s="309"/>
      <c r="C1572" s="283"/>
      <c r="D1572" s="347">
        <v>0</v>
      </c>
      <c r="E1572" s="347">
        <v>0</v>
      </c>
      <c r="F1572" s="347">
        <v>0</v>
      </c>
      <c r="G1572" s="347">
        <v>0</v>
      </c>
      <c r="H1572" s="347">
        <v>0</v>
      </c>
      <c r="I1572" s="347">
        <v>0</v>
      </c>
      <c r="J1572" s="347">
        <v>0</v>
      </c>
      <c r="K1572" s="347">
        <v>0</v>
      </c>
      <c r="L1572" s="347">
        <v>0</v>
      </c>
      <c r="M1572" s="347">
        <v>0</v>
      </c>
      <c r="N1572" s="347">
        <v>0</v>
      </c>
      <c r="O1572" s="347">
        <v>0</v>
      </c>
      <c r="P1572" s="347">
        <v>0</v>
      </c>
      <c r="Q1572" s="347">
        <v>0</v>
      </c>
      <c r="R1572" s="347">
        <v>0</v>
      </c>
      <c r="S1572" s="347">
        <v>0</v>
      </c>
      <c r="T1572" s="347">
        <v>0</v>
      </c>
      <c r="U1572" s="347">
        <v>0</v>
      </c>
      <c r="V1572" s="347">
        <v>0</v>
      </c>
      <c r="W1572" s="347">
        <v>0</v>
      </c>
    </row>
    <row r="1573" spans="1:23" x14ac:dyDescent="0.2">
      <c r="A1573" s="283"/>
      <c r="B1573" s="309"/>
      <c r="C1573" s="283"/>
      <c r="D1573" s="283"/>
      <c r="E1573" s="283"/>
      <c r="F1573" s="283"/>
      <c r="G1573" s="283"/>
      <c r="H1573" s="283"/>
      <c r="I1573" s="283"/>
      <c r="J1573" s="283"/>
      <c r="K1573" s="283"/>
      <c r="L1573" s="283"/>
      <c r="M1573" s="283"/>
      <c r="N1573" s="283"/>
      <c r="O1573" s="283"/>
      <c r="P1573" s="283"/>
      <c r="Q1573" s="283"/>
      <c r="R1573" s="283"/>
      <c r="S1573" s="283"/>
      <c r="T1573" s="283"/>
      <c r="U1573" s="283"/>
      <c r="V1573" s="283"/>
      <c r="W1573" s="283"/>
    </row>
    <row r="1574" spans="1:23" x14ac:dyDescent="0.2">
      <c r="A1574" s="283"/>
      <c r="B1574" s="309"/>
      <c r="C1574" s="283"/>
      <c r="D1574" s="283"/>
      <c r="E1574" s="283"/>
      <c r="F1574" s="283"/>
      <c r="G1574" s="283"/>
      <c r="H1574" s="283"/>
      <c r="I1574" s="283"/>
      <c r="J1574" s="283"/>
      <c r="K1574" s="283"/>
      <c r="L1574" s="283"/>
      <c r="M1574" s="283"/>
      <c r="N1574" s="283"/>
      <c r="O1574" s="283"/>
      <c r="P1574" s="283"/>
      <c r="Q1574" s="283"/>
      <c r="R1574" s="283"/>
      <c r="S1574" s="283"/>
      <c r="T1574" s="283"/>
      <c r="U1574" s="283"/>
      <c r="V1574" s="283"/>
      <c r="W1574" s="283"/>
    </row>
    <row r="1575" spans="1:23" x14ac:dyDescent="0.2">
      <c r="A1575" s="290" t="s">
        <v>203</v>
      </c>
      <c r="B1575" s="285"/>
      <c r="C1575" s="284"/>
      <c r="D1575" s="441">
        <v>1805413.9154624429</v>
      </c>
      <c r="E1575" s="441">
        <v>1259042.6418844326</v>
      </c>
      <c r="F1575" s="441">
        <v>1009478.6193244557</v>
      </c>
      <c r="G1575" s="441">
        <v>814900.74536266993</v>
      </c>
      <c r="H1575" s="441">
        <v>694263.37878942396</v>
      </c>
      <c r="I1575" s="441">
        <v>494193.43274729163</v>
      </c>
      <c r="J1575" s="441">
        <v>559857.03357142862</v>
      </c>
      <c r="K1575" s="441">
        <v>876157.77381878486</v>
      </c>
      <c r="L1575" s="441">
        <v>891031.5739132883</v>
      </c>
      <c r="M1575" s="441">
        <v>1012988.948671708</v>
      </c>
      <c r="N1575" s="441">
        <v>673267.13538945746</v>
      </c>
      <c r="O1575" s="441">
        <v>841687.60046533309</v>
      </c>
      <c r="P1575" s="441">
        <v>800852.46155240294</v>
      </c>
      <c r="Q1575" s="441">
        <v>1003190.0764532019</v>
      </c>
      <c r="R1575" s="441">
        <v>763119.81666342821</v>
      </c>
      <c r="S1575" s="441">
        <v>534670.91747372213</v>
      </c>
      <c r="T1575" s="441">
        <v>660905.94720237493</v>
      </c>
      <c r="U1575" s="441">
        <v>859615.15422852116</v>
      </c>
      <c r="V1575" s="441">
        <v>644974.44841255876</v>
      </c>
      <c r="W1575" s="441">
        <v>4789857.5023522098</v>
      </c>
    </row>
    <row r="1576" spans="1:23" x14ac:dyDescent="0.2">
      <c r="A1576" s="9"/>
      <c r="B1576" s="6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</row>
    <row r="1577" spans="1:23" x14ac:dyDescent="0.2">
      <c r="A1577" s="298"/>
      <c r="B1577" s="366"/>
      <c r="C1577" s="377"/>
      <c r="D1577" s="376"/>
      <c r="E1577" s="376"/>
      <c r="F1577" s="376"/>
      <c r="G1577" s="376"/>
      <c r="H1577" s="376"/>
      <c r="I1577" s="376"/>
      <c r="J1577" s="376"/>
      <c r="K1577" s="376"/>
      <c r="L1577" s="376"/>
      <c r="M1577" s="376"/>
      <c r="N1577" s="376"/>
      <c r="O1577" s="376"/>
      <c r="P1577" s="376"/>
      <c r="Q1577" s="376"/>
      <c r="R1577" s="376"/>
      <c r="S1577" s="376"/>
      <c r="T1577" s="376"/>
      <c r="U1577" s="376"/>
      <c r="V1577" s="376"/>
      <c r="W1577" s="376"/>
    </row>
    <row r="1578" spans="1:23" x14ac:dyDescent="0.2">
      <c r="A1578" s="298"/>
      <c r="B1578" s="366"/>
      <c r="C1578" s="298"/>
      <c r="D1578" s="376"/>
      <c r="E1578" s="376"/>
      <c r="F1578" s="376"/>
      <c r="G1578" s="376"/>
      <c r="H1578" s="376"/>
      <c r="I1578" s="376"/>
      <c r="J1578" s="376"/>
      <c r="K1578" s="376"/>
      <c r="L1578" s="376"/>
      <c r="M1578" s="376"/>
      <c r="N1578" s="376"/>
      <c r="O1578" s="376"/>
      <c r="P1578" s="376"/>
      <c r="Q1578" s="376"/>
      <c r="R1578" s="376"/>
      <c r="S1578" s="376"/>
      <c r="T1578" s="376"/>
      <c r="U1578" s="376"/>
      <c r="V1578" s="376"/>
      <c r="W1578" s="376"/>
    </row>
    <row r="1579" spans="1:23" x14ac:dyDescent="0.2">
      <c r="A1579" s="298"/>
      <c r="B1579" s="366"/>
      <c r="C1579" s="377"/>
      <c r="D1579" s="376"/>
      <c r="E1579" s="376"/>
      <c r="F1579" s="376"/>
      <c r="G1579" s="376"/>
      <c r="H1579" s="376"/>
      <c r="I1579" s="376"/>
      <c r="J1579" s="376"/>
      <c r="K1579" s="376"/>
      <c r="L1579" s="376"/>
      <c r="M1579" s="376"/>
      <c r="N1579" s="376"/>
      <c r="O1579" s="376"/>
      <c r="P1579" s="376"/>
      <c r="Q1579" s="376"/>
      <c r="R1579" s="376"/>
      <c r="S1579" s="376"/>
      <c r="T1579" s="376"/>
      <c r="U1579" s="376"/>
      <c r="V1579" s="376"/>
      <c r="W1579" s="376"/>
    </row>
    <row r="1580" spans="1:23" x14ac:dyDescent="0.2">
      <c r="A1580" s="298"/>
      <c r="B1580" s="366"/>
      <c r="C1580" s="378"/>
      <c r="D1580" s="376"/>
      <c r="E1580" s="376"/>
      <c r="F1580" s="376"/>
      <c r="G1580" s="376"/>
      <c r="H1580" s="376"/>
      <c r="I1580" s="376"/>
      <c r="J1580" s="376"/>
      <c r="K1580" s="376"/>
      <c r="L1580" s="376"/>
      <c r="M1580" s="376"/>
      <c r="N1580" s="376"/>
      <c r="O1580" s="376"/>
      <c r="P1580" s="376"/>
      <c r="Q1580" s="376"/>
      <c r="R1580" s="376"/>
      <c r="S1580" s="376"/>
      <c r="T1580" s="376"/>
      <c r="U1580" s="376"/>
      <c r="V1580" s="376"/>
      <c r="W1580" s="376"/>
    </row>
    <row r="1581" spans="1:23" x14ac:dyDescent="0.2">
      <c r="A1581" s="298"/>
      <c r="B1581" s="366"/>
      <c r="C1581" s="376"/>
      <c r="D1581" s="353"/>
      <c r="E1581" s="353"/>
      <c r="F1581" s="353"/>
      <c r="G1581" s="353"/>
      <c r="H1581" s="353"/>
      <c r="I1581" s="353"/>
      <c r="J1581" s="353"/>
      <c r="K1581" s="353"/>
      <c r="L1581" s="353"/>
      <c r="M1581" s="353"/>
      <c r="N1581" s="353"/>
      <c r="O1581" s="353"/>
      <c r="P1581" s="353"/>
      <c r="Q1581" s="353"/>
      <c r="R1581" s="353"/>
      <c r="S1581" s="353"/>
      <c r="T1581" s="353"/>
      <c r="U1581" s="353"/>
      <c r="V1581" s="353"/>
      <c r="W1581" s="353"/>
    </row>
    <row r="1582" spans="1:23" x14ac:dyDescent="0.2">
      <c r="A1582" s="298"/>
      <c r="B1582" s="366"/>
      <c r="C1582" s="376"/>
      <c r="D1582" s="68"/>
      <c r="E1582" s="68"/>
      <c r="F1582" s="68"/>
      <c r="G1582" s="68"/>
      <c r="H1582" s="68"/>
      <c r="I1582" s="68"/>
      <c r="J1582" s="68"/>
      <c r="K1582" s="68"/>
      <c r="L1582" s="68"/>
      <c r="M1582" s="68"/>
      <c r="N1582" s="68"/>
      <c r="O1582" s="68"/>
      <c r="P1582" s="68"/>
      <c r="Q1582" s="68"/>
      <c r="R1582" s="68"/>
      <c r="S1582" s="68"/>
      <c r="T1582" s="68"/>
      <c r="U1582" s="68"/>
      <c r="V1582" s="68"/>
      <c r="W1582" s="68"/>
    </row>
    <row r="1583" spans="1:23" x14ac:dyDescent="0.2">
      <c r="A1583" s="298"/>
      <c r="B1583" s="366"/>
      <c r="C1583" s="376"/>
      <c r="D1583" s="68"/>
      <c r="E1583" s="68"/>
      <c r="F1583" s="68"/>
      <c r="G1583" s="68"/>
      <c r="H1583" s="68"/>
      <c r="I1583" s="68"/>
      <c r="J1583" s="68"/>
      <c r="K1583" s="68"/>
      <c r="L1583" s="68"/>
      <c r="M1583" s="68"/>
      <c r="N1583" s="68"/>
      <c r="O1583" s="68"/>
      <c r="P1583" s="68"/>
      <c r="Q1583" s="68"/>
      <c r="R1583" s="68"/>
      <c r="S1583" s="68"/>
      <c r="T1583" s="68"/>
      <c r="U1583" s="68"/>
      <c r="V1583" s="68"/>
      <c r="W1583" s="68"/>
    </row>
    <row r="1584" spans="1:23" ht="15.75" x14ac:dyDescent="0.25">
      <c r="A1584" s="308" t="s">
        <v>29</v>
      </c>
      <c r="B1584" s="311" t="s">
        <v>77</v>
      </c>
      <c r="C1584" s="312">
        <v>2000</v>
      </c>
      <c r="D1584" s="312">
        <v>2001</v>
      </c>
      <c r="E1584" s="312">
        <v>2002</v>
      </c>
      <c r="F1584" s="312">
        <v>2003</v>
      </c>
      <c r="G1584" s="312">
        <v>2004</v>
      </c>
      <c r="H1584" s="312">
        <v>2005</v>
      </c>
      <c r="I1584" s="312">
        <v>2006</v>
      </c>
      <c r="J1584" s="312">
        <v>2007</v>
      </c>
      <c r="K1584" s="312">
        <v>2008</v>
      </c>
      <c r="L1584" s="312">
        <v>2009</v>
      </c>
      <c r="M1584" s="312">
        <v>2010</v>
      </c>
      <c r="N1584" s="312">
        <v>2011</v>
      </c>
      <c r="O1584" s="312">
        <v>2012</v>
      </c>
      <c r="P1584" s="312">
        <v>2013</v>
      </c>
      <c r="Q1584" s="312">
        <v>2014</v>
      </c>
      <c r="R1584" s="312">
        <v>2015</v>
      </c>
      <c r="S1584" s="312">
        <v>2016</v>
      </c>
      <c r="T1584" s="312">
        <v>2017</v>
      </c>
      <c r="U1584" s="312">
        <v>2018</v>
      </c>
      <c r="V1584" s="312">
        <v>2019</v>
      </c>
      <c r="W1584" s="312" t="s">
        <v>154</v>
      </c>
    </row>
    <row r="1585" spans="1:23" x14ac:dyDescent="0.2">
      <c r="A1585" s="308" t="s">
        <v>26</v>
      </c>
      <c r="B1585" s="309">
        <v>51.225000000000001</v>
      </c>
      <c r="C1585" s="314"/>
      <c r="D1585" s="314"/>
      <c r="E1585" s="314"/>
      <c r="F1585" s="314"/>
      <c r="G1585" s="314"/>
      <c r="H1585" s="314"/>
      <c r="I1585" s="314"/>
      <c r="J1585" s="314"/>
      <c r="K1585" s="314"/>
      <c r="L1585" s="314"/>
      <c r="M1585" s="314"/>
      <c r="N1585" s="314"/>
      <c r="O1585" s="314"/>
      <c r="P1585" s="314"/>
      <c r="Q1585" s="314"/>
      <c r="R1585" s="314"/>
      <c r="S1585" s="314"/>
      <c r="T1585" s="314"/>
      <c r="U1585" s="314"/>
      <c r="V1585" s="314"/>
      <c r="W1585" s="314"/>
    </row>
    <row r="1586" spans="1:23" x14ac:dyDescent="0.2">
      <c r="A1586" s="9"/>
      <c r="B1586" s="315" t="s">
        <v>27</v>
      </c>
      <c r="C1586" s="449">
        <v>0</v>
      </c>
      <c r="D1586" s="410">
        <v>3932629.2505932907</v>
      </c>
      <c r="E1586" s="410">
        <v>3141040.7783542834</v>
      </c>
      <c r="F1586" s="410">
        <v>2615520.6994223217</v>
      </c>
      <c r="G1586" s="410">
        <v>2326762.6919740476</v>
      </c>
      <c r="H1586" s="410">
        <v>2724752.3173856148</v>
      </c>
      <c r="I1586" s="410">
        <v>2561881.8735290668</v>
      </c>
      <c r="J1586" s="410">
        <v>2507578.6085568587</v>
      </c>
      <c r="K1586" s="410">
        <v>3758660.5542759527</v>
      </c>
      <c r="L1586" s="410">
        <v>3844320.9983198829</v>
      </c>
      <c r="M1586" s="410">
        <v>4054799.1431282964</v>
      </c>
      <c r="N1586" s="410">
        <v>3177612.1473593414</v>
      </c>
      <c r="O1586" s="410">
        <v>4036787.0694221179</v>
      </c>
      <c r="P1586" s="410">
        <v>3461174.5996071901</v>
      </c>
      <c r="Q1586" s="410">
        <v>4377009.5104747592</v>
      </c>
      <c r="R1586" s="410">
        <v>3952327.7457407187</v>
      </c>
      <c r="S1586" s="410">
        <v>3107784.9848807929</v>
      </c>
      <c r="T1586" s="410">
        <v>3407390.5079389154</v>
      </c>
      <c r="U1586" s="410">
        <v>4372681.2798432019</v>
      </c>
      <c r="V1586" s="410">
        <v>4856559.3808346866</v>
      </c>
      <c r="W1586" s="333"/>
    </row>
    <row r="1587" spans="1:23" x14ac:dyDescent="0.2">
      <c r="A1587" s="9"/>
      <c r="B1587" s="315" t="s">
        <v>20</v>
      </c>
      <c r="C1587" s="449">
        <v>0</v>
      </c>
      <c r="D1587" s="410">
        <v>-921514.63171836792</v>
      </c>
      <c r="E1587" s="410">
        <v>-1017134.2808738259</v>
      </c>
      <c r="F1587" s="410">
        <v>-888691.41810096893</v>
      </c>
      <c r="G1587" s="410">
        <v>-901742.62775995571</v>
      </c>
      <c r="H1587" s="410">
        <v>-1309413.2079526091</v>
      </c>
      <c r="I1587" s="410">
        <v>-1424418.9126627457</v>
      </c>
      <c r="J1587" s="410">
        <v>-1264154.5256430693</v>
      </c>
      <c r="K1587" s="410">
        <v>-1917918.1905474176</v>
      </c>
      <c r="L1587" s="410">
        <v>-1968538.935589765</v>
      </c>
      <c r="M1587" s="410">
        <v>-1969411.9365027028</v>
      </c>
      <c r="N1587" s="410">
        <v>-1664135.1900272174</v>
      </c>
      <c r="O1587" s="410">
        <v>-2172160.9866473414</v>
      </c>
      <c r="P1587" s="410">
        <v>-1699763.9933335797</v>
      </c>
      <c r="Q1587" s="410">
        <v>-2175452.8721647346</v>
      </c>
      <c r="R1587" s="410">
        <v>-2116084.970615353</v>
      </c>
      <c r="S1587" s="410">
        <v>-1686679.291937277</v>
      </c>
      <c r="T1587" s="410">
        <v>-1768139.6821102754</v>
      </c>
      <c r="U1587" s="410">
        <v>-2369503.8068865053</v>
      </c>
      <c r="V1587" s="410">
        <v>-3137999.2985180374</v>
      </c>
      <c r="W1587" s="333"/>
    </row>
    <row r="1588" spans="1:23" x14ac:dyDescent="0.2">
      <c r="A1588" s="9"/>
      <c r="B1588" s="315" t="s">
        <v>31</v>
      </c>
      <c r="C1588" s="449">
        <v>0</v>
      </c>
      <c r="D1588" s="410">
        <v>-29761.106619846207</v>
      </c>
      <c r="E1588" s="410">
        <v>-37108.009232978227</v>
      </c>
      <c r="F1588" s="410">
        <v>-33915.450813918687</v>
      </c>
      <c r="G1588" s="410">
        <v>-34017.043170885205</v>
      </c>
      <c r="H1588" s="410">
        <v>-49833.615768598487</v>
      </c>
      <c r="I1588" s="410">
        <v>-56078.027739004123</v>
      </c>
      <c r="J1588" s="410">
        <v>-50745.194332858366</v>
      </c>
      <c r="K1588" s="410">
        <v>-84134.52079434901</v>
      </c>
      <c r="L1588" s="410">
        <v>-86431.113602915546</v>
      </c>
      <c r="M1588" s="410">
        <v>-84158.84313420899</v>
      </c>
      <c r="N1588" s="410">
        <v>-71809.432849317469</v>
      </c>
      <c r="O1588" s="410">
        <v>-95309.256368646849</v>
      </c>
      <c r="P1588" s="410">
        <v>-72989.520366164012</v>
      </c>
      <c r="Q1588" s="410">
        <v>-94239.823128980439</v>
      </c>
      <c r="R1588" s="410">
        <v>-86056.716620490159</v>
      </c>
      <c r="S1588" s="410">
        <v>-67219.204203505011</v>
      </c>
      <c r="T1588" s="410">
        <v>-69752.867363956058</v>
      </c>
      <c r="U1588" s="410">
        <v>-89393.852002076106</v>
      </c>
      <c r="V1588" s="410">
        <v>-117840.30510948293</v>
      </c>
      <c r="W1588" s="333"/>
    </row>
    <row r="1589" spans="1:23" x14ac:dyDescent="0.2">
      <c r="A1589" s="9"/>
      <c r="B1589" s="315" t="s">
        <v>32</v>
      </c>
      <c r="C1589" s="449">
        <v>0</v>
      </c>
      <c r="D1589" s="410">
        <v>0</v>
      </c>
      <c r="E1589" s="410">
        <v>0</v>
      </c>
      <c r="F1589" s="410">
        <v>0</v>
      </c>
      <c r="G1589" s="410">
        <v>0</v>
      </c>
      <c r="H1589" s="410">
        <v>0</v>
      </c>
      <c r="I1589" s="410">
        <v>-19765.763398171523</v>
      </c>
      <c r="J1589" s="410">
        <v>-19428.531673524565</v>
      </c>
      <c r="K1589" s="410">
        <v>-36246.043751448458</v>
      </c>
      <c r="L1589" s="410">
        <v>-38576.818185353564</v>
      </c>
      <c r="M1589" s="410">
        <v>-40953.200616373564</v>
      </c>
      <c r="N1589" s="410">
        <v>-37747.652001500959</v>
      </c>
      <c r="O1589" s="410">
        <v>-54404.249377345332</v>
      </c>
      <c r="P1589" s="410">
        <v>-45751.106339284692</v>
      </c>
      <c r="Q1589" s="410">
        <v>-64508.952860510253</v>
      </c>
      <c r="R1589" s="410">
        <v>-63934.506748056476</v>
      </c>
      <c r="S1589" s="410">
        <v>-53682.360423999577</v>
      </c>
      <c r="T1589" s="410">
        <v>-53754.538551799444</v>
      </c>
      <c r="U1589" s="410">
        <v>-57704.327537854864</v>
      </c>
      <c r="V1589" s="410">
        <v>-77372.507685713063</v>
      </c>
      <c r="W1589" s="333"/>
    </row>
    <row r="1590" spans="1:23" ht="13.5" thickBot="1" x14ac:dyDescent="0.25">
      <c r="A1590" s="9"/>
      <c r="B1590" s="316" t="s">
        <v>33</v>
      </c>
      <c r="C1590" s="450">
        <v>0</v>
      </c>
      <c r="D1590" s="412">
        <v>0</v>
      </c>
      <c r="E1590" s="412">
        <v>0</v>
      </c>
      <c r="F1590" s="412">
        <v>0</v>
      </c>
      <c r="G1590" s="412">
        <v>0</v>
      </c>
      <c r="H1590" s="412">
        <v>0</v>
      </c>
      <c r="I1590" s="412">
        <v>-19765.763398171523</v>
      </c>
      <c r="J1590" s="412">
        <v>-19428.531673524565</v>
      </c>
      <c r="K1590" s="412">
        <v>-36246.043751448458</v>
      </c>
      <c r="L1590" s="412">
        <v>-38576.818185353564</v>
      </c>
      <c r="M1590" s="412">
        <v>-40953.200616373564</v>
      </c>
      <c r="N1590" s="412">
        <v>-37747.652001500959</v>
      </c>
      <c r="O1590" s="412">
        <v>-54404.249377345332</v>
      </c>
      <c r="P1590" s="412">
        <v>-45751.106339284692</v>
      </c>
      <c r="Q1590" s="412">
        <v>-64508.952860510253</v>
      </c>
      <c r="R1590" s="412">
        <v>-63934.506748056476</v>
      </c>
      <c r="S1590" s="412">
        <v>-53682.360423999577</v>
      </c>
      <c r="T1590" s="412">
        <v>-53754.538551799444</v>
      </c>
      <c r="U1590" s="412">
        <v>-57704.327537854864</v>
      </c>
      <c r="V1590" s="412">
        <v>-77372.507685713063</v>
      </c>
      <c r="W1590" s="333"/>
    </row>
    <row r="1591" spans="1:23" ht="13.5" thickTop="1" x14ac:dyDescent="0.2">
      <c r="A1591" s="9"/>
      <c r="B1591" s="317" t="s">
        <v>38</v>
      </c>
      <c r="C1591" s="451">
        <v>0</v>
      </c>
      <c r="D1591" s="414">
        <v>2981353.5122550768</v>
      </c>
      <c r="E1591" s="414">
        <v>2086798.4882474793</v>
      </c>
      <c r="F1591" s="414">
        <v>1692913.8305074342</v>
      </c>
      <c r="G1591" s="414">
        <v>1391003.0210432066</v>
      </c>
      <c r="H1591" s="414">
        <v>1365505.4936644074</v>
      </c>
      <c r="I1591" s="414">
        <v>1041853.4063309737</v>
      </c>
      <c r="J1591" s="414">
        <v>1153821.8252338821</v>
      </c>
      <c r="K1591" s="414">
        <v>1684115.7554312893</v>
      </c>
      <c r="L1591" s="414">
        <v>1712197.3127564951</v>
      </c>
      <c r="M1591" s="414">
        <v>1919321.9622586374</v>
      </c>
      <c r="N1591" s="414">
        <v>1366172.2204798043</v>
      </c>
      <c r="O1591" s="414">
        <v>1660508.3276514388</v>
      </c>
      <c r="P1591" s="414">
        <v>1596918.8732288771</v>
      </c>
      <c r="Q1591" s="414">
        <v>1978298.9094600235</v>
      </c>
      <c r="R1591" s="414">
        <v>1622317.0450087625</v>
      </c>
      <c r="S1591" s="414">
        <v>1246521.7678920117</v>
      </c>
      <c r="T1591" s="414">
        <v>1461988.881361085</v>
      </c>
      <c r="U1591" s="414">
        <v>1798374.9658789106</v>
      </c>
      <c r="V1591" s="414">
        <v>1445974.7618357402</v>
      </c>
      <c r="W1591" s="333"/>
    </row>
    <row r="1592" spans="1:23" x14ac:dyDescent="0.2">
      <c r="A1592" s="9"/>
      <c r="B1592" s="315" t="s">
        <v>34</v>
      </c>
      <c r="C1592" s="449">
        <v>0</v>
      </c>
      <c r="D1592" s="410">
        <v>-91566.271378944657</v>
      </c>
      <c r="E1592" s="410">
        <v>-93397.59680652355</v>
      </c>
      <c r="F1592" s="410">
        <v>-95265.54874265402</v>
      </c>
      <c r="G1592" s="410">
        <v>-97170.859717507105</v>
      </c>
      <c r="H1592" s="410">
        <v>-99114.276911857247</v>
      </c>
      <c r="I1592" s="410">
        <v>-101096.5624500944</v>
      </c>
      <c r="J1592" s="410">
        <v>-103118.49369909629</v>
      </c>
      <c r="K1592" s="410">
        <v>-105180.86357307821</v>
      </c>
      <c r="L1592" s="410">
        <v>-107284.48084453978</v>
      </c>
      <c r="M1592" s="410">
        <v>-109430.17046143058</v>
      </c>
      <c r="N1592" s="410">
        <v>-111618.77387065919</v>
      </c>
      <c r="O1592" s="410">
        <v>-113851.14934807237</v>
      </c>
      <c r="P1592" s="410">
        <v>-116128.17233503383</v>
      </c>
      <c r="Q1592" s="410">
        <v>-118450.7357817345</v>
      </c>
      <c r="R1592" s="410">
        <v>-120819.7504973692</v>
      </c>
      <c r="S1592" s="410">
        <v>-123236.14550731659</v>
      </c>
      <c r="T1592" s="410">
        <v>-125700.86841746292</v>
      </c>
      <c r="U1592" s="410">
        <v>-128214.88578581218</v>
      </c>
      <c r="V1592" s="410">
        <v>-130779.18350152842</v>
      </c>
      <c r="W1592" s="333"/>
    </row>
    <row r="1593" spans="1:23" x14ac:dyDescent="0.2">
      <c r="A1593" s="9"/>
      <c r="B1593" s="315" t="s">
        <v>35</v>
      </c>
      <c r="C1593" s="449">
        <v>0</v>
      </c>
      <c r="D1593" s="410">
        <v>-45161.410471875002</v>
      </c>
      <c r="E1593" s="410">
        <v>-45161.410471875002</v>
      </c>
      <c r="F1593" s="410">
        <v>-45161.410471875002</v>
      </c>
      <c r="G1593" s="410">
        <v>-45161.410471875002</v>
      </c>
      <c r="H1593" s="410">
        <v>-45161.410471875002</v>
      </c>
      <c r="I1593" s="410">
        <v>-45161.410471875002</v>
      </c>
      <c r="J1593" s="410">
        <v>-45161.410471875002</v>
      </c>
      <c r="K1593" s="410">
        <v>-45161.410471875002</v>
      </c>
      <c r="L1593" s="410">
        <v>-45161.410471875002</v>
      </c>
      <c r="M1593" s="410">
        <v>-45161.410471875002</v>
      </c>
      <c r="N1593" s="410">
        <v>-45161.410471875002</v>
      </c>
      <c r="O1593" s="410">
        <v>-45161.410471875002</v>
      </c>
      <c r="P1593" s="410">
        <v>-45161.410471875002</v>
      </c>
      <c r="Q1593" s="410">
        <v>-45161.410471875002</v>
      </c>
      <c r="R1593" s="410">
        <v>-45161.410471875002</v>
      </c>
      <c r="S1593" s="410">
        <v>-45161.410471875002</v>
      </c>
      <c r="T1593" s="410">
        <v>-45161.410471875002</v>
      </c>
      <c r="U1593" s="410">
        <v>-45161.410471875002</v>
      </c>
      <c r="V1593" s="410">
        <v>-45161.410471875002</v>
      </c>
      <c r="W1593" s="333"/>
    </row>
    <row r="1594" spans="1:23" ht="13.5" thickBot="1" x14ac:dyDescent="0.25">
      <c r="A1594" s="9"/>
      <c r="B1594" s="316" t="s">
        <v>36</v>
      </c>
      <c r="C1594" s="450">
        <v>0</v>
      </c>
      <c r="D1594" s="412">
        <v>-4145.6628847028896</v>
      </c>
      <c r="E1594" s="412">
        <v>-4233.13637157014</v>
      </c>
      <c r="F1594" s="412">
        <v>-4325.8420581075297</v>
      </c>
      <c r="G1594" s="412">
        <v>-4423.6060886207297</v>
      </c>
      <c r="H1594" s="412">
        <v>-4528.8879135299103</v>
      </c>
      <c r="I1594" s="412">
        <v>-4642.38229994021</v>
      </c>
      <c r="J1594" s="412">
        <v>-4757.52631405997</v>
      </c>
      <c r="K1594" s="412">
        <v>-4877.9491368499903</v>
      </c>
      <c r="L1594" s="412">
        <v>-4998.4344805301898</v>
      </c>
      <c r="M1594" s="412">
        <v>-5125.8945597837001</v>
      </c>
      <c r="N1594" s="412">
        <v>-5249.9412081304899</v>
      </c>
      <c r="O1594" s="412">
        <v>-5382.2397265753598</v>
      </c>
      <c r="P1594" s="412">
        <v>-5518.9486156303601</v>
      </c>
      <c r="Q1594" s="412">
        <v>-5656.92233102112</v>
      </c>
      <c r="R1594" s="412">
        <v>-5798.9110815297499</v>
      </c>
      <c r="S1594" s="412">
        <v>-5943.8838585679996</v>
      </c>
      <c r="T1594" s="412">
        <v>-6091.2921782604799</v>
      </c>
      <c r="U1594" s="412">
        <v>-6244.18361193483</v>
      </c>
      <c r="V1594" s="412">
        <v>-6400.9126205943903</v>
      </c>
      <c r="W1594" s="333"/>
    </row>
    <row r="1595" spans="1:23" ht="13.5" thickTop="1" x14ac:dyDescent="0.2">
      <c r="A1595" s="9"/>
      <c r="B1595" s="317" t="s">
        <v>221</v>
      </c>
      <c r="C1595" s="452">
        <v>0</v>
      </c>
      <c r="D1595" s="416">
        <v>2840480.167519554</v>
      </c>
      <c r="E1595" s="416">
        <v>1944006.3445975105</v>
      </c>
      <c r="F1595" s="416">
        <v>1548161.0292347977</v>
      </c>
      <c r="G1595" s="416">
        <v>1244247.1447652036</v>
      </c>
      <c r="H1595" s="416">
        <v>1216700.9183671451</v>
      </c>
      <c r="I1595" s="416">
        <v>890953.05110906414</v>
      </c>
      <c r="J1595" s="416">
        <v>1000784.3947488507</v>
      </c>
      <c r="K1595" s="416">
        <v>1528895.5322494861</v>
      </c>
      <c r="L1595" s="416">
        <v>1554752.9869595501</v>
      </c>
      <c r="M1595" s="416">
        <v>1759604.4867655481</v>
      </c>
      <c r="N1595" s="416">
        <v>1204142.0949291396</v>
      </c>
      <c r="O1595" s="416">
        <v>1496113.528104916</v>
      </c>
      <c r="P1595" s="416">
        <v>1430110.3418063379</v>
      </c>
      <c r="Q1595" s="416">
        <v>1809029.8408753928</v>
      </c>
      <c r="R1595" s="416">
        <v>1450536.9729579887</v>
      </c>
      <c r="S1595" s="416">
        <v>1072180.3280542521</v>
      </c>
      <c r="T1595" s="416">
        <v>1285035.3102934868</v>
      </c>
      <c r="U1595" s="416">
        <v>1618754.4860092886</v>
      </c>
      <c r="V1595" s="416">
        <v>1263633.2552417424</v>
      </c>
      <c r="W1595" s="333"/>
    </row>
    <row r="1596" spans="1:23" x14ac:dyDescent="0.2">
      <c r="A1596" s="9"/>
      <c r="B1596" s="315" t="s">
        <v>37</v>
      </c>
      <c r="C1596" s="449">
        <v>0</v>
      </c>
      <c r="D1596" s="410">
        <v>-256373.48737677658</v>
      </c>
      <c r="E1596" s="410">
        <v>-235299.63781481623</v>
      </c>
      <c r="F1596" s="410">
        <v>-205307.07945894302</v>
      </c>
      <c r="G1596" s="410">
        <v>-174904.47125886939</v>
      </c>
      <c r="H1596" s="410">
        <v>-160607.06942284212</v>
      </c>
      <c r="I1596" s="410">
        <v>-156554.00520463297</v>
      </c>
      <c r="J1596" s="410">
        <v>-163690.99180529558</v>
      </c>
      <c r="K1596" s="410">
        <v>-170232.88617273298</v>
      </c>
      <c r="L1596" s="410">
        <v>-176826.65684389556</v>
      </c>
      <c r="M1596" s="410">
        <v>-182884.16010594799</v>
      </c>
      <c r="N1596" s="410">
        <v>-175467.77021218458</v>
      </c>
      <c r="O1596" s="410">
        <v>-167517.17536217629</v>
      </c>
      <c r="P1596" s="410">
        <v>-173658.16151840443</v>
      </c>
      <c r="Q1596" s="410">
        <v>-120623.72577722732</v>
      </c>
      <c r="R1596" s="410">
        <v>-67973.177057618159</v>
      </c>
      <c r="S1596" s="410">
        <v>-74465.269284038688</v>
      </c>
      <c r="T1596" s="410">
        <v>-81152.124277251874</v>
      </c>
      <c r="U1596" s="410">
        <v>-88039.584920261419</v>
      </c>
      <c r="V1596" s="410">
        <v>-95133.669382561275</v>
      </c>
      <c r="W1596" s="333"/>
    </row>
    <row r="1597" spans="1:23" ht="13.5" thickBot="1" x14ac:dyDescent="0.25">
      <c r="A1597" s="9"/>
      <c r="B1597" s="316" t="s">
        <v>222</v>
      </c>
      <c r="C1597" s="450">
        <v>0</v>
      </c>
      <c r="D1597" s="412">
        <v>-1033642.672057111</v>
      </c>
      <c r="E1597" s="412">
        <v>-683482.68271307775</v>
      </c>
      <c r="F1597" s="412">
        <v>-537141.57991034188</v>
      </c>
      <c r="G1597" s="412">
        <v>-427737.0694025337</v>
      </c>
      <c r="H1597" s="412">
        <v>-422437.53957772127</v>
      </c>
      <c r="I1597" s="412">
        <v>-293759.61836177245</v>
      </c>
      <c r="J1597" s="412">
        <v>-334837.36117742211</v>
      </c>
      <c r="K1597" s="412">
        <v>-543465.05843070126</v>
      </c>
      <c r="L1597" s="412">
        <v>-551170.53204626183</v>
      </c>
      <c r="M1597" s="412">
        <v>-630688.1306638401</v>
      </c>
      <c r="N1597" s="412">
        <v>-411469.72988678201</v>
      </c>
      <c r="O1597" s="412">
        <v>-531438.54109709593</v>
      </c>
      <c r="P1597" s="412">
        <v>-502580.87211517338</v>
      </c>
      <c r="Q1597" s="412">
        <v>-675362.44603926619</v>
      </c>
      <c r="R1597" s="412">
        <v>-553025.51836014818</v>
      </c>
      <c r="S1597" s="412">
        <v>-399086.0235080854</v>
      </c>
      <c r="T1597" s="412">
        <v>-481553.27440649405</v>
      </c>
      <c r="U1597" s="412">
        <v>-612285.96043561085</v>
      </c>
      <c r="V1597" s="412">
        <v>-467399.8343436725</v>
      </c>
      <c r="W1597" s="333"/>
    </row>
    <row r="1598" spans="1:23" ht="13.5" thickTop="1" x14ac:dyDescent="0.2">
      <c r="A1598" s="9"/>
      <c r="B1598" s="317" t="s">
        <v>183</v>
      </c>
      <c r="C1598" s="452">
        <v>0</v>
      </c>
      <c r="D1598" s="416">
        <v>1550464.0080856665</v>
      </c>
      <c r="E1598" s="416">
        <v>1025224.0240696165</v>
      </c>
      <c r="F1598" s="416">
        <v>805712.36986551271</v>
      </c>
      <c r="G1598" s="416">
        <v>641605.60410380049</v>
      </c>
      <c r="H1598" s="416">
        <v>633656.30936658185</v>
      </c>
      <c r="I1598" s="416">
        <v>440639.4275426587</v>
      </c>
      <c r="J1598" s="416">
        <v>502256.04176613304</v>
      </c>
      <c r="K1598" s="416">
        <v>815197.58764605178</v>
      </c>
      <c r="L1598" s="416">
        <v>826755.79806939268</v>
      </c>
      <c r="M1598" s="416">
        <v>946032.19599576015</v>
      </c>
      <c r="N1598" s="416">
        <v>617204.59483017295</v>
      </c>
      <c r="O1598" s="416">
        <v>797157.81164564379</v>
      </c>
      <c r="P1598" s="416">
        <v>753871.30817276007</v>
      </c>
      <c r="Q1598" s="416">
        <v>1013043.6690588992</v>
      </c>
      <c r="R1598" s="416">
        <v>829538.27754022228</v>
      </c>
      <c r="S1598" s="416">
        <v>598629.03526212799</v>
      </c>
      <c r="T1598" s="416">
        <v>722329.91160974093</v>
      </c>
      <c r="U1598" s="416">
        <v>918428.94065341621</v>
      </c>
      <c r="V1598" s="416">
        <v>701099.75151550863</v>
      </c>
      <c r="W1598" s="333"/>
    </row>
    <row r="1599" spans="1:23" x14ac:dyDescent="0.2">
      <c r="A1599" s="9"/>
      <c r="B1599" s="315" t="s">
        <v>37</v>
      </c>
      <c r="C1599" s="449">
        <v>0</v>
      </c>
      <c r="D1599" s="410">
        <v>256373.48737677658</v>
      </c>
      <c r="E1599" s="410">
        <v>235299.63781481623</v>
      </c>
      <c r="F1599" s="410">
        <v>205307.07945894302</v>
      </c>
      <c r="G1599" s="410">
        <v>174904.47125886939</v>
      </c>
      <c r="H1599" s="410">
        <v>160607.06942284212</v>
      </c>
      <c r="I1599" s="410">
        <v>156554.00520463297</v>
      </c>
      <c r="J1599" s="410">
        <v>163690.99180529558</v>
      </c>
      <c r="K1599" s="410">
        <v>170232.88617273298</v>
      </c>
      <c r="L1599" s="410">
        <v>176826.65684389556</v>
      </c>
      <c r="M1599" s="410">
        <v>182884.16010594799</v>
      </c>
      <c r="N1599" s="410">
        <v>175467.77021218458</v>
      </c>
      <c r="O1599" s="410">
        <v>167517.17536217629</v>
      </c>
      <c r="P1599" s="410">
        <v>173658.16151840443</v>
      </c>
      <c r="Q1599" s="410">
        <v>120623.72577722732</v>
      </c>
      <c r="R1599" s="410">
        <v>67973.177057618159</v>
      </c>
      <c r="S1599" s="410">
        <v>74465.269284038688</v>
      </c>
      <c r="T1599" s="410">
        <v>81152.124277251874</v>
      </c>
      <c r="U1599" s="410">
        <v>88039.584920261419</v>
      </c>
      <c r="V1599" s="410">
        <v>95133.669382561275</v>
      </c>
      <c r="W1599" s="333"/>
    </row>
    <row r="1600" spans="1:23" x14ac:dyDescent="0.2">
      <c r="A1600" s="9"/>
      <c r="B1600" s="315" t="s">
        <v>39</v>
      </c>
      <c r="C1600" s="449">
        <v>0</v>
      </c>
      <c r="D1600" s="410">
        <v>-1423.58</v>
      </c>
      <c r="E1600" s="410">
        <v>-1481.02</v>
      </c>
      <c r="F1600" s="410">
        <v>-1540.83</v>
      </c>
      <c r="G1600" s="410">
        <v>-1609.33</v>
      </c>
      <c r="H1600" s="410">
        <v>-100000</v>
      </c>
      <c r="I1600" s="410">
        <v>-103000</v>
      </c>
      <c r="J1600" s="410">
        <v>-106090</v>
      </c>
      <c r="K1600" s="410">
        <v>-109272.7</v>
      </c>
      <c r="L1600" s="410">
        <v>-112550.88099999999</v>
      </c>
      <c r="M1600" s="410">
        <v>-115927.40742999999</v>
      </c>
      <c r="N1600" s="410">
        <v>-119405.2296529</v>
      </c>
      <c r="O1600" s="410">
        <v>-122987.386542487</v>
      </c>
      <c r="P1600" s="410">
        <v>-126677.00813876161</v>
      </c>
      <c r="Q1600" s="410">
        <v>-130477.31838292447</v>
      </c>
      <c r="R1600" s="410">
        <v>-134391.6379344122</v>
      </c>
      <c r="S1600" s="410">
        <v>-138423.38707244457</v>
      </c>
      <c r="T1600" s="410">
        <v>-142576.08868461792</v>
      </c>
      <c r="U1600" s="410">
        <v>-146853.37134515645</v>
      </c>
      <c r="V1600" s="410">
        <v>-151258.97248551116</v>
      </c>
      <c r="W1600" s="333"/>
    </row>
    <row r="1601" spans="1:23" ht="13.5" thickBot="1" x14ac:dyDescent="0.25">
      <c r="A1601" s="9"/>
      <c r="B1601" s="316" t="s">
        <v>40</v>
      </c>
      <c r="C1601" s="450">
        <v>0</v>
      </c>
      <c r="D1601" s="412">
        <v>0</v>
      </c>
      <c r="E1601" s="412">
        <v>0</v>
      </c>
      <c r="F1601" s="412">
        <v>0</v>
      </c>
      <c r="G1601" s="412">
        <v>0</v>
      </c>
      <c r="H1601" s="412">
        <v>0</v>
      </c>
      <c r="I1601" s="412">
        <v>0</v>
      </c>
      <c r="J1601" s="412">
        <v>0</v>
      </c>
      <c r="K1601" s="412">
        <v>0</v>
      </c>
      <c r="L1601" s="412">
        <v>0</v>
      </c>
      <c r="M1601" s="412">
        <v>0</v>
      </c>
      <c r="N1601" s="412">
        <v>0</v>
      </c>
      <c r="O1601" s="412">
        <v>0</v>
      </c>
      <c r="P1601" s="412">
        <v>0</v>
      </c>
      <c r="Q1601" s="412">
        <v>0</v>
      </c>
      <c r="R1601" s="412">
        <v>0</v>
      </c>
      <c r="S1601" s="412">
        <v>0</v>
      </c>
      <c r="T1601" s="412">
        <v>0</v>
      </c>
      <c r="U1601" s="412">
        <v>0</v>
      </c>
      <c r="V1601" s="412">
        <v>0</v>
      </c>
      <c r="W1601" s="333"/>
    </row>
    <row r="1602" spans="1:23" ht="13.5" thickTop="1" x14ac:dyDescent="0.2">
      <c r="A1602" s="9"/>
      <c r="B1602" s="315"/>
      <c r="C1602" s="453"/>
      <c r="D1602" s="333"/>
      <c r="E1602" s="333"/>
      <c r="F1602" s="333"/>
      <c r="G1602" s="333"/>
      <c r="H1602" s="333"/>
      <c r="I1602" s="333"/>
      <c r="J1602" s="333"/>
      <c r="K1602" s="333"/>
      <c r="L1602" s="333"/>
      <c r="M1602" s="333"/>
      <c r="N1602" s="333"/>
      <c r="O1602" s="333"/>
      <c r="P1602" s="333"/>
      <c r="Q1602" s="333"/>
      <c r="R1602" s="333"/>
      <c r="S1602" s="333"/>
      <c r="T1602" s="333"/>
      <c r="U1602" s="333"/>
      <c r="V1602" s="333"/>
      <c r="W1602" s="333"/>
    </row>
    <row r="1603" spans="1:23" x14ac:dyDescent="0.2">
      <c r="A1603" s="9"/>
      <c r="B1603" s="317" t="s">
        <v>234</v>
      </c>
      <c r="C1603" s="452">
        <v>0</v>
      </c>
      <c r="D1603" s="416">
        <v>1805413.9154624429</v>
      </c>
      <c r="E1603" s="416">
        <v>1259042.6418844326</v>
      </c>
      <c r="F1603" s="416">
        <v>1009478.6193244557</v>
      </c>
      <c r="G1603" s="416">
        <v>814900.74536266993</v>
      </c>
      <c r="H1603" s="416">
        <v>694263.37878942396</v>
      </c>
      <c r="I1603" s="416">
        <v>494193.43274729163</v>
      </c>
      <c r="J1603" s="416">
        <v>559857.03357142862</v>
      </c>
      <c r="K1603" s="416">
        <v>876157.77381878486</v>
      </c>
      <c r="L1603" s="416">
        <v>891031.5739132883</v>
      </c>
      <c r="M1603" s="416">
        <v>1012988.948671708</v>
      </c>
      <c r="N1603" s="416">
        <v>673267.13538945746</v>
      </c>
      <c r="O1603" s="416">
        <v>841687.60046533309</v>
      </c>
      <c r="P1603" s="416">
        <v>800852.46155240294</v>
      </c>
      <c r="Q1603" s="416">
        <v>1003190.0764532019</v>
      </c>
      <c r="R1603" s="416">
        <v>763119.81666342821</v>
      </c>
      <c r="S1603" s="416">
        <v>534670.91747372213</v>
      </c>
      <c r="T1603" s="416">
        <v>660905.94720237493</v>
      </c>
      <c r="U1603" s="416">
        <v>859615.15422852116</v>
      </c>
      <c r="V1603" s="416">
        <v>644974.44841255876</v>
      </c>
      <c r="W1603" s="414">
        <v>4789857.5023522098</v>
      </c>
    </row>
    <row r="1604" spans="1:23" x14ac:dyDescent="0.2">
      <c r="A1604" s="9"/>
      <c r="B1604" s="292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</row>
    <row r="1605" spans="1:23" x14ac:dyDescent="0.2">
      <c r="A1605" s="308" t="s">
        <v>219</v>
      </c>
      <c r="B1605" s="306" t="s">
        <v>170</v>
      </c>
      <c r="C1605" s="439">
        <v>4644045.6858022744</v>
      </c>
      <c r="D1605" s="9"/>
      <c r="E1605" s="137" t="s">
        <v>220</v>
      </c>
      <c r="F1605" s="319" t="s">
        <v>170</v>
      </c>
      <c r="G1605" s="443">
        <v>4644045.6858022744</v>
      </c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</row>
    <row r="1606" spans="1:23" x14ac:dyDescent="0.2">
      <c r="A1606" s="9"/>
      <c r="B1606" s="306" t="s">
        <v>180</v>
      </c>
      <c r="C1606" s="439">
        <v>3601197.0941158026</v>
      </c>
      <c r="D1606" s="9"/>
      <c r="E1606" s="321"/>
      <c r="F1606" s="319" t="s">
        <v>180</v>
      </c>
      <c r="G1606" s="443">
        <v>3601197.0941158026</v>
      </c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</row>
    <row r="1607" spans="1:23" ht="13.5" thickBot="1" x14ac:dyDescent="0.25">
      <c r="A1607" s="9"/>
      <c r="B1607" s="322" t="s">
        <v>137</v>
      </c>
      <c r="C1607" s="440">
        <v>746732.80829155119</v>
      </c>
      <c r="D1607" s="323"/>
      <c r="E1607" s="321"/>
      <c r="F1607" s="319" t="s">
        <v>137</v>
      </c>
      <c r="G1607" s="443">
        <v>746732.80829155119</v>
      </c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</row>
    <row r="1608" spans="1:23" ht="14.25" thickTop="1" thickBot="1" x14ac:dyDescent="0.25">
      <c r="A1608" s="9"/>
      <c r="B1608" s="306" t="s">
        <v>28</v>
      </c>
      <c r="C1608" s="438">
        <v>8991975.5882096272</v>
      </c>
      <c r="D1608" s="305"/>
      <c r="E1608" s="321"/>
      <c r="F1608" s="324" t="s">
        <v>204</v>
      </c>
      <c r="G1608" s="325">
        <v>0</v>
      </c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</row>
    <row r="1609" spans="1:23" ht="13.5" thickTop="1" x14ac:dyDescent="0.2">
      <c r="A1609" s="9"/>
      <c r="B1609" s="292"/>
      <c r="C1609" s="326"/>
      <c r="D1609" s="9"/>
      <c r="E1609" s="327"/>
      <c r="F1609" s="319" t="s">
        <v>28</v>
      </c>
      <c r="G1609" s="368">
        <v>8991975.5882096272</v>
      </c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</row>
    <row r="1610" spans="1:23" x14ac:dyDescent="0.2">
      <c r="A1610" s="9"/>
      <c r="B1610" s="292"/>
      <c r="C1610" s="326"/>
      <c r="D1610" s="9"/>
      <c r="E1610" s="327"/>
      <c r="F1610" s="319"/>
      <c r="G1610" s="328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</row>
    <row r="1611" spans="1:23" x14ac:dyDescent="0.2">
      <c r="A1611" s="9"/>
      <c r="B1611" s="292"/>
      <c r="C1611" s="326"/>
      <c r="D1611" s="9"/>
      <c r="E1611" s="327"/>
      <c r="F1611" s="319"/>
      <c r="G1611" s="328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</row>
    <row r="1612" spans="1:23" x14ac:dyDescent="0.2">
      <c r="A1612" s="9"/>
      <c r="B1612" s="329" t="s">
        <v>223</v>
      </c>
      <c r="C1612" s="326"/>
      <c r="D1612" s="9"/>
      <c r="E1612" s="327"/>
      <c r="F1612" s="319"/>
      <c r="G1612" s="328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</row>
    <row r="1613" spans="1:23" x14ac:dyDescent="0.2">
      <c r="A1613" s="330" t="s">
        <v>225</v>
      </c>
      <c r="B1613" s="329" t="s">
        <v>224</v>
      </c>
      <c r="C1613" s="331"/>
      <c r="D1613" s="332">
        <v>1550464.0080856665</v>
      </c>
      <c r="E1613" s="332">
        <v>1025224.0240696165</v>
      </c>
      <c r="F1613" s="332">
        <v>805712.36986551271</v>
      </c>
      <c r="G1613" s="332">
        <v>641605.60410380049</v>
      </c>
      <c r="H1613" s="332">
        <v>633656.30936658185</v>
      </c>
      <c r="I1613" s="332">
        <v>440639.4275426587</v>
      </c>
      <c r="J1613" s="332">
        <v>502256.04176613304</v>
      </c>
      <c r="K1613" s="332">
        <v>815197.58764605178</v>
      </c>
      <c r="L1613" s="332">
        <v>826755.79806939268</v>
      </c>
      <c r="M1613" s="332">
        <v>946032.19599576015</v>
      </c>
      <c r="N1613" s="332">
        <v>617204.59483017295</v>
      </c>
      <c r="O1613" s="332">
        <v>797157.81164564379</v>
      </c>
      <c r="P1613" s="332">
        <v>753871.30817276007</v>
      </c>
      <c r="Q1613" s="332">
        <v>1013043.6690588992</v>
      </c>
      <c r="R1613" s="332">
        <v>829538.27754022228</v>
      </c>
      <c r="S1613" s="332">
        <v>598629.03526212799</v>
      </c>
      <c r="T1613" s="332">
        <v>722329.91160974093</v>
      </c>
      <c r="U1613" s="332">
        <v>918428.94065341621</v>
      </c>
      <c r="V1613" s="332">
        <v>701099.75151550863</v>
      </c>
      <c r="W1613" s="9"/>
    </row>
    <row r="1614" spans="1:23" x14ac:dyDescent="0.2">
      <c r="A1614" s="9"/>
      <c r="B1614" s="292" t="s">
        <v>226</v>
      </c>
      <c r="C1614" s="326"/>
      <c r="D1614" s="333">
        <v>1033642.672057111</v>
      </c>
      <c r="E1614" s="333">
        <v>683482.68271307775</v>
      </c>
      <c r="F1614" s="333">
        <v>537141.57991034188</v>
      </c>
      <c r="G1614" s="333">
        <v>427737.0694025337</v>
      </c>
      <c r="H1614" s="333">
        <v>422437.53957772127</v>
      </c>
      <c r="I1614" s="333">
        <v>293759.61836177245</v>
      </c>
      <c r="J1614" s="333">
        <v>334837.36117742211</v>
      </c>
      <c r="K1614" s="333">
        <v>543465.05843070126</v>
      </c>
      <c r="L1614" s="333">
        <v>551170.53204626183</v>
      </c>
      <c r="M1614" s="333">
        <v>630688.1306638401</v>
      </c>
      <c r="N1614" s="333">
        <v>411469.72988678201</v>
      </c>
      <c r="O1614" s="333">
        <v>531438.54109709593</v>
      </c>
      <c r="P1614" s="333">
        <v>502580.87211517338</v>
      </c>
      <c r="Q1614" s="333">
        <v>675362.44603926619</v>
      </c>
      <c r="R1614" s="333">
        <v>553025.51836014818</v>
      </c>
      <c r="S1614" s="333">
        <v>399086.0235080854</v>
      </c>
      <c r="T1614" s="333">
        <v>481553.27440649405</v>
      </c>
      <c r="U1614" s="333">
        <v>612285.96043561085</v>
      </c>
      <c r="V1614" s="333">
        <v>467399.8343436725</v>
      </c>
      <c r="W1614" s="9"/>
    </row>
    <row r="1615" spans="1:23" x14ac:dyDescent="0.2">
      <c r="A1615" s="9"/>
      <c r="B1615" s="334" t="s">
        <v>227</v>
      </c>
      <c r="C1615" s="335"/>
      <c r="D1615" s="333">
        <v>256373.48737677658</v>
      </c>
      <c r="E1615" s="333">
        <v>235299.63781481623</v>
      </c>
      <c r="F1615" s="333">
        <v>205307.07945894302</v>
      </c>
      <c r="G1615" s="333">
        <v>174904.47125886939</v>
      </c>
      <c r="H1615" s="333">
        <v>160607.06942284212</v>
      </c>
      <c r="I1615" s="333">
        <v>156554.00520463297</v>
      </c>
      <c r="J1615" s="333">
        <v>163690.99180529558</v>
      </c>
      <c r="K1615" s="333">
        <v>170232.88617273298</v>
      </c>
      <c r="L1615" s="333">
        <v>176826.65684389556</v>
      </c>
      <c r="M1615" s="333">
        <v>182884.16010594799</v>
      </c>
      <c r="N1615" s="333">
        <v>175467.77021218458</v>
      </c>
      <c r="O1615" s="333">
        <v>167517.17536217629</v>
      </c>
      <c r="P1615" s="333">
        <v>173658.16151840443</v>
      </c>
      <c r="Q1615" s="333">
        <v>120623.72577722732</v>
      </c>
      <c r="R1615" s="333">
        <v>67973.177057618159</v>
      </c>
      <c r="S1615" s="333">
        <v>74465.269284038688</v>
      </c>
      <c r="T1615" s="333">
        <v>81152.124277251874</v>
      </c>
      <c r="U1615" s="333">
        <v>88039.584920261419</v>
      </c>
      <c r="V1615" s="333">
        <v>95133.669382561275</v>
      </c>
      <c r="W1615" s="9"/>
    </row>
    <row r="1616" spans="1:23" ht="13.5" thickBot="1" x14ac:dyDescent="0.25">
      <c r="A1616" s="9"/>
      <c r="B1616" s="336" t="s">
        <v>228</v>
      </c>
      <c r="C1616" s="337"/>
      <c r="D1616" s="338">
        <v>2840480.167519554</v>
      </c>
      <c r="E1616" s="338">
        <v>1944006.3445975105</v>
      </c>
      <c r="F1616" s="338">
        <v>1548161.0292347977</v>
      </c>
      <c r="G1616" s="338">
        <v>1244247.1447652036</v>
      </c>
      <c r="H1616" s="338">
        <v>1216700.9183671451</v>
      </c>
      <c r="I1616" s="338">
        <v>890953.05110906414</v>
      </c>
      <c r="J1616" s="338">
        <v>1000784.3947488507</v>
      </c>
      <c r="K1616" s="338">
        <v>1528895.5322494861</v>
      </c>
      <c r="L1616" s="338">
        <v>1554752.9869595501</v>
      </c>
      <c r="M1616" s="338">
        <v>1759604.4867655481</v>
      </c>
      <c r="N1616" s="338">
        <v>1204142.0949291396</v>
      </c>
      <c r="O1616" s="338">
        <v>1496113.528104916</v>
      </c>
      <c r="P1616" s="338">
        <v>1430110.3418063379</v>
      </c>
      <c r="Q1616" s="338">
        <v>1809029.8408753928</v>
      </c>
      <c r="R1616" s="338">
        <v>1450536.9729579887</v>
      </c>
      <c r="S1616" s="338">
        <v>1072180.3280542521</v>
      </c>
      <c r="T1616" s="338">
        <v>1285035.3102934868</v>
      </c>
      <c r="U1616" s="338">
        <v>1618754.4860092886</v>
      </c>
      <c r="V1616" s="338">
        <v>1263633.2552417424</v>
      </c>
      <c r="W1616" s="9"/>
    </row>
    <row r="1617" spans="1:23" ht="13.5" thickTop="1" x14ac:dyDescent="0.2">
      <c r="A1617" s="330" t="s">
        <v>229</v>
      </c>
      <c r="B1617" s="292" t="s">
        <v>230</v>
      </c>
      <c r="C1617" s="326"/>
      <c r="D1617" s="333">
        <v>-572072.6856983226</v>
      </c>
      <c r="E1617" s="333">
        <v>-571105.994308152</v>
      </c>
      <c r="F1617" s="333">
        <v>-567419.22315439081</v>
      </c>
      <c r="G1617" s="333">
        <v>-551343.67461045913</v>
      </c>
      <c r="H1617" s="333">
        <v>-509959.22651103698</v>
      </c>
      <c r="I1617" s="333">
        <v>-515109.22651103698</v>
      </c>
      <c r="J1617" s="333">
        <v>-297727.48179906013</v>
      </c>
      <c r="K1617" s="333">
        <v>-109683.59723414935</v>
      </c>
      <c r="L1617" s="333">
        <v>-115116.44440495</v>
      </c>
      <c r="M1617" s="333">
        <v>-113527.91955679125</v>
      </c>
      <c r="N1617" s="333">
        <v>-63875.927684645911</v>
      </c>
      <c r="O1617" s="333">
        <v>-70025.29701177025</v>
      </c>
      <c r="P1617" s="333">
        <v>-76359.147418708337</v>
      </c>
      <c r="Q1617" s="333">
        <v>-82883.013337854558</v>
      </c>
      <c r="R1617" s="333">
        <v>-89602.595234575158</v>
      </c>
      <c r="S1617" s="333">
        <v>-96173.377212357518</v>
      </c>
      <c r="T1617" s="333">
        <v>-102354.9396233774</v>
      </c>
      <c r="U1617" s="333">
        <v>-109697.60819063522</v>
      </c>
      <c r="V1617" s="333">
        <v>-117260.55681491077</v>
      </c>
      <c r="W1617" s="9"/>
    </row>
    <row r="1618" spans="1:23" x14ac:dyDescent="0.2">
      <c r="A1618" s="9"/>
      <c r="B1618" s="292" t="s">
        <v>231</v>
      </c>
      <c r="C1618" s="326"/>
      <c r="D1618" s="333">
        <v>0</v>
      </c>
      <c r="E1618" s="333">
        <v>0</v>
      </c>
      <c r="F1618" s="333">
        <v>0</v>
      </c>
      <c r="G1618" s="333">
        <v>0</v>
      </c>
      <c r="H1618" s="333">
        <v>0</v>
      </c>
      <c r="I1618" s="333">
        <v>0</v>
      </c>
      <c r="J1618" s="333">
        <v>0</v>
      </c>
      <c r="K1618" s="333">
        <v>0</v>
      </c>
      <c r="L1618" s="333">
        <v>0</v>
      </c>
      <c r="M1618" s="333">
        <v>0</v>
      </c>
      <c r="N1618" s="333">
        <v>0</v>
      </c>
      <c r="O1618" s="333">
        <v>0</v>
      </c>
      <c r="P1618" s="333">
        <v>0</v>
      </c>
      <c r="Q1618" s="333">
        <v>0</v>
      </c>
      <c r="R1618" s="333">
        <v>0</v>
      </c>
      <c r="S1618" s="333">
        <v>0</v>
      </c>
      <c r="T1618" s="333">
        <v>0</v>
      </c>
      <c r="U1618" s="333">
        <v>0</v>
      </c>
      <c r="V1618" s="333">
        <v>0</v>
      </c>
      <c r="W1618" s="9"/>
    </row>
    <row r="1619" spans="1:23" x14ac:dyDescent="0.2">
      <c r="A1619" s="9"/>
      <c r="B1619" s="329" t="s">
        <v>232</v>
      </c>
      <c r="C1619" s="331"/>
      <c r="D1619" s="332">
        <v>2268407.4818212315</v>
      </c>
      <c r="E1619" s="332">
        <v>1372900.3502893585</v>
      </c>
      <c r="F1619" s="332">
        <v>980741.80608040688</v>
      </c>
      <c r="G1619" s="332">
        <v>692903.47015474446</v>
      </c>
      <c r="H1619" s="332">
        <v>706741.69185610814</v>
      </c>
      <c r="I1619" s="332">
        <v>375843.82459802716</v>
      </c>
      <c r="J1619" s="332">
        <v>703056.9129497906</v>
      </c>
      <c r="K1619" s="332">
        <v>1419211.9350153366</v>
      </c>
      <c r="L1619" s="332">
        <v>1439636.5425546002</v>
      </c>
      <c r="M1619" s="332">
        <v>1646076.5672087569</v>
      </c>
      <c r="N1619" s="332">
        <v>1140266.1672444937</v>
      </c>
      <c r="O1619" s="332">
        <v>1426088.2310931457</v>
      </c>
      <c r="P1619" s="332">
        <v>1353751.1943876296</v>
      </c>
      <c r="Q1619" s="332">
        <v>1726146.8275375383</v>
      </c>
      <c r="R1619" s="332">
        <v>1360934.3777234135</v>
      </c>
      <c r="S1619" s="332">
        <v>976006.95084189461</v>
      </c>
      <c r="T1619" s="332">
        <v>1182680.3706701095</v>
      </c>
      <c r="U1619" s="332">
        <v>1509056.8778186534</v>
      </c>
      <c r="V1619" s="332">
        <v>1146372.6984268315</v>
      </c>
      <c r="W1619" s="9"/>
    </row>
    <row r="1620" spans="1:23" ht="13.5" thickBot="1" x14ac:dyDescent="0.25">
      <c r="A1620" s="9"/>
      <c r="B1620" s="339" t="s">
        <v>238</v>
      </c>
      <c r="C1620" s="340"/>
      <c r="D1620" s="341">
        <v>-907362.99272849271</v>
      </c>
      <c r="E1620" s="341">
        <v>-549160.14011574339</v>
      </c>
      <c r="F1620" s="341">
        <v>-392296.72243216279</v>
      </c>
      <c r="G1620" s="341">
        <v>-277161.38806189777</v>
      </c>
      <c r="H1620" s="341">
        <v>-282696.67674244329</v>
      </c>
      <c r="I1620" s="341">
        <v>-150337.52983921088</v>
      </c>
      <c r="J1620" s="341">
        <v>-281222.76517991623</v>
      </c>
      <c r="K1620" s="341">
        <v>-567684.77400613471</v>
      </c>
      <c r="L1620" s="341">
        <v>-575854.61702184007</v>
      </c>
      <c r="M1620" s="341">
        <v>-658430.62688350282</v>
      </c>
      <c r="N1620" s="341">
        <v>-456106.46689779754</v>
      </c>
      <c r="O1620" s="341">
        <v>-570435.29243725829</v>
      </c>
      <c r="P1620" s="341">
        <v>-541500.47775505192</v>
      </c>
      <c r="Q1620" s="341">
        <v>-690458.73101501539</v>
      </c>
      <c r="R1620" s="341">
        <v>-544373.75108936545</v>
      </c>
      <c r="S1620" s="341">
        <v>-390402.78033675789</v>
      </c>
      <c r="T1620" s="341">
        <v>-473072.14826804382</v>
      </c>
      <c r="U1620" s="341">
        <v>-603622.75112746132</v>
      </c>
      <c r="V1620" s="341">
        <v>-458549.07937073265</v>
      </c>
      <c r="W1620" s="9"/>
    </row>
    <row r="1621" spans="1:23" ht="13.5" thickTop="1" x14ac:dyDescent="0.2">
      <c r="A1621" s="9"/>
      <c r="B1621" s="329" t="s">
        <v>233</v>
      </c>
      <c r="C1621" s="331"/>
      <c r="D1621" s="332">
        <v>1361044.4890927388</v>
      </c>
      <c r="E1621" s="332">
        <v>823740.21017361514</v>
      </c>
      <c r="F1621" s="332">
        <v>588445.08364824415</v>
      </c>
      <c r="G1621" s="332">
        <v>415742.08209284669</v>
      </c>
      <c r="H1621" s="332">
        <v>424045.01511366485</v>
      </c>
      <c r="I1621" s="332">
        <v>225506.29475881628</v>
      </c>
      <c r="J1621" s="332">
        <v>421834.14776987437</v>
      </c>
      <c r="K1621" s="332">
        <v>851527.1610092019</v>
      </c>
      <c r="L1621" s="332">
        <v>863781.9255327601</v>
      </c>
      <c r="M1621" s="332">
        <v>987645.94032525411</v>
      </c>
      <c r="N1621" s="332">
        <v>684159.70034669619</v>
      </c>
      <c r="O1621" s="332">
        <v>855652.93865588738</v>
      </c>
      <c r="P1621" s="332">
        <v>812250.71663257771</v>
      </c>
      <c r="Q1621" s="332">
        <v>1035688.0965225229</v>
      </c>
      <c r="R1621" s="332">
        <v>816560.62663404807</v>
      </c>
      <c r="S1621" s="332">
        <v>585604.17050513672</v>
      </c>
      <c r="T1621" s="332">
        <v>709608.22240206576</v>
      </c>
      <c r="U1621" s="332">
        <v>905434.12669119204</v>
      </c>
      <c r="V1621" s="332">
        <v>687823.61905609886</v>
      </c>
      <c r="W1621" s="9"/>
    </row>
    <row r="1622" spans="1:23" x14ac:dyDescent="0.2">
      <c r="A1622" s="9"/>
      <c r="B1622" s="9"/>
      <c r="C1622" s="326"/>
      <c r="D1622" s="9"/>
      <c r="E1622" s="327"/>
      <c r="F1622" s="319"/>
      <c r="G1622" s="328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</row>
    <row r="1623" spans="1:23" ht="15.75" x14ac:dyDescent="0.25">
      <c r="A1623" s="342" t="s">
        <v>206</v>
      </c>
      <c r="B1623" s="343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</row>
    <row r="1624" spans="1:23" x14ac:dyDescent="0.2">
      <c r="A1624" s="290" t="s">
        <v>191</v>
      </c>
      <c r="B1624" s="309"/>
      <c r="C1624" s="344">
        <v>0</v>
      </c>
      <c r="D1624" s="283"/>
      <c r="E1624" s="283"/>
      <c r="F1624" s="283"/>
      <c r="G1624" s="283"/>
      <c r="H1624" s="283"/>
      <c r="I1624" s="283"/>
      <c r="J1624" s="283"/>
      <c r="K1624" s="283"/>
      <c r="L1624" s="283"/>
      <c r="M1624" s="283"/>
      <c r="N1624" s="283"/>
      <c r="O1624" s="283"/>
      <c r="P1624" s="283"/>
      <c r="Q1624" s="283"/>
      <c r="R1624" s="283"/>
      <c r="S1624" s="283"/>
      <c r="T1624" s="283"/>
      <c r="U1624" s="283"/>
      <c r="V1624" s="283"/>
      <c r="W1624" s="283"/>
    </row>
    <row r="1625" spans="1:23" x14ac:dyDescent="0.2">
      <c r="A1625" s="290" t="s">
        <v>192</v>
      </c>
      <c r="B1625" s="309"/>
      <c r="C1625" s="345">
        <v>0</v>
      </c>
      <c r="D1625" s="283"/>
      <c r="E1625" s="283"/>
      <c r="F1625" s="283"/>
      <c r="G1625" s="283"/>
      <c r="H1625" s="283"/>
      <c r="I1625" s="283"/>
      <c r="J1625" s="283"/>
      <c r="K1625" s="283"/>
      <c r="L1625" s="283"/>
      <c r="M1625" s="283"/>
      <c r="N1625" s="283"/>
      <c r="O1625" s="283"/>
      <c r="P1625" s="283"/>
      <c r="Q1625" s="283"/>
      <c r="R1625" s="283"/>
      <c r="S1625" s="283"/>
      <c r="T1625" s="283"/>
      <c r="U1625" s="283"/>
      <c r="V1625" s="283"/>
      <c r="W1625" s="283"/>
    </row>
    <row r="1626" spans="1:23" x14ac:dyDescent="0.2">
      <c r="A1626" s="290" t="s">
        <v>202</v>
      </c>
      <c r="B1626" s="309"/>
      <c r="C1626" s="290">
        <v>15</v>
      </c>
      <c r="D1626" s="283"/>
      <c r="E1626" s="283"/>
      <c r="F1626" s="283"/>
      <c r="G1626" s="283"/>
      <c r="H1626" s="283"/>
      <c r="I1626" s="283"/>
      <c r="J1626" s="283"/>
      <c r="K1626" s="283"/>
      <c r="L1626" s="283"/>
      <c r="M1626" s="283"/>
      <c r="N1626" s="283"/>
      <c r="O1626" s="283"/>
      <c r="P1626" s="283"/>
      <c r="Q1626" s="283"/>
      <c r="R1626" s="283"/>
      <c r="S1626" s="283"/>
      <c r="T1626" s="283"/>
      <c r="U1626" s="283"/>
      <c r="V1626" s="283"/>
      <c r="W1626" s="283"/>
    </row>
    <row r="1627" spans="1:23" x14ac:dyDescent="0.2">
      <c r="A1627" s="290" t="s">
        <v>193</v>
      </c>
      <c r="B1627" s="309"/>
      <c r="C1627" s="345">
        <v>0</v>
      </c>
      <c r="D1627" s="283"/>
      <c r="E1627" s="283"/>
      <c r="F1627" s="283"/>
      <c r="G1627" s="283"/>
      <c r="H1627" s="283"/>
      <c r="I1627" s="283"/>
      <c r="J1627" s="283"/>
      <c r="K1627" s="283"/>
      <c r="L1627" s="283"/>
      <c r="M1627" s="283"/>
      <c r="N1627" s="283"/>
      <c r="O1627" s="283"/>
      <c r="P1627" s="283"/>
      <c r="Q1627" s="283"/>
      <c r="R1627" s="283"/>
      <c r="S1627" s="283"/>
      <c r="T1627" s="283"/>
      <c r="U1627" s="283"/>
      <c r="V1627" s="283"/>
      <c r="W1627" s="283"/>
    </row>
    <row r="1628" spans="1:23" x14ac:dyDescent="0.2">
      <c r="A1628" s="290" t="s">
        <v>194</v>
      </c>
      <c r="B1628" s="309"/>
      <c r="C1628" s="346">
        <v>8.7499999999999994E-2</v>
      </c>
      <c r="D1628" s="283"/>
      <c r="E1628" s="283"/>
      <c r="F1628" s="283"/>
      <c r="G1628" s="283"/>
      <c r="H1628" s="283"/>
      <c r="I1628" s="283"/>
      <c r="J1628" s="283"/>
      <c r="K1628" s="283"/>
      <c r="L1628" s="283"/>
      <c r="M1628" s="283"/>
      <c r="N1628" s="283"/>
      <c r="O1628" s="283"/>
      <c r="P1628" s="283"/>
      <c r="Q1628" s="283"/>
      <c r="R1628" s="283"/>
      <c r="S1628" s="283"/>
      <c r="T1628" s="283"/>
      <c r="U1628" s="283"/>
      <c r="V1628" s="283"/>
      <c r="W1628" s="283"/>
    </row>
    <row r="1629" spans="1:23" x14ac:dyDescent="0.2">
      <c r="A1629" s="290"/>
      <c r="B1629" s="309"/>
      <c r="C1629" s="283"/>
      <c r="D1629" s="312">
        <v>2001</v>
      </c>
      <c r="E1629" s="312">
        <v>2002</v>
      </c>
      <c r="F1629" s="312">
        <v>2003</v>
      </c>
      <c r="G1629" s="312">
        <v>2004</v>
      </c>
      <c r="H1629" s="312">
        <v>2005</v>
      </c>
      <c r="I1629" s="312">
        <v>2006</v>
      </c>
      <c r="J1629" s="312">
        <v>2007</v>
      </c>
      <c r="K1629" s="312">
        <v>2008</v>
      </c>
      <c r="L1629" s="312">
        <v>2009</v>
      </c>
      <c r="M1629" s="312">
        <v>2010</v>
      </c>
      <c r="N1629" s="312">
        <v>2011</v>
      </c>
      <c r="O1629" s="312">
        <v>2012</v>
      </c>
      <c r="P1629" s="312">
        <v>2013</v>
      </c>
      <c r="Q1629" s="312">
        <v>2014</v>
      </c>
      <c r="R1629" s="312">
        <v>2015</v>
      </c>
      <c r="S1629" s="312">
        <v>2016</v>
      </c>
      <c r="T1629" s="312">
        <v>2017</v>
      </c>
      <c r="U1629" s="312">
        <v>2018</v>
      </c>
      <c r="V1629" s="312">
        <v>2019</v>
      </c>
      <c r="W1629" s="312" t="s">
        <v>154</v>
      </c>
    </row>
    <row r="1630" spans="1:23" x14ac:dyDescent="0.2">
      <c r="A1630" s="290" t="s">
        <v>195</v>
      </c>
      <c r="B1630" s="309"/>
      <c r="C1630" s="283"/>
      <c r="D1630" s="347">
        <v>0</v>
      </c>
      <c r="E1630" s="347">
        <v>0</v>
      </c>
      <c r="F1630" s="347">
        <v>0</v>
      </c>
      <c r="G1630" s="347">
        <v>0</v>
      </c>
      <c r="H1630" s="347">
        <v>0</v>
      </c>
      <c r="I1630" s="347">
        <v>0</v>
      </c>
      <c r="J1630" s="347">
        <v>0</v>
      </c>
      <c r="K1630" s="347">
        <v>0</v>
      </c>
      <c r="L1630" s="347">
        <v>0</v>
      </c>
      <c r="M1630" s="347">
        <v>0</v>
      </c>
      <c r="N1630" s="347">
        <v>0</v>
      </c>
      <c r="O1630" s="347">
        <v>0</v>
      </c>
      <c r="P1630" s="347">
        <v>0</v>
      </c>
      <c r="Q1630" s="347">
        <v>0</v>
      </c>
      <c r="R1630" s="347">
        <v>0</v>
      </c>
      <c r="S1630" s="347">
        <v>0</v>
      </c>
      <c r="T1630" s="347">
        <v>0</v>
      </c>
      <c r="U1630" s="347">
        <v>0</v>
      </c>
      <c r="V1630" s="347">
        <v>0</v>
      </c>
      <c r="W1630" s="347">
        <v>0</v>
      </c>
    </row>
    <row r="1631" spans="1:23" x14ac:dyDescent="0.2">
      <c r="A1631" s="290" t="s">
        <v>196</v>
      </c>
      <c r="B1631" s="309"/>
      <c r="C1631" s="283"/>
      <c r="D1631" s="347">
        <v>0</v>
      </c>
      <c r="E1631" s="347">
        <v>0</v>
      </c>
      <c r="F1631" s="347">
        <v>0</v>
      </c>
      <c r="G1631" s="347">
        <v>0</v>
      </c>
      <c r="H1631" s="347">
        <v>0</v>
      </c>
      <c r="I1631" s="347">
        <v>0</v>
      </c>
      <c r="J1631" s="347">
        <v>0</v>
      </c>
      <c r="K1631" s="347">
        <v>0</v>
      </c>
      <c r="L1631" s="347">
        <v>0</v>
      </c>
      <c r="M1631" s="347">
        <v>0</v>
      </c>
      <c r="N1631" s="347">
        <v>0</v>
      </c>
      <c r="O1631" s="347">
        <v>0</v>
      </c>
      <c r="P1631" s="347">
        <v>0</v>
      </c>
      <c r="Q1631" s="347">
        <v>0</v>
      </c>
      <c r="R1631" s="347">
        <v>0</v>
      </c>
      <c r="S1631" s="347">
        <v>0</v>
      </c>
      <c r="T1631" s="347">
        <v>0</v>
      </c>
      <c r="U1631" s="347">
        <v>0</v>
      </c>
      <c r="V1631" s="347">
        <v>0</v>
      </c>
      <c r="W1631" s="347">
        <v>0</v>
      </c>
    </row>
    <row r="1632" spans="1:23" x14ac:dyDescent="0.2">
      <c r="A1632" s="290" t="s">
        <v>197</v>
      </c>
      <c r="B1632" s="309"/>
      <c r="C1632" s="283"/>
      <c r="D1632" s="347">
        <v>0</v>
      </c>
      <c r="E1632" s="347">
        <v>0</v>
      </c>
      <c r="F1632" s="347">
        <v>0</v>
      </c>
      <c r="G1632" s="347">
        <v>0</v>
      </c>
      <c r="H1632" s="347">
        <v>0</v>
      </c>
      <c r="I1632" s="347">
        <v>0</v>
      </c>
      <c r="J1632" s="347">
        <v>0</v>
      </c>
      <c r="K1632" s="347">
        <v>0</v>
      </c>
      <c r="L1632" s="347">
        <v>0</v>
      </c>
      <c r="M1632" s="347">
        <v>0</v>
      </c>
      <c r="N1632" s="347">
        <v>0</v>
      </c>
      <c r="O1632" s="347">
        <v>0</v>
      </c>
      <c r="P1632" s="347">
        <v>0</v>
      </c>
      <c r="Q1632" s="347">
        <v>0</v>
      </c>
      <c r="R1632" s="347">
        <v>0</v>
      </c>
      <c r="S1632" s="347">
        <v>0</v>
      </c>
      <c r="T1632" s="347">
        <v>0</v>
      </c>
      <c r="U1632" s="347">
        <v>0</v>
      </c>
      <c r="V1632" s="347">
        <v>0</v>
      </c>
      <c r="W1632" s="347">
        <v>0</v>
      </c>
    </row>
    <row r="1633" spans="1:23" x14ac:dyDescent="0.2">
      <c r="A1633" s="290" t="s">
        <v>198</v>
      </c>
      <c r="B1633" s="309"/>
      <c r="C1633" s="283"/>
      <c r="D1633" s="348">
        <v>0</v>
      </c>
      <c r="E1633" s="348">
        <v>0</v>
      </c>
      <c r="F1633" s="348">
        <v>0</v>
      </c>
      <c r="G1633" s="348">
        <v>0</v>
      </c>
      <c r="H1633" s="348">
        <v>0</v>
      </c>
      <c r="I1633" s="348">
        <v>0</v>
      </c>
      <c r="J1633" s="348">
        <v>0</v>
      </c>
      <c r="K1633" s="348">
        <v>0</v>
      </c>
      <c r="L1633" s="348">
        <v>0</v>
      </c>
      <c r="M1633" s="348">
        <v>0</v>
      </c>
      <c r="N1633" s="348">
        <v>0</v>
      </c>
      <c r="O1633" s="348">
        <v>0</v>
      </c>
      <c r="P1633" s="348">
        <v>0</v>
      </c>
      <c r="Q1633" s="348">
        <v>0</v>
      </c>
      <c r="R1633" s="348">
        <v>0</v>
      </c>
      <c r="S1633" s="348">
        <v>0</v>
      </c>
      <c r="T1633" s="348">
        <v>0</v>
      </c>
      <c r="U1633" s="348">
        <v>0</v>
      </c>
      <c r="V1633" s="348">
        <v>0</v>
      </c>
      <c r="W1633" s="348">
        <v>0</v>
      </c>
    </row>
    <row r="1634" spans="1:23" ht="13.5" thickBot="1" x14ac:dyDescent="0.25">
      <c r="A1634" s="290" t="s">
        <v>199</v>
      </c>
      <c r="B1634" s="309"/>
      <c r="C1634" s="283"/>
      <c r="D1634" s="349">
        <v>0</v>
      </c>
      <c r="E1634" s="349">
        <v>0</v>
      </c>
      <c r="F1634" s="349">
        <v>0</v>
      </c>
      <c r="G1634" s="349">
        <v>0</v>
      </c>
      <c r="H1634" s="349">
        <v>0</v>
      </c>
      <c r="I1634" s="349">
        <v>0</v>
      </c>
      <c r="J1634" s="349">
        <v>0</v>
      </c>
      <c r="K1634" s="349">
        <v>0</v>
      </c>
      <c r="L1634" s="349">
        <v>0</v>
      </c>
      <c r="M1634" s="349">
        <v>0</v>
      </c>
      <c r="N1634" s="349">
        <v>0</v>
      </c>
      <c r="O1634" s="349">
        <v>0</v>
      </c>
      <c r="P1634" s="349">
        <v>0</v>
      </c>
      <c r="Q1634" s="349">
        <v>0</v>
      </c>
      <c r="R1634" s="349">
        <v>0</v>
      </c>
      <c r="S1634" s="349">
        <v>0</v>
      </c>
      <c r="T1634" s="349">
        <v>0</v>
      </c>
      <c r="U1634" s="349">
        <v>0</v>
      </c>
      <c r="V1634" s="349">
        <v>0</v>
      </c>
      <c r="W1634" s="349">
        <v>0</v>
      </c>
    </row>
    <row r="1635" spans="1:23" ht="13.5" thickTop="1" x14ac:dyDescent="0.2">
      <c r="A1635" s="290"/>
      <c r="B1635" s="309"/>
      <c r="C1635" s="283"/>
      <c r="D1635" s="347"/>
      <c r="E1635" s="347"/>
      <c r="F1635" s="347"/>
      <c r="G1635" s="347"/>
      <c r="H1635" s="347"/>
      <c r="I1635" s="347"/>
      <c r="J1635" s="347"/>
      <c r="K1635" s="347"/>
      <c r="L1635" s="347"/>
      <c r="M1635" s="347"/>
      <c r="N1635" s="347"/>
      <c r="O1635" s="347"/>
      <c r="P1635" s="347"/>
      <c r="Q1635" s="347"/>
      <c r="R1635" s="347"/>
      <c r="S1635" s="347"/>
      <c r="T1635" s="347"/>
      <c r="U1635" s="347"/>
      <c r="V1635" s="347"/>
      <c r="W1635" s="347"/>
    </row>
    <row r="1636" spans="1:23" x14ac:dyDescent="0.2">
      <c r="A1636" s="290" t="s">
        <v>200</v>
      </c>
      <c r="B1636" s="309"/>
      <c r="C1636" s="283"/>
      <c r="D1636" s="347">
        <v>0</v>
      </c>
      <c r="E1636" s="347">
        <v>0</v>
      </c>
      <c r="F1636" s="347">
        <v>0</v>
      </c>
      <c r="G1636" s="347">
        <v>0</v>
      </c>
      <c r="H1636" s="347">
        <v>0</v>
      </c>
      <c r="I1636" s="347">
        <v>0</v>
      </c>
      <c r="J1636" s="347">
        <v>0</v>
      </c>
      <c r="K1636" s="347">
        <v>0</v>
      </c>
      <c r="L1636" s="347">
        <v>0</v>
      </c>
      <c r="M1636" s="347">
        <v>0</v>
      </c>
      <c r="N1636" s="347">
        <v>0</v>
      </c>
      <c r="O1636" s="347">
        <v>0</v>
      </c>
      <c r="P1636" s="347">
        <v>0</v>
      </c>
      <c r="Q1636" s="347">
        <v>0</v>
      </c>
      <c r="R1636" s="347">
        <v>0</v>
      </c>
      <c r="S1636" s="347">
        <v>0</v>
      </c>
      <c r="T1636" s="347">
        <v>0</v>
      </c>
      <c r="U1636" s="347">
        <v>0</v>
      </c>
      <c r="V1636" s="347">
        <v>0</v>
      </c>
      <c r="W1636" s="347">
        <v>0</v>
      </c>
    </row>
    <row r="1637" spans="1:23" x14ac:dyDescent="0.2">
      <c r="A1637" s="290"/>
      <c r="B1637" s="309"/>
      <c r="C1637" s="283"/>
      <c r="D1637" s="283"/>
      <c r="E1637" s="283"/>
      <c r="F1637" s="283"/>
      <c r="G1637" s="283"/>
      <c r="H1637" s="283"/>
      <c r="I1637" s="283"/>
      <c r="J1637" s="283"/>
      <c r="K1637" s="283"/>
      <c r="L1637" s="283"/>
      <c r="M1637" s="283"/>
      <c r="N1637" s="283"/>
      <c r="O1637" s="283"/>
      <c r="P1637" s="283"/>
      <c r="Q1637" s="283"/>
      <c r="R1637" s="283"/>
      <c r="S1637" s="283"/>
      <c r="T1637" s="283"/>
      <c r="U1637" s="283"/>
      <c r="V1637" s="283"/>
      <c r="W1637" s="283"/>
    </row>
    <row r="1638" spans="1:23" x14ac:dyDescent="0.2">
      <c r="A1638" s="290" t="s">
        <v>201</v>
      </c>
      <c r="B1638" s="309"/>
      <c r="C1638" s="283"/>
      <c r="D1638" s="347">
        <v>0</v>
      </c>
      <c r="E1638" s="347">
        <v>0</v>
      </c>
      <c r="F1638" s="347">
        <v>0</v>
      </c>
      <c r="G1638" s="347">
        <v>0</v>
      </c>
      <c r="H1638" s="347">
        <v>0</v>
      </c>
      <c r="I1638" s="347">
        <v>0</v>
      </c>
      <c r="J1638" s="347">
        <v>0</v>
      </c>
      <c r="K1638" s="347">
        <v>0</v>
      </c>
      <c r="L1638" s="347">
        <v>0</v>
      </c>
      <c r="M1638" s="347">
        <v>0</v>
      </c>
      <c r="N1638" s="347">
        <v>0</v>
      </c>
      <c r="O1638" s="347">
        <v>0</v>
      </c>
      <c r="P1638" s="347">
        <v>0</v>
      </c>
      <c r="Q1638" s="347">
        <v>0</v>
      </c>
      <c r="R1638" s="347">
        <v>0</v>
      </c>
      <c r="S1638" s="347">
        <v>0</v>
      </c>
      <c r="T1638" s="347">
        <v>0</v>
      </c>
      <c r="U1638" s="347">
        <v>0</v>
      </c>
      <c r="V1638" s="347">
        <v>0</v>
      </c>
      <c r="W1638" s="347">
        <v>0</v>
      </c>
    </row>
    <row r="1639" spans="1:23" x14ac:dyDescent="0.2">
      <c r="A1639" s="283"/>
      <c r="B1639" s="309"/>
      <c r="C1639" s="283"/>
      <c r="D1639" s="283"/>
      <c r="E1639" s="283"/>
      <c r="F1639" s="283"/>
      <c r="G1639" s="283"/>
      <c r="H1639" s="283"/>
      <c r="I1639" s="283"/>
      <c r="J1639" s="283"/>
      <c r="K1639" s="283"/>
      <c r="L1639" s="283"/>
      <c r="M1639" s="283"/>
      <c r="N1639" s="283"/>
      <c r="O1639" s="283"/>
      <c r="P1639" s="283"/>
      <c r="Q1639" s="283"/>
      <c r="R1639" s="283"/>
      <c r="S1639" s="283"/>
      <c r="T1639" s="283"/>
      <c r="U1639" s="283"/>
      <c r="V1639" s="283"/>
      <c r="W1639" s="283"/>
    </row>
    <row r="1640" spans="1:23" x14ac:dyDescent="0.2">
      <c r="A1640" s="283"/>
      <c r="B1640" s="309"/>
      <c r="C1640" s="283"/>
      <c r="D1640" s="283"/>
      <c r="E1640" s="283"/>
      <c r="F1640" s="283"/>
      <c r="G1640" s="283"/>
      <c r="H1640" s="283"/>
      <c r="I1640" s="283"/>
      <c r="J1640" s="283"/>
      <c r="K1640" s="283"/>
      <c r="L1640" s="283"/>
      <c r="M1640" s="283"/>
      <c r="N1640" s="283"/>
      <c r="O1640" s="283"/>
      <c r="P1640" s="283"/>
      <c r="Q1640" s="283"/>
      <c r="R1640" s="283"/>
      <c r="S1640" s="283"/>
      <c r="T1640" s="283"/>
      <c r="U1640" s="283"/>
      <c r="V1640" s="283"/>
      <c r="W1640" s="283"/>
    </row>
    <row r="1641" spans="1:23" x14ac:dyDescent="0.2">
      <c r="A1641" s="290" t="s">
        <v>203</v>
      </c>
      <c r="B1641" s="285"/>
      <c r="C1641" s="284"/>
      <c r="D1641" s="441">
        <v>1805413.9154624429</v>
      </c>
      <c r="E1641" s="441">
        <v>1259042.6418844326</v>
      </c>
      <c r="F1641" s="441">
        <v>1009478.6193244557</v>
      </c>
      <c r="G1641" s="441">
        <v>814900.74536266993</v>
      </c>
      <c r="H1641" s="441">
        <v>694263.37878942396</v>
      </c>
      <c r="I1641" s="441">
        <v>494193.43274729163</v>
      </c>
      <c r="J1641" s="441">
        <v>559857.03357142862</v>
      </c>
      <c r="K1641" s="441">
        <v>876157.77381878486</v>
      </c>
      <c r="L1641" s="441">
        <v>891031.5739132883</v>
      </c>
      <c r="M1641" s="441">
        <v>1012988.948671708</v>
      </c>
      <c r="N1641" s="441">
        <v>673267.13538945746</v>
      </c>
      <c r="O1641" s="441">
        <v>841687.60046533309</v>
      </c>
      <c r="P1641" s="441">
        <v>800852.46155240294</v>
      </c>
      <c r="Q1641" s="441">
        <v>1003190.0764532019</v>
      </c>
      <c r="R1641" s="441">
        <v>763119.81666342821</v>
      </c>
      <c r="S1641" s="441">
        <v>534670.91747372213</v>
      </c>
      <c r="T1641" s="441">
        <v>660905.94720237493</v>
      </c>
      <c r="U1641" s="441">
        <v>859615.15422852116</v>
      </c>
      <c r="V1641" s="441">
        <v>644974.44841255876</v>
      </c>
      <c r="W1641" s="441">
        <v>4789857.5023522098</v>
      </c>
    </row>
    <row r="1642" spans="1:23" x14ac:dyDescent="0.2">
      <c r="A1642" s="9"/>
      <c r="B1642" s="6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</row>
    <row r="1643" spans="1:23" x14ac:dyDescent="0.2">
      <c r="A1643" s="298"/>
      <c r="B1643" s="366"/>
      <c r="C1643" s="377"/>
      <c r="D1643" s="376"/>
      <c r="E1643" s="376"/>
      <c r="F1643" s="376"/>
      <c r="G1643" s="376"/>
      <c r="H1643" s="376"/>
      <c r="I1643" s="376"/>
      <c r="J1643" s="376"/>
      <c r="K1643" s="376"/>
      <c r="L1643" s="376"/>
      <c r="M1643" s="376"/>
      <c r="N1643" s="376"/>
      <c r="O1643" s="376"/>
      <c r="P1643" s="376"/>
      <c r="Q1643" s="376"/>
      <c r="R1643" s="376"/>
      <c r="S1643" s="376"/>
      <c r="T1643" s="376"/>
      <c r="U1643" s="376"/>
      <c r="V1643" s="376"/>
      <c r="W1643" s="376"/>
    </row>
    <row r="1644" spans="1:23" x14ac:dyDescent="0.2">
      <c r="A1644" s="298"/>
      <c r="B1644" s="366"/>
      <c r="C1644" s="378"/>
      <c r="D1644" s="376"/>
      <c r="E1644" s="376"/>
      <c r="F1644" s="376"/>
      <c r="G1644" s="376"/>
      <c r="H1644" s="376"/>
      <c r="I1644" s="376"/>
      <c r="J1644" s="376"/>
      <c r="K1644" s="376"/>
      <c r="L1644" s="376"/>
      <c r="M1644" s="376"/>
      <c r="N1644" s="376"/>
      <c r="O1644" s="376"/>
      <c r="P1644" s="376"/>
      <c r="Q1644" s="376"/>
      <c r="R1644" s="376"/>
      <c r="S1644" s="376"/>
      <c r="T1644" s="376"/>
      <c r="U1644" s="376"/>
      <c r="V1644" s="376"/>
      <c r="W1644" s="376"/>
    </row>
    <row r="1645" spans="1:23" x14ac:dyDescent="0.2">
      <c r="A1645" s="298"/>
      <c r="B1645" s="366"/>
      <c r="C1645" s="376"/>
      <c r="D1645" s="353"/>
      <c r="E1645" s="353"/>
      <c r="F1645" s="353"/>
      <c r="G1645" s="353"/>
      <c r="H1645" s="353"/>
      <c r="I1645" s="353"/>
      <c r="J1645" s="353"/>
      <c r="K1645" s="353"/>
      <c r="L1645" s="353"/>
      <c r="M1645" s="353"/>
      <c r="N1645" s="353"/>
      <c r="O1645" s="353"/>
      <c r="P1645" s="353"/>
      <c r="Q1645" s="353"/>
      <c r="R1645" s="353"/>
      <c r="S1645" s="353"/>
      <c r="T1645" s="353"/>
      <c r="U1645" s="353"/>
      <c r="V1645" s="353"/>
      <c r="W1645" s="353"/>
    </row>
    <row r="1646" spans="1:23" x14ac:dyDescent="0.2">
      <c r="A1646" s="298"/>
      <c r="B1646" s="366"/>
      <c r="C1646" s="376"/>
      <c r="D1646" s="68"/>
      <c r="E1646" s="68"/>
      <c r="F1646" s="68"/>
      <c r="G1646" s="68"/>
      <c r="H1646" s="68"/>
      <c r="I1646" s="68"/>
      <c r="J1646" s="68"/>
      <c r="K1646" s="68"/>
      <c r="L1646" s="68"/>
      <c r="M1646" s="68"/>
      <c r="N1646" s="68"/>
      <c r="O1646" s="68"/>
      <c r="P1646" s="68"/>
      <c r="Q1646" s="68"/>
      <c r="R1646" s="68"/>
      <c r="S1646" s="68"/>
      <c r="T1646" s="68"/>
      <c r="U1646" s="68"/>
      <c r="V1646" s="68"/>
      <c r="W1646" s="68"/>
    </row>
    <row r="1647" spans="1:23" x14ac:dyDescent="0.2">
      <c r="A1647" s="298"/>
      <c r="B1647" s="366"/>
      <c r="C1647" s="376"/>
      <c r="D1647" s="68"/>
      <c r="E1647" s="68"/>
      <c r="F1647" s="68"/>
      <c r="G1647" s="68"/>
      <c r="H1647" s="68"/>
      <c r="I1647" s="68"/>
      <c r="J1647" s="68"/>
      <c r="K1647" s="68"/>
      <c r="L1647" s="68"/>
      <c r="M1647" s="68"/>
      <c r="N1647" s="68"/>
      <c r="O1647" s="68"/>
      <c r="P1647" s="68"/>
      <c r="Q1647" s="68"/>
      <c r="R1647" s="68"/>
      <c r="S1647" s="68"/>
      <c r="T1647" s="68"/>
      <c r="U1647" s="68"/>
      <c r="V1647" s="68"/>
      <c r="W1647" s="68"/>
    </row>
    <row r="1648" spans="1:23" x14ac:dyDescent="0.2">
      <c r="A1648" s="298"/>
      <c r="B1648" s="366"/>
      <c r="C1648" s="376"/>
      <c r="D1648" s="68"/>
      <c r="E1648" s="68"/>
      <c r="F1648" s="68"/>
      <c r="G1648" s="68"/>
      <c r="H1648" s="68"/>
      <c r="I1648" s="68"/>
      <c r="J1648" s="68"/>
      <c r="K1648" s="68"/>
      <c r="L1648" s="68"/>
      <c r="M1648" s="68"/>
      <c r="N1648" s="68"/>
      <c r="O1648" s="68"/>
      <c r="P1648" s="68"/>
      <c r="Q1648" s="68"/>
      <c r="R1648" s="68"/>
      <c r="S1648" s="68"/>
      <c r="T1648" s="68"/>
      <c r="U1648" s="68"/>
      <c r="V1648" s="68"/>
      <c r="W1648" s="68"/>
    </row>
    <row r="1649" spans="1:23" x14ac:dyDescent="0.2">
      <c r="A1649" s="298"/>
      <c r="B1649" s="366"/>
      <c r="C1649" s="376"/>
      <c r="D1649" s="68"/>
      <c r="E1649" s="68"/>
      <c r="F1649" s="68"/>
      <c r="G1649" s="68"/>
      <c r="H1649" s="68"/>
      <c r="I1649" s="68"/>
      <c r="J1649" s="68"/>
      <c r="K1649" s="68"/>
      <c r="L1649" s="68"/>
      <c r="M1649" s="68"/>
      <c r="N1649" s="68"/>
      <c r="O1649" s="68"/>
      <c r="P1649" s="68"/>
      <c r="Q1649" s="68"/>
      <c r="R1649" s="68"/>
      <c r="S1649" s="68"/>
      <c r="T1649" s="68"/>
      <c r="U1649" s="68"/>
      <c r="V1649" s="68"/>
      <c r="W1649" s="68"/>
    </row>
    <row r="1650" spans="1:23" ht="15.75" x14ac:dyDescent="0.25">
      <c r="A1650" s="308" t="s">
        <v>29</v>
      </c>
      <c r="B1650" s="311" t="s">
        <v>78</v>
      </c>
      <c r="C1650" s="312">
        <v>2000</v>
      </c>
      <c r="D1650" s="312">
        <v>2001</v>
      </c>
      <c r="E1650" s="312">
        <v>2002</v>
      </c>
      <c r="F1650" s="312">
        <v>2003</v>
      </c>
      <c r="G1650" s="312">
        <v>2004</v>
      </c>
      <c r="H1650" s="312">
        <v>2005</v>
      </c>
      <c r="I1650" s="312">
        <v>2006</v>
      </c>
      <c r="J1650" s="312">
        <v>2007</v>
      </c>
      <c r="K1650" s="312">
        <v>2008</v>
      </c>
      <c r="L1650" s="312">
        <v>2009</v>
      </c>
      <c r="M1650" s="312">
        <v>2010</v>
      </c>
      <c r="N1650" s="312">
        <v>2011</v>
      </c>
      <c r="O1650" s="312">
        <v>2012</v>
      </c>
      <c r="P1650" s="312">
        <v>2013</v>
      </c>
      <c r="Q1650" s="312">
        <v>2014</v>
      </c>
      <c r="R1650" s="312">
        <v>2015</v>
      </c>
      <c r="S1650" s="312">
        <v>2016</v>
      </c>
      <c r="T1650" s="312">
        <v>2017</v>
      </c>
      <c r="U1650" s="312">
        <v>2018</v>
      </c>
      <c r="V1650" s="312">
        <v>2019</v>
      </c>
      <c r="W1650" s="312" t="s">
        <v>154</v>
      </c>
    </row>
    <row r="1651" spans="1:23" x14ac:dyDescent="0.2">
      <c r="A1651" s="308" t="s">
        <v>26</v>
      </c>
      <c r="B1651" s="309">
        <v>51.225000000000001</v>
      </c>
      <c r="C1651" s="314"/>
      <c r="D1651" s="314"/>
      <c r="E1651" s="314"/>
      <c r="F1651" s="314"/>
      <c r="G1651" s="314"/>
      <c r="H1651" s="314"/>
      <c r="I1651" s="314"/>
      <c r="J1651" s="314"/>
      <c r="K1651" s="314"/>
      <c r="L1651" s="314"/>
      <c r="M1651" s="314"/>
      <c r="N1651" s="314"/>
      <c r="O1651" s="314"/>
      <c r="P1651" s="314"/>
      <c r="Q1651" s="314"/>
      <c r="R1651" s="314"/>
      <c r="S1651" s="314"/>
      <c r="T1651" s="314"/>
      <c r="U1651" s="314"/>
      <c r="V1651" s="314"/>
      <c r="W1651" s="314"/>
    </row>
    <row r="1652" spans="1:23" x14ac:dyDescent="0.2">
      <c r="A1652" s="9"/>
      <c r="B1652" s="315" t="s">
        <v>27</v>
      </c>
      <c r="C1652" s="449">
        <v>0</v>
      </c>
      <c r="D1652" s="410">
        <v>3932629.2505932907</v>
      </c>
      <c r="E1652" s="410">
        <v>3141040.7783542834</v>
      </c>
      <c r="F1652" s="410">
        <v>2615520.6994223217</v>
      </c>
      <c r="G1652" s="410">
        <v>2326762.6919740476</v>
      </c>
      <c r="H1652" s="410">
        <v>2724752.3173856148</v>
      </c>
      <c r="I1652" s="410">
        <v>2561881.8735290668</v>
      </c>
      <c r="J1652" s="410">
        <v>2507578.6085568587</v>
      </c>
      <c r="K1652" s="410">
        <v>3758660.5542759527</v>
      </c>
      <c r="L1652" s="410">
        <v>3844320.9983198829</v>
      </c>
      <c r="M1652" s="410">
        <v>4054799.1431282964</v>
      </c>
      <c r="N1652" s="410">
        <v>3177612.1473593414</v>
      </c>
      <c r="O1652" s="410">
        <v>4036787.0694221179</v>
      </c>
      <c r="P1652" s="410">
        <v>3461174.5996071901</v>
      </c>
      <c r="Q1652" s="410">
        <v>4377009.5104747592</v>
      </c>
      <c r="R1652" s="410">
        <v>3952327.7457407187</v>
      </c>
      <c r="S1652" s="410">
        <v>3107784.9848807929</v>
      </c>
      <c r="T1652" s="410">
        <v>3407390.5079389154</v>
      </c>
      <c r="U1652" s="410">
        <v>4372681.2798432019</v>
      </c>
      <c r="V1652" s="410">
        <v>4856559.3808346866</v>
      </c>
      <c r="W1652" s="333"/>
    </row>
    <row r="1653" spans="1:23" x14ac:dyDescent="0.2">
      <c r="A1653" s="9"/>
      <c r="B1653" s="315" t="s">
        <v>20</v>
      </c>
      <c r="C1653" s="449">
        <v>0</v>
      </c>
      <c r="D1653" s="410">
        <v>-921514.63171836792</v>
      </c>
      <c r="E1653" s="410">
        <v>-1017134.2808738259</v>
      </c>
      <c r="F1653" s="410">
        <v>-888691.41810096893</v>
      </c>
      <c r="G1653" s="410">
        <v>-901742.62775995571</v>
      </c>
      <c r="H1653" s="410">
        <v>-1309413.2079526091</v>
      </c>
      <c r="I1653" s="410">
        <v>-1424418.9126627457</v>
      </c>
      <c r="J1653" s="410">
        <v>-1264154.5256430693</v>
      </c>
      <c r="K1653" s="410">
        <v>-1917918.1905474176</v>
      </c>
      <c r="L1653" s="410">
        <v>-1968538.935589765</v>
      </c>
      <c r="M1653" s="410">
        <v>-1969411.9365027028</v>
      </c>
      <c r="N1653" s="410">
        <v>-1664135.1900272174</v>
      </c>
      <c r="O1653" s="410">
        <v>-2172160.9866473414</v>
      </c>
      <c r="P1653" s="410">
        <v>-1699763.9933335797</v>
      </c>
      <c r="Q1653" s="410">
        <v>-2175452.8721647346</v>
      </c>
      <c r="R1653" s="410">
        <v>-2116084.970615353</v>
      </c>
      <c r="S1653" s="410">
        <v>-1686679.291937277</v>
      </c>
      <c r="T1653" s="410">
        <v>-1768139.6821102754</v>
      </c>
      <c r="U1653" s="410">
        <v>-2369503.8068865053</v>
      </c>
      <c r="V1653" s="410">
        <v>-3137999.2985180374</v>
      </c>
      <c r="W1653" s="333"/>
    </row>
    <row r="1654" spans="1:23" x14ac:dyDescent="0.2">
      <c r="A1654" s="9"/>
      <c r="B1654" s="315" t="s">
        <v>31</v>
      </c>
      <c r="C1654" s="449">
        <v>0</v>
      </c>
      <c r="D1654" s="410">
        <v>-29761.106619846207</v>
      </c>
      <c r="E1654" s="410">
        <v>-37108.009232978227</v>
      </c>
      <c r="F1654" s="410">
        <v>-33915.450813918687</v>
      </c>
      <c r="G1654" s="410">
        <v>-34017.043170885205</v>
      </c>
      <c r="H1654" s="410">
        <v>-49833.615768598487</v>
      </c>
      <c r="I1654" s="410">
        <v>-56078.027739004123</v>
      </c>
      <c r="J1654" s="410">
        <v>-50745.194332858366</v>
      </c>
      <c r="K1654" s="410">
        <v>-84134.52079434901</v>
      </c>
      <c r="L1654" s="410">
        <v>-86431.113602915546</v>
      </c>
      <c r="M1654" s="410">
        <v>-84158.84313420899</v>
      </c>
      <c r="N1654" s="410">
        <v>-71809.432849317469</v>
      </c>
      <c r="O1654" s="410">
        <v>-95309.256368646849</v>
      </c>
      <c r="P1654" s="410">
        <v>-72989.520366164012</v>
      </c>
      <c r="Q1654" s="410">
        <v>-94239.823128980439</v>
      </c>
      <c r="R1654" s="410">
        <v>-86056.716620490159</v>
      </c>
      <c r="S1654" s="410">
        <v>-67219.204203505011</v>
      </c>
      <c r="T1654" s="410">
        <v>-69752.867363956058</v>
      </c>
      <c r="U1654" s="410">
        <v>-89393.852002076106</v>
      </c>
      <c r="V1654" s="410">
        <v>-117840.30510948293</v>
      </c>
      <c r="W1654" s="333"/>
    </row>
    <row r="1655" spans="1:23" x14ac:dyDescent="0.2">
      <c r="A1655" s="9"/>
      <c r="B1655" s="315" t="s">
        <v>32</v>
      </c>
      <c r="C1655" s="449">
        <v>0</v>
      </c>
      <c r="D1655" s="410">
        <v>0</v>
      </c>
      <c r="E1655" s="410">
        <v>0</v>
      </c>
      <c r="F1655" s="410">
        <v>0</v>
      </c>
      <c r="G1655" s="410">
        <v>0</v>
      </c>
      <c r="H1655" s="410">
        <v>0</v>
      </c>
      <c r="I1655" s="410">
        <v>-19765.763398171523</v>
      </c>
      <c r="J1655" s="410">
        <v>-19428.531673524565</v>
      </c>
      <c r="K1655" s="410">
        <v>-36246.043751448458</v>
      </c>
      <c r="L1655" s="410">
        <v>-38576.818185353564</v>
      </c>
      <c r="M1655" s="410">
        <v>-40953.200616373564</v>
      </c>
      <c r="N1655" s="410">
        <v>-37747.652001500959</v>
      </c>
      <c r="O1655" s="410">
        <v>-54404.249377345332</v>
      </c>
      <c r="P1655" s="410">
        <v>-45751.106339284692</v>
      </c>
      <c r="Q1655" s="410">
        <v>-64508.952860510253</v>
      </c>
      <c r="R1655" s="410">
        <v>-63934.506748056476</v>
      </c>
      <c r="S1655" s="410">
        <v>-53682.360423999577</v>
      </c>
      <c r="T1655" s="410">
        <v>-53754.538551799444</v>
      </c>
      <c r="U1655" s="410">
        <v>-57704.327537854864</v>
      </c>
      <c r="V1655" s="410">
        <v>-77372.507685713063</v>
      </c>
      <c r="W1655" s="333"/>
    </row>
    <row r="1656" spans="1:23" ht="13.5" thickBot="1" x14ac:dyDescent="0.25">
      <c r="A1656" s="9"/>
      <c r="B1656" s="316" t="s">
        <v>33</v>
      </c>
      <c r="C1656" s="450">
        <v>0</v>
      </c>
      <c r="D1656" s="412">
        <v>0</v>
      </c>
      <c r="E1656" s="412">
        <v>0</v>
      </c>
      <c r="F1656" s="412">
        <v>0</v>
      </c>
      <c r="G1656" s="412">
        <v>0</v>
      </c>
      <c r="H1656" s="412">
        <v>0</v>
      </c>
      <c r="I1656" s="412">
        <v>-19765.763398171523</v>
      </c>
      <c r="J1656" s="412">
        <v>-19428.531673524565</v>
      </c>
      <c r="K1656" s="412">
        <v>-36246.043751448458</v>
      </c>
      <c r="L1656" s="412">
        <v>-38576.818185353564</v>
      </c>
      <c r="M1656" s="412">
        <v>-40953.200616373564</v>
      </c>
      <c r="N1656" s="412">
        <v>-37747.652001500959</v>
      </c>
      <c r="O1656" s="412">
        <v>-54404.249377345332</v>
      </c>
      <c r="P1656" s="412">
        <v>-45751.106339284692</v>
      </c>
      <c r="Q1656" s="412">
        <v>-64508.952860510253</v>
      </c>
      <c r="R1656" s="412">
        <v>-63934.506748056476</v>
      </c>
      <c r="S1656" s="412">
        <v>-53682.360423999577</v>
      </c>
      <c r="T1656" s="412">
        <v>-53754.538551799444</v>
      </c>
      <c r="U1656" s="412">
        <v>-57704.327537854864</v>
      </c>
      <c r="V1656" s="412">
        <v>-77372.507685713063</v>
      </c>
      <c r="W1656" s="333"/>
    </row>
    <row r="1657" spans="1:23" ht="13.5" thickTop="1" x14ac:dyDescent="0.2">
      <c r="A1657" s="9"/>
      <c r="B1657" s="317" t="s">
        <v>38</v>
      </c>
      <c r="C1657" s="451">
        <v>0</v>
      </c>
      <c r="D1657" s="414">
        <v>2981353.5122550768</v>
      </c>
      <c r="E1657" s="414">
        <v>2086798.4882474793</v>
      </c>
      <c r="F1657" s="414">
        <v>1692913.8305074342</v>
      </c>
      <c r="G1657" s="414">
        <v>1391003.0210432066</v>
      </c>
      <c r="H1657" s="414">
        <v>1365505.4936644074</v>
      </c>
      <c r="I1657" s="414">
        <v>1041853.4063309737</v>
      </c>
      <c r="J1657" s="414">
        <v>1153821.8252338821</v>
      </c>
      <c r="K1657" s="414">
        <v>1684115.7554312893</v>
      </c>
      <c r="L1657" s="414">
        <v>1712197.3127564951</v>
      </c>
      <c r="M1657" s="414">
        <v>1919321.9622586374</v>
      </c>
      <c r="N1657" s="414">
        <v>1366172.2204798043</v>
      </c>
      <c r="O1657" s="414">
        <v>1660508.3276514388</v>
      </c>
      <c r="P1657" s="414">
        <v>1596918.8732288771</v>
      </c>
      <c r="Q1657" s="414">
        <v>1978298.9094600235</v>
      </c>
      <c r="R1657" s="414">
        <v>1622317.0450087625</v>
      </c>
      <c r="S1657" s="414">
        <v>1246521.7678920117</v>
      </c>
      <c r="T1657" s="414">
        <v>1461988.881361085</v>
      </c>
      <c r="U1657" s="414">
        <v>1798374.9658789106</v>
      </c>
      <c r="V1657" s="414">
        <v>1445974.7618357402</v>
      </c>
      <c r="W1657" s="333"/>
    </row>
    <row r="1658" spans="1:23" x14ac:dyDescent="0.2">
      <c r="A1658" s="9"/>
      <c r="B1658" s="315" t="s">
        <v>34</v>
      </c>
      <c r="C1658" s="449">
        <v>0</v>
      </c>
      <c r="D1658" s="410">
        <v>-91566.271378944657</v>
      </c>
      <c r="E1658" s="410">
        <v>-93397.59680652355</v>
      </c>
      <c r="F1658" s="410">
        <v>-95265.54874265402</v>
      </c>
      <c r="G1658" s="410">
        <v>-97170.859717507105</v>
      </c>
      <c r="H1658" s="410">
        <v>-99114.276911857247</v>
      </c>
      <c r="I1658" s="410">
        <v>-101096.5624500944</v>
      </c>
      <c r="J1658" s="410">
        <v>-103118.49369909629</v>
      </c>
      <c r="K1658" s="410">
        <v>-105180.86357307821</v>
      </c>
      <c r="L1658" s="410">
        <v>-107284.48084453978</v>
      </c>
      <c r="M1658" s="410">
        <v>-109430.17046143058</v>
      </c>
      <c r="N1658" s="410">
        <v>-111618.77387065919</v>
      </c>
      <c r="O1658" s="410">
        <v>-113851.14934807237</v>
      </c>
      <c r="P1658" s="410">
        <v>-116128.17233503383</v>
      </c>
      <c r="Q1658" s="410">
        <v>-118450.7357817345</v>
      </c>
      <c r="R1658" s="410">
        <v>-120819.7504973692</v>
      </c>
      <c r="S1658" s="410">
        <v>-123236.14550731659</v>
      </c>
      <c r="T1658" s="410">
        <v>-125700.86841746292</v>
      </c>
      <c r="U1658" s="410">
        <v>-128214.88578581218</v>
      </c>
      <c r="V1658" s="410">
        <v>-130779.18350152842</v>
      </c>
      <c r="W1658" s="333"/>
    </row>
    <row r="1659" spans="1:23" x14ac:dyDescent="0.2">
      <c r="A1659" s="9"/>
      <c r="B1659" s="315" t="s">
        <v>35</v>
      </c>
      <c r="C1659" s="449">
        <v>0</v>
      </c>
      <c r="D1659" s="410">
        <v>-45161.410471875002</v>
      </c>
      <c r="E1659" s="410">
        <v>-45161.410471875002</v>
      </c>
      <c r="F1659" s="410">
        <v>-45161.410471875002</v>
      </c>
      <c r="G1659" s="410">
        <v>-45161.410471875002</v>
      </c>
      <c r="H1659" s="410">
        <v>-45161.410471875002</v>
      </c>
      <c r="I1659" s="410">
        <v>-45161.410471875002</v>
      </c>
      <c r="J1659" s="410">
        <v>-45161.410471875002</v>
      </c>
      <c r="K1659" s="410">
        <v>-45161.410471875002</v>
      </c>
      <c r="L1659" s="410">
        <v>-45161.410471875002</v>
      </c>
      <c r="M1659" s="410">
        <v>-45161.410471875002</v>
      </c>
      <c r="N1659" s="410">
        <v>-45161.410471875002</v>
      </c>
      <c r="O1659" s="410">
        <v>-45161.410471875002</v>
      </c>
      <c r="P1659" s="410">
        <v>-45161.410471875002</v>
      </c>
      <c r="Q1659" s="410">
        <v>-45161.410471875002</v>
      </c>
      <c r="R1659" s="410">
        <v>-45161.410471875002</v>
      </c>
      <c r="S1659" s="410">
        <v>-45161.410471875002</v>
      </c>
      <c r="T1659" s="410">
        <v>-45161.410471875002</v>
      </c>
      <c r="U1659" s="410">
        <v>-45161.410471875002</v>
      </c>
      <c r="V1659" s="410">
        <v>-45161.410471875002</v>
      </c>
      <c r="W1659" s="333"/>
    </row>
    <row r="1660" spans="1:23" ht="13.5" thickBot="1" x14ac:dyDescent="0.25">
      <c r="A1660" s="9"/>
      <c r="B1660" s="316" t="s">
        <v>36</v>
      </c>
      <c r="C1660" s="450">
        <v>0</v>
      </c>
      <c r="D1660" s="412">
        <v>-4145.6628847028896</v>
      </c>
      <c r="E1660" s="412">
        <v>-4233.13637157014</v>
      </c>
      <c r="F1660" s="412">
        <v>-4325.8420581075297</v>
      </c>
      <c r="G1660" s="412">
        <v>-4423.6060886207297</v>
      </c>
      <c r="H1660" s="412">
        <v>-4528.8879135299103</v>
      </c>
      <c r="I1660" s="412">
        <v>-4642.38229994021</v>
      </c>
      <c r="J1660" s="412">
        <v>-4757.52631405997</v>
      </c>
      <c r="K1660" s="412">
        <v>-4877.9491368499903</v>
      </c>
      <c r="L1660" s="412">
        <v>-4998.4344805301898</v>
      </c>
      <c r="M1660" s="412">
        <v>-5125.8945597837001</v>
      </c>
      <c r="N1660" s="412">
        <v>-5249.9412081304899</v>
      </c>
      <c r="O1660" s="412">
        <v>-5382.2397265753598</v>
      </c>
      <c r="P1660" s="412">
        <v>-5518.9486156303601</v>
      </c>
      <c r="Q1660" s="412">
        <v>-5656.92233102112</v>
      </c>
      <c r="R1660" s="412">
        <v>-5798.9110815297499</v>
      </c>
      <c r="S1660" s="412">
        <v>-5943.8838585679996</v>
      </c>
      <c r="T1660" s="412">
        <v>-6091.2921782604799</v>
      </c>
      <c r="U1660" s="412">
        <v>-6244.18361193483</v>
      </c>
      <c r="V1660" s="412">
        <v>-6400.9126205943903</v>
      </c>
      <c r="W1660" s="333"/>
    </row>
    <row r="1661" spans="1:23" ht="13.5" thickTop="1" x14ac:dyDescent="0.2">
      <c r="A1661" s="9"/>
      <c r="B1661" s="317" t="s">
        <v>221</v>
      </c>
      <c r="C1661" s="452">
        <v>0</v>
      </c>
      <c r="D1661" s="416">
        <v>2840480.167519554</v>
      </c>
      <c r="E1661" s="416">
        <v>1944006.3445975105</v>
      </c>
      <c r="F1661" s="416">
        <v>1548161.0292347977</v>
      </c>
      <c r="G1661" s="416">
        <v>1244247.1447652036</v>
      </c>
      <c r="H1661" s="416">
        <v>1216700.9183671451</v>
      </c>
      <c r="I1661" s="416">
        <v>890953.05110906414</v>
      </c>
      <c r="J1661" s="416">
        <v>1000784.3947488507</v>
      </c>
      <c r="K1661" s="416">
        <v>1528895.5322494861</v>
      </c>
      <c r="L1661" s="416">
        <v>1554752.9869595501</v>
      </c>
      <c r="M1661" s="416">
        <v>1759604.4867655481</v>
      </c>
      <c r="N1661" s="416">
        <v>1204142.0949291396</v>
      </c>
      <c r="O1661" s="416">
        <v>1496113.528104916</v>
      </c>
      <c r="P1661" s="416">
        <v>1430110.3418063379</v>
      </c>
      <c r="Q1661" s="416">
        <v>1809029.8408753928</v>
      </c>
      <c r="R1661" s="416">
        <v>1450536.9729579887</v>
      </c>
      <c r="S1661" s="416">
        <v>1072180.3280542521</v>
      </c>
      <c r="T1661" s="416">
        <v>1285035.3102934868</v>
      </c>
      <c r="U1661" s="416">
        <v>1618754.4860092886</v>
      </c>
      <c r="V1661" s="416">
        <v>1263633.2552417424</v>
      </c>
      <c r="W1661" s="333"/>
    </row>
    <row r="1662" spans="1:23" x14ac:dyDescent="0.2">
      <c r="A1662" s="9"/>
      <c r="B1662" s="315" t="s">
        <v>37</v>
      </c>
      <c r="C1662" s="449">
        <v>0</v>
      </c>
      <c r="D1662" s="410">
        <v>-256373.48737677658</v>
      </c>
      <c r="E1662" s="410">
        <v>-235299.63781481623</v>
      </c>
      <c r="F1662" s="410">
        <v>-205307.07945894302</v>
      </c>
      <c r="G1662" s="410">
        <v>-174904.47125886939</v>
      </c>
      <c r="H1662" s="410">
        <v>-160607.06942284212</v>
      </c>
      <c r="I1662" s="410">
        <v>-156554.00520463297</v>
      </c>
      <c r="J1662" s="410">
        <v>-163690.99180529558</v>
      </c>
      <c r="K1662" s="410">
        <v>-170232.88617273298</v>
      </c>
      <c r="L1662" s="410">
        <v>-176826.65684389556</v>
      </c>
      <c r="M1662" s="410">
        <v>-182884.16010594799</v>
      </c>
      <c r="N1662" s="410">
        <v>-175467.77021218458</v>
      </c>
      <c r="O1662" s="410">
        <v>-167517.17536217629</v>
      </c>
      <c r="P1662" s="410">
        <v>-173658.16151840443</v>
      </c>
      <c r="Q1662" s="410">
        <v>-120623.72577722732</v>
      </c>
      <c r="R1662" s="410">
        <v>-67973.177057618159</v>
      </c>
      <c r="S1662" s="410">
        <v>-74465.269284038688</v>
      </c>
      <c r="T1662" s="410">
        <v>-81152.124277251874</v>
      </c>
      <c r="U1662" s="410">
        <v>-88039.584920261419</v>
      </c>
      <c r="V1662" s="410">
        <v>-95133.669382561275</v>
      </c>
      <c r="W1662" s="333"/>
    </row>
    <row r="1663" spans="1:23" ht="13.5" thickBot="1" x14ac:dyDescent="0.25">
      <c r="A1663" s="9"/>
      <c r="B1663" s="316" t="s">
        <v>222</v>
      </c>
      <c r="C1663" s="450">
        <v>0</v>
      </c>
      <c r="D1663" s="412">
        <v>-1033642.672057111</v>
      </c>
      <c r="E1663" s="412">
        <v>-683482.68271307775</v>
      </c>
      <c r="F1663" s="412">
        <v>-537141.57991034188</v>
      </c>
      <c r="G1663" s="412">
        <v>-427737.0694025337</v>
      </c>
      <c r="H1663" s="412">
        <v>-422437.53957772127</v>
      </c>
      <c r="I1663" s="412">
        <v>-293759.61836177245</v>
      </c>
      <c r="J1663" s="412">
        <v>-334837.36117742211</v>
      </c>
      <c r="K1663" s="412">
        <v>-543465.05843070126</v>
      </c>
      <c r="L1663" s="412">
        <v>-551170.53204626183</v>
      </c>
      <c r="M1663" s="412">
        <v>-630688.1306638401</v>
      </c>
      <c r="N1663" s="412">
        <v>-411469.72988678201</v>
      </c>
      <c r="O1663" s="412">
        <v>-531438.54109709593</v>
      </c>
      <c r="P1663" s="412">
        <v>-502580.87211517338</v>
      </c>
      <c r="Q1663" s="412">
        <v>-675362.44603926619</v>
      </c>
      <c r="R1663" s="412">
        <v>-553025.51836014818</v>
      </c>
      <c r="S1663" s="412">
        <v>-399086.0235080854</v>
      </c>
      <c r="T1663" s="412">
        <v>-481553.27440649405</v>
      </c>
      <c r="U1663" s="412">
        <v>-612285.96043561085</v>
      </c>
      <c r="V1663" s="412">
        <v>-467399.8343436725</v>
      </c>
      <c r="W1663" s="333"/>
    </row>
    <row r="1664" spans="1:23" ht="13.5" thickTop="1" x14ac:dyDescent="0.2">
      <c r="A1664" s="9"/>
      <c r="B1664" s="317" t="s">
        <v>183</v>
      </c>
      <c r="C1664" s="452">
        <v>0</v>
      </c>
      <c r="D1664" s="416">
        <v>1550464.0080856665</v>
      </c>
      <c r="E1664" s="416">
        <v>1025224.0240696165</v>
      </c>
      <c r="F1664" s="416">
        <v>805712.36986551271</v>
      </c>
      <c r="G1664" s="416">
        <v>641605.60410380049</v>
      </c>
      <c r="H1664" s="416">
        <v>633656.30936658185</v>
      </c>
      <c r="I1664" s="416">
        <v>440639.4275426587</v>
      </c>
      <c r="J1664" s="416">
        <v>502256.04176613304</v>
      </c>
      <c r="K1664" s="416">
        <v>815197.58764605178</v>
      </c>
      <c r="L1664" s="416">
        <v>826755.79806939268</v>
      </c>
      <c r="M1664" s="416">
        <v>946032.19599576015</v>
      </c>
      <c r="N1664" s="416">
        <v>617204.59483017295</v>
      </c>
      <c r="O1664" s="416">
        <v>797157.81164564379</v>
      </c>
      <c r="P1664" s="416">
        <v>753871.30817276007</v>
      </c>
      <c r="Q1664" s="416">
        <v>1013043.6690588992</v>
      </c>
      <c r="R1664" s="416">
        <v>829538.27754022228</v>
      </c>
      <c r="S1664" s="416">
        <v>598629.03526212799</v>
      </c>
      <c r="T1664" s="416">
        <v>722329.91160974093</v>
      </c>
      <c r="U1664" s="416">
        <v>918428.94065341621</v>
      </c>
      <c r="V1664" s="416">
        <v>701099.75151550863</v>
      </c>
      <c r="W1664" s="333"/>
    </row>
    <row r="1665" spans="1:23" x14ac:dyDescent="0.2">
      <c r="A1665" s="9"/>
      <c r="B1665" s="315" t="s">
        <v>37</v>
      </c>
      <c r="C1665" s="449">
        <v>0</v>
      </c>
      <c r="D1665" s="410">
        <v>256373.48737677658</v>
      </c>
      <c r="E1665" s="410">
        <v>235299.63781481623</v>
      </c>
      <c r="F1665" s="410">
        <v>205307.07945894302</v>
      </c>
      <c r="G1665" s="410">
        <v>174904.47125886939</v>
      </c>
      <c r="H1665" s="410">
        <v>160607.06942284212</v>
      </c>
      <c r="I1665" s="410">
        <v>156554.00520463297</v>
      </c>
      <c r="J1665" s="410">
        <v>163690.99180529558</v>
      </c>
      <c r="K1665" s="410">
        <v>170232.88617273298</v>
      </c>
      <c r="L1665" s="410">
        <v>176826.65684389556</v>
      </c>
      <c r="M1665" s="410">
        <v>182884.16010594799</v>
      </c>
      <c r="N1665" s="410">
        <v>175467.77021218458</v>
      </c>
      <c r="O1665" s="410">
        <v>167517.17536217629</v>
      </c>
      <c r="P1665" s="410">
        <v>173658.16151840443</v>
      </c>
      <c r="Q1665" s="410">
        <v>120623.72577722732</v>
      </c>
      <c r="R1665" s="410">
        <v>67973.177057618159</v>
      </c>
      <c r="S1665" s="410">
        <v>74465.269284038688</v>
      </c>
      <c r="T1665" s="410">
        <v>81152.124277251874</v>
      </c>
      <c r="U1665" s="410">
        <v>88039.584920261419</v>
      </c>
      <c r="V1665" s="410">
        <v>95133.669382561275</v>
      </c>
      <c r="W1665" s="333"/>
    </row>
    <row r="1666" spans="1:23" x14ac:dyDescent="0.2">
      <c r="A1666" s="9"/>
      <c r="B1666" s="315" t="s">
        <v>39</v>
      </c>
      <c r="C1666" s="449">
        <v>0</v>
      </c>
      <c r="D1666" s="410">
        <v>-1423.58</v>
      </c>
      <c r="E1666" s="410">
        <v>-1481.02</v>
      </c>
      <c r="F1666" s="410">
        <v>-1540.83</v>
      </c>
      <c r="G1666" s="410">
        <v>-1609.33</v>
      </c>
      <c r="H1666" s="410">
        <v>-100000</v>
      </c>
      <c r="I1666" s="410">
        <v>-103000</v>
      </c>
      <c r="J1666" s="410">
        <v>-106090</v>
      </c>
      <c r="K1666" s="410">
        <v>-109272.7</v>
      </c>
      <c r="L1666" s="410">
        <v>-112550.88099999999</v>
      </c>
      <c r="M1666" s="410">
        <v>-115927.40742999999</v>
      </c>
      <c r="N1666" s="410">
        <v>-119405.2296529</v>
      </c>
      <c r="O1666" s="410">
        <v>-122987.386542487</v>
      </c>
      <c r="P1666" s="410">
        <v>-126677.00813876161</v>
      </c>
      <c r="Q1666" s="410">
        <v>-130477.31838292447</v>
      </c>
      <c r="R1666" s="410">
        <v>-134391.6379344122</v>
      </c>
      <c r="S1666" s="410">
        <v>-138423.38707244457</v>
      </c>
      <c r="T1666" s="410">
        <v>-142576.08868461792</v>
      </c>
      <c r="U1666" s="410">
        <v>-146853.37134515645</v>
      </c>
      <c r="V1666" s="410">
        <v>-151258.97248551116</v>
      </c>
      <c r="W1666" s="333"/>
    </row>
    <row r="1667" spans="1:23" ht="13.5" thickBot="1" x14ac:dyDescent="0.25">
      <c r="A1667" s="9"/>
      <c r="B1667" s="316" t="s">
        <v>40</v>
      </c>
      <c r="C1667" s="450">
        <v>0</v>
      </c>
      <c r="D1667" s="412">
        <v>0</v>
      </c>
      <c r="E1667" s="412">
        <v>0</v>
      </c>
      <c r="F1667" s="412">
        <v>0</v>
      </c>
      <c r="G1667" s="412">
        <v>0</v>
      </c>
      <c r="H1667" s="412">
        <v>0</v>
      </c>
      <c r="I1667" s="412">
        <v>0</v>
      </c>
      <c r="J1667" s="412">
        <v>0</v>
      </c>
      <c r="K1667" s="412">
        <v>0</v>
      </c>
      <c r="L1667" s="412">
        <v>0</v>
      </c>
      <c r="M1667" s="412">
        <v>0</v>
      </c>
      <c r="N1667" s="412">
        <v>0</v>
      </c>
      <c r="O1667" s="412">
        <v>0</v>
      </c>
      <c r="P1667" s="412">
        <v>0</v>
      </c>
      <c r="Q1667" s="412">
        <v>0</v>
      </c>
      <c r="R1667" s="412">
        <v>0</v>
      </c>
      <c r="S1667" s="412">
        <v>0</v>
      </c>
      <c r="T1667" s="412">
        <v>0</v>
      </c>
      <c r="U1667" s="412">
        <v>0</v>
      </c>
      <c r="V1667" s="412">
        <v>0</v>
      </c>
      <c r="W1667" s="333"/>
    </row>
    <row r="1668" spans="1:23" ht="13.5" thickTop="1" x14ac:dyDescent="0.2">
      <c r="A1668" s="9"/>
      <c r="B1668" s="315"/>
      <c r="C1668" s="453"/>
      <c r="D1668" s="333"/>
      <c r="E1668" s="333"/>
      <c r="F1668" s="333"/>
      <c r="G1668" s="333"/>
      <c r="H1668" s="333"/>
      <c r="I1668" s="333"/>
      <c r="J1668" s="333"/>
      <c r="K1668" s="333"/>
      <c r="L1668" s="333"/>
      <c r="M1668" s="333"/>
      <c r="N1668" s="333"/>
      <c r="O1668" s="333"/>
      <c r="P1668" s="333"/>
      <c r="Q1668" s="333"/>
      <c r="R1668" s="333"/>
      <c r="S1668" s="333"/>
      <c r="T1668" s="333"/>
      <c r="U1668" s="333"/>
      <c r="V1668" s="333"/>
      <c r="W1668" s="333"/>
    </row>
    <row r="1669" spans="1:23" x14ac:dyDescent="0.2">
      <c r="A1669" s="9"/>
      <c r="B1669" s="317" t="s">
        <v>234</v>
      </c>
      <c r="C1669" s="452">
        <v>0</v>
      </c>
      <c r="D1669" s="416">
        <v>1805413.9154624429</v>
      </c>
      <c r="E1669" s="416">
        <v>1259042.6418844326</v>
      </c>
      <c r="F1669" s="416">
        <v>1009478.6193244557</v>
      </c>
      <c r="G1669" s="416">
        <v>814900.74536266993</v>
      </c>
      <c r="H1669" s="416">
        <v>694263.37878942396</v>
      </c>
      <c r="I1669" s="416">
        <v>494193.43274729163</v>
      </c>
      <c r="J1669" s="416">
        <v>559857.03357142862</v>
      </c>
      <c r="K1669" s="416">
        <v>876157.77381878486</v>
      </c>
      <c r="L1669" s="416">
        <v>891031.5739132883</v>
      </c>
      <c r="M1669" s="416">
        <v>1012988.948671708</v>
      </c>
      <c r="N1669" s="416">
        <v>673267.13538945746</v>
      </c>
      <c r="O1669" s="416">
        <v>841687.60046533309</v>
      </c>
      <c r="P1669" s="416">
        <v>800852.46155240294</v>
      </c>
      <c r="Q1669" s="416">
        <v>1003190.0764532019</v>
      </c>
      <c r="R1669" s="416">
        <v>763119.81666342821</v>
      </c>
      <c r="S1669" s="416">
        <v>534670.91747372213</v>
      </c>
      <c r="T1669" s="416">
        <v>660905.94720237493</v>
      </c>
      <c r="U1669" s="416">
        <v>859615.15422852116</v>
      </c>
      <c r="V1669" s="416">
        <v>644974.44841255876</v>
      </c>
      <c r="W1669" s="414">
        <v>4789857.5023522098</v>
      </c>
    </row>
    <row r="1670" spans="1:23" x14ac:dyDescent="0.2">
      <c r="A1670" s="9"/>
      <c r="B1670" s="292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</row>
    <row r="1671" spans="1:23" x14ac:dyDescent="0.2">
      <c r="A1671" s="308" t="s">
        <v>219</v>
      </c>
      <c r="B1671" s="306" t="s">
        <v>170</v>
      </c>
      <c r="C1671" s="439">
        <v>4644045.6858022744</v>
      </c>
      <c r="D1671" s="9"/>
      <c r="E1671" s="137" t="s">
        <v>220</v>
      </c>
      <c r="F1671" s="319" t="s">
        <v>170</v>
      </c>
      <c r="G1671" s="443">
        <v>4644045.6858022744</v>
      </c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</row>
    <row r="1672" spans="1:23" x14ac:dyDescent="0.2">
      <c r="A1672" s="9"/>
      <c r="B1672" s="306" t="s">
        <v>180</v>
      </c>
      <c r="C1672" s="439">
        <v>3601197.0941158026</v>
      </c>
      <c r="D1672" s="9"/>
      <c r="E1672" s="321"/>
      <c r="F1672" s="319" t="s">
        <v>180</v>
      </c>
      <c r="G1672" s="443">
        <v>3601197.0941158026</v>
      </c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</row>
    <row r="1673" spans="1:23" ht="13.5" thickBot="1" x14ac:dyDescent="0.25">
      <c r="A1673" s="9"/>
      <c r="B1673" s="322" t="s">
        <v>137</v>
      </c>
      <c r="C1673" s="440">
        <v>746732.80829155119</v>
      </c>
      <c r="D1673" s="323"/>
      <c r="E1673" s="321"/>
      <c r="F1673" s="319" t="s">
        <v>137</v>
      </c>
      <c r="G1673" s="443">
        <v>746732.80829155119</v>
      </c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</row>
    <row r="1674" spans="1:23" ht="14.25" thickTop="1" thickBot="1" x14ac:dyDescent="0.25">
      <c r="A1674" s="9"/>
      <c r="B1674" s="306" t="s">
        <v>28</v>
      </c>
      <c r="C1674" s="438">
        <v>8991975.5882096272</v>
      </c>
      <c r="D1674" s="305"/>
      <c r="E1674" s="321"/>
      <c r="F1674" s="324" t="s">
        <v>204</v>
      </c>
      <c r="G1674" s="325">
        <v>0</v>
      </c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</row>
    <row r="1675" spans="1:23" ht="13.5" thickTop="1" x14ac:dyDescent="0.2">
      <c r="A1675" s="9"/>
      <c r="B1675" s="292"/>
      <c r="C1675" s="326"/>
      <c r="D1675" s="9"/>
      <c r="E1675" s="327"/>
      <c r="F1675" s="319" t="s">
        <v>28</v>
      </c>
      <c r="G1675" s="368">
        <v>8991975.5882096272</v>
      </c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</row>
    <row r="1676" spans="1:23" x14ac:dyDescent="0.2">
      <c r="A1676" s="9"/>
      <c r="B1676" s="292"/>
      <c r="C1676" s="326"/>
      <c r="D1676" s="9"/>
      <c r="E1676" s="327"/>
      <c r="F1676" s="319"/>
      <c r="G1676" s="328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</row>
    <row r="1677" spans="1:23" x14ac:dyDescent="0.2">
      <c r="A1677" s="9"/>
      <c r="B1677" s="292"/>
      <c r="C1677" s="326"/>
      <c r="D1677" s="9"/>
      <c r="E1677" s="327"/>
      <c r="F1677" s="319"/>
      <c r="G1677" s="328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</row>
    <row r="1678" spans="1:23" x14ac:dyDescent="0.2">
      <c r="A1678" s="9"/>
      <c r="B1678" s="329" t="s">
        <v>223</v>
      </c>
      <c r="C1678" s="326"/>
      <c r="D1678" s="9"/>
      <c r="E1678" s="327"/>
      <c r="F1678" s="319"/>
      <c r="G1678" s="328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</row>
    <row r="1679" spans="1:23" x14ac:dyDescent="0.2">
      <c r="A1679" s="330" t="s">
        <v>225</v>
      </c>
      <c r="B1679" s="329" t="s">
        <v>224</v>
      </c>
      <c r="C1679" s="331"/>
      <c r="D1679" s="332">
        <v>1550464.0080856665</v>
      </c>
      <c r="E1679" s="332">
        <v>1025224.0240696165</v>
      </c>
      <c r="F1679" s="332">
        <v>805712.36986551271</v>
      </c>
      <c r="G1679" s="332">
        <v>641605.60410380049</v>
      </c>
      <c r="H1679" s="332">
        <v>633656.30936658185</v>
      </c>
      <c r="I1679" s="332">
        <v>440639.4275426587</v>
      </c>
      <c r="J1679" s="332">
        <v>502256.04176613304</v>
      </c>
      <c r="K1679" s="332">
        <v>815197.58764605178</v>
      </c>
      <c r="L1679" s="332">
        <v>826755.79806939268</v>
      </c>
      <c r="M1679" s="332">
        <v>946032.19599576015</v>
      </c>
      <c r="N1679" s="332">
        <v>617204.59483017295</v>
      </c>
      <c r="O1679" s="332">
        <v>797157.81164564379</v>
      </c>
      <c r="P1679" s="332">
        <v>753871.30817276007</v>
      </c>
      <c r="Q1679" s="332">
        <v>1013043.6690588992</v>
      </c>
      <c r="R1679" s="332">
        <v>829538.27754022228</v>
      </c>
      <c r="S1679" s="332">
        <v>598629.03526212799</v>
      </c>
      <c r="T1679" s="332">
        <v>722329.91160974093</v>
      </c>
      <c r="U1679" s="332">
        <v>918428.94065341621</v>
      </c>
      <c r="V1679" s="332">
        <v>701099.75151550863</v>
      </c>
      <c r="W1679" s="9"/>
    </row>
    <row r="1680" spans="1:23" x14ac:dyDescent="0.2">
      <c r="A1680" s="9"/>
      <c r="B1680" s="292" t="s">
        <v>226</v>
      </c>
      <c r="C1680" s="326"/>
      <c r="D1680" s="333">
        <v>1033642.672057111</v>
      </c>
      <c r="E1680" s="333">
        <v>683482.68271307775</v>
      </c>
      <c r="F1680" s="333">
        <v>537141.57991034188</v>
      </c>
      <c r="G1680" s="333">
        <v>427737.0694025337</v>
      </c>
      <c r="H1680" s="333">
        <v>422437.53957772127</v>
      </c>
      <c r="I1680" s="333">
        <v>293759.61836177245</v>
      </c>
      <c r="J1680" s="333">
        <v>334837.36117742211</v>
      </c>
      <c r="K1680" s="333">
        <v>543465.05843070126</v>
      </c>
      <c r="L1680" s="333">
        <v>551170.53204626183</v>
      </c>
      <c r="M1680" s="333">
        <v>630688.1306638401</v>
      </c>
      <c r="N1680" s="333">
        <v>411469.72988678201</v>
      </c>
      <c r="O1680" s="333">
        <v>531438.54109709593</v>
      </c>
      <c r="P1680" s="333">
        <v>502580.87211517338</v>
      </c>
      <c r="Q1680" s="333">
        <v>675362.44603926619</v>
      </c>
      <c r="R1680" s="333">
        <v>553025.51836014818</v>
      </c>
      <c r="S1680" s="333">
        <v>399086.0235080854</v>
      </c>
      <c r="T1680" s="333">
        <v>481553.27440649405</v>
      </c>
      <c r="U1680" s="333">
        <v>612285.96043561085</v>
      </c>
      <c r="V1680" s="333">
        <v>467399.8343436725</v>
      </c>
      <c r="W1680" s="9"/>
    </row>
    <row r="1681" spans="1:23" x14ac:dyDescent="0.2">
      <c r="A1681" s="9"/>
      <c r="B1681" s="334" t="s">
        <v>227</v>
      </c>
      <c r="C1681" s="335"/>
      <c r="D1681" s="333">
        <v>256373.48737677658</v>
      </c>
      <c r="E1681" s="333">
        <v>235299.63781481623</v>
      </c>
      <c r="F1681" s="333">
        <v>205307.07945894302</v>
      </c>
      <c r="G1681" s="333">
        <v>174904.47125886939</v>
      </c>
      <c r="H1681" s="333">
        <v>160607.06942284212</v>
      </c>
      <c r="I1681" s="333">
        <v>156554.00520463297</v>
      </c>
      <c r="J1681" s="333">
        <v>163690.99180529558</v>
      </c>
      <c r="K1681" s="333">
        <v>170232.88617273298</v>
      </c>
      <c r="L1681" s="333">
        <v>176826.65684389556</v>
      </c>
      <c r="M1681" s="333">
        <v>182884.16010594799</v>
      </c>
      <c r="N1681" s="333">
        <v>175467.77021218458</v>
      </c>
      <c r="O1681" s="333">
        <v>167517.17536217629</v>
      </c>
      <c r="P1681" s="333">
        <v>173658.16151840443</v>
      </c>
      <c r="Q1681" s="333">
        <v>120623.72577722732</v>
      </c>
      <c r="R1681" s="333">
        <v>67973.177057618159</v>
      </c>
      <c r="S1681" s="333">
        <v>74465.269284038688</v>
      </c>
      <c r="T1681" s="333">
        <v>81152.124277251874</v>
      </c>
      <c r="U1681" s="333">
        <v>88039.584920261419</v>
      </c>
      <c r="V1681" s="333">
        <v>95133.669382561275</v>
      </c>
      <c r="W1681" s="9"/>
    </row>
    <row r="1682" spans="1:23" ht="13.5" thickBot="1" x14ac:dyDescent="0.25">
      <c r="A1682" s="9"/>
      <c r="B1682" s="336" t="s">
        <v>228</v>
      </c>
      <c r="C1682" s="337"/>
      <c r="D1682" s="338">
        <v>2840480.167519554</v>
      </c>
      <c r="E1682" s="338">
        <v>1944006.3445975105</v>
      </c>
      <c r="F1682" s="338">
        <v>1548161.0292347977</v>
      </c>
      <c r="G1682" s="338">
        <v>1244247.1447652036</v>
      </c>
      <c r="H1682" s="338">
        <v>1216700.9183671451</v>
      </c>
      <c r="I1682" s="338">
        <v>890953.05110906414</v>
      </c>
      <c r="J1682" s="338">
        <v>1000784.3947488507</v>
      </c>
      <c r="K1682" s="338">
        <v>1528895.5322494861</v>
      </c>
      <c r="L1682" s="338">
        <v>1554752.9869595501</v>
      </c>
      <c r="M1682" s="338">
        <v>1759604.4867655481</v>
      </c>
      <c r="N1682" s="338">
        <v>1204142.0949291396</v>
      </c>
      <c r="O1682" s="338">
        <v>1496113.528104916</v>
      </c>
      <c r="P1682" s="338">
        <v>1430110.3418063379</v>
      </c>
      <c r="Q1682" s="338">
        <v>1809029.8408753928</v>
      </c>
      <c r="R1682" s="338">
        <v>1450536.9729579887</v>
      </c>
      <c r="S1682" s="338">
        <v>1072180.3280542521</v>
      </c>
      <c r="T1682" s="338">
        <v>1285035.3102934868</v>
      </c>
      <c r="U1682" s="338">
        <v>1618754.4860092886</v>
      </c>
      <c r="V1682" s="338">
        <v>1263633.2552417424</v>
      </c>
      <c r="W1682" s="9"/>
    </row>
    <row r="1683" spans="1:23" ht="13.5" thickTop="1" x14ac:dyDescent="0.2">
      <c r="A1683" s="330" t="s">
        <v>229</v>
      </c>
      <c r="B1683" s="292" t="s">
        <v>230</v>
      </c>
      <c r="C1683" s="326"/>
      <c r="D1683" s="333">
        <v>-572072.6856983226</v>
      </c>
      <c r="E1683" s="333">
        <v>-571105.994308152</v>
      </c>
      <c r="F1683" s="333">
        <v>-567419.22315439081</v>
      </c>
      <c r="G1683" s="333">
        <v>-551343.67461045913</v>
      </c>
      <c r="H1683" s="333">
        <v>-509959.22651103698</v>
      </c>
      <c r="I1683" s="333">
        <v>-515109.22651103698</v>
      </c>
      <c r="J1683" s="333">
        <v>-297727.48179906013</v>
      </c>
      <c r="K1683" s="333">
        <v>-109683.59723414935</v>
      </c>
      <c r="L1683" s="333">
        <v>-115116.44440495</v>
      </c>
      <c r="M1683" s="333">
        <v>-113527.91955679125</v>
      </c>
      <c r="N1683" s="333">
        <v>-63875.927684645911</v>
      </c>
      <c r="O1683" s="333">
        <v>-70025.29701177025</v>
      </c>
      <c r="P1683" s="333">
        <v>-76359.147418708337</v>
      </c>
      <c r="Q1683" s="333">
        <v>-82883.013337854558</v>
      </c>
      <c r="R1683" s="333">
        <v>-89602.595234575158</v>
      </c>
      <c r="S1683" s="333">
        <v>-96173.377212357518</v>
      </c>
      <c r="T1683" s="333">
        <v>-102354.9396233774</v>
      </c>
      <c r="U1683" s="333">
        <v>-109697.60819063522</v>
      </c>
      <c r="V1683" s="333">
        <v>-117260.55681491077</v>
      </c>
      <c r="W1683" s="9"/>
    </row>
    <row r="1684" spans="1:23" x14ac:dyDescent="0.2">
      <c r="A1684" s="9"/>
      <c r="B1684" s="292" t="s">
        <v>231</v>
      </c>
      <c r="C1684" s="326"/>
      <c r="D1684" s="333">
        <v>0</v>
      </c>
      <c r="E1684" s="333">
        <v>0</v>
      </c>
      <c r="F1684" s="333">
        <v>0</v>
      </c>
      <c r="G1684" s="333">
        <v>0</v>
      </c>
      <c r="H1684" s="333">
        <v>0</v>
      </c>
      <c r="I1684" s="333">
        <v>0</v>
      </c>
      <c r="J1684" s="333">
        <v>0</v>
      </c>
      <c r="K1684" s="333">
        <v>0</v>
      </c>
      <c r="L1684" s="333">
        <v>0</v>
      </c>
      <c r="M1684" s="333">
        <v>0</v>
      </c>
      <c r="N1684" s="333">
        <v>0</v>
      </c>
      <c r="O1684" s="333">
        <v>0</v>
      </c>
      <c r="P1684" s="333">
        <v>0</v>
      </c>
      <c r="Q1684" s="333">
        <v>0</v>
      </c>
      <c r="R1684" s="333">
        <v>0</v>
      </c>
      <c r="S1684" s="333">
        <v>0</v>
      </c>
      <c r="T1684" s="333">
        <v>0</v>
      </c>
      <c r="U1684" s="333">
        <v>0</v>
      </c>
      <c r="V1684" s="333">
        <v>0</v>
      </c>
      <c r="W1684" s="9"/>
    </row>
    <row r="1685" spans="1:23" x14ac:dyDescent="0.2">
      <c r="A1685" s="9"/>
      <c r="B1685" s="329" t="s">
        <v>232</v>
      </c>
      <c r="C1685" s="331"/>
      <c r="D1685" s="332">
        <v>2268407.4818212315</v>
      </c>
      <c r="E1685" s="332">
        <v>1372900.3502893585</v>
      </c>
      <c r="F1685" s="332">
        <v>980741.80608040688</v>
      </c>
      <c r="G1685" s="332">
        <v>692903.47015474446</v>
      </c>
      <c r="H1685" s="332">
        <v>706741.69185610814</v>
      </c>
      <c r="I1685" s="332">
        <v>375843.82459802716</v>
      </c>
      <c r="J1685" s="332">
        <v>703056.9129497906</v>
      </c>
      <c r="K1685" s="332">
        <v>1419211.9350153366</v>
      </c>
      <c r="L1685" s="332">
        <v>1439636.5425546002</v>
      </c>
      <c r="M1685" s="332">
        <v>1646076.5672087569</v>
      </c>
      <c r="N1685" s="332">
        <v>1140266.1672444937</v>
      </c>
      <c r="O1685" s="332">
        <v>1426088.2310931457</v>
      </c>
      <c r="P1685" s="332">
        <v>1353751.1943876296</v>
      </c>
      <c r="Q1685" s="332">
        <v>1726146.8275375383</v>
      </c>
      <c r="R1685" s="332">
        <v>1360934.3777234135</v>
      </c>
      <c r="S1685" s="332">
        <v>976006.95084189461</v>
      </c>
      <c r="T1685" s="332">
        <v>1182680.3706701095</v>
      </c>
      <c r="U1685" s="332">
        <v>1509056.8778186534</v>
      </c>
      <c r="V1685" s="332">
        <v>1146372.6984268315</v>
      </c>
      <c r="W1685" s="9"/>
    </row>
    <row r="1686" spans="1:23" ht="13.5" thickBot="1" x14ac:dyDescent="0.25">
      <c r="A1686" s="9"/>
      <c r="B1686" s="339" t="s">
        <v>238</v>
      </c>
      <c r="C1686" s="340"/>
      <c r="D1686" s="341">
        <v>-907362.99272849271</v>
      </c>
      <c r="E1686" s="341">
        <v>-549160.14011574339</v>
      </c>
      <c r="F1686" s="341">
        <v>-392296.72243216279</v>
      </c>
      <c r="G1686" s="341">
        <v>-277161.38806189777</v>
      </c>
      <c r="H1686" s="341">
        <v>-282696.67674244329</v>
      </c>
      <c r="I1686" s="341">
        <v>-150337.52983921088</v>
      </c>
      <c r="J1686" s="341">
        <v>-281222.76517991623</v>
      </c>
      <c r="K1686" s="341">
        <v>-567684.77400613471</v>
      </c>
      <c r="L1686" s="341">
        <v>-575854.61702184007</v>
      </c>
      <c r="M1686" s="341">
        <v>-658430.62688350282</v>
      </c>
      <c r="N1686" s="341">
        <v>-456106.46689779754</v>
      </c>
      <c r="O1686" s="341">
        <v>-570435.29243725829</v>
      </c>
      <c r="P1686" s="341">
        <v>-541500.47775505192</v>
      </c>
      <c r="Q1686" s="341">
        <v>-690458.73101501539</v>
      </c>
      <c r="R1686" s="341">
        <v>-544373.75108936545</v>
      </c>
      <c r="S1686" s="341">
        <v>-390402.78033675789</v>
      </c>
      <c r="T1686" s="341">
        <v>-473072.14826804382</v>
      </c>
      <c r="U1686" s="341">
        <v>-603622.75112746132</v>
      </c>
      <c r="V1686" s="341">
        <v>-458549.07937073265</v>
      </c>
      <c r="W1686" s="9"/>
    </row>
    <row r="1687" spans="1:23" ht="13.5" thickTop="1" x14ac:dyDescent="0.2">
      <c r="A1687" s="9"/>
      <c r="B1687" s="329" t="s">
        <v>233</v>
      </c>
      <c r="C1687" s="331"/>
      <c r="D1687" s="332">
        <v>1361044.4890927388</v>
      </c>
      <c r="E1687" s="332">
        <v>823740.21017361514</v>
      </c>
      <c r="F1687" s="332">
        <v>588445.08364824415</v>
      </c>
      <c r="G1687" s="332">
        <v>415742.08209284669</v>
      </c>
      <c r="H1687" s="332">
        <v>424045.01511366485</v>
      </c>
      <c r="I1687" s="332">
        <v>225506.29475881628</v>
      </c>
      <c r="J1687" s="332">
        <v>421834.14776987437</v>
      </c>
      <c r="K1687" s="332">
        <v>851527.1610092019</v>
      </c>
      <c r="L1687" s="332">
        <v>863781.9255327601</v>
      </c>
      <c r="M1687" s="332">
        <v>987645.94032525411</v>
      </c>
      <c r="N1687" s="332">
        <v>684159.70034669619</v>
      </c>
      <c r="O1687" s="332">
        <v>855652.93865588738</v>
      </c>
      <c r="P1687" s="332">
        <v>812250.71663257771</v>
      </c>
      <c r="Q1687" s="332">
        <v>1035688.0965225229</v>
      </c>
      <c r="R1687" s="332">
        <v>816560.62663404807</v>
      </c>
      <c r="S1687" s="332">
        <v>585604.17050513672</v>
      </c>
      <c r="T1687" s="332">
        <v>709608.22240206576</v>
      </c>
      <c r="U1687" s="332">
        <v>905434.12669119204</v>
      </c>
      <c r="V1687" s="332">
        <v>687823.61905609886</v>
      </c>
      <c r="W1687" s="9"/>
    </row>
    <row r="1688" spans="1:23" x14ac:dyDescent="0.2">
      <c r="A1688" s="9"/>
      <c r="B1688" s="9"/>
      <c r="C1688" s="326"/>
      <c r="D1688" s="9"/>
      <c r="E1688" s="327"/>
      <c r="F1688" s="319"/>
      <c r="G1688" s="328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</row>
    <row r="1689" spans="1:23" ht="15.75" x14ac:dyDescent="0.25">
      <c r="A1689" s="342" t="s">
        <v>206</v>
      </c>
      <c r="B1689" s="343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</row>
    <row r="1690" spans="1:23" x14ac:dyDescent="0.2">
      <c r="A1690" s="290" t="s">
        <v>191</v>
      </c>
      <c r="B1690" s="309"/>
      <c r="C1690" s="344">
        <v>0</v>
      </c>
      <c r="D1690" s="283"/>
      <c r="E1690" s="283"/>
      <c r="F1690" s="283"/>
      <c r="G1690" s="283"/>
      <c r="H1690" s="283"/>
      <c r="I1690" s="283"/>
      <c r="J1690" s="283"/>
      <c r="K1690" s="283"/>
      <c r="L1690" s="283"/>
      <c r="M1690" s="283"/>
      <c r="N1690" s="283"/>
      <c r="O1690" s="283"/>
      <c r="P1690" s="283"/>
      <c r="Q1690" s="283"/>
      <c r="R1690" s="283"/>
      <c r="S1690" s="283"/>
      <c r="T1690" s="283"/>
      <c r="U1690" s="283"/>
      <c r="V1690" s="283"/>
      <c r="W1690" s="283"/>
    </row>
    <row r="1691" spans="1:23" x14ac:dyDescent="0.2">
      <c r="A1691" s="290" t="s">
        <v>192</v>
      </c>
      <c r="B1691" s="309"/>
      <c r="C1691" s="345">
        <v>0</v>
      </c>
      <c r="D1691" s="283"/>
      <c r="E1691" s="283"/>
      <c r="F1691" s="283"/>
      <c r="G1691" s="283"/>
      <c r="H1691" s="283"/>
      <c r="I1691" s="283"/>
      <c r="J1691" s="283"/>
      <c r="K1691" s="283"/>
      <c r="L1691" s="283"/>
      <c r="M1691" s="283"/>
      <c r="N1691" s="283"/>
      <c r="O1691" s="283"/>
      <c r="P1691" s="283"/>
      <c r="Q1691" s="283"/>
      <c r="R1691" s="283"/>
      <c r="S1691" s="283"/>
      <c r="T1691" s="283"/>
      <c r="U1691" s="283"/>
      <c r="V1691" s="283"/>
      <c r="W1691" s="283"/>
    </row>
    <row r="1692" spans="1:23" x14ac:dyDescent="0.2">
      <c r="A1692" s="290" t="s">
        <v>202</v>
      </c>
      <c r="B1692" s="309"/>
      <c r="C1692" s="290">
        <v>15</v>
      </c>
      <c r="D1692" s="283"/>
      <c r="E1692" s="283"/>
      <c r="F1692" s="283"/>
      <c r="G1692" s="283"/>
      <c r="H1692" s="283"/>
      <c r="I1692" s="283"/>
      <c r="J1692" s="283"/>
      <c r="K1692" s="283"/>
      <c r="L1692" s="283"/>
      <c r="M1692" s="283"/>
      <c r="N1692" s="283"/>
      <c r="O1692" s="283"/>
      <c r="P1692" s="283"/>
      <c r="Q1692" s="283"/>
      <c r="R1692" s="283"/>
      <c r="S1692" s="283"/>
      <c r="T1692" s="283"/>
      <c r="U1692" s="283"/>
      <c r="V1692" s="283"/>
      <c r="W1692" s="283"/>
    </row>
    <row r="1693" spans="1:23" x14ac:dyDescent="0.2">
      <c r="A1693" s="290" t="s">
        <v>193</v>
      </c>
      <c r="B1693" s="309"/>
      <c r="C1693" s="345">
        <v>0</v>
      </c>
      <c r="D1693" s="283"/>
      <c r="E1693" s="283"/>
      <c r="F1693" s="283"/>
      <c r="G1693" s="283"/>
      <c r="H1693" s="283"/>
      <c r="I1693" s="283"/>
      <c r="J1693" s="283"/>
      <c r="K1693" s="283"/>
      <c r="L1693" s="283"/>
      <c r="M1693" s="283"/>
      <c r="N1693" s="283"/>
      <c r="O1693" s="283"/>
      <c r="P1693" s="283"/>
      <c r="Q1693" s="283"/>
      <c r="R1693" s="283"/>
      <c r="S1693" s="283"/>
      <c r="T1693" s="283"/>
      <c r="U1693" s="283"/>
      <c r="V1693" s="283"/>
      <c r="W1693" s="283"/>
    </row>
    <row r="1694" spans="1:23" x14ac:dyDescent="0.2">
      <c r="A1694" s="290" t="s">
        <v>194</v>
      </c>
      <c r="B1694" s="309"/>
      <c r="C1694" s="346">
        <v>8.7499999999999994E-2</v>
      </c>
      <c r="D1694" s="283"/>
      <c r="E1694" s="283"/>
      <c r="F1694" s="283"/>
      <c r="G1694" s="283"/>
      <c r="H1694" s="283"/>
      <c r="I1694" s="283"/>
      <c r="J1694" s="283"/>
      <c r="K1694" s="283"/>
      <c r="L1694" s="283"/>
      <c r="M1694" s="283"/>
      <c r="N1694" s="283"/>
      <c r="O1694" s="283"/>
      <c r="P1694" s="283"/>
      <c r="Q1694" s="283"/>
      <c r="R1694" s="283"/>
      <c r="S1694" s="283"/>
      <c r="T1694" s="283"/>
      <c r="U1694" s="283"/>
      <c r="V1694" s="283"/>
      <c r="W1694" s="283"/>
    </row>
    <row r="1695" spans="1:23" x14ac:dyDescent="0.2">
      <c r="A1695" s="290"/>
      <c r="B1695" s="309"/>
      <c r="C1695" s="283"/>
      <c r="D1695" s="312">
        <v>2001</v>
      </c>
      <c r="E1695" s="312">
        <v>2002</v>
      </c>
      <c r="F1695" s="312">
        <v>2003</v>
      </c>
      <c r="G1695" s="312">
        <v>2004</v>
      </c>
      <c r="H1695" s="312">
        <v>2005</v>
      </c>
      <c r="I1695" s="312">
        <v>2006</v>
      </c>
      <c r="J1695" s="312">
        <v>2007</v>
      </c>
      <c r="K1695" s="312">
        <v>2008</v>
      </c>
      <c r="L1695" s="312">
        <v>2009</v>
      </c>
      <c r="M1695" s="312">
        <v>2010</v>
      </c>
      <c r="N1695" s="312">
        <v>2011</v>
      </c>
      <c r="O1695" s="312">
        <v>2012</v>
      </c>
      <c r="P1695" s="312">
        <v>2013</v>
      </c>
      <c r="Q1695" s="312">
        <v>2014</v>
      </c>
      <c r="R1695" s="312">
        <v>2015</v>
      </c>
      <c r="S1695" s="312">
        <v>2016</v>
      </c>
      <c r="T1695" s="312">
        <v>2017</v>
      </c>
      <c r="U1695" s="312">
        <v>2018</v>
      </c>
      <c r="V1695" s="312">
        <v>2019</v>
      </c>
      <c r="W1695" s="312" t="s">
        <v>154</v>
      </c>
    </row>
    <row r="1696" spans="1:23" x14ac:dyDescent="0.2">
      <c r="A1696" s="290" t="s">
        <v>195</v>
      </c>
      <c r="B1696" s="309"/>
      <c r="C1696" s="283"/>
      <c r="D1696" s="347">
        <v>0</v>
      </c>
      <c r="E1696" s="347">
        <v>0</v>
      </c>
      <c r="F1696" s="347">
        <v>0</v>
      </c>
      <c r="G1696" s="347">
        <v>0</v>
      </c>
      <c r="H1696" s="347">
        <v>0</v>
      </c>
      <c r="I1696" s="347">
        <v>0</v>
      </c>
      <c r="J1696" s="347">
        <v>0</v>
      </c>
      <c r="K1696" s="347">
        <v>0</v>
      </c>
      <c r="L1696" s="347">
        <v>0</v>
      </c>
      <c r="M1696" s="347">
        <v>0</v>
      </c>
      <c r="N1696" s="347">
        <v>0</v>
      </c>
      <c r="O1696" s="347">
        <v>0</v>
      </c>
      <c r="P1696" s="347">
        <v>0</v>
      </c>
      <c r="Q1696" s="347">
        <v>0</v>
      </c>
      <c r="R1696" s="347">
        <v>0</v>
      </c>
      <c r="S1696" s="347">
        <v>0</v>
      </c>
      <c r="T1696" s="347">
        <v>0</v>
      </c>
      <c r="U1696" s="347">
        <v>0</v>
      </c>
      <c r="V1696" s="347">
        <v>0</v>
      </c>
      <c r="W1696" s="347">
        <v>0</v>
      </c>
    </row>
    <row r="1697" spans="1:23" x14ac:dyDescent="0.2">
      <c r="A1697" s="290" t="s">
        <v>196</v>
      </c>
      <c r="B1697" s="309"/>
      <c r="C1697" s="283"/>
      <c r="D1697" s="347">
        <v>0</v>
      </c>
      <c r="E1697" s="347">
        <v>0</v>
      </c>
      <c r="F1697" s="347">
        <v>0</v>
      </c>
      <c r="G1697" s="347">
        <v>0</v>
      </c>
      <c r="H1697" s="347">
        <v>0</v>
      </c>
      <c r="I1697" s="347">
        <v>0</v>
      </c>
      <c r="J1697" s="347">
        <v>0</v>
      </c>
      <c r="K1697" s="347">
        <v>0</v>
      </c>
      <c r="L1697" s="347">
        <v>0</v>
      </c>
      <c r="M1697" s="347">
        <v>0</v>
      </c>
      <c r="N1697" s="347">
        <v>0</v>
      </c>
      <c r="O1697" s="347">
        <v>0</v>
      </c>
      <c r="P1697" s="347">
        <v>0</v>
      </c>
      <c r="Q1697" s="347">
        <v>0</v>
      </c>
      <c r="R1697" s="347">
        <v>0</v>
      </c>
      <c r="S1697" s="347">
        <v>0</v>
      </c>
      <c r="T1697" s="347">
        <v>0</v>
      </c>
      <c r="U1697" s="347">
        <v>0</v>
      </c>
      <c r="V1697" s="347">
        <v>0</v>
      </c>
      <c r="W1697" s="347">
        <v>0</v>
      </c>
    </row>
    <row r="1698" spans="1:23" x14ac:dyDescent="0.2">
      <c r="A1698" s="290" t="s">
        <v>197</v>
      </c>
      <c r="B1698" s="309"/>
      <c r="C1698" s="283"/>
      <c r="D1698" s="347">
        <v>0</v>
      </c>
      <c r="E1698" s="347">
        <v>0</v>
      </c>
      <c r="F1698" s="347">
        <v>0</v>
      </c>
      <c r="G1698" s="347">
        <v>0</v>
      </c>
      <c r="H1698" s="347">
        <v>0</v>
      </c>
      <c r="I1698" s="347">
        <v>0</v>
      </c>
      <c r="J1698" s="347">
        <v>0</v>
      </c>
      <c r="K1698" s="347">
        <v>0</v>
      </c>
      <c r="L1698" s="347">
        <v>0</v>
      </c>
      <c r="M1698" s="347">
        <v>0</v>
      </c>
      <c r="N1698" s="347">
        <v>0</v>
      </c>
      <c r="O1698" s="347">
        <v>0</v>
      </c>
      <c r="P1698" s="347">
        <v>0</v>
      </c>
      <c r="Q1698" s="347">
        <v>0</v>
      </c>
      <c r="R1698" s="347">
        <v>0</v>
      </c>
      <c r="S1698" s="347">
        <v>0</v>
      </c>
      <c r="T1698" s="347">
        <v>0</v>
      </c>
      <c r="U1698" s="347">
        <v>0</v>
      </c>
      <c r="V1698" s="347">
        <v>0</v>
      </c>
      <c r="W1698" s="347">
        <v>0</v>
      </c>
    </row>
    <row r="1699" spans="1:23" x14ac:dyDescent="0.2">
      <c r="A1699" s="290" t="s">
        <v>198</v>
      </c>
      <c r="B1699" s="309"/>
      <c r="C1699" s="283"/>
      <c r="D1699" s="348">
        <v>0</v>
      </c>
      <c r="E1699" s="348">
        <v>0</v>
      </c>
      <c r="F1699" s="348">
        <v>0</v>
      </c>
      <c r="G1699" s="348">
        <v>0</v>
      </c>
      <c r="H1699" s="348">
        <v>0</v>
      </c>
      <c r="I1699" s="348">
        <v>0</v>
      </c>
      <c r="J1699" s="348">
        <v>0</v>
      </c>
      <c r="K1699" s="348">
        <v>0</v>
      </c>
      <c r="L1699" s="348">
        <v>0</v>
      </c>
      <c r="M1699" s="348">
        <v>0</v>
      </c>
      <c r="N1699" s="348">
        <v>0</v>
      </c>
      <c r="O1699" s="348">
        <v>0</v>
      </c>
      <c r="P1699" s="348">
        <v>0</v>
      </c>
      <c r="Q1699" s="348">
        <v>0</v>
      </c>
      <c r="R1699" s="348">
        <v>0</v>
      </c>
      <c r="S1699" s="348">
        <v>0</v>
      </c>
      <c r="T1699" s="348">
        <v>0</v>
      </c>
      <c r="U1699" s="348">
        <v>0</v>
      </c>
      <c r="V1699" s="348">
        <v>0</v>
      </c>
      <c r="W1699" s="348">
        <v>0</v>
      </c>
    </row>
    <row r="1700" spans="1:23" ht="13.5" thickBot="1" x14ac:dyDescent="0.25">
      <c r="A1700" s="290" t="s">
        <v>199</v>
      </c>
      <c r="B1700" s="309"/>
      <c r="C1700" s="283"/>
      <c r="D1700" s="349">
        <v>0</v>
      </c>
      <c r="E1700" s="349">
        <v>0</v>
      </c>
      <c r="F1700" s="349">
        <v>0</v>
      </c>
      <c r="G1700" s="349">
        <v>0</v>
      </c>
      <c r="H1700" s="349">
        <v>0</v>
      </c>
      <c r="I1700" s="349">
        <v>0</v>
      </c>
      <c r="J1700" s="349">
        <v>0</v>
      </c>
      <c r="K1700" s="349">
        <v>0</v>
      </c>
      <c r="L1700" s="349">
        <v>0</v>
      </c>
      <c r="M1700" s="349">
        <v>0</v>
      </c>
      <c r="N1700" s="349">
        <v>0</v>
      </c>
      <c r="O1700" s="349">
        <v>0</v>
      </c>
      <c r="P1700" s="349">
        <v>0</v>
      </c>
      <c r="Q1700" s="349">
        <v>0</v>
      </c>
      <c r="R1700" s="349">
        <v>0</v>
      </c>
      <c r="S1700" s="349">
        <v>0</v>
      </c>
      <c r="T1700" s="349">
        <v>0</v>
      </c>
      <c r="U1700" s="349">
        <v>0</v>
      </c>
      <c r="V1700" s="349">
        <v>0</v>
      </c>
      <c r="W1700" s="349">
        <v>0</v>
      </c>
    </row>
    <row r="1701" spans="1:23" ht="13.5" thickTop="1" x14ac:dyDescent="0.2">
      <c r="A1701" s="290"/>
      <c r="B1701" s="309"/>
      <c r="C1701" s="283"/>
      <c r="D1701" s="347"/>
      <c r="E1701" s="347"/>
      <c r="F1701" s="347"/>
      <c r="G1701" s="347"/>
      <c r="H1701" s="347"/>
      <c r="I1701" s="347"/>
      <c r="J1701" s="347"/>
      <c r="K1701" s="347"/>
      <c r="L1701" s="347"/>
      <c r="M1701" s="347"/>
      <c r="N1701" s="347"/>
      <c r="O1701" s="347"/>
      <c r="P1701" s="347"/>
      <c r="Q1701" s="347"/>
      <c r="R1701" s="347"/>
      <c r="S1701" s="347"/>
      <c r="T1701" s="347"/>
      <c r="U1701" s="347"/>
      <c r="V1701" s="347"/>
      <c r="W1701" s="347"/>
    </row>
    <row r="1702" spans="1:23" x14ac:dyDescent="0.2">
      <c r="A1702" s="290" t="s">
        <v>200</v>
      </c>
      <c r="B1702" s="309"/>
      <c r="C1702" s="283"/>
      <c r="D1702" s="347">
        <v>0</v>
      </c>
      <c r="E1702" s="347">
        <v>0</v>
      </c>
      <c r="F1702" s="347">
        <v>0</v>
      </c>
      <c r="G1702" s="347">
        <v>0</v>
      </c>
      <c r="H1702" s="347">
        <v>0</v>
      </c>
      <c r="I1702" s="347">
        <v>0</v>
      </c>
      <c r="J1702" s="347">
        <v>0</v>
      </c>
      <c r="K1702" s="347">
        <v>0</v>
      </c>
      <c r="L1702" s="347">
        <v>0</v>
      </c>
      <c r="M1702" s="347">
        <v>0</v>
      </c>
      <c r="N1702" s="347">
        <v>0</v>
      </c>
      <c r="O1702" s="347">
        <v>0</v>
      </c>
      <c r="P1702" s="347">
        <v>0</v>
      </c>
      <c r="Q1702" s="347">
        <v>0</v>
      </c>
      <c r="R1702" s="347">
        <v>0</v>
      </c>
      <c r="S1702" s="347">
        <v>0</v>
      </c>
      <c r="T1702" s="347">
        <v>0</v>
      </c>
      <c r="U1702" s="347">
        <v>0</v>
      </c>
      <c r="V1702" s="347">
        <v>0</v>
      </c>
      <c r="W1702" s="347">
        <v>0</v>
      </c>
    </row>
    <row r="1703" spans="1:23" x14ac:dyDescent="0.2">
      <c r="A1703" s="290"/>
      <c r="B1703" s="309"/>
      <c r="C1703" s="283"/>
      <c r="D1703" s="283"/>
      <c r="E1703" s="283"/>
      <c r="F1703" s="283"/>
      <c r="G1703" s="283"/>
      <c r="H1703" s="283"/>
      <c r="I1703" s="283"/>
      <c r="J1703" s="283"/>
      <c r="K1703" s="283"/>
      <c r="L1703" s="283"/>
      <c r="M1703" s="283"/>
      <c r="N1703" s="283"/>
      <c r="O1703" s="283"/>
      <c r="P1703" s="283"/>
      <c r="Q1703" s="283"/>
      <c r="R1703" s="283"/>
      <c r="S1703" s="283"/>
      <c r="T1703" s="283"/>
      <c r="U1703" s="283"/>
      <c r="V1703" s="283"/>
      <c r="W1703" s="283"/>
    </row>
    <row r="1704" spans="1:23" x14ac:dyDescent="0.2">
      <c r="A1704" s="290" t="s">
        <v>201</v>
      </c>
      <c r="B1704" s="309"/>
      <c r="C1704" s="283"/>
      <c r="D1704" s="347">
        <v>0</v>
      </c>
      <c r="E1704" s="347">
        <v>0</v>
      </c>
      <c r="F1704" s="347">
        <v>0</v>
      </c>
      <c r="G1704" s="347">
        <v>0</v>
      </c>
      <c r="H1704" s="347">
        <v>0</v>
      </c>
      <c r="I1704" s="347">
        <v>0</v>
      </c>
      <c r="J1704" s="347">
        <v>0</v>
      </c>
      <c r="K1704" s="347">
        <v>0</v>
      </c>
      <c r="L1704" s="347">
        <v>0</v>
      </c>
      <c r="M1704" s="347">
        <v>0</v>
      </c>
      <c r="N1704" s="347">
        <v>0</v>
      </c>
      <c r="O1704" s="347">
        <v>0</v>
      </c>
      <c r="P1704" s="347">
        <v>0</v>
      </c>
      <c r="Q1704" s="347">
        <v>0</v>
      </c>
      <c r="R1704" s="347">
        <v>0</v>
      </c>
      <c r="S1704" s="347">
        <v>0</v>
      </c>
      <c r="T1704" s="347">
        <v>0</v>
      </c>
      <c r="U1704" s="347">
        <v>0</v>
      </c>
      <c r="V1704" s="347">
        <v>0</v>
      </c>
      <c r="W1704" s="347">
        <v>0</v>
      </c>
    </row>
    <row r="1705" spans="1:23" x14ac:dyDescent="0.2">
      <c r="A1705" s="283"/>
      <c r="B1705" s="309"/>
      <c r="C1705" s="283"/>
      <c r="D1705" s="283"/>
      <c r="E1705" s="283"/>
      <c r="F1705" s="283"/>
      <c r="G1705" s="283"/>
      <c r="H1705" s="283"/>
      <c r="I1705" s="283"/>
      <c r="J1705" s="283"/>
      <c r="K1705" s="283"/>
      <c r="L1705" s="283"/>
      <c r="M1705" s="283"/>
      <c r="N1705" s="283"/>
      <c r="O1705" s="283"/>
      <c r="P1705" s="283"/>
      <c r="Q1705" s="283"/>
      <c r="R1705" s="283"/>
      <c r="S1705" s="283"/>
      <c r="T1705" s="283"/>
      <c r="U1705" s="283"/>
      <c r="V1705" s="283"/>
      <c r="W1705" s="283"/>
    </row>
    <row r="1706" spans="1:23" x14ac:dyDescent="0.2">
      <c r="A1706" s="283"/>
      <c r="B1706" s="309"/>
      <c r="C1706" s="283"/>
      <c r="D1706" s="283"/>
      <c r="E1706" s="283"/>
      <c r="F1706" s="283"/>
      <c r="G1706" s="283"/>
      <c r="H1706" s="283"/>
      <c r="I1706" s="283"/>
      <c r="J1706" s="283"/>
      <c r="K1706" s="283"/>
      <c r="L1706" s="283"/>
      <c r="M1706" s="283"/>
      <c r="N1706" s="283"/>
      <c r="O1706" s="283"/>
      <c r="P1706" s="283"/>
      <c r="Q1706" s="283"/>
      <c r="R1706" s="283"/>
      <c r="S1706" s="283"/>
      <c r="T1706" s="283"/>
      <c r="U1706" s="283"/>
      <c r="V1706" s="283"/>
      <c r="W1706" s="283"/>
    </row>
    <row r="1707" spans="1:23" x14ac:dyDescent="0.2">
      <c r="A1707" s="290" t="s">
        <v>203</v>
      </c>
      <c r="B1707" s="285"/>
      <c r="C1707" s="284"/>
      <c r="D1707" s="441">
        <v>1805413.9154624429</v>
      </c>
      <c r="E1707" s="441">
        <v>1259042.6418844326</v>
      </c>
      <c r="F1707" s="441">
        <v>1009478.6193244557</v>
      </c>
      <c r="G1707" s="441">
        <v>814900.74536266993</v>
      </c>
      <c r="H1707" s="441">
        <v>694263.37878942396</v>
      </c>
      <c r="I1707" s="441">
        <v>494193.43274729163</v>
      </c>
      <c r="J1707" s="441">
        <v>559857.03357142862</v>
      </c>
      <c r="K1707" s="441">
        <v>876157.77381878486</v>
      </c>
      <c r="L1707" s="441">
        <v>891031.5739132883</v>
      </c>
      <c r="M1707" s="441">
        <v>1012988.948671708</v>
      </c>
      <c r="N1707" s="441">
        <v>673267.13538945746</v>
      </c>
      <c r="O1707" s="441">
        <v>841687.60046533309</v>
      </c>
      <c r="P1707" s="441">
        <v>800852.46155240294</v>
      </c>
      <c r="Q1707" s="441">
        <v>1003190.0764532019</v>
      </c>
      <c r="R1707" s="441">
        <v>763119.81666342821</v>
      </c>
      <c r="S1707" s="441">
        <v>534670.91747372213</v>
      </c>
      <c r="T1707" s="441">
        <v>660905.94720237493</v>
      </c>
      <c r="U1707" s="441">
        <v>859615.15422852116</v>
      </c>
      <c r="V1707" s="441">
        <v>644974.44841255876</v>
      </c>
      <c r="W1707" s="441">
        <v>4789857.5023522098</v>
      </c>
    </row>
    <row r="1708" spans="1:23" x14ac:dyDescent="0.2">
      <c r="A1708" s="9"/>
      <c r="B1708" s="69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</row>
    <row r="1709" spans="1:23" x14ac:dyDescent="0.2">
      <c r="A1709" s="298"/>
      <c r="B1709" s="366"/>
      <c r="C1709" s="376"/>
      <c r="D1709" s="353"/>
      <c r="E1709" s="353"/>
      <c r="F1709" s="353"/>
      <c r="G1709" s="353"/>
      <c r="H1709" s="353"/>
      <c r="I1709" s="353"/>
      <c r="J1709" s="353"/>
      <c r="K1709" s="353"/>
      <c r="L1709" s="353"/>
      <c r="M1709" s="353"/>
      <c r="N1709" s="353"/>
      <c r="O1709" s="353"/>
      <c r="P1709" s="353"/>
      <c r="Q1709" s="353"/>
      <c r="R1709" s="353"/>
      <c r="S1709" s="353"/>
      <c r="T1709" s="353"/>
      <c r="U1709" s="353"/>
      <c r="V1709" s="353"/>
      <c r="W1709" s="353"/>
    </row>
    <row r="1710" spans="1:23" x14ac:dyDescent="0.2">
      <c r="A1710" s="298"/>
      <c r="B1710" s="366"/>
      <c r="C1710" s="376"/>
      <c r="D1710" s="68"/>
      <c r="E1710" s="68"/>
      <c r="F1710" s="68"/>
      <c r="G1710" s="68"/>
      <c r="H1710" s="68"/>
      <c r="I1710" s="68"/>
      <c r="J1710" s="68"/>
      <c r="K1710" s="68"/>
      <c r="L1710" s="68"/>
      <c r="M1710" s="68"/>
      <c r="N1710" s="68"/>
      <c r="O1710" s="68"/>
      <c r="P1710" s="68"/>
      <c r="Q1710" s="68"/>
      <c r="R1710" s="68"/>
      <c r="S1710" s="68"/>
      <c r="T1710" s="68"/>
      <c r="U1710" s="68"/>
      <c r="V1710" s="68"/>
      <c r="W1710" s="68"/>
    </row>
    <row r="1711" spans="1:23" x14ac:dyDescent="0.2">
      <c r="A1711" s="298"/>
      <c r="B1711" s="366"/>
      <c r="C1711" s="376"/>
      <c r="D1711" s="68"/>
      <c r="E1711" s="68"/>
      <c r="F1711" s="68"/>
      <c r="G1711" s="68"/>
      <c r="H1711" s="68"/>
      <c r="I1711" s="68"/>
      <c r="J1711" s="68"/>
      <c r="K1711" s="68"/>
      <c r="L1711" s="68"/>
      <c r="M1711" s="68"/>
      <c r="N1711" s="68"/>
      <c r="O1711" s="68"/>
      <c r="P1711" s="68"/>
      <c r="Q1711" s="68"/>
      <c r="R1711" s="68"/>
      <c r="S1711" s="68"/>
      <c r="T1711" s="68"/>
      <c r="U1711" s="68"/>
      <c r="V1711" s="68"/>
      <c r="W1711" s="68"/>
    </row>
    <row r="1712" spans="1:23" x14ac:dyDescent="0.2">
      <c r="A1712" s="298"/>
      <c r="B1712" s="366"/>
      <c r="C1712" s="376"/>
      <c r="D1712" s="68"/>
      <c r="E1712" s="68"/>
      <c r="F1712" s="68"/>
      <c r="G1712" s="68"/>
      <c r="H1712" s="68"/>
      <c r="I1712" s="68"/>
      <c r="J1712" s="68"/>
      <c r="K1712" s="68"/>
      <c r="L1712" s="68"/>
      <c r="M1712" s="68"/>
      <c r="N1712" s="68"/>
      <c r="O1712" s="68"/>
      <c r="P1712" s="68"/>
      <c r="Q1712" s="68"/>
      <c r="R1712" s="68"/>
      <c r="S1712" s="68"/>
      <c r="T1712" s="68"/>
      <c r="U1712" s="68"/>
      <c r="V1712" s="68"/>
      <c r="W1712" s="68"/>
    </row>
    <row r="1713" spans="1:23" x14ac:dyDescent="0.2">
      <c r="A1713" s="298"/>
      <c r="B1713" s="366"/>
      <c r="C1713" s="376"/>
      <c r="D1713" s="68"/>
      <c r="E1713" s="68"/>
      <c r="F1713" s="68"/>
      <c r="G1713" s="68"/>
      <c r="H1713" s="68"/>
      <c r="I1713" s="68"/>
      <c r="J1713" s="68"/>
      <c r="K1713" s="68"/>
      <c r="L1713" s="68"/>
      <c r="M1713" s="68"/>
      <c r="N1713" s="68"/>
      <c r="O1713" s="68"/>
      <c r="P1713" s="68"/>
      <c r="Q1713" s="68"/>
      <c r="R1713" s="68"/>
      <c r="S1713" s="68"/>
      <c r="T1713" s="68"/>
      <c r="U1713" s="68"/>
      <c r="V1713" s="68"/>
      <c r="W1713" s="68"/>
    </row>
    <row r="1714" spans="1:23" x14ac:dyDescent="0.2">
      <c r="A1714" s="298"/>
      <c r="B1714" s="366"/>
      <c r="C1714" s="376"/>
      <c r="D1714" s="68"/>
      <c r="E1714" s="68"/>
      <c r="F1714" s="68"/>
      <c r="G1714" s="68"/>
      <c r="H1714" s="68"/>
      <c r="I1714" s="68"/>
      <c r="J1714" s="68"/>
      <c r="K1714" s="68"/>
      <c r="L1714" s="68"/>
      <c r="M1714" s="68"/>
      <c r="N1714" s="68"/>
      <c r="O1714" s="68"/>
      <c r="P1714" s="68"/>
      <c r="Q1714" s="68"/>
      <c r="R1714" s="68"/>
      <c r="S1714" s="68"/>
      <c r="T1714" s="68"/>
      <c r="U1714" s="68"/>
      <c r="V1714" s="68"/>
      <c r="W1714" s="68"/>
    </row>
    <row r="1715" spans="1:23" x14ac:dyDescent="0.2">
      <c r="A1715" s="298"/>
      <c r="B1715" s="366"/>
      <c r="C1715" s="376"/>
      <c r="D1715" s="68"/>
      <c r="E1715" s="68"/>
      <c r="F1715" s="68"/>
      <c r="G1715" s="68"/>
      <c r="H1715" s="68"/>
      <c r="I1715" s="68"/>
      <c r="J1715" s="68"/>
      <c r="K1715" s="68"/>
      <c r="L1715" s="68"/>
      <c r="M1715" s="68"/>
      <c r="N1715" s="68"/>
      <c r="O1715" s="68"/>
      <c r="P1715" s="68"/>
      <c r="Q1715" s="68"/>
      <c r="R1715" s="68"/>
      <c r="S1715" s="68"/>
      <c r="T1715" s="68"/>
      <c r="U1715" s="68"/>
      <c r="V1715" s="68"/>
      <c r="W1715" s="68"/>
    </row>
    <row r="1716" spans="1:23" ht="15.75" x14ac:dyDescent="0.25">
      <c r="A1716" s="308" t="s">
        <v>29</v>
      </c>
      <c r="B1716" s="311" t="s">
        <v>79</v>
      </c>
      <c r="C1716" s="312">
        <v>2000</v>
      </c>
      <c r="D1716" s="312">
        <v>2001</v>
      </c>
      <c r="E1716" s="312">
        <v>2002</v>
      </c>
      <c r="F1716" s="312">
        <v>2003</v>
      </c>
      <c r="G1716" s="312">
        <v>2004</v>
      </c>
      <c r="H1716" s="312">
        <v>2005</v>
      </c>
      <c r="I1716" s="312">
        <v>2006</v>
      </c>
      <c r="J1716" s="312">
        <v>2007</v>
      </c>
      <c r="K1716" s="312">
        <v>2008</v>
      </c>
      <c r="L1716" s="312">
        <v>2009</v>
      </c>
      <c r="M1716" s="312">
        <v>2010</v>
      </c>
      <c r="N1716" s="312">
        <v>2011</v>
      </c>
      <c r="O1716" s="312">
        <v>2012</v>
      </c>
      <c r="P1716" s="312">
        <v>2013</v>
      </c>
      <c r="Q1716" s="312">
        <v>2014</v>
      </c>
      <c r="R1716" s="312">
        <v>2015</v>
      </c>
      <c r="S1716" s="312">
        <v>2016</v>
      </c>
      <c r="T1716" s="312">
        <v>2017</v>
      </c>
      <c r="U1716" s="312">
        <v>2018</v>
      </c>
      <c r="V1716" s="312">
        <v>2019</v>
      </c>
      <c r="W1716" s="312" t="s">
        <v>154</v>
      </c>
    </row>
    <row r="1717" spans="1:23" x14ac:dyDescent="0.2">
      <c r="A1717" s="308" t="s">
        <v>26</v>
      </c>
      <c r="B1717" s="309">
        <v>51.225000000000001</v>
      </c>
      <c r="C1717" s="314"/>
      <c r="D1717" s="314"/>
      <c r="E1717" s="314"/>
      <c r="F1717" s="314"/>
      <c r="G1717" s="314"/>
      <c r="H1717" s="314"/>
      <c r="I1717" s="314"/>
      <c r="J1717" s="314"/>
      <c r="K1717" s="314"/>
      <c r="L1717" s="314"/>
      <c r="M1717" s="314"/>
      <c r="N1717" s="314"/>
      <c r="O1717" s="314"/>
      <c r="P1717" s="314"/>
      <c r="Q1717" s="314"/>
      <c r="R1717" s="314"/>
      <c r="S1717" s="314"/>
      <c r="T1717" s="314"/>
      <c r="U1717" s="314"/>
      <c r="V1717" s="314"/>
      <c r="W1717" s="314"/>
    </row>
    <row r="1718" spans="1:23" x14ac:dyDescent="0.2">
      <c r="A1718" s="9"/>
      <c r="B1718" s="315" t="s">
        <v>27</v>
      </c>
      <c r="C1718" s="449">
        <v>0</v>
      </c>
      <c r="D1718" s="410">
        <v>3932629.2505932907</v>
      </c>
      <c r="E1718" s="410">
        <v>3141040.7783542834</v>
      </c>
      <c r="F1718" s="410">
        <v>2615520.6994223217</v>
      </c>
      <c r="G1718" s="410">
        <v>2326762.6919740476</v>
      </c>
      <c r="H1718" s="410">
        <v>2724752.3173856148</v>
      </c>
      <c r="I1718" s="410">
        <v>2561881.8735290668</v>
      </c>
      <c r="J1718" s="410">
        <v>2507578.6085568587</v>
      </c>
      <c r="K1718" s="410">
        <v>3758660.5542759527</v>
      </c>
      <c r="L1718" s="410">
        <v>3844320.9983198829</v>
      </c>
      <c r="M1718" s="410">
        <v>4054799.1431282964</v>
      </c>
      <c r="N1718" s="410">
        <v>3177612.1473593414</v>
      </c>
      <c r="O1718" s="410">
        <v>4036787.0694221179</v>
      </c>
      <c r="P1718" s="410">
        <v>3461174.5996071901</v>
      </c>
      <c r="Q1718" s="410">
        <v>4377009.5104747592</v>
      </c>
      <c r="R1718" s="410">
        <v>3952327.7457407187</v>
      </c>
      <c r="S1718" s="410">
        <v>3107784.9848807929</v>
      </c>
      <c r="T1718" s="410">
        <v>3407390.5079389154</v>
      </c>
      <c r="U1718" s="410">
        <v>4372681.2798432019</v>
      </c>
      <c r="V1718" s="410">
        <v>4856559.3808346866</v>
      </c>
      <c r="W1718" s="333"/>
    </row>
    <row r="1719" spans="1:23" x14ac:dyDescent="0.2">
      <c r="A1719" s="9"/>
      <c r="B1719" s="315" t="s">
        <v>20</v>
      </c>
      <c r="C1719" s="449">
        <v>0</v>
      </c>
      <c r="D1719" s="410">
        <v>-921514.63171836792</v>
      </c>
      <c r="E1719" s="410">
        <v>-1017134.2808738259</v>
      </c>
      <c r="F1719" s="410">
        <v>-888691.41810096893</v>
      </c>
      <c r="G1719" s="410">
        <v>-901742.62775995571</v>
      </c>
      <c r="H1719" s="410">
        <v>-1309413.2079526091</v>
      </c>
      <c r="I1719" s="410">
        <v>-1424418.9126627457</v>
      </c>
      <c r="J1719" s="410">
        <v>-1264154.5256430693</v>
      </c>
      <c r="K1719" s="410">
        <v>-1917918.1905474176</v>
      </c>
      <c r="L1719" s="410">
        <v>-1968538.935589765</v>
      </c>
      <c r="M1719" s="410">
        <v>-1969411.9365027028</v>
      </c>
      <c r="N1719" s="410">
        <v>-1664135.1900272174</v>
      </c>
      <c r="O1719" s="410">
        <v>-2172160.9866473414</v>
      </c>
      <c r="P1719" s="410">
        <v>-1699763.9933335797</v>
      </c>
      <c r="Q1719" s="410">
        <v>-2175452.8721647346</v>
      </c>
      <c r="R1719" s="410">
        <v>-2116084.970615353</v>
      </c>
      <c r="S1719" s="410">
        <v>-1686679.291937277</v>
      </c>
      <c r="T1719" s="410">
        <v>-1768139.6821102754</v>
      </c>
      <c r="U1719" s="410">
        <v>-2369503.8068865053</v>
      </c>
      <c r="V1719" s="410">
        <v>-3137999.2985180374</v>
      </c>
      <c r="W1719" s="333"/>
    </row>
    <row r="1720" spans="1:23" x14ac:dyDescent="0.2">
      <c r="A1720" s="9"/>
      <c r="B1720" s="315" t="s">
        <v>31</v>
      </c>
      <c r="C1720" s="449">
        <v>0</v>
      </c>
      <c r="D1720" s="410">
        <v>-29761.106619846207</v>
      </c>
      <c r="E1720" s="410">
        <v>-37108.009232978227</v>
      </c>
      <c r="F1720" s="410">
        <v>-33915.450813918687</v>
      </c>
      <c r="G1720" s="410">
        <v>-34017.043170885205</v>
      </c>
      <c r="H1720" s="410">
        <v>-49833.615768598487</v>
      </c>
      <c r="I1720" s="410">
        <v>-56078.027739004123</v>
      </c>
      <c r="J1720" s="410">
        <v>-50745.194332858366</v>
      </c>
      <c r="K1720" s="410">
        <v>-84134.52079434901</v>
      </c>
      <c r="L1720" s="410">
        <v>-86431.113602915546</v>
      </c>
      <c r="M1720" s="410">
        <v>-84158.84313420899</v>
      </c>
      <c r="N1720" s="410">
        <v>-71809.432849317469</v>
      </c>
      <c r="O1720" s="410">
        <v>-95309.256368646849</v>
      </c>
      <c r="P1720" s="410">
        <v>-72989.520366164012</v>
      </c>
      <c r="Q1720" s="410">
        <v>-94239.823128980439</v>
      </c>
      <c r="R1720" s="410">
        <v>-86056.716620490159</v>
      </c>
      <c r="S1720" s="410">
        <v>-67219.204203505011</v>
      </c>
      <c r="T1720" s="410">
        <v>-69752.867363956058</v>
      </c>
      <c r="U1720" s="410">
        <v>-89393.852002076106</v>
      </c>
      <c r="V1720" s="410">
        <v>-117840.30510948293</v>
      </c>
      <c r="W1720" s="333"/>
    </row>
    <row r="1721" spans="1:23" x14ac:dyDescent="0.2">
      <c r="A1721" s="9"/>
      <c r="B1721" s="315" t="s">
        <v>32</v>
      </c>
      <c r="C1721" s="449">
        <v>0</v>
      </c>
      <c r="D1721" s="410">
        <v>0</v>
      </c>
      <c r="E1721" s="410">
        <v>0</v>
      </c>
      <c r="F1721" s="410">
        <v>0</v>
      </c>
      <c r="G1721" s="410">
        <v>0</v>
      </c>
      <c r="H1721" s="410">
        <v>0</v>
      </c>
      <c r="I1721" s="410">
        <v>-19765.763398171523</v>
      </c>
      <c r="J1721" s="410">
        <v>-19428.531673524565</v>
      </c>
      <c r="K1721" s="410">
        <v>-36246.043751448458</v>
      </c>
      <c r="L1721" s="410">
        <v>-38576.818185353564</v>
      </c>
      <c r="M1721" s="410">
        <v>-40953.200616373564</v>
      </c>
      <c r="N1721" s="410">
        <v>-37747.652001500959</v>
      </c>
      <c r="O1721" s="410">
        <v>-54404.249377345332</v>
      </c>
      <c r="P1721" s="410">
        <v>-45751.106339284692</v>
      </c>
      <c r="Q1721" s="410">
        <v>-64508.952860510253</v>
      </c>
      <c r="R1721" s="410">
        <v>-63934.506748056476</v>
      </c>
      <c r="S1721" s="410">
        <v>-53682.360423999577</v>
      </c>
      <c r="T1721" s="410">
        <v>-53754.538551799444</v>
      </c>
      <c r="U1721" s="410">
        <v>-57704.327537854864</v>
      </c>
      <c r="V1721" s="410">
        <v>-77372.507685713063</v>
      </c>
      <c r="W1721" s="333"/>
    </row>
    <row r="1722" spans="1:23" ht="13.5" thickBot="1" x14ac:dyDescent="0.25">
      <c r="A1722" s="9"/>
      <c r="B1722" s="316" t="s">
        <v>33</v>
      </c>
      <c r="C1722" s="450">
        <v>0</v>
      </c>
      <c r="D1722" s="412">
        <v>0</v>
      </c>
      <c r="E1722" s="412">
        <v>0</v>
      </c>
      <c r="F1722" s="412">
        <v>0</v>
      </c>
      <c r="G1722" s="412">
        <v>0</v>
      </c>
      <c r="H1722" s="412">
        <v>0</v>
      </c>
      <c r="I1722" s="412">
        <v>-19765.763398171523</v>
      </c>
      <c r="J1722" s="412">
        <v>-19428.531673524565</v>
      </c>
      <c r="K1722" s="412">
        <v>-36246.043751448458</v>
      </c>
      <c r="L1722" s="412">
        <v>-38576.818185353564</v>
      </c>
      <c r="M1722" s="412">
        <v>-40953.200616373564</v>
      </c>
      <c r="N1722" s="412">
        <v>-37747.652001500959</v>
      </c>
      <c r="O1722" s="412">
        <v>-54404.249377345332</v>
      </c>
      <c r="P1722" s="412">
        <v>-45751.106339284692</v>
      </c>
      <c r="Q1722" s="412">
        <v>-64508.952860510253</v>
      </c>
      <c r="R1722" s="412">
        <v>-63934.506748056476</v>
      </c>
      <c r="S1722" s="412">
        <v>-53682.360423999577</v>
      </c>
      <c r="T1722" s="412">
        <v>-53754.538551799444</v>
      </c>
      <c r="U1722" s="412">
        <v>-57704.327537854864</v>
      </c>
      <c r="V1722" s="412">
        <v>-77372.507685713063</v>
      </c>
      <c r="W1722" s="333"/>
    </row>
    <row r="1723" spans="1:23" ht="13.5" thickTop="1" x14ac:dyDescent="0.2">
      <c r="A1723" s="9"/>
      <c r="B1723" s="317" t="s">
        <v>38</v>
      </c>
      <c r="C1723" s="451">
        <v>0</v>
      </c>
      <c r="D1723" s="414">
        <v>2981353.5122550768</v>
      </c>
      <c r="E1723" s="414">
        <v>2086798.4882474793</v>
      </c>
      <c r="F1723" s="414">
        <v>1692913.8305074342</v>
      </c>
      <c r="G1723" s="414">
        <v>1391003.0210432066</v>
      </c>
      <c r="H1723" s="414">
        <v>1365505.4936644074</v>
      </c>
      <c r="I1723" s="414">
        <v>1041853.4063309737</v>
      </c>
      <c r="J1723" s="414">
        <v>1153821.8252338821</v>
      </c>
      <c r="K1723" s="414">
        <v>1684115.7554312893</v>
      </c>
      <c r="L1723" s="414">
        <v>1712197.3127564951</v>
      </c>
      <c r="M1723" s="414">
        <v>1919321.9622586374</v>
      </c>
      <c r="N1723" s="414">
        <v>1366172.2204798043</v>
      </c>
      <c r="O1723" s="414">
        <v>1660508.3276514388</v>
      </c>
      <c r="P1723" s="414">
        <v>1596918.8732288771</v>
      </c>
      <c r="Q1723" s="414">
        <v>1978298.9094600235</v>
      </c>
      <c r="R1723" s="414">
        <v>1622317.0450087625</v>
      </c>
      <c r="S1723" s="414">
        <v>1246521.7678920117</v>
      </c>
      <c r="T1723" s="414">
        <v>1461988.881361085</v>
      </c>
      <c r="U1723" s="414">
        <v>1798374.9658789106</v>
      </c>
      <c r="V1723" s="414">
        <v>1445974.7618357402</v>
      </c>
      <c r="W1723" s="333"/>
    </row>
    <row r="1724" spans="1:23" x14ac:dyDescent="0.2">
      <c r="A1724" s="9"/>
      <c r="B1724" s="315" t="s">
        <v>34</v>
      </c>
      <c r="C1724" s="449">
        <v>0</v>
      </c>
      <c r="D1724" s="410">
        <v>-91566.271378944657</v>
      </c>
      <c r="E1724" s="410">
        <v>-93397.59680652355</v>
      </c>
      <c r="F1724" s="410">
        <v>-95265.54874265402</v>
      </c>
      <c r="G1724" s="410">
        <v>-97170.859717507105</v>
      </c>
      <c r="H1724" s="410">
        <v>-99114.276911857247</v>
      </c>
      <c r="I1724" s="410">
        <v>-101096.5624500944</v>
      </c>
      <c r="J1724" s="410">
        <v>-103118.49369909629</v>
      </c>
      <c r="K1724" s="410">
        <v>-105180.86357307821</v>
      </c>
      <c r="L1724" s="410">
        <v>-107284.48084453978</v>
      </c>
      <c r="M1724" s="410">
        <v>-109430.17046143058</v>
      </c>
      <c r="N1724" s="410">
        <v>-111618.77387065919</v>
      </c>
      <c r="O1724" s="410">
        <v>-113851.14934807237</v>
      </c>
      <c r="P1724" s="410">
        <v>-116128.17233503383</v>
      </c>
      <c r="Q1724" s="410">
        <v>-118450.7357817345</v>
      </c>
      <c r="R1724" s="410">
        <v>-120819.7504973692</v>
      </c>
      <c r="S1724" s="410">
        <v>-123236.14550731659</v>
      </c>
      <c r="T1724" s="410">
        <v>-125700.86841746292</v>
      </c>
      <c r="U1724" s="410">
        <v>-128214.88578581218</v>
      </c>
      <c r="V1724" s="410">
        <v>-130779.18350152842</v>
      </c>
      <c r="W1724" s="333"/>
    </row>
    <row r="1725" spans="1:23" x14ac:dyDescent="0.2">
      <c r="A1725" s="9"/>
      <c r="B1725" s="315" t="s">
        <v>35</v>
      </c>
      <c r="C1725" s="449">
        <v>0</v>
      </c>
      <c r="D1725" s="410">
        <v>-45161.410471875002</v>
      </c>
      <c r="E1725" s="410">
        <v>-45161.410471875002</v>
      </c>
      <c r="F1725" s="410">
        <v>-45161.410471875002</v>
      </c>
      <c r="G1725" s="410">
        <v>-45161.410471875002</v>
      </c>
      <c r="H1725" s="410">
        <v>-45161.410471875002</v>
      </c>
      <c r="I1725" s="410">
        <v>-45161.410471875002</v>
      </c>
      <c r="J1725" s="410">
        <v>-45161.410471875002</v>
      </c>
      <c r="K1725" s="410">
        <v>-45161.410471875002</v>
      </c>
      <c r="L1725" s="410">
        <v>-45161.410471875002</v>
      </c>
      <c r="M1725" s="410">
        <v>-45161.410471875002</v>
      </c>
      <c r="N1725" s="410">
        <v>-45161.410471875002</v>
      </c>
      <c r="O1725" s="410">
        <v>-45161.410471875002</v>
      </c>
      <c r="P1725" s="410">
        <v>-45161.410471875002</v>
      </c>
      <c r="Q1725" s="410">
        <v>-45161.410471875002</v>
      </c>
      <c r="R1725" s="410">
        <v>-45161.410471875002</v>
      </c>
      <c r="S1725" s="410">
        <v>-45161.410471875002</v>
      </c>
      <c r="T1725" s="410">
        <v>-45161.410471875002</v>
      </c>
      <c r="U1725" s="410">
        <v>-45161.410471875002</v>
      </c>
      <c r="V1725" s="410">
        <v>-45161.410471875002</v>
      </c>
      <c r="W1725" s="333"/>
    </row>
    <row r="1726" spans="1:23" ht="13.5" thickBot="1" x14ac:dyDescent="0.25">
      <c r="A1726" s="9"/>
      <c r="B1726" s="316" t="s">
        <v>36</v>
      </c>
      <c r="C1726" s="450">
        <v>0</v>
      </c>
      <c r="D1726" s="412">
        <v>-4145.6628847028896</v>
      </c>
      <c r="E1726" s="412">
        <v>-4233.13637157014</v>
      </c>
      <c r="F1726" s="412">
        <v>-4325.8420581075297</v>
      </c>
      <c r="G1726" s="412">
        <v>-4423.6060886207297</v>
      </c>
      <c r="H1726" s="412">
        <v>-4528.8879135299103</v>
      </c>
      <c r="I1726" s="412">
        <v>-4642.38229994021</v>
      </c>
      <c r="J1726" s="412">
        <v>-4757.52631405997</v>
      </c>
      <c r="K1726" s="412">
        <v>-4877.9491368499903</v>
      </c>
      <c r="L1726" s="412">
        <v>-4998.4344805301898</v>
      </c>
      <c r="M1726" s="412">
        <v>-5125.8945597837001</v>
      </c>
      <c r="N1726" s="412">
        <v>-5249.9412081304899</v>
      </c>
      <c r="O1726" s="412">
        <v>-5382.2397265753598</v>
      </c>
      <c r="P1726" s="412">
        <v>-5518.9486156303601</v>
      </c>
      <c r="Q1726" s="412">
        <v>-5656.92233102112</v>
      </c>
      <c r="R1726" s="412">
        <v>-5798.9110815297499</v>
      </c>
      <c r="S1726" s="412">
        <v>-5943.8838585679996</v>
      </c>
      <c r="T1726" s="412">
        <v>-6091.2921782604799</v>
      </c>
      <c r="U1726" s="412">
        <v>-6244.18361193483</v>
      </c>
      <c r="V1726" s="412">
        <v>-6400.9126205943903</v>
      </c>
      <c r="W1726" s="333"/>
    </row>
    <row r="1727" spans="1:23" ht="13.5" thickTop="1" x14ac:dyDescent="0.2">
      <c r="A1727" s="9"/>
      <c r="B1727" s="317" t="s">
        <v>221</v>
      </c>
      <c r="C1727" s="452">
        <v>0</v>
      </c>
      <c r="D1727" s="416">
        <v>2840480.167519554</v>
      </c>
      <c r="E1727" s="416">
        <v>1944006.3445975105</v>
      </c>
      <c r="F1727" s="416">
        <v>1548161.0292347977</v>
      </c>
      <c r="G1727" s="416">
        <v>1244247.1447652036</v>
      </c>
      <c r="H1727" s="416">
        <v>1216700.9183671451</v>
      </c>
      <c r="I1727" s="416">
        <v>890953.05110906414</v>
      </c>
      <c r="J1727" s="416">
        <v>1000784.3947488507</v>
      </c>
      <c r="K1727" s="416">
        <v>1528895.5322494861</v>
      </c>
      <c r="L1727" s="416">
        <v>1554752.9869595501</v>
      </c>
      <c r="M1727" s="416">
        <v>1759604.4867655481</v>
      </c>
      <c r="N1727" s="416">
        <v>1204142.0949291396</v>
      </c>
      <c r="O1727" s="416">
        <v>1496113.528104916</v>
      </c>
      <c r="P1727" s="416">
        <v>1430110.3418063379</v>
      </c>
      <c r="Q1727" s="416">
        <v>1809029.8408753928</v>
      </c>
      <c r="R1727" s="416">
        <v>1450536.9729579887</v>
      </c>
      <c r="S1727" s="416">
        <v>1072180.3280542521</v>
      </c>
      <c r="T1727" s="416">
        <v>1285035.3102934868</v>
      </c>
      <c r="U1727" s="416">
        <v>1618754.4860092886</v>
      </c>
      <c r="V1727" s="416">
        <v>1263633.2552417424</v>
      </c>
      <c r="W1727" s="333"/>
    </row>
    <row r="1728" spans="1:23" x14ac:dyDescent="0.2">
      <c r="A1728" s="9"/>
      <c r="B1728" s="315" t="s">
        <v>37</v>
      </c>
      <c r="C1728" s="449">
        <v>0</v>
      </c>
      <c r="D1728" s="410">
        <v>-256373.48737677658</v>
      </c>
      <c r="E1728" s="410">
        <v>-235299.63781481623</v>
      </c>
      <c r="F1728" s="410">
        <v>-205307.07945894302</v>
      </c>
      <c r="G1728" s="410">
        <v>-174904.47125886939</v>
      </c>
      <c r="H1728" s="410">
        <v>-160607.06942284212</v>
      </c>
      <c r="I1728" s="410">
        <v>-156554.00520463297</v>
      </c>
      <c r="J1728" s="410">
        <v>-163690.99180529558</v>
      </c>
      <c r="K1728" s="410">
        <v>-170232.88617273298</v>
      </c>
      <c r="L1728" s="410">
        <v>-176826.65684389556</v>
      </c>
      <c r="M1728" s="410">
        <v>-182884.16010594799</v>
      </c>
      <c r="N1728" s="410">
        <v>-175467.77021218458</v>
      </c>
      <c r="O1728" s="410">
        <v>-167517.17536217629</v>
      </c>
      <c r="P1728" s="410">
        <v>-173658.16151840443</v>
      </c>
      <c r="Q1728" s="410">
        <v>-120623.72577722732</v>
      </c>
      <c r="R1728" s="410">
        <v>-67973.177057618159</v>
      </c>
      <c r="S1728" s="410">
        <v>-74465.269284038688</v>
      </c>
      <c r="T1728" s="410">
        <v>-81152.124277251874</v>
      </c>
      <c r="U1728" s="410">
        <v>-88039.584920261419</v>
      </c>
      <c r="V1728" s="410">
        <v>-95133.669382561275</v>
      </c>
      <c r="W1728" s="333"/>
    </row>
    <row r="1729" spans="1:23" ht="13.5" thickBot="1" x14ac:dyDescent="0.25">
      <c r="A1729" s="9"/>
      <c r="B1729" s="316" t="s">
        <v>222</v>
      </c>
      <c r="C1729" s="450">
        <v>0</v>
      </c>
      <c r="D1729" s="412">
        <v>-1033642.672057111</v>
      </c>
      <c r="E1729" s="412">
        <v>-683482.68271307775</v>
      </c>
      <c r="F1729" s="412">
        <v>-537141.57991034188</v>
      </c>
      <c r="G1729" s="412">
        <v>-427737.0694025337</v>
      </c>
      <c r="H1729" s="412">
        <v>-422437.53957772127</v>
      </c>
      <c r="I1729" s="412">
        <v>-293759.61836177245</v>
      </c>
      <c r="J1729" s="412">
        <v>-334837.36117742211</v>
      </c>
      <c r="K1729" s="412">
        <v>-543465.05843070126</v>
      </c>
      <c r="L1729" s="412">
        <v>-551170.53204626183</v>
      </c>
      <c r="M1729" s="412">
        <v>-630688.1306638401</v>
      </c>
      <c r="N1729" s="412">
        <v>-411469.72988678201</v>
      </c>
      <c r="O1729" s="412">
        <v>-531438.54109709593</v>
      </c>
      <c r="P1729" s="412">
        <v>-502580.87211517338</v>
      </c>
      <c r="Q1729" s="412">
        <v>-675362.44603926619</v>
      </c>
      <c r="R1729" s="412">
        <v>-553025.51836014818</v>
      </c>
      <c r="S1729" s="412">
        <v>-399086.0235080854</v>
      </c>
      <c r="T1729" s="412">
        <v>-481553.27440649405</v>
      </c>
      <c r="U1729" s="412">
        <v>-612285.96043561085</v>
      </c>
      <c r="V1729" s="412">
        <v>-467399.8343436725</v>
      </c>
      <c r="W1729" s="333"/>
    </row>
    <row r="1730" spans="1:23" ht="13.5" thickTop="1" x14ac:dyDescent="0.2">
      <c r="A1730" s="9"/>
      <c r="B1730" s="317" t="s">
        <v>183</v>
      </c>
      <c r="C1730" s="452">
        <v>0</v>
      </c>
      <c r="D1730" s="416">
        <v>1550464.0080856665</v>
      </c>
      <c r="E1730" s="416">
        <v>1025224.0240696165</v>
      </c>
      <c r="F1730" s="416">
        <v>805712.36986551271</v>
      </c>
      <c r="G1730" s="416">
        <v>641605.60410380049</v>
      </c>
      <c r="H1730" s="416">
        <v>633656.30936658185</v>
      </c>
      <c r="I1730" s="416">
        <v>440639.4275426587</v>
      </c>
      <c r="J1730" s="416">
        <v>502256.04176613304</v>
      </c>
      <c r="K1730" s="416">
        <v>815197.58764605178</v>
      </c>
      <c r="L1730" s="416">
        <v>826755.79806939268</v>
      </c>
      <c r="M1730" s="416">
        <v>946032.19599576015</v>
      </c>
      <c r="N1730" s="416">
        <v>617204.59483017295</v>
      </c>
      <c r="O1730" s="416">
        <v>797157.81164564379</v>
      </c>
      <c r="P1730" s="416">
        <v>753871.30817276007</v>
      </c>
      <c r="Q1730" s="416">
        <v>1013043.6690588992</v>
      </c>
      <c r="R1730" s="416">
        <v>829538.27754022228</v>
      </c>
      <c r="S1730" s="416">
        <v>598629.03526212799</v>
      </c>
      <c r="T1730" s="416">
        <v>722329.91160974093</v>
      </c>
      <c r="U1730" s="416">
        <v>918428.94065341621</v>
      </c>
      <c r="V1730" s="416">
        <v>701099.75151550863</v>
      </c>
      <c r="W1730" s="333"/>
    </row>
    <row r="1731" spans="1:23" x14ac:dyDescent="0.2">
      <c r="A1731" s="9"/>
      <c r="B1731" s="315" t="s">
        <v>37</v>
      </c>
      <c r="C1731" s="449">
        <v>0</v>
      </c>
      <c r="D1731" s="410">
        <v>256373.48737677658</v>
      </c>
      <c r="E1731" s="410">
        <v>235299.63781481623</v>
      </c>
      <c r="F1731" s="410">
        <v>205307.07945894302</v>
      </c>
      <c r="G1731" s="410">
        <v>174904.47125886939</v>
      </c>
      <c r="H1731" s="410">
        <v>160607.06942284212</v>
      </c>
      <c r="I1731" s="410">
        <v>156554.00520463297</v>
      </c>
      <c r="J1731" s="410">
        <v>163690.99180529558</v>
      </c>
      <c r="K1731" s="410">
        <v>170232.88617273298</v>
      </c>
      <c r="L1731" s="410">
        <v>176826.65684389556</v>
      </c>
      <c r="M1731" s="410">
        <v>182884.16010594799</v>
      </c>
      <c r="N1731" s="410">
        <v>175467.77021218458</v>
      </c>
      <c r="O1731" s="410">
        <v>167517.17536217629</v>
      </c>
      <c r="P1731" s="410">
        <v>173658.16151840443</v>
      </c>
      <c r="Q1731" s="410">
        <v>120623.72577722732</v>
      </c>
      <c r="R1731" s="410">
        <v>67973.177057618159</v>
      </c>
      <c r="S1731" s="410">
        <v>74465.269284038688</v>
      </c>
      <c r="T1731" s="410">
        <v>81152.124277251874</v>
      </c>
      <c r="U1731" s="410">
        <v>88039.584920261419</v>
      </c>
      <c r="V1731" s="410">
        <v>95133.669382561275</v>
      </c>
      <c r="W1731" s="333"/>
    </row>
    <row r="1732" spans="1:23" x14ac:dyDescent="0.2">
      <c r="A1732" s="9"/>
      <c r="B1732" s="315" t="s">
        <v>39</v>
      </c>
      <c r="C1732" s="449">
        <v>0</v>
      </c>
      <c r="D1732" s="410">
        <v>-1423.58</v>
      </c>
      <c r="E1732" s="410">
        <v>-1481.02</v>
      </c>
      <c r="F1732" s="410">
        <v>-1540.83</v>
      </c>
      <c r="G1732" s="410">
        <v>-1609.33</v>
      </c>
      <c r="H1732" s="410">
        <v>-100000</v>
      </c>
      <c r="I1732" s="410">
        <v>-103000</v>
      </c>
      <c r="J1732" s="410">
        <v>-106090</v>
      </c>
      <c r="K1732" s="410">
        <v>-109272.7</v>
      </c>
      <c r="L1732" s="410">
        <v>-112550.88099999999</v>
      </c>
      <c r="M1732" s="410">
        <v>-115927.40742999999</v>
      </c>
      <c r="N1732" s="410">
        <v>-119405.2296529</v>
      </c>
      <c r="O1732" s="410">
        <v>-122987.386542487</v>
      </c>
      <c r="P1732" s="410">
        <v>-126677.00813876161</v>
      </c>
      <c r="Q1732" s="410">
        <v>-130477.31838292447</v>
      </c>
      <c r="R1732" s="410">
        <v>-134391.6379344122</v>
      </c>
      <c r="S1732" s="410">
        <v>-138423.38707244457</v>
      </c>
      <c r="T1732" s="410">
        <v>-142576.08868461792</v>
      </c>
      <c r="U1732" s="410">
        <v>-146853.37134515645</v>
      </c>
      <c r="V1732" s="410">
        <v>-151258.97248551116</v>
      </c>
      <c r="W1732" s="333"/>
    </row>
    <row r="1733" spans="1:23" ht="13.5" thickBot="1" x14ac:dyDescent="0.25">
      <c r="A1733" s="9"/>
      <c r="B1733" s="316" t="s">
        <v>40</v>
      </c>
      <c r="C1733" s="450">
        <v>0</v>
      </c>
      <c r="D1733" s="412">
        <v>0</v>
      </c>
      <c r="E1733" s="412">
        <v>0</v>
      </c>
      <c r="F1733" s="412">
        <v>0</v>
      </c>
      <c r="G1733" s="412">
        <v>0</v>
      </c>
      <c r="H1733" s="412">
        <v>0</v>
      </c>
      <c r="I1733" s="412">
        <v>0</v>
      </c>
      <c r="J1733" s="412">
        <v>0</v>
      </c>
      <c r="K1733" s="412">
        <v>0</v>
      </c>
      <c r="L1733" s="412">
        <v>0</v>
      </c>
      <c r="M1733" s="412">
        <v>0</v>
      </c>
      <c r="N1733" s="412">
        <v>0</v>
      </c>
      <c r="O1733" s="412">
        <v>0</v>
      </c>
      <c r="P1733" s="412">
        <v>0</v>
      </c>
      <c r="Q1733" s="412">
        <v>0</v>
      </c>
      <c r="R1733" s="412">
        <v>0</v>
      </c>
      <c r="S1733" s="412">
        <v>0</v>
      </c>
      <c r="T1733" s="412">
        <v>0</v>
      </c>
      <c r="U1733" s="412">
        <v>0</v>
      </c>
      <c r="V1733" s="412">
        <v>0</v>
      </c>
      <c r="W1733" s="333"/>
    </row>
    <row r="1734" spans="1:23" ht="13.5" thickTop="1" x14ac:dyDescent="0.2">
      <c r="A1734" s="9"/>
      <c r="B1734" s="315"/>
      <c r="C1734" s="453"/>
      <c r="D1734" s="333"/>
      <c r="E1734" s="333"/>
      <c r="F1734" s="333"/>
      <c r="G1734" s="333"/>
      <c r="H1734" s="333"/>
      <c r="I1734" s="333"/>
      <c r="J1734" s="333"/>
      <c r="K1734" s="333"/>
      <c r="L1734" s="333"/>
      <c r="M1734" s="333"/>
      <c r="N1734" s="333"/>
      <c r="O1734" s="333"/>
      <c r="P1734" s="333"/>
      <c r="Q1734" s="333"/>
      <c r="R1734" s="333"/>
      <c r="S1734" s="333"/>
      <c r="T1734" s="333"/>
      <c r="U1734" s="333"/>
      <c r="V1734" s="333"/>
      <c r="W1734" s="333"/>
    </row>
    <row r="1735" spans="1:23" x14ac:dyDescent="0.2">
      <c r="A1735" s="9"/>
      <c r="B1735" s="317" t="s">
        <v>234</v>
      </c>
      <c r="C1735" s="452">
        <v>0</v>
      </c>
      <c r="D1735" s="416">
        <v>1805413.9154624429</v>
      </c>
      <c r="E1735" s="416">
        <v>1259042.6418844326</v>
      </c>
      <c r="F1735" s="416">
        <v>1009478.6193244557</v>
      </c>
      <c r="G1735" s="416">
        <v>814900.74536266993</v>
      </c>
      <c r="H1735" s="416">
        <v>694263.37878942396</v>
      </c>
      <c r="I1735" s="416">
        <v>494193.43274729163</v>
      </c>
      <c r="J1735" s="416">
        <v>559857.03357142862</v>
      </c>
      <c r="K1735" s="416">
        <v>876157.77381878486</v>
      </c>
      <c r="L1735" s="416">
        <v>891031.5739132883</v>
      </c>
      <c r="M1735" s="416">
        <v>1012988.948671708</v>
      </c>
      <c r="N1735" s="416">
        <v>673267.13538945746</v>
      </c>
      <c r="O1735" s="416">
        <v>841687.60046533309</v>
      </c>
      <c r="P1735" s="416">
        <v>800852.46155240294</v>
      </c>
      <c r="Q1735" s="416">
        <v>1003190.0764532019</v>
      </c>
      <c r="R1735" s="416">
        <v>763119.81666342821</v>
      </c>
      <c r="S1735" s="416">
        <v>534670.91747372213</v>
      </c>
      <c r="T1735" s="416">
        <v>660905.94720237493</v>
      </c>
      <c r="U1735" s="416">
        <v>859615.15422852116</v>
      </c>
      <c r="V1735" s="416">
        <v>644974.44841255876</v>
      </c>
      <c r="W1735" s="414">
        <v>4789857.5023522098</v>
      </c>
    </row>
    <row r="1736" spans="1:23" x14ac:dyDescent="0.2">
      <c r="A1736" s="9"/>
      <c r="B1736" s="292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</row>
    <row r="1737" spans="1:23" x14ac:dyDescent="0.2">
      <c r="A1737" s="308" t="s">
        <v>219</v>
      </c>
      <c r="B1737" s="306" t="s">
        <v>170</v>
      </c>
      <c r="C1737" s="439">
        <v>4644045.6858022744</v>
      </c>
      <c r="D1737" s="9"/>
      <c r="E1737" s="137" t="s">
        <v>220</v>
      </c>
      <c r="F1737" s="319" t="s">
        <v>170</v>
      </c>
      <c r="G1737" s="443">
        <v>4644045.6858022744</v>
      </c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</row>
    <row r="1738" spans="1:23" x14ac:dyDescent="0.2">
      <c r="A1738" s="9"/>
      <c r="B1738" s="306" t="s">
        <v>180</v>
      </c>
      <c r="C1738" s="439">
        <v>3601197.0941158026</v>
      </c>
      <c r="D1738" s="9"/>
      <c r="E1738" s="321"/>
      <c r="F1738" s="319" t="s">
        <v>180</v>
      </c>
      <c r="G1738" s="443">
        <v>3601197.0941158026</v>
      </c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</row>
    <row r="1739" spans="1:23" ht="13.5" thickBot="1" x14ac:dyDescent="0.25">
      <c r="A1739" s="9"/>
      <c r="B1739" s="322" t="s">
        <v>137</v>
      </c>
      <c r="C1739" s="440">
        <v>746732.80829155119</v>
      </c>
      <c r="D1739" s="323"/>
      <c r="E1739" s="321"/>
      <c r="F1739" s="319" t="s">
        <v>137</v>
      </c>
      <c r="G1739" s="443">
        <v>746732.80829155119</v>
      </c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</row>
    <row r="1740" spans="1:23" ht="14.25" thickTop="1" thickBot="1" x14ac:dyDescent="0.25">
      <c r="A1740" s="9"/>
      <c r="B1740" s="306" t="s">
        <v>28</v>
      </c>
      <c r="C1740" s="438">
        <v>8991975.5882096272</v>
      </c>
      <c r="D1740" s="305"/>
      <c r="E1740" s="321"/>
      <c r="F1740" s="324" t="s">
        <v>204</v>
      </c>
      <c r="G1740" s="325">
        <v>0</v>
      </c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</row>
    <row r="1741" spans="1:23" ht="13.5" thickTop="1" x14ac:dyDescent="0.2">
      <c r="A1741" s="9"/>
      <c r="B1741" s="292"/>
      <c r="C1741" s="326"/>
      <c r="D1741" s="9"/>
      <c r="E1741" s="327"/>
      <c r="F1741" s="319" t="s">
        <v>28</v>
      </c>
      <c r="G1741" s="368">
        <v>8991975.5882096272</v>
      </c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</row>
    <row r="1742" spans="1:23" x14ac:dyDescent="0.2">
      <c r="A1742" s="9"/>
      <c r="B1742" s="292"/>
      <c r="C1742" s="326"/>
      <c r="D1742" s="9"/>
      <c r="E1742" s="327"/>
      <c r="F1742" s="319"/>
      <c r="G1742" s="328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</row>
    <row r="1743" spans="1:23" x14ac:dyDescent="0.2">
      <c r="A1743" s="9"/>
      <c r="B1743" s="292"/>
      <c r="C1743" s="326"/>
      <c r="D1743" s="9"/>
      <c r="E1743" s="327"/>
      <c r="F1743" s="319"/>
      <c r="G1743" s="328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</row>
    <row r="1744" spans="1:23" x14ac:dyDescent="0.2">
      <c r="A1744" s="9"/>
      <c r="B1744" s="329" t="s">
        <v>223</v>
      </c>
      <c r="C1744" s="326"/>
      <c r="D1744" s="9"/>
      <c r="E1744" s="327"/>
      <c r="F1744" s="319"/>
      <c r="G1744" s="328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</row>
    <row r="1745" spans="1:23" x14ac:dyDescent="0.2">
      <c r="A1745" s="330" t="s">
        <v>225</v>
      </c>
      <c r="B1745" s="329" t="s">
        <v>224</v>
      </c>
      <c r="C1745" s="331"/>
      <c r="D1745" s="332">
        <v>1550464.0080856665</v>
      </c>
      <c r="E1745" s="332">
        <v>1025224.0240696165</v>
      </c>
      <c r="F1745" s="332">
        <v>805712.36986551271</v>
      </c>
      <c r="G1745" s="332">
        <v>641605.60410380049</v>
      </c>
      <c r="H1745" s="332">
        <v>633656.30936658185</v>
      </c>
      <c r="I1745" s="332">
        <v>440639.4275426587</v>
      </c>
      <c r="J1745" s="332">
        <v>502256.04176613304</v>
      </c>
      <c r="K1745" s="332">
        <v>815197.58764605178</v>
      </c>
      <c r="L1745" s="332">
        <v>826755.79806939268</v>
      </c>
      <c r="M1745" s="332">
        <v>946032.19599576015</v>
      </c>
      <c r="N1745" s="332">
        <v>617204.59483017295</v>
      </c>
      <c r="O1745" s="332">
        <v>797157.81164564379</v>
      </c>
      <c r="P1745" s="332">
        <v>753871.30817276007</v>
      </c>
      <c r="Q1745" s="332">
        <v>1013043.6690588992</v>
      </c>
      <c r="R1745" s="332">
        <v>829538.27754022228</v>
      </c>
      <c r="S1745" s="332">
        <v>598629.03526212799</v>
      </c>
      <c r="T1745" s="332">
        <v>722329.91160974093</v>
      </c>
      <c r="U1745" s="332">
        <v>918428.94065341621</v>
      </c>
      <c r="V1745" s="332">
        <v>701099.75151550863</v>
      </c>
      <c r="W1745" s="9"/>
    </row>
    <row r="1746" spans="1:23" x14ac:dyDescent="0.2">
      <c r="A1746" s="9"/>
      <c r="B1746" s="292" t="s">
        <v>226</v>
      </c>
      <c r="C1746" s="326"/>
      <c r="D1746" s="333">
        <v>1033642.672057111</v>
      </c>
      <c r="E1746" s="333">
        <v>683482.68271307775</v>
      </c>
      <c r="F1746" s="333">
        <v>537141.57991034188</v>
      </c>
      <c r="G1746" s="333">
        <v>427737.0694025337</v>
      </c>
      <c r="H1746" s="333">
        <v>422437.53957772127</v>
      </c>
      <c r="I1746" s="333">
        <v>293759.61836177245</v>
      </c>
      <c r="J1746" s="333">
        <v>334837.36117742211</v>
      </c>
      <c r="K1746" s="333">
        <v>543465.05843070126</v>
      </c>
      <c r="L1746" s="333">
        <v>551170.53204626183</v>
      </c>
      <c r="M1746" s="333">
        <v>630688.1306638401</v>
      </c>
      <c r="N1746" s="333">
        <v>411469.72988678201</v>
      </c>
      <c r="O1746" s="333">
        <v>531438.54109709593</v>
      </c>
      <c r="P1746" s="333">
        <v>502580.87211517338</v>
      </c>
      <c r="Q1746" s="333">
        <v>675362.44603926619</v>
      </c>
      <c r="R1746" s="333">
        <v>553025.51836014818</v>
      </c>
      <c r="S1746" s="333">
        <v>399086.0235080854</v>
      </c>
      <c r="T1746" s="333">
        <v>481553.27440649405</v>
      </c>
      <c r="U1746" s="333">
        <v>612285.96043561085</v>
      </c>
      <c r="V1746" s="333">
        <v>467399.8343436725</v>
      </c>
      <c r="W1746" s="9"/>
    </row>
    <row r="1747" spans="1:23" x14ac:dyDescent="0.2">
      <c r="A1747" s="9"/>
      <c r="B1747" s="334" t="s">
        <v>227</v>
      </c>
      <c r="C1747" s="335"/>
      <c r="D1747" s="333">
        <v>256373.48737677658</v>
      </c>
      <c r="E1747" s="333">
        <v>235299.63781481623</v>
      </c>
      <c r="F1747" s="333">
        <v>205307.07945894302</v>
      </c>
      <c r="G1747" s="333">
        <v>174904.47125886939</v>
      </c>
      <c r="H1747" s="333">
        <v>160607.06942284212</v>
      </c>
      <c r="I1747" s="333">
        <v>156554.00520463297</v>
      </c>
      <c r="J1747" s="333">
        <v>163690.99180529558</v>
      </c>
      <c r="K1747" s="333">
        <v>170232.88617273298</v>
      </c>
      <c r="L1747" s="333">
        <v>176826.65684389556</v>
      </c>
      <c r="M1747" s="333">
        <v>182884.16010594799</v>
      </c>
      <c r="N1747" s="333">
        <v>175467.77021218458</v>
      </c>
      <c r="O1747" s="333">
        <v>167517.17536217629</v>
      </c>
      <c r="P1747" s="333">
        <v>173658.16151840443</v>
      </c>
      <c r="Q1747" s="333">
        <v>120623.72577722732</v>
      </c>
      <c r="R1747" s="333">
        <v>67973.177057618159</v>
      </c>
      <c r="S1747" s="333">
        <v>74465.269284038688</v>
      </c>
      <c r="T1747" s="333">
        <v>81152.124277251874</v>
      </c>
      <c r="U1747" s="333">
        <v>88039.584920261419</v>
      </c>
      <c r="V1747" s="333">
        <v>95133.669382561275</v>
      </c>
      <c r="W1747" s="9"/>
    </row>
    <row r="1748" spans="1:23" ht="13.5" thickBot="1" x14ac:dyDescent="0.25">
      <c r="A1748" s="9"/>
      <c r="B1748" s="336" t="s">
        <v>228</v>
      </c>
      <c r="C1748" s="337"/>
      <c r="D1748" s="338">
        <v>2840480.167519554</v>
      </c>
      <c r="E1748" s="338">
        <v>1944006.3445975105</v>
      </c>
      <c r="F1748" s="338">
        <v>1548161.0292347977</v>
      </c>
      <c r="G1748" s="338">
        <v>1244247.1447652036</v>
      </c>
      <c r="H1748" s="338">
        <v>1216700.9183671451</v>
      </c>
      <c r="I1748" s="338">
        <v>890953.05110906414</v>
      </c>
      <c r="J1748" s="338">
        <v>1000784.3947488507</v>
      </c>
      <c r="K1748" s="338">
        <v>1528895.5322494861</v>
      </c>
      <c r="L1748" s="338">
        <v>1554752.9869595501</v>
      </c>
      <c r="M1748" s="338">
        <v>1759604.4867655481</v>
      </c>
      <c r="N1748" s="338">
        <v>1204142.0949291396</v>
      </c>
      <c r="O1748" s="338">
        <v>1496113.528104916</v>
      </c>
      <c r="P1748" s="338">
        <v>1430110.3418063379</v>
      </c>
      <c r="Q1748" s="338">
        <v>1809029.8408753928</v>
      </c>
      <c r="R1748" s="338">
        <v>1450536.9729579887</v>
      </c>
      <c r="S1748" s="338">
        <v>1072180.3280542521</v>
      </c>
      <c r="T1748" s="338">
        <v>1285035.3102934868</v>
      </c>
      <c r="U1748" s="338">
        <v>1618754.4860092886</v>
      </c>
      <c r="V1748" s="338">
        <v>1263633.2552417424</v>
      </c>
      <c r="W1748" s="9"/>
    </row>
    <row r="1749" spans="1:23" ht="13.5" thickTop="1" x14ac:dyDescent="0.2">
      <c r="A1749" s="330" t="s">
        <v>229</v>
      </c>
      <c r="B1749" s="292" t="s">
        <v>230</v>
      </c>
      <c r="C1749" s="326"/>
      <c r="D1749" s="333">
        <v>-572072.6856983226</v>
      </c>
      <c r="E1749" s="333">
        <v>-571105.994308152</v>
      </c>
      <c r="F1749" s="333">
        <v>-567419.22315439081</v>
      </c>
      <c r="G1749" s="333">
        <v>-551343.67461045913</v>
      </c>
      <c r="H1749" s="333">
        <v>-509959.22651103698</v>
      </c>
      <c r="I1749" s="333">
        <v>-515109.22651103698</v>
      </c>
      <c r="J1749" s="333">
        <v>-297727.48179906013</v>
      </c>
      <c r="K1749" s="333">
        <v>-109683.59723414935</v>
      </c>
      <c r="L1749" s="333">
        <v>-115116.44440495</v>
      </c>
      <c r="M1749" s="333">
        <v>-113527.91955679125</v>
      </c>
      <c r="N1749" s="333">
        <v>-63875.927684645911</v>
      </c>
      <c r="O1749" s="333">
        <v>-70025.29701177025</v>
      </c>
      <c r="P1749" s="333">
        <v>-76359.147418708337</v>
      </c>
      <c r="Q1749" s="333">
        <v>-82883.013337854558</v>
      </c>
      <c r="R1749" s="333">
        <v>-89602.595234575158</v>
      </c>
      <c r="S1749" s="333">
        <v>-96173.377212357518</v>
      </c>
      <c r="T1749" s="333">
        <v>-102354.9396233774</v>
      </c>
      <c r="U1749" s="333">
        <v>-109697.60819063522</v>
      </c>
      <c r="V1749" s="333">
        <v>-117260.55681491077</v>
      </c>
      <c r="W1749" s="9"/>
    </row>
    <row r="1750" spans="1:23" x14ac:dyDescent="0.2">
      <c r="A1750" s="9"/>
      <c r="B1750" s="292" t="s">
        <v>231</v>
      </c>
      <c r="C1750" s="326"/>
      <c r="D1750" s="333">
        <v>0</v>
      </c>
      <c r="E1750" s="333">
        <v>0</v>
      </c>
      <c r="F1750" s="333">
        <v>0</v>
      </c>
      <c r="G1750" s="333">
        <v>0</v>
      </c>
      <c r="H1750" s="333">
        <v>0</v>
      </c>
      <c r="I1750" s="333">
        <v>0</v>
      </c>
      <c r="J1750" s="333">
        <v>0</v>
      </c>
      <c r="K1750" s="333">
        <v>0</v>
      </c>
      <c r="L1750" s="333">
        <v>0</v>
      </c>
      <c r="M1750" s="333">
        <v>0</v>
      </c>
      <c r="N1750" s="333">
        <v>0</v>
      </c>
      <c r="O1750" s="333">
        <v>0</v>
      </c>
      <c r="P1750" s="333">
        <v>0</v>
      </c>
      <c r="Q1750" s="333">
        <v>0</v>
      </c>
      <c r="R1750" s="333">
        <v>0</v>
      </c>
      <c r="S1750" s="333">
        <v>0</v>
      </c>
      <c r="T1750" s="333">
        <v>0</v>
      </c>
      <c r="U1750" s="333">
        <v>0</v>
      </c>
      <c r="V1750" s="333">
        <v>0</v>
      </c>
      <c r="W1750" s="9"/>
    </row>
    <row r="1751" spans="1:23" x14ac:dyDescent="0.2">
      <c r="A1751" s="9"/>
      <c r="B1751" s="329" t="s">
        <v>232</v>
      </c>
      <c r="C1751" s="331"/>
      <c r="D1751" s="332">
        <v>2268407.4818212315</v>
      </c>
      <c r="E1751" s="332">
        <v>1372900.3502893585</v>
      </c>
      <c r="F1751" s="332">
        <v>980741.80608040688</v>
      </c>
      <c r="G1751" s="332">
        <v>692903.47015474446</v>
      </c>
      <c r="H1751" s="332">
        <v>706741.69185610814</v>
      </c>
      <c r="I1751" s="332">
        <v>375843.82459802716</v>
      </c>
      <c r="J1751" s="332">
        <v>703056.9129497906</v>
      </c>
      <c r="K1751" s="332">
        <v>1419211.9350153366</v>
      </c>
      <c r="L1751" s="332">
        <v>1439636.5425546002</v>
      </c>
      <c r="M1751" s="332">
        <v>1646076.5672087569</v>
      </c>
      <c r="N1751" s="332">
        <v>1140266.1672444937</v>
      </c>
      <c r="O1751" s="332">
        <v>1426088.2310931457</v>
      </c>
      <c r="P1751" s="332">
        <v>1353751.1943876296</v>
      </c>
      <c r="Q1751" s="332">
        <v>1726146.8275375383</v>
      </c>
      <c r="R1751" s="332">
        <v>1360934.3777234135</v>
      </c>
      <c r="S1751" s="332">
        <v>976006.95084189461</v>
      </c>
      <c r="T1751" s="332">
        <v>1182680.3706701095</v>
      </c>
      <c r="U1751" s="332">
        <v>1509056.8778186534</v>
      </c>
      <c r="V1751" s="332">
        <v>1146372.6984268315</v>
      </c>
      <c r="W1751" s="9"/>
    </row>
    <row r="1752" spans="1:23" ht="13.5" thickBot="1" x14ac:dyDescent="0.25">
      <c r="A1752" s="9"/>
      <c r="B1752" s="339" t="s">
        <v>238</v>
      </c>
      <c r="C1752" s="340"/>
      <c r="D1752" s="341">
        <v>-907362.99272849271</v>
      </c>
      <c r="E1752" s="341">
        <v>-549160.14011574339</v>
      </c>
      <c r="F1752" s="341">
        <v>-392296.72243216279</v>
      </c>
      <c r="G1752" s="341">
        <v>-277161.38806189777</v>
      </c>
      <c r="H1752" s="341">
        <v>-282696.67674244329</v>
      </c>
      <c r="I1752" s="341">
        <v>-150337.52983921088</v>
      </c>
      <c r="J1752" s="341">
        <v>-281222.76517991623</v>
      </c>
      <c r="K1752" s="341">
        <v>-567684.77400613471</v>
      </c>
      <c r="L1752" s="341">
        <v>-575854.61702184007</v>
      </c>
      <c r="M1752" s="341">
        <v>-658430.62688350282</v>
      </c>
      <c r="N1752" s="341">
        <v>-456106.46689779754</v>
      </c>
      <c r="O1752" s="341">
        <v>-570435.29243725829</v>
      </c>
      <c r="P1752" s="341">
        <v>-541500.47775505192</v>
      </c>
      <c r="Q1752" s="341">
        <v>-690458.73101501539</v>
      </c>
      <c r="R1752" s="341">
        <v>-544373.75108936545</v>
      </c>
      <c r="S1752" s="341">
        <v>-390402.78033675789</v>
      </c>
      <c r="T1752" s="341">
        <v>-473072.14826804382</v>
      </c>
      <c r="U1752" s="341">
        <v>-603622.75112746132</v>
      </c>
      <c r="V1752" s="341">
        <v>-458549.07937073265</v>
      </c>
      <c r="W1752" s="9"/>
    </row>
    <row r="1753" spans="1:23" ht="13.5" thickTop="1" x14ac:dyDescent="0.2">
      <c r="A1753" s="9"/>
      <c r="B1753" s="329" t="s">
        <v>233</v>
      </c>
      <c r="C1753" s="331"/>
      <c r="D1753" s="332">
        <v>1361044.4890927388</v>
      </c>
      <c r="E1753" s="332">
        <v>823740.21017361514</v>
      </c>
      <c r="F1753" s="332">
        <v>588445.08364824415</v>
      </c>
      <c r="G1753" s="332">
        <v>415742.08209284669</v>
      </c>
      <c r="H1753" s="332">
        <v>424045.01511366485</v>
      </c>
      <c r="I1753" s="332">
        <v>225506.29475881628</v>
      </c>
      <c r="J1753" s="332">
        <v>421834.14776987437</v>
      </c>
      <c r="K1753" s="332">
        <v>851527.1610092019</v>
      </c>
      <c r="L1753" s="332">
        <v>863781.9255327601</v>
      </c>
      <c r="M1753" s="332">
        <v>987645.94032525411</v>
      </c>
      <c r="N1753" s="332">
        <v>684159.70034669619</v>
      </c>
      <c r="O1753" s="332">
        <v>855652.93865588738</v>
      </c>
      <c r="P1753" s="332">
        <v>812250.71663257771</v>
      </c>
      <c r="Q1753" s="332">
        <v>1035688.0965225229</v>
      </c>
      <c r="R1753" s="332">
        <v>816560.62663404807</v>
      </c>
      <c r="S1753" s="332">
        <v>585604.17050513672</v>
      </c>
      <c r="T1753" s="332">
        <v>709608.22240206576</v>
      </c>
      <c r="U1753" s="332">
        <v>905434.12669119204</v>
      </c>
      <c r="V1753" s="332">
        <v>687823.61905609886</v>
      </c>
      <c r="W1753" s="9"/>
    </row>
    <row r="1754" spans="1:23" x14ac:dyDescent="0.2">
      <c r="A1754" s="9"/>
      <c r="B1754" s="9"/>
      <c r="C1754" s="326"/>
      <c r="D1754" s="9"/>
      <c r="E1754" s="327"/>
      <c r="F1754" s="319"/>
      <c r="G1754" s="328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</row>
    <row r="1755" spans="1:23" ht="15.75" x14ac:dyDescent="0.25">
      <c r="A1755" s="342" t="s">
        <v>206</v>
      </c>
      <c r="B1755" s="343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</row>
    <row r="1756" spans="1:23" x14ac:dyDescent="0.2">
      <c r="A1756" s="290" t="s">
        <v>191</v>
      </c>
      <c r="B1756" s="309"/>
      <c r="C1756" s="344">
        <v>0</v>
      </c>
      <c r="D1756" s="283"/>
      <c r="E1756" s="283"/>
      <c r="F1756" s="283"/>
      <c r="G1756" s="283"/>
      <c r="H1756" s="283"/>
      <c r="I1756" s="283"/>
      <c r="J1756" s="283"/>
      <c r="K1756" s="283"/>
      <c r="L1756" s="283"/>
      <c r="M1756" s="283"/>
      <c r="N1756" s="283"/>
      <c r="O1756" s="283"/>
      <c r="P1756" s="283"/>
      <c r="Q1756" s="283"/>
      <c r="R1756" s="283"/>
      <c r="S1756" s="283"/>
      <c r="T1756" s="283"/>
      <c r="U1756" s="283"/>
      <c r="V1756" s="283"/>
      <c r="W1756" s="283"/>
    </row>
    <row r="1757" spans="1:23" x14ac:dyDescent="0.2">
      <c r="A1757" s="290" t="s">
        <v>192</v>
      </c>
      <c r="B1757" s="309"/>
      <c r="C1757" s="345">
        <v>0</v>
      </c>
      <c r="D1757" s="283"/>
      <c r="E1757" s="283"/>
      <c r="F1757" s="283"/>
      <c r="G1757" s="283"/>
      <c r="H1757" s="283"/>
      <c r="I1757" s="283"/>
      <c r="J1757" s="283"/>
      <c r="K1757" s="283"/>
      <c r="L1757" s="283"/>
      <c r="M1757" s="283"/>
      <c r="N1757" s="283"/>
      <c r="O1757" s="283"/>
      <c r="P1757" s="283"/>
      <c r="Q1757" s="283"/>
      <c r="R1757" s="283"/>
      <c r="S1757" s="283"/>
      <c r="T1757" s="283"/>
      <c r="U1757" s="283"/>
      <c r="V1757" s="283"/>
      <c r="W1757" s="283"/>
    </row>
    <row r="1758" spans="1:23" x14ac:dyDescent="0.2">
      <c r="A1758" s="290" t="s">
        <v>202</v>
      </c>
      <c r="B1758" s="309"/>
      <c r="C1758" s="290">
        <v>15</v>
      </c>
      <c r="D1758" s="283"/>
      <c r="E1758" s="283"/>
      <c r="F1758" s="283"/>
      <c r="G1758" s="283"/>
      <c r="H1758" s="283"/>
      <c r="I1758" s="283"/>
      <c r="J1758" s="283"/>
      <c r="K1758" s="283"/>
      <c r="L1758" s="283"/>
      <c r="M1758" s="283"/>
      <c r="N1758" s="283"/>
      <c r="O1758" s="283"/>
      <c r="P1758" s="283"/>
      <c r="Q1758" s="283"/>
      <c r="R1758" s="283"/>
      <c r="S1758" s="283"/>
      <c r="T1758" s="283"/>
      <c r="U1758" s="283"/>
      <c r="V1758" s="283"/>
      <c r="W1758" s="283"/>
    </row>
    <row r="1759" spans="1:23" x14ac:dyDescent="0.2">
      <c r="A1759" s="290" t="s">
        <v>193</v>
      </c>
      <c r="B1759" s="309"/>
      <c r="C1759" s="345">
        <v>0</v>
      </c>
      <c r="D1759" s="283"/>
      <c r="E1759" s="283"/>
      <c r="F1759" s="283"/>
      <c r="G1759" s="283"/>
      <c r="H1759" s="283"/>
      <c r="I1759" s="283"/>
      <c r="J1759" s="283"/>
      <c r="K1759" s="283"/>
      <c r="L1759" s="283"/>
      <c r="M1759" s="283"/>
      <c r="N1759" s="283"/>
      <c r="O1759" s="283"/>
      <c r="P1759" s="283"/>
      <c r="Q1759" s="283"/>
      <c r="R1759" s="283"/>
      <c r="S1759" s="283"/>
      <c r="T1759" s="283"/>
      <c r="U1759" s="283"/>
      <c r="V1759" s="283"/>
      <c r="W1759" s="283"/>
    </row>
    <row r="1760" spans="1:23" x14ac:dyDescent="0.2">
      <c r="A1760" s="290" t="s">
        <v>194</v>
      </c>
      <c r="B1760" s="309"/>
      <c r="C1760" s="346">
        <v>8.7499999999999994E-2</v>
      </c>
      <c r="D1760" s="283"/>
      <c r="E1760" s="283"/>
      <c r="F1760" s="283"/>
      <c r="G1760" s="283"/>
      <c r="H1760" s="283"/>
      <c r="I1760" s="283"/>
      <c r="J1760" s="283"/>
      <c r="K1760" s="283"/>
      <c r="L1760" s="283"/>
      <c r="M1760" s="283"/>
      <c r="N1760" s="283"/>
      <c r="O1760" s="283"/>
      <c r="P1760" s="283"/>
      <c r="Q1760" s="283"/>
      <c r="R1760" s="283"/>
      <c r="S1760" s="283"/>
      <c r="T1760" s="283"/>
      <c r="U1760" s="283"/>
      <c r="V1760" s="283"/>
      <c r="W1760" s="283"/>
    </row>
    <row r="1761" spans="1:23" x14ac:dyDescent="0.2">
      <c r="A1761" s="290"/>
      <c r="B1761" s="309"/>
      <c r="C1761" s="283"/>
      <c r="D1761" s="312">
        <v>2001</v>
      </c>
      <c r="E1761" s="312">
        <v>2002</v>
      </c>
      <c r="F1761" s="312">
        <v>2003</v>
      </c>
      <c r="G1761" s="312">
        <v>2004</v>
      </c>
      <c r="H1761" s="312">
        <v>2005</v>
      </c>
      <c r="I1761" s="312">
        <v>2006</v>
      </c>
      <c r="J1761" s="312">
        <v>2007</v>
      </c>
      <c r="K1761" s="312">
        <v>2008</v>
      </c>
      <c r="L1761" s="312">
        <v>2009</v>
      </c>
      <c r="M1761" s="312">
        <v>2010</v>
      </c>
      <c r="N1761" s="312">
        <v>2011</v>
      </c>
      <c r="O1761" s="312">
        <v>2012</v>
      </c>
      <c r="P1761" s="312">
        <v>2013</v>
      </c>
      <c r="Q1761" s="312">
        <v>2014</v>
      </c>
      <c r="R1761" s="312">
        <v>2015</v>
      </c>
      <c r="S1761" s="312">
        <v>2016</v>
      </c>
      <c r="T1761" s="312">
        <v>2017</v>
      </c>
      <c r="U1761" s="312">
        <v>2018</v>
      </c>
      <c r="V1761" s="312">
        <v>2019</v>
      </c>
      <c r="W1761" s="312" t="s">
        <v>154</v>
      </c>
    </row>
    <row r="1762" spans="1:23" x14ac:dyDescent="0.2">
      <c r="A1762" s="290" t="s">
        <v>195</v>
      </c>
      <c r="B1762" s="309"/>
      <c r="C1762" s="283"/>
      <c r="D1762" s="347">
        <v>0</v>
      </c>
      <c r="E1762" s="347">
        <v>0</v>
      </c>
      <c r="F1762" s="347">
        <v>0</v>
      </c>
      <c r="G1762" s="347">
        <v>0</v>
      </c>
      <c r="H1762" s="347">
        <v>0</v>
      </c>
      <c r="I1762" s="347">
        <v>0</v>
      </c>
      <c r="J1762" s="347">
        <v>0</v>
      </c>
      <c r="K1762" s="347">
        <v>0</v>
      </c>
      <c r="L1762" s="347">
        <v>0</v>
      </c>
      <c r="M1762" s="347">
        <v>0</v>
      </c>
      <c r="N1762" s="347">
        <v>0</v>
      </c>
      <c r="O1762" s="347">
        <v>0</v>
      </c>
      <c r="P1762" s="347">
        <v>0</v>
      </c>
      <c r="Q1762" s="347">
        <v>0</v>
      </c>
      <c r="R1762" s="347">
        <v>0</v>
      </c>
      <c r="S1762" s="347">
        <v>0</v>
      </c>
      <c r="T1762" s="347">
        <v>0</v>
      </c>
      <c r="U1762" s="347">
        <v>0</v>
      </c>
      <c r="V1762" s="347">
        <v>0</v>
      </c>
      <c r="W1762" s="347">
        <v>0</v>
      </c>
    </row>
    <row r="1763" spans="1:23" x14ac:dyDescent="0.2">
      <c r="A1763" s="290" t="s">
        <v>196</v>
      </c>
      <c r="B1763" s="309"/>
      <c r="C1763" s="283"/>
      <c r="D1763" s="347">
        <v>0</v>
      </c>
      <c r="E1763" s="347">
        <v>0</v>
      </c>
      <c r="F1763" s="347">
        <v>0</v>
      </c>
      <c r="G1763" s="347">
        <v>0</v>
      </c>
      <c r="H1763" s="347">
        <v>0</v>
      </c>
      <c r="I1763" s="347">
        <v>0</v>
      </c>
      <c r="J1763" s="347">
        <v>0</v>
      </c>
      <c r="K1763" s="347">
        <v>0</v>
      </c>
      <c r="L1763" s="347">
        <v>0</v>
      </c>
      <c r="M1763" s="347">
        <v>0</v>
      </c>
      <c r="N1763" s="347">
        <v>0</v>
      </c>
      <c r="O1763" s="347">
        <v>0</v>
      </c>
      <c r="P1763" s="347">
        <v>0</v>
      </c>
      <c r="Q1763" s="347">
        <v>0</v>
      </c>
      <c r="R1763" s="347">
        <v>0</v>
      </c>
      <c r="S1763" s="347">
        <v>0</v>
      </c>
      <c r="T1763" s="347">
        <v>0</v>
      </c>
      <c r="U1763" s="347">
        <v>0</v>
      </c>
      <c r="V1763" s="347">
        <v>0</v>
      </c>
      <c r="W1763" s="347">
        <v>0</v>
      </c>
    </row>
    <row r="1764" spans="1:23" x14ac:dyDescent="0.2">
      <c r="A1764" s="290" t="s">
        <v>197</v>
      </c>
      <c r="B1764" s="309"/>
      <c r="C1764" s="283"/>
      <c r="D1764" s="347">
        <v>0</v>
      </c>
      <c r="E1764" s="347">
        <v>0</v>
      </c>
      <c r="F1764" s="347">
        <v>0</v>
      </c>
      <c r="G1764" s="347">
        <v>0</v>
      </c>
      <c r="H1764" s="347">
        <v>0</v>
      </c>
      <c r="I1764" s="347">
        <v>0</v>
      </c>
      <c r="J1764" s="347">
        <v>0</v>
      </c>
      <c r="K1764" s="347">
        <v>0</v>
      </c>
      <c r="L1764" s="347">
        <v>0</v>
      </c>
      <c r="M1764" s="347">
        <v>0</v>
      </c>
      <c r="N1764" s="347">
        <v>0</v>
      </c>
      <c r="O1764" s="347">
        <v>0</v>
      </c>
      <c r="P1764" s="347">
        <v>0</v>
      </c>
      <c r="Q1764" s="347">
        <v>0</v>
      </c>
      <c r="R1764" s="347">
        <v>0</v>
      </c>
      <c r="S1764" s="347">
        <v>0</v>
      </c>
      <c r="T1764" s="347">
        <v>0</v>
      </c>
      <c r="U1764" s="347">
        <v>0</v>
      </c>
      <c r="V1764" s="347">
        <v>0</v>
      </c>
      <c r="W1764" s="347">
        <v>0</v>
      </c>
    </row>
    <row r="1765" spans="1:23" x14ac:dyDescent="0.2">
      <c r="A1765" s="290" t="s">
        <v>198</v>
      </c>
      <c r="B1765" s="309"/>
      <c r="C1765" s="283"/>
      <c r="D1765" s="348">
        <v>0</v>
      </c>
      <c r="E1765" s="348">
        <v>0</v>
      </c>
      <c r="F1765" s="348">
        <v>0</v>
      </c>
      <c r="G1765" s="348">
        <v>0</v>
      </c>
      <c r="H1765" s="348">
        <v>0</v>
      </c>
      <c r="I1765" s="348">
        <v>0</v>
      </c>
      <c r="J1765" s="348">
        <v>0</v>
      </c>
      <c r="K1765" s="348">
        <v>0</v>
      </c>
      <c r="L1765" s="348">
        <v>0</v>
      </c>
      <c r="M1765" s="348">
        <v>0</v>
      </c>
      <c r="N1765" s="348">
        <v>0</v>
      </c>
      <c r="O1765" s="348">
        <v>0</v>
      </c>
      <c r="P1765" s="348">
        <v>0</v>
      </c>
      <c r="Q1765" s="348">
        <v>0</v>
      </c>
      <c r="R1765" s="348">
        <v>0</v>
      </c>
      <c r="S1765" s="348">
        <v>0</v>
      </c>
      <c r="T1765" s="348">
        <v>0</v>
      </c>
      <c r="U1765" s="348">
        <v>0</v>
      </c>
      <c r="V1765" s="348">
        <v>0</v>
      </c>
      <c r="W1765" s="348">
        <v>0</v>
      </c>
    </row>
    <row r="1766" spans="1:23" ht="13.5" thickBot="1" x14ac:dyDescent="0.25">
      <c r="A1766" s="290" t="s">
        <v>199</v>
      </c>
      <c r="B1766" s="309"/>
      <c r="C1766" s="283"/>
      <c r="D1766" s="349">
        <v>0</v>
      </c>
      <c r="E1766" s="349">
        <v>0</v>
      </c>
      <c r="F1766" s="349">
        <v>0</v>
      </c>
      <c r="G1766" s="349">
        <v>0</v>
      </c>
      <c r="H1766" s="349">
        <v>0</v>
      </c>
      <c r="I1766" s="349">
        <v>0</v>
      </c>
      <c r="J1766" s="349">
        <v>0</v>
      </c>
      <c r="K1766" s="349">
        <v>0</v>
      </c>
      <c r="L1766" s="349">
        <v>0</v>
      </c>
      <c r="M1766" s="349">
        <v>0</v>
      </c>
      <c r="N1766" s="349">
        <v>0</v>
      </c>
      <c r="O1766" s="349">
        <v>0</v>
      </c>
      <c r="P1766" s="349">
        <v>0</v>
      </c>
      <c r="Q1766" s="349">
        <v>0</v>
      </c>
      <c r="R1766" s="349">
        <v>0</v>
      </c>
      <c r="S1766" s="349">
        <v>0</v>
      </c>
      <c r="T1766" s="349">
        <v>0</v>
      </c>
      <c r="U1766" s="349">
        <v>0</v>
      </c>
      <c r="V1766" s="349">
        <v>0</v>
      </c>
      <c r="W1766" s="349">
        <v>0</v>
      </c>
    </row>
    <row r="1767" spans="1:23" ht="13.5" thickTop="1" x14ac:dyDescent="0.2">
      <c r="A1767" s="290"/>
      <c r="B1767" s="309"/>
      <c r="C1767" s="283"/>
      <c r="D1767" s="347"/>
      <c r="E1767" s="347"/>
      <c r="F1767" s="347"/>
      <c r="G1767" s="347"/>
      <c r="H1767" s="347"/>
      <c r="I1767" s="347"/>
      <c r="J1767" s="347"/>
      <c r="K1767" s="347"/>
      <c r="L1767" s="347"/>
      <c r="M1767" s="347"/>
      <c r="N1767" s="347"/>
      <c r="O1767" s="347"/>
      <c r="P1767" s="347"/>
      <c r="Q1767" s="347"/>
      <c r="R1767" s="347"/>
      <c r="S1767" s="347"/>
      <c r="T1767" s="347"/>
      <c r="U1767" s="347"/>
      <c r="V1767" s="347"/>
      <c r="W1767" s="347"/>
    </row>
    <row r="1768" spans="1:23" x14ac:dyDescent="0.2">
      <c r="A1768" s="290" t="s">
        <v>200</v>
      </c>
      <c r="B1768" s="309"/>
      <c r="C1768" s="283"/>
      <c r="D1768" s="347">
        <v>0</v>
      </c>
      <c r="E1768" s="347">
        <v>0</v>
      </c>
      <c r="F1768" s="347">
        <v>0</v>
      </c>
      <c r="G1768" s="347">
        <v>0</v>
      </c>
      <c r="H1768" s="347">
        <v>0</v>
      </c>
      <c r="I1768" s="347">
        <v>0</v>
      </c>
      <c r="J1768" s="347">
        <v>0</v>
      </c>
      <c r="K1768" s="347">
        <v>0</v>
      </c>
      <c r="L1768" s="347">
        <v>0</v>
      </c>
      <c r="M1768" s="347">
        <v>0</v>
      </c>
      <c r="N1768" s="347">
        <v>0</v>
      </c>
      <c r="O1768" s="347">
        <v>0</v>
      </c>
      <c r="P1768" s="347">
        <v>0</v>
      </c>
      <c r="Q1768" s="347">
        <v>0</v>
      </c>
      <c r="R1768" s="347">
        <v>0</v>
      </c>
      <c r="S1768" s="347">
        <v>0</v>
      </c>
      <c r="T1768" s="347">
        <v>0</v>
      </c>
      <c r="U1768" s="347">
        <v>0</v>
      </c>
      <c r="V1768" s="347">
        <v>0</v>
      </c>
      <c r="W1768" s="347">
        <v>0</v>
      </c>
    </row>
    <row r="1769" spans="1:23" x14ac:dyDescent="0.2">
      <c r="A1769" s="290"/>
      <c r="B1769" s="309"/>
      <c r="C1769" s="283"/>
      <c r="D1769" s="283"/>
      <c r="E1769" s="283"/>
      <c r="F1769" s="283"/>
      <c r="G1769" s="283"/>
      <c r="H1769" s="283"/>
      <c r="I1769" s="283"/>
      <c r="J1769" s="283"/>
      <c r="K1769" s="283"/>
      <c r="L1769" s="283"/>
      <c r="M1769" s="283"/>
      <c r="N1769" s="283"/>
      <c r="O1769" s="283"/>
      <c r="P1769" s="283"/>
      <c r="Q1769" s="283"/>
      <c r="R1769" s="283"/>
      <c r="S1769" s="283"/>
      <c r="T1769" s="283"/>
      <c r="U1769" s="283"/>
      <c r="V1769" s="283"/>
      <c r="W1769" s="283"/>
    </row>
    <row r="1770" spans="1:23" x14ac:dyDescent="0.2">
      <c r="A1770" s="290" t="s">
        <v>201</v>
      </c>
      <c r="B1770" s="309"/>
      <c r="C1770" s="283"/>
      <c r="D1770" s="347">
        <v>0</v>
      </c>
      <c r="E1770" s="347">
        <v>0</v>
      </c>
      <c r="F1770" s="347">
        <v>0</v>
      </c>
      <c r="G1770" s="347">
        <v>0</v>
      </c>
      <c r="H1770" s="347">
        <v>0</v>
      </c>
      <c r="I1770" s="347">
        <v>0</v>
      </c>
      <c r="J1770" s="347">
        <v>0</v>
      </c>
      <c r="K1770" s="347">
        <v>0</v>
      </c>
      <c r="L1770" s="347">
        <v>0</v>
      </c>
      <c r="M1770" s="347">
        <v>0</v>
      </c>
      <c r="N1770" s="347">
        <v>0</v>
      </c>
      <c r="O1770" s="347">
        <v>0</v>
      </c>
      <c r="P1770" s="347">
        <v>0</v>
      </c>
      <c r="Q1770" s="347">
        <v>0</v>
      </c>
      <c r="R1770" s="347">
        <v>0</v>
      </c>
      <c r="S1770" s="347">
        <v>0</v>
      </c>
      <c r="T1770" s="347">
        <v>0</v>
      </c>
      <c r="U1770" s="347">
        <v>0</v>
      </c>
      <c r="V1770" s="347">
        <v>0</v>
      </c>
      <c r="W1770" s="347">
        <v>0</v>
      </c>
    </row>
    <row r="1771" spans="1:23" x14ac:dyDescent="0.2">
      <c r="A1771" s="283"/>
      <c r="B1771" s="309"/>
      <c r="C1771" s="283"/>
      <c r="D1771" s="283"/>
      <c r="E1771" s="283"/>
      <c r="F1771" s="283"/>
      <c r="G1771" s="283"/>
      <c r="H1771" s="283"/>
      <c r="I1771" s="283"/>
      <c r="J1771" s="283"/>
      <c r="K1771" s="283"/>
      <c r="L1771" s="283"/>
      <c r="M1771" s="283"/>
      <c r="N1771" s="283"/>
      <c r="O1771" s="283"/>
      <c r="P1771" s="283"/>
      <c r="Q1771" s="283"/>
      <c r="R1771" s="283"/>
      <c r="S1771" s="283"/>
      <c r="T1771" s="283"/>
      <c r="U1771" s="283"/>
      <c r="V1771" s="283"/>
      <c r="W1771" s="283"/>
    </row>
    <row r="1772" spans="1:23" x14ac:dyDescent="0.2">
      <c r="A1772" s="283"/>
      <c r="B1772" s="309"/>
      <c r="C1772" s="283"/>
      <c r="D1772" s="283"/>
      <c r="E1772" s="283"/>
      <c r="F1772" s="283"/>
      <c r="G1772" s="283"/>
      <c r="H1772" s="283"/>
      <c r="I1772" s="283"/>
      <c r="J1772" s="283"/>
      <c r="K1772" s="283"/>
      <c r="L1772" s="283"/>
      <c r="M1772" s="283"/>
      <c r="N1772" s="283"/>
      <c r="O1772" s="283"/>
      <c r="P1772" s="283"/>
      <c r="Q1772" s="283"/>
      <c r="R1772" s="283"/>
      <c r="S1772" s="283"/>
      <c r="T1772" s="283"/>
      <c r="U1772" s="283"/>
      <c r="V1772" s="283"/>
      <c r="W1772" s="283"/>
    </row>
    <row r="1773" spans="1:23" x14ac:dyDescent="0.2">
      <c r="A1773" s="290" t="s">
        <v>203</v>
      </c>
      <c r="B1773" s="285"/>
      <c r="C1773" s="284"/>
      <c r="D1773" s="441">
        <v>1805413.9154624429</v>
      </c>
      <c r="E1773" s="441">
        <v>1259042.6418844326</v>
      </c>
      <c r="F1773" s="441">
        <v>1009478.6193244557</v>
      </c>
      <c r="G1773" s="441">
        <v>814900.74536266993</v>
      </c>
      <c r="H1773" s="441">
        <v>694263.37878942396</v>
      </c>
      <c r="I1773" s="441">
        <v>494193.43274729163</v>
      </c>
      <c r="J1773" s="441">
        <v>559857.03357142862</v>
      </c>
      <c r="K1773" s="441">
        <v>876157.77381878486</v>
      </c>
      <c r="L1773" s="441">
        <v>891031.5739132883</v>
      </c>
      <c r="M1773" s="441">
        <v>1012988.948671708</v>
      </c>
      <c r="N1773" s="441">
        <v>673267.13538945746</v>
      </c>
      <c r="O1773" s="441">
        <v>841687.60046533309</v>
      </c>
      <c r="P1773" s="441">
        <v>800852.46155240294</v>
      </c>
      <c r="Q1773" s="441">
        <v>1003190.0764532019</v>
      </c>
      <c r="R1773" s="441">
        <v>763119.81666342821</v>
      </c>
      <c r="S1773" s="441">
        <v>534670.91747372213</v>
      </c>
      <c r="T1773" s="441">
        <v>660905.94720237493</v>
      </c>
      <c r="U1773" s="441">
        <v>859615.15422852116</v>
      </c>
      <c r="V1773" s="441">
        <v>644974.44841255876</v>
      </c>
      <c r="W1773" s="441">
        <v>4789857.5023522098</v>
      </c>
    </row>
    <row r="1774" spans="1:23" x14ac:dyDescent="0.2">
      <c r="A1774" s="9"/>
      <c r="B1774" s="69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</row>
    <row r="1775" spans="1:23" x14ac:dyDescent="0.2">
      <c r="A1775" s="298"/>
      <c r="B1775" s="366"/>
      <c r="C1775" s="376"/>
      <c r="D1775" s="68"/>
      <c r="E1775" s="68"/>
      <c r="F1775" s="68"/>
      <c r="G1775" s="68"/>
      <c r="H1775" s="68"/>
      <c r="I1775" s="68"/>
      <c r="J1775" s="68"/>
      <c r="K1775" s="68"/>
      <c r="L1775" s="68"/>
      <c r="M1775" s="68"/>
      <c r="N1775" s="68"/>
      <c r="O1775" s="68"/>
      <c r="P1775" s="68"/>
      <c r="Q1775" s="68"/>
      <c r="R1775" s="68"/>
      <c r="S1775" s="68"/>
      <c r="T1775" s="68"/>
      <c r="U1775" s="68"/>
      <c r="V1775" s="68"/>
      <c r="W1775" s="68"/>
    </row>
    <row r="1776" spans="1:23" x14ac:dyDescent="0.2">
      <c r="A1776" s="298"/>
      <c r="B1776" s="366"/>
      <c r="C1776" s="376"/>
      <c r="D1776" s="68"/>
      <c r="E1776" s="68"/>
      <c r="F1776" s="68"/>
      <c r="G1776" s="68"/>
      <c r="H1776" s="68"/>
      <c r="I1776" s="68"/>
      <c r="J1776" s="68"/>
      <c r="K1776" s="68"/>
      <c r="L1776" s="68"/>
      <c r="M1776" s="68"/>
      <c r="N1776" s="68"/>
      <c r="O1776" s="68"/>
      <c r="P1776" s="68"/>
      <c r="Q1776" s="68"/>
      <c r="R1776" s="68"/>
      <c r="S1776" s="68"/>
      <c r="T1776" s="68"/>
      <c r="U1776" s="68"/>
      <c r="V1776" s="68"/>
      <c r="W1776" s="68"/>
    </row>
    <row r="1777" spans="1:23" x14ac:dyDescent="0.2">
      <c r="A1777" s="298"/>
      <c r="B1777" s="366"/>
      <c r="C1777" s="376"/>
      <c r="D1777" s="68"/>
      <c r="E1777" s="68"/>
      <c r="F1777" s="68"/>
      <c r="G1777" s="68"/>
      <c r="H1777" s="68"/>
      <c r="I1777" s="68"/>
      <c r="J1777" s="68"/>
      <c r="K1777" s="68"/>
      <c r="L1777" s="68"/>
      <c r="M1777" s="68"/>
      <c r="N1777" s="68"/>
      <c r="O1777" s="68"/>
      <c r="P1777" s="68"/>
      <c r="Q1777" s="68"/>
      <c r="R1777" s="68"/>
      <c r="S1777" s="68"/>
      <c r="T1777" s="68"/>
      <c r="U1777" s="68"/>
      <c r="V1777" s="68"/>
      <c r="W1777" s="68"/>
    </row>
    <row r="1778" spans="1:23" x14ac:dyDescent="0.2">
      <c r="A1778" s="298"/>
      <c r="B1778" s="366"/>
      <c r="C1778" s="376"/>
      <c r="D1778" s="68"/>
      <c r="E1778" s="68"/>
      <c r="F1778" s="68"/>
      <c r="G1778" s="68"/>
      <c r="H1778" s="68"/>
      <c r="I1778" s="68"/>
      <c r="J1778" s="68"/>
      <c r="K1778" s="68"/>
      <c r="L1778" s="68"/>
      <c r="M1778" s="68"/>
      <c r="N1778" s="68"/>
      <c r="O1778" s="68"/>
      <c r="P1778" s="68"/>
      <c r="Q1778" s="68"/>
      <c r="R1778" s="68"/>
      <c r="S1778" s="68"/>
      <c r="T1778" s="68"/>
      <c r="U1778" s="68"/>
      <c r="V1778" s="68"/>
      <c r="W1778" s="68"/>
    </row>
    <row r="1779" spans="1:23" x14ac:dyDescent="0.2">
      <c r="A1779" s="298"/>
      <c r="B1779" s="366"/>
      <c r="C1779" s="376"/>
      <c r="D1779" s="68"/>
      <c r="E1779" s="68"/>
      <c r="F1779" s="68"/>
      <c r="G1779" s="68"/>
      <c r="H1779" s="68"/>
      <c r="I1779" s="68"/>
      <c r="J1779" s="68"/>
      <c r="K1779" s="68"/>
      <c r="L1779" s="68"/>
      <c r="M1779" s="68"/>
      <c r="N1779" s="68"/>
      <c r="O1779" s="68"/>
      <c r="P1779" s="68"/>
      <c r="Q1779" s="68"/>
      <c r="R1779" s="68"/>
      <c r="S1779" s="68"/>
      <c r="T1779" s="68"/>
      <c r="U1779" s="68"/>
      <c r="V1779" s="68"/>
      <c r="W1779" s="68"/>
    </row>
    <row r="1780" spans="1:23" x14ac:dyDescent="0.2">
      <c r="A1780" s="298"/>
      <c r="B1780" s="366"/>
      <c r="C1780" s="376"/>
      <c r="D1780" s="68"/>
      <c r="E1780" s="68"/>
      <c r="F1780" s="68"/>
      <c r="G1780" s="68"/>
      <c r="H1780" s="68"/>
      <c r="I1780" s="68"/>
      <c r="J1780" s="68"/>
      <c r="K1780" s="68"/>
      <c r="L1780" s="68"/>
      <c r="M1780" s="68"/>
      <c r="N1780" s="68"/>
      <c r="O1780" s="68"/>
      <c r="P1780" s="68"/>
      <c r="Q1780" s="68"/>
      <c r="R1780" s="68"/>
      <c r="S1780" s="68"/>
      <c r="T1780" s="68"/>
      <c r="U1780" s="68"/>
      <c r="V1780" s="68"/>
      <c r="W1780" s="68"/>
    </row>
    <row r="1781" spans="1:23" x14ac:dyDescent="0.2">
      <c r="A1781" s="298"/>
      <c r="B1781" s="366"/>
      <c r="C1781" s="376"/>
      <c r="D1781" s="376"/>
      <c r="E1781" s="376"/>
      <c r="F1781" s="376"/>
      <c r="G1781" s="376"/>
      <c r="H1781" s="376"/>
      <c r="I1781" s="376"/>
      <c r="J1781" s="376"/>
      <c r="K1781" s="376"/>
      <c r="L1781" s="376"/>
      <c r="M1781" s="376"/>
      <c r="N1781" s="376"/>
      <c r="O1781" s="376"/>
      <c r="P1781" s="376"/>
      <c r="Q1781" s="376"/>
      <c r="R1781" s="376"/>
      <c r="S1781" s="376"/>
      <c r="T1781" s="376"/>
      <c r="U1781" s="376"/>
      <c r="V1781" s="376"/>
      <c r="W1781" s="376"/>
    </row>
    <row r="1782" spans="1:23" ht="15.75" x14ac:dyDescent="0.25">
      <c r="A1782" s="308" t="s">
        <v>29</v>
      </c>
      <c r="B1782" s="311" t="s">
        <v>80</v>
      </c>
      <c r="C1782" s="312">
        <v>2000</v>
      </c>
      <c r="D1782" s="312">
        <v>2001</v>
      </c>
      <c r="E1782" s="312">
        <v>2002</v>
      </c>
      <c r="F1782" s="312">
        <v>2003</v>
      </c>
      <c r="G1782" s="312">
        <v>2004</v>
      </c>
      <c r="H1782" s="312">
        <v>2005</v>
      </c>
      <c r="I1782" s="312">
        <v>2006</v>
      </c>
      <c r="J1782" s="312">
        <v>2007</v>
      </c>
      <c r="K1782" s="312">
        <v>2008</v>
      </c>
      <c r="L1782" s="312">
        <v>2009</v>
      </c>
      <c r="M1782" s="312">
        <v>2010</v>
      </c>
      <c r="N1782" s="312">
        <v>2011</v>
      </c>
      <c r="O1782" s="312">
        <v>2012</v>
      </c>
      <c r="P1782" s="312">
        <v>2013</v>
      </c>
      <c r="Q1782" s="312">
        <v>2014</v>
      </c>
      <c r="R1782" s="312">
        <v>2015</v>
      </c>
      <c r="S1782" s="312">
        <v>2016</v>
      </c>
      <c r="T1782" s="312">
        <v>2017</v>
      </c>
      <c r="U1782" s="312">
        <v>2018</v>
      </c>
      <c r="V1782" s="312">
        <v>2019</v>
      </c>
      <c r="W1782" s="312" t="s">
        <v>154</v>
      </c>
    </row>
    <row r="1783" spans="1:23" x14ac:dyDescent="0.2">
      <c r="A1783" s="308" t="s">
        <v>26</v>
      </c>
      <c r="B1783" s="309">
        <v>83.433000000000007</v>
      </c>
      <c r="C1783" s="314"/>
      <c r="D1783" s="314"/>
      <c r="E1783" s="314"/>
      <c r="F1783" s="314"/>
      <c r="G1783" s="314"/>
      <c r="H1783" s="314"/>
      <c r="I1783" s="314"/>
      <c r="J1783" s="314"/>
      <c r="K1783" s="314"/>
      <c r="L1783" s="314"/>
      <c r="M1783" s="314"/>
      <c r="N1783" s="314"/>
      <c r="O1783" s="314"/>
      <c r="P1783" s="314"/>
      <c r="Q1783" s="314"/>
      <c r="R1783" s="314"/>
      <c r="S1783" s="314"/>
      <c r="T1783" s="314"/>
      <c r="U1783" s="314"/>
      <c r="V1783" s="314"/>
      <c r="W1783" s="314"/>
    </row>
    <row r="1784" spans="1:23" x14ac:dyDescent="0.2">
      <c r="A1784" s="9"/>
      <c r="B1784" s="315" t="s">
        <v>27</v>
      </c>
      <c r="C1784" s="449">
        <v>0</v>
      </c>
      <c r="D1784" s="410">
        <v>7778399.1075253496</v>
      </c>
      <c r="E1784" s="410">
        <v>6842254.5552537916</v>
      </c>
      <c r="F1784" s="410">
        <v>6629692.7122039562</v>
      </c>
      <c r="G1784" s="410">
        <v>6318609.8961360669</v>
      </c>
      <c r="H1784" s="410">
        <v>6451264.7006655894</v>
      </c>
      <c r="I1784" s="410">
        <v>7455383.7868868234</v>
      </c>
      <c r="J1784" s="410">
        <v>8933942.2525088191</v>
      </c>
      <c r="K1784" s="410">
        <v>11309729.683792757</v>
      </c>
      <c r="L1784" s="410">
        <v>11987941.949257994</v>
      </c>
      <c r="M1784" s="410">
        <v>10329741.498823166</v>
      </c>
      <c r="N1784" s="410">
        <v>10137023.425225437</v>
      </c>
      <c r="O1784" s="410">
        <v>10141395.008444561</v>
      </c>
      <c r="P1784" s="410">
        <v>9373421.0289784186</v>
      </c>
      <c r="Q1784" s="410">
        <v>10829294.728562763</v>
      </c>
      <c r="R1784" s="410">
        <v>10140669.306975409</v>
      </c>
      <c r="S1784" s="410">
        <v>10206249.178018356</v>
      </c>
      <c r="T1784" s="410">
        <v>9435440.7257302757</v>
      </c>
      <c r="U1784" s="410">
        <v>10663951.615292406</v>
      </c>
      <c r="V1784" s="410">
        <v>11535367.734861331</v>
      </c>
      <c r="W1784" s="333"/>
    </row>
    <row r="1785" spans="1:23" x14ac:dyDescent="0.2">
      <c r="A1785" s="9"/>
      <c r="B1785" s="315" t="s">
        <v>20</v>
      </c>
      <c r="C1785" s="449">
        <v>0</v>
      </c>
      <c r="D1785" s="410">
        <v>-2279367.9189881762</v>
      </c>
      <c r="E1785" s="410">
        <v>-2812929.5237752814</v>
      </c>
      <c r="F1785" s="410">
        <v>-3058770.0555529702</v>
      </c>
      <c r="G1785" s="410">
        <v>-3311731.7926161261</v>
      </c>
      <c r="H1785" s="410">
        <v>-3520069.6204902469</v>
      </c>
      <c r="I1785" s="410">
        <v>-4670164.8003135696</v>
      </c>
      <c r="J1785" s="410">
        <v>-5800826.5836623712</v>
      </c>
      <c r="K1785" s="410">
        <v>-7183424.3737935591</v>
      </c>
      <c r="L1785" s="410">
        <v>-7682495.6427182453</v>
      </c>
      <c r="M1785" s="410">
        <v>-6000707.9900300922</v>
      </c>
      <c r="N1785" s="410">
        <v>-6623381.3630241612</v>
      </c>
      <c r="O1785" s="410">
        <v>-6143418.2021517968</v>
      </c>
      <c r="P1785" s="410">
        <v>-5621870.6186106894</v>
      </c>
      <c r="Q1785" s="410">
        <v>-6288111.6403606003</v>
      </c>
      <c r="R1785" s="410">
        <v>-6156692.7170526711</v>
      </c>
      <c r="S1785" s="410">
        <v>-6876253.8889866211</v>
      </c>
      <c r="T1785" s="410">
        <v>-5875497.5201904178</v>
      </c>
      <c r="U1785" s="410">
        <v>-6567394.4389183186</v>
      </c>
      <c r="V1785" s="410">
        <v>-7797811.0819347827</v>
      </c>
      <c r="W1785" s="333"/>
    </row>
    <row r="1786" spans="1:23" x14ac:dyDescent="0.2">
      <c r="A1786" s="9"/>
      <c r="B1786" s="315" t="s">
        <v>31</v>
      </c>
      <c r="C1786" s="449">
        <v>0</v>
      </c>
      <c r="D1786" s="410">
        <v>-57028.15214719066</v>
      </c>
      <c r="E1786" s="410">
        <v>-81185.613060895324</v>
      </c>
      <c r="F1786" s="410">
        <v>-93622.506813158674</v>
      </c>
      <c r="G1786" s="410">
        <v>-101362.76169412494</v>
      </c>
      <c r="H1786" s="410">
        <v>-107716.4803515206</v>
      </c>
      <c r="I1786" s="410">
        <v>-148291.97621567055</v>
      </c>
      <c r="J1786" s="410">
        <v>-179818.39534956124</v>
      </c>
      <c r="K1786" s="410">
        <v>-244348.64758108876</v>
      </c>
      <c r="L1786" s="410">
        <v>-255192.43623216765</v>
      </c>
      <c r="M1786" s="410">
        <v>-193964.44469204155</v>
      </c>
      <c r="N1786" s="410">
        <v>-219273.63205426256</v>
      </c>
      <c r="O1786" s="410">
        <v>-204927.31589735823</v>
      </c>
      <c r="P1786" s="410">
        <v>-185685.14264100697</v>
      </c>
      <c r="Q1786" s="410">
        <v>-206543.68349303392</v>
      </c>
      <c r="R1786" s="410">
        <v>-190880.20244975749</v>
      </c>
      <c r="S1786" s="410">
        <v>-209068.5703584156</v>
      </c>
      <c r="T1786" s="410">
        <v>-179130.37208792387</v>
      </c>
      <c r="U1786" s="410">
        <v>-188414.53075049791</v>
      </c>
      <c r="V1786" s="410">
        <v>-229337.41790373807</v>
      </c>
      <c r="W1786" s="333"/>
    </row>
    <row r="1787" spans="1:23" x14ac:dyDescent="0.2">
      <c r="A1787" s="9"/>
      <c r="B1787" s="315" t="s">
        <v>32</v>
      </c>
      <c r="C1787" s="449">
        <v>0</v>
      </c>
      <c r="D1787" s="410">
        <v>0</v>
      </c>
      <c r="E1787" s="410">
        <v>0</v>
      </c>
      <c r="F1787" s="410">
        <v>0</v>
      </c>
      <c r="G1787" s="410">
        <v>0</v>
      </c>
      <c r="H1787" s="410">
        <v>0</v>
      </c>
      <c r="I1787" s="410">
        <v>93418.023327088376</v>
      </c>
      <c r="J1787" s="410">
        <v>103546.416256845</v>
      </c>
      <c r="K1787" s="410">
        <v>114259.16746337658</v>
      </c>
      <c r="L1787" s="410">
        <v>125495.63771574097</v>
      </c>
      <c r="M1787" s="410">
        <v>139570.44415525725</v>
      </c>
      <c r="N1787" s="410">
        <v>153747.39907892016</v>
      </c>
      <c r="O1787" s="410">
        <v>170347.50869303249</v>
      </c>
      <c r="P1787" s="410">
        <v>191004.36881418826</v>
      </c>
      <c r="Q1787" s="410">
        <v>212617.66815241956</v>
      </c>
      <c r="R1787" s="410">
        <v>235515.42537247401</v>
      </c>
      <c r="S1787" s="410">
        <v>258595.6474313915</v>
      </c>
      <c r="T1787" s="410">
        <v>254057.61645580616</v>
      </c>
      <c r="U1787" s="410">
        <v>217360.03222342019</v>
      </c>
      <c r="V1787" s="410">
        <v>225362.25124239805</v>
      </c>
      <c r="W1787" s="333"/>
    </row>
    <row r="1788" spans="1:23" ht="13.5" thickBot="1" x14ac:dyDescent="0.25">
      <c r="A1788" s="9"/>
      <c r="B1788" s="316" t="s">
        <v>33</v>
      </c>
      <c r="C1788" s="450">
        <v>0</v>
      </c>
      <c r="D1788" s="412">
        <v>0</v>
      </c>
      <c r="E1788" s="412">
        <v>0</v>
      </c>
      <c r="F1788" s="412">
        <v>0</v>
      </c>
      <c r="G1788" s="412">
        <v>0</v>
      </c>
      <c r="H1788" s="412">
        <v>0</v>
      </c>
      <c r="I1788" s="412">
        <v>0</v>
      </c>
      <c r="J1788" s="412">
        <v>0</v>
      </c>
      <c r="K1788" s="412">
        <v>0</v>
      </c>
      <c r="L1788" s="412">
        <v>0</v>
      </c>
      <c r="M1788" s="412">
        <v>0</v>
      </c>
      <c r="N1788" s="412">
        <v>0</v>
      </c>
      <c r="O1788" s="412">
        <v>0</v>
      </c>
      <c r="P1788" s="412">
        <v>0</v>
      </c>
      <c r="Q1788" s="412">
        <v>0</v>
      </c>
      <c r="R1788" s="412">
        <v>0</v>
      </c>
      <c r="S1788" s="412">
        <v>0</v>
      </c>
      <c r="T1788" s="412">
        <v>0</v>
      </c>
      <c r="U1788" s="412">
        <v>0</v>
      </c>
      <c r="V1788" s="412">
        <v>0</v>
      </c>
      <c r="W1788" s="333"/>
    </row>
    <row r="1789" spans="1:23" ht="13.5" thickTop="1" x14ac:dyDescent="0.2">
      <c r="A1789" s="9"/>
      <c r="B1789" s="317" t="s">
        <v>38</v>
      </c>
      <c r="C1789" s="451">
        <v>0</v>
      </c>
      <c r="D1789" s="414">
        <v>5442003.0363899823</v>
      </c>
      <c r="E1789" s="414">
        <v>3948139.4184176149</v>
      </c>
      <c r="F1789" s="414">
        <v>3477300.1498378273</v>
      </c>
      <c r="G1789" s="414">
        <v>2905515.3418258158</v>
      </c>
      <c r="H1789" s="414">
        <v>2823478.5998238218</v>
      </c>
      <c r="I1789" s="414">
        <v>2730345.0336846719</v>
      </c>
      <c r="J1789" s="414">
        <v>3056843.6897537317</v>
      </c>
      <c r="K1789" s="414">
        <v>3996215.8298814856</v>
      </c>
      <c r="L1789" s="414">
        <v>4175749.5080233221</v>
      </c>
      <c r="M1789" s="414">
        <v>4274639.5082562892</v>
      </c>
      <c r="N1789" s="414">
        <v>3448115.8292259327</v>
      </c>
      <c r="O1789" s="414">
        <v>3963396.9990884382</v>
      </c>
      <c r="P1789" s="414">
        <v>3756869.6365409102</v>
      </c>
      <c r="Q1789" s="414">
        <v>4547257.0728615485</v>
      </c>
      <c r="R1789" s="414">
        <v>4028611.8128454546</v>
      </c>
      <c r="S1789" s="414">
        <v>3379522.3661047104</v>
      </c>
      <c r="T1789" s="414">
        <v>3634870.4499077401</v>
      </c>
      <c r="U1789" s="414">
        <v>4125502.6778470096</v>
      </c>
      <c r="V1789" s="414">
        <v>3733581.4862652086</v>
      </c>
      <c r="W1789" s="333"/>
    </row>
    <row r="1790" spans="1:23" x14ac:dyDescent="0.2">
      <c r="A1790" s="9"/>
      <c r="B1790" s="315" t="s">
        <v>34</v>
      </c>
      <c r="C1790" s="449">
        <v>0</v>
      </c>
      <c r="D1790" s="410">
        <v>-355535.16277078062</v>
      </c>
      <c r="E1790" s="410">
        <v>-362645.86602619622</v>
      </c>
      <c r="F1790" s="410">
        <v>-369898.78334672016</v>
      </c>
      <c r="G1790" s="410">
        <v>-377296.75901365455</v>
      </c>
      <c r="H1790" s="410">
        <v>-384842.69419392763</v>
      </c>
      <c r="I1790" s="410">
        <v>-392539.54807780619</v>
      </c>
      <c r="J1790" s="410">
        <v>-400390.33903936233</v>
      </c>
      <c r="K1790" s="410">
        <v>-408398.14582014957</v>
      </c>
      <c r="L1790" s="410">
        <v>-416566.10873655259</v>
      </c>
      <c r="M1790" s="410">
        <v>-424897.43091128365</v>
      </c>
      <c r="N1790" s="410">
        <v>-433395.37952950934</v>
      </c>
      <c r="O1790" s="410">
        <v>-442063.28712009953</v>
      </c>
      <c r="P1790" s="410">
        <v>-450904.55286250153</v>
      </c>
      <c r="Q1790" s="410">
        <v>-459922.64391975157</v>
      </c>
      <c r="R1790" s="410">
        <v>-469121.09679814661</v>
      </c>
      <c r="S1790" s="410">
        <v>-478503.51873410953</v>
      </c>
      <c r="T1790" s="410">
        <v>-488073.58910879173</v>
      </c>
      <c r="U1790" s="410">
        <v>-497835.06089096755</v>
      </c>
      <c r="V1790" s="410">
        <v>-507791.7621087869</v>
      </c>
      <c r="W1790" s="333"/>
    </row>
    <row r="1791" spans="1:23" x14ac:dyDescent="0.2">
      <c r="A1791" s="9"/>
      <c r="B1791" s="315" t="s">
        <v>35</v>
      </c>
      <c r="C1791" s="449">
        <v>0</v>
      </c>
      <c r="D1791" s="410">
        <v>-171612.57929687499</v>
      </c>
      <c r="E1791" s="410">
        <v>-171612.57929687499</v>
      </c>
      <c r="F1791" s="410">
        <v>-171612.57929687499</v>
      </c>
      <c r="G1791" s="410">
        <v>-171612.57929687499</v>
      </c>
      <c r="H1791" s="410">
        <v>-171612.57929687499</v>
      </c>
      <c r="I1791" s="410">
        <v>-171612.57929687499</v>
      </c>
      <c r="J1791" s="410">
        <v>-171612.57929687499</v>
      </c>
      <c r="K1791" s="410">
        <v>-171612.57929687499</v>
      </c>
      <c r="L1791" s="410">
        <v>-171612.57929687499</v>
      </c>
      <c r="M1791" s="410">
        <v>-171612.57929687499</v>
      </c>
      <c r="N1791" s="410">
        <v>-171612.57929687499</v>
      </c>
      <c r="O1791" s="410">
        <v>-171612.57929687499</v>
      </c>
      <c r="P1791" s="410">
        <v>-171612.57929687499</v>
      </c>
      <c r="Q1791" s="410">
        <v>-171612.57929687499</v>
      </c>
      <c r="R1791" s="410">
        <v>-171612.57929687499</v>
      </c>
      <c r="S1791" s="410">
        <v>-171612.57929687499</v>
      </c>
      <c r="T1791" s="410">
        <v>-171612.57929687499</v>
      </c>
      <c r="U1791" s="410">
        <v>-171612.57929687499</v>
      </c>
      <c r="V1791" s="410">
        <v>-171612.57929687499</v>
      </c>
      <c r="W1791" s="333"/>
    </row>
    <row r="1792" spans="1:23" ht="13.5" thickBot="1" x14ac:dyDescent="0.25">
      <c r="A1792" s="9"/>
      <c r="B1792" s="316" t="s">
        <v>36</v>
      </c>
      <c r="C1792" s="450">
        <v>0</v>
      </c>
      <c r="D1792" s="412">
        <v>-34547.1907058574</v>
      </c>
      <c r="E1792" s="412">
        <v>-35276.136429751197</v>
      </c>
      <c r="F1792" s="412">
        <v>-36048.6838175628</v>
      </c>
      <c r="G1792" s="412">
        <v>-36863.384071839399</v>
      </c>
      <c r="H1792" s="412">
        <v>-37740.7326127493</v>
      </c>
      <c r="I1792" s="412">
        <v>-38686.5191661684</v>
      </c>
      <c r="J1792" s="412">
        <v>-39646.052617166402</v>
      </c>
      <c r="K1792" s="412">
        <v>-40649.576140416597</v>
      </c>
      <c r="L1792" s="412">
        <v>-41653.6206710849</v>
      </c>
      <c r="M1792" s="412">
        <v>-42715.787998197498</v>
      </c>
      <c r="N1792" s="412">
        <v>-43749.510067754003</v>
      </c>
      <c r="O1792" s="412">
        <v>-44851.997721461303</v>
      </c>
      <c r="P1792" s="412">
        <v>-45991.238463586298</v>
      </c>
      <c r="Q1792" s="412">
        <v>-47141.019425175997</v>
      </c>
      <c r="R1792" s="412">
        <v>-48324.259012747898</v>
      </c>
      <c r="S1792" s="412">
        <v>-49532.365488066702</v>
      </c>
      <c r="T1792" s="412">
        <v>-50760.768152170604</v>
      </c>
      <c r="U1792" s="412">
        <v>-52034.863432790196</v>
      </c>
      <c r="V1792" s="412">
        <v>-53340.938504953301</v>
      </c>
      <c r="W1792" s="333"/>
    </row>
    <row r="1793" spans="1:23" ht="13.5" thickTop="1" x14ac:dyDescent="0.2">
      <c r="A1793" s="9"/>
      <c r="B1793" s="317" t="s">
        <v>221</v>
      </c>
      <c r="C1793" s="452">
        <v>0</v>
      </c>
      <c r="D1793" s="416">
        <v>4880308.1036164695</v>
      </c>
      <c r="E1793" s="416">
        <v>3378604.8366647926</v>
      </c>
      <c r="F1793" s="416">
        <v>2899740.1033766698</v>
      </c>
      <c r="G1793" s="416">
        <v>2319742.6194434469</v>
      </c>
      <c r="H1793" s="416">
        <v>2229282.5937202703</v>
      </c>
      <c r="I1793" s="416">
        <v>2127506.3871438224</v>
      </c>
      <c r="J1793" s="416">
        <v>2445194.7188003282</v>
      </c>
      <c r="K1793" s="416">
        <v>3375555.5286240443</v>
      </c>
      <c r="L1793" s="416">
        <v>3545917.1993188094</v>
      </c>
      <c r="M1793" s="416">
        <v>3635413.7100499333</v>
      </c>
      <c r="N1793" s="416">
        <v>2799358.3603317947</v>
      </c>
      <c r="O1793" s="416">
        <v>3304869.1349500027</v>
      </c>
      <c r="P1793" s="416">
        <v>3088361.2659179475</v>
      </c>
      <c r="Q1793" s="416">
        <v>3868580.8302197461</v>
      </c>
      <c r="R1793" s="416">
        <v>3339553.8777376851</v>
      </c>
      <c r="S1793" s="416">
        <v>2679873.9025856592</v>
      </c>
      <c r="T1793" s="416">
        <v>2924423.5133499028</v>
      </c>
      <c r="U1793" s="416">
        <v>3404020.1742263772</v>
      </c>
      <c r="V1793" s="416">
        <v>3000836.2063545934</v>
      </c>
      <c r="W1793" s="333"/>
    </row>
    <row r="1794" spans="1:23" x14ac:dyDescent="0.2">
      <c r="A1794" s="9"/>
      <c r="B1794" s="315" t="s">
        <v>37</v>
      </c>
      <c r="C1794" s="449">
        <v>0</v>
      </c>
      <c r="D1794" s="410">
        <v>-2192518.1074166666</v>
      </c>
      <c r="E1794" s="410">
        <v>-2196485.7847648002</v>
      </c>
      <c r="F1794" s="410">
        <v>-2208445.8511924334</v>
      </c>
      <c r="G1794" s="410">
        <v>-2225236.7842862336</v>
      </c>
      <c r="H1794" s="410">
        <v>-2223926.6574112</v>
      </c>
      <c r="I1794" s="410">
        <v>-2231283.1286485964</v>
      </c>
      <c r="J1794" s="410">
        <v>-1261138.4627691896</v>
      </c>
      <c r="K1794" s="410">
        <v>-181716.72647708759</v>
      </c>
      <c r="L1794" s="410">
        <v>-61620.690148252885</v>
      </c>
      <c r="M1794" s="410">
        <v>-53309.812678330796</v>
      </c>
      <c r="N1794" s="410">
        <v>-58386.211312670064</v>
      </c>
      <c r="O1794" s="410">
        <v>-63583.034019098828</v>
      </c>
      <c r="P1794" s="410">
        <v>-68891.05019789112</v>
      </c>
      <c r="Q1794" s="410">
        <v>-74234.963528713866</v>
      </c>
      <c r="R1794" s="410">
        <v>-79743.050926127937</v>
      </c>
      <c r="S1794" s="410">
        <v>-85542.899278797791</v>
      </c>
      <c r="T1794" s="410">
        <v>-91516.743082047731</v>
      </c>
      <c r="U1794" s="410">
        <v>-97669.802199395141</v>
      </c>
      <c r="V1794" s="410">
        <v>-104007.45309026301</v>
      </c>
      <c r="W1794" s="333"/>
    </row>
    <row r="1795" spans="1:23" ht="13.5" thickBot="1" x14ac:dyDescent="0.25">
      <c r="A1795" s="9"/>
      <c r="B1795" s="316" t="s">
        <v>222</v>
      </c>
      <c r="C1795" s="450">
        <v>0</v>
      </c>
      <c r="D1795" s="412">
        <v>-1075115.9984799211</v>
      </c>
      <c r="E1795" s="412">
        <v>-472847.62075999699</v>
      </c>
      <c r="F1795" s="412">
        <v>-276517.70087369456</v>
      </c>
      <c r="G1795" s="412">
        <v>-37802.334062885311</v>
      </c>
      <c r="H1795" s="412">
        <v>-2142.3745236281306</v>
      </c>
      <c r="I1795" s="412">
        <v>41510.696601909585</v>
      </c>
      <c r="J1795" s="412">
        <v>-473622.50241245545</v>
      </c>
      <c r="K1795" s="412">
        <v>-1277535.5208587828</v>
      </c>
      <c r="L1795" s="412">
        <v>-1393718.6036682227</v>
      </c>
      <c r="M1795" s="412">
        <v>-1432841.5589486412</v>
      </c>
      <c r="N1795" s="412">
        <v>-1096388.8596076497</v>
      </c>
      <c r="O1795" s="412">
        <v>-1296514.4403723618</v>
      </c>
      <c r="P1795" s="412">
        <v>-1207788.0862880226</v>
      </c>
      <c r="Q1795" s="412">
        <v>-1517738.346676413</v>
      </c>
      <c r="R1795" s="412">
        <v>-1303924.3307246231</v>
      </c>
      <c r="S1795" s="412">
        <v>-1037732.4013227447</v>
      </c>
      <c r="T1795" s="412">
        <v>-1133162.708107142</v>
      </c>
      <c r="U1795" s="412">
        <v>-1322540.1488107927</v>
      </c>
      <c r="V1795" s="412">
        <v>-1158731.5013057322</v>
      </c>
      <c r="W1795" s="333"/>
    </row>
    <row r="1796" spans="1:23" ht="13.5" thickTop="1" x14ac:dyDescent="0.2">
      <c r="A1796" s="9"/>
      <c r="B1796" s="317" t="s">
        <v>183</v>
      </c>
      <c r="C1796" s="452">
        <v>0</v>
      </c>
      <c r="D1796" s="416">
        <v>1612673.9977198818</v>
      </c>
      <c r="E1796" s="416">
        <v>709271.43113999534</v>
      </c>
      <c r="F1796" s="416">
        <v>414776.55131054186</v>
      </c>
      <c r="G1796" s="416">
        <v>56703.501094327956</v>
      </c>
      <c r="H1796" s="416">
        <v>3213.5617854421957</v>
      </c>
      <c r="I1796" s="416">
        <v>-62266.044902864378</v>
      </c>
      <c r="J1796" s="416">
        <v>710433.7536186832</v>
      </c>
      <c r="K1796" s="416">
        <v>1916303.281288174</v>
      </c>
      <c r="L1796" s="416">
        <v>2090577.9055023338</v>
      </c>
      <c r="M1796" s="416">
        <v>2149262.3384229615</v>
      </c>
      <c r="N1796" s="416">
        <v>1644583.2894114747</v>
      </c>
      <c r="O1796" s="416">
        <v>1944771.6605585422</v>
      </c>
      <c r="P1796" s="416">
        <v>1811682.129432034</v>
      </c>
      <c r="Q1796" s="416">
        <v>2276607.5200146195</v>
      </c>
      <c r="R1796" s="416">
        <v>1955886.4960869341</v>
      </c>
      <c r="S1796" s="416">
        <v>1556598.6019841167</v>
      </c>
      <c r="T1796" s="416">
        <v>1699744.0621607129</v>
      </c>
      <c r="U1796" s="416">
        <v>1983810.2232161891</v>
      </c>
      <c r="V1796" s="416">
        <v>1738097.2519585981</v>
      </c>
      <c r="W1796" s="333"/>
    </row>
    <row r="1797" spans="1:23" x14ac:dyDescent="0.2">
      <c r="A1797" s="9"/>
      <c r="B1797" s="315" t="s">
        <v>37</v>
      </c>
      <c r="C1797" s="449">
        <v>0</v>
      </c>
      <c r="D1797" s="410">
        <v>2192518.1074166666</v>
      </c>
      <c r="E1797" s="410">
        <v>2196485.7847648002</v>
      </c>
      <c r="F1797" s="410">
        <v>2208445.8511924334</v>
      </c>
      <c r="G1797" s="410">
        <v>2225236.7842862336</v>
      </c>
      <c r="H1797" s="410">
        <v>2223926.6574112</v>
      </c>
      <c r="I1797" s="410">
        <v>2231283.1286485964</v>
      </c>
      <c r="J1797" s="410">
        <v>1261138.4627691896</v>
      </c>
      <c r="K1797" s="410">
        <v>181716.72647708759</v>
      </c>
      <c r="L1797" s="410">
        <v>61620.690148252885</v>
      </c>
      <c r="M1797" s="410">
        <v>53309.812678330796</v>
      </c>
      <c r="N1797" s="410">
        <v>58386.211312670064</v>
      </c>
      <c r="O1797" s="410">
        <v>63583.034019098828</v>
      </c>
      <c r="P1797" s="410">
        <v>68891.05019789112</v>
      </c>
      <c r="Q1797" s="410">
        <v>74234.963528713866</v>
      </c>
      <c r="R1797" s="410">
        <v>79743.050926127937</v>
      </c>
      <c r="S1797" s="410">
        <v>85542.899278797791</v>
      </c>
      <c r="T1797" s="410">
        <v>91516.743082047731</v>
      </c>
      <c r="U1797" s="410">
        <v>97669.802199395141</v>
      </c>
      <c r="V1797" s="410">
        <v>104007.45309026301</v>
      </c>
      <c r="W1797" s="333"/>
    </row>
    <row r="1798" spans="1:23" x14ac:dyDescent="0.2">
      <c r="A1798" s="9"/>
      <c r="B1798" s="315" t="s">
        <v>39</v>
      </c>
      <c r="C1798" s="449">
        <v>0</v>
      </c>
      <c r="D1798" s="410">
        <v>-14278.42</v>
      </c>
      <c r="E1798" s="410">
        <v>-14707.35</v>
      </c>
      <c r="F1798" s="410">
        <v>-387074.17</v>
      </c>
      <c r="G1798" s="410">
        <v>-15661.04</v>
      </c>
      <c r="H1798" s="410">
        <v>-89337.122000000003</v>
      </c>
      <c r="I1798" s="410">
        <v>-92017.235660000006</v>
      </c>
      <c r="J1798" s="410">
        <v>-94777.752729800006</v>
      </c>
      <c r="K1798" s="410">
        <v>-97621.085311694012</v>
      </c>
      <c r="L1798" s="410">
        <v>-100549.71787104484</v>
      </c>
      <c r="M1798" s="410">
        <v>-103566.20940717618</v>
      </c>
      <c r="N1798" s="410">
        <v>-106673.19568939148</v>
      </c>
      <c r="O1798" s="410">
        <v>-109873.39156007323</v>
      </c>
      <c r="P1798" s="410">
        <v>-113169.59330687542</v>
      </c>
      <c r="Q1798" s="410">
        <v>-116564.68110608168</v>
      </c>
      <c r="R1798" s="410">
        <v>-120061.62153926413</v>
      </c>
      <c r="S1798" s="410">
        <v>-123663.47018544206</v>
      </c>
      <c r="T1798" s="410">
        <v>-127373.37429100533</v>
      </c>
      <c r="U1798" s="410">
        <v>-131194.57551973549</v>
      </c>
      <c r="V1798" s="410">
        <v>-135130.41278532756</v>
      </c>
      <c r="W1798" s="333"/>
    </row>
    <row r="1799" spans="1:23" ht="13.5" thickBot="1" x14ac:dyDescent="0.25">
      <c r="A1799" s="9"/>
      <c r="B1799" s="316" t="s">
        <v>40</v>
      </c>
      <c r="C1799" s="450">
        <v>0</v>
      </c>
      <c r="D1799" s="412">
        <v>0</v>
      </c>
      <c r="E1799" s="412">
        <v>0</v>
      </c>
      <c r="F1799" s="412">
        <v>0</v>
      </c>
      <c r="G1799" s="412">
        <v>0</v>
      </c>
      <c r="H1799" s="412">
        <v>0</v>
      </c>
      <c r="I1799" s="412">
        <v>0</v>
      </c>
      <c r="J1799" s="412">
        <v>0</v>
      </c>
      <c r="K1799" s="412">
        <v>0</v>
      </c>
      <c r="L1799" s="412">
        <v>0</v>
      </c>
      <c r="M1799" s="412">
        <v>0</v>
      </c>
      <c r="N1799" s="412">
        <v>0</v>
      </c>
      <c r="O1799" s="412">
        <v>0</v>
      </c>
      <c r="P1799" s="412">
        <v>0</v>
      </c>
      <c r="Q1799" s="412">
        <v>0</v>
      </c>
      <c r="R1799" s="412">
        <v>0</v>
      </c>
      <c r="S1799" s="412">
        <v>0</v>
      </c>
      <c r="T1799" s="412">
        <v>0</v>
      </c>
      <c r="U1799" s="412">
        <v>0</v>
      </c>
      <c r="V1799" s="412">
        <v>0</v>
      </c>
      <c r="W1799" s="333"/>
    </row>
    <row r="1800" spans="1:23" ht="13.5" thickTop="1" x14ac:dyDescent="0.2">
      <c r="A1800" s="9"/>
      <c r="B1800" s="315"/>
      <c r="C1800" s="453"/>
      <c r="D1800" s="333"/>
      <c r="E1800" s="333"/>
      <c r="F1800" s="333"/>
      <c r="G1800" s="333"/>
      <c r="H1800" s="333"/>
      <c r="I1800" s="333"/>
      <c r="J1800" s="333"/>
      <c r="K1800" s="333"/>
      <c r="L1800" s="333"/>
      <c r="M1800" s="333"/>
      <c r="N1800" s="333"/>
      <c r="O1800" s="333"/>
      <c r="P1800" s="333"/>
      <c r="Q1800" s="333"/>
      <c r="R1800" s="333"/>
      <c r="S1800" s="333"/>
      <c r="T1800" s="333"/>
      <c r="U1800" s="333"/>
      <c r="V1800" s="333"/>
      <c r="W1800" s="333"/>
    </row>
    <row r="1801" spans="1:23" x14ac:dyDescent="0.2">
      <c r="A1801" s="9"/>
      <c r="B1801" s="317" t="s">
        <v>234</v>
      </c>
      <c r="C1801" s="452">
        <v>0</v>
      </c>
      <c r="D1801" s="416">
        <v>3790913.6851365482</v>
      </c>
      <c r="E1801" s="416">
        <v>2891049.8659047955</v>
      </c>
      <c r="F1801" s="416">
        <v>2236148.2325029755</v>
      </c>
      <c r="G1801" s="416">
        <v>2266279.2453805613</v>
      </c>
      <c r="H1801" s="416">
        <v>2137803.0971966423</v>
      </c>
      <c r="I1801" s="416">
        <v>2076999.848085732</v>
      </c>
      <c r="J1801" s="416">
        <v>1876794.4636580728</v>
      </c>
      <c r="K1801" s="416">
        <v>2000398.9224535674</v>
      </c>
      <c r="L1801" s="416">
        <v>2051648.877779542</v>
      </c>
      <c r="M1801" s="416">
        <v>2099005.9416941158</v>
      </c>
      <c r="N1801" s="416">
        <v>1596296.3050347532</v>
      </c>
      <c r="O1801" s="416">
        <v>1898481.3030175678</v>
      </c>
      <c r="P1801" s="416">
        <v>1767403.5863230499</v>
      </c>
      <c r="Q1801" s="416">
        <v>2234277.8024372514</v>
      </c>
      <c r="R1801" s="416">
        <v>1915567.9254737978</v>
      </c>
      <c r="S1801" s="416">
        <v>1518478.0310774723</v>
      </c>
      <c r="T1801" s="416">
        <v>1663887.4309517553</v>
      </c>
      <c r="U1801" s="416">
        <v>1950285.4498958488</v>
      </c>
      <c r="V1801" s="416">
        <v>1706974.2922635337</v>
      </c>
      <c r="W1801" s="414">
        <v>11275684.993370643</v>
      </c>
    </row>
    <row r="1802" spans="1:23" x14ac:dyDescent="0.2">
      <c r="A1802" s="9"/>
      <c r="B1802" s="292"/>
      <c r="C1802" s="9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</row>
    <row r="1803" spans="1:23" x14ac:dyDescent="0.2">
      <c r="A1803" s="308" t="s">
        <v>219</v>
      </c>
      <c r="B1803" s="306" t="s">
        <v>170</v>
      </c>
      <c r="C1803" s="439">
        <v>10898110.429499341</v>
      </c>
      <c r="D1803" s="9"/>
      <c r="E1803" s="137" t="s">
        <v>220</v>
      </c>
      <c r="F1803" s="319" t="s">
        <v>170</v>
      </c>
      <c r="G1803" s="443">
        <v>10898110.429499341</v>
      </c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</row>
    <row r="1804" spans="1:23" x14ac:dyDescent="0.2">
      <c r="A1804" s="9"/>
      <c r="B1804" s="306" t="s">
        <v>180</v>
      </c>
      <c r="C1804" s="439">
        <v>9188495.0443369951</v>
      </c>
      <c r="D1804" s="9"/>
      <c r="E1804" s="321"/>
      <c r="F1804" s="319" t="s">
        <v>180</v>
      </c>
      <c r="G1804" s="443">
        <v>9188495.0443369951</v>
      </c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</row>
    <row r="1805" spans="1:23" ht="13.5" thickBot="1" x14ac:dyDescent="0.25">
      <c r="A1805" s="9"/>
      <c r="B1805" s="322" t="s">
        <v>137</v>
      </c>
      <c r="C1805" s="440">
        <v>1757865.2217473469</v>
      </c>
      <c r="D1805" s="323"/>
      <c r="E1805" s="321"/>
      <c r="F1805" s="319" t="s">
        <v>137</v>
      </c>
      <c r="G1805" s="443">
        <v>1757865.2217473469</v>
      </c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</row>
    <row r="1806" spans="1:23" ht="14.25" thickTop="1" thickBot="1" x14ac:dyDescent="0.25">
      <c r="A1806" s="9"/>
      <c r="B1806" s="306" t="s">
        <v>28</v>
      </c>
      <c r="C1806" s="438">
        <v>21844470.695583683</v>
      </c>
      <c r="D1806" s="305"/>
      <c r="E1806" s="321"/>
      <c r="F1806" s="324" t="s">
        <v>204</v>
      </c>
      <c r="G1806" s="325">
        <v>0</v>
      </c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</row>
    <row r="1807" spans="1:23" ht="13.5" thickTop="1" x14ac:dyDescent="0.2">
      <c r="A1807" s="9"/>
      <c r="B1807" s="292"/>
      <c r="C1807" s="326"/>
      <c r="D1807" s="9"/>
      <c r="E1807" s="327"/>
      <c r="F1807" s="319" t="s">
        <v>28</v>
      </c>
      <c r="G1807" s="368">
        <v>21844470.695583683</v>
      </c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</row>
    <row r="1808" spans="1:23" x14ac:dyDescent="0.2">
      <c r="A1808" s="9"/>
      <c r="B1808" s="292"/>
      <c r="C1808" s="326"/>
      <c r="D1808" s="9"/>
      <c r="E1808" s="327"/>
      <c r="F1808" s="319"/>
      <c r="G1808" s="328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</row>
    <row r="1809" spans="1:23" x14ac:dyDescent="0.2">
      <c r="A1809" s="9"/>
      <c r="B1809" s="292"/>
      <c r="C1809" s="326"/>
      <c r="D1809" s="9"/>
      <c r="E1809" s="327"/>
      <c r="F1809" s="319"/>
      <c r="G1809" s="328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</row>
    <row r="1810" spans="1:23" x14ac:dyDescent="0.2">
      <c r="A1810" s="9"/>
      <c r="B1810" s="329" t="s">
        <v>223</v>
      </c>
      <c r="C1810" s="326"/>
      <c r="D1810" s="9"/>
      <c r="E1810" s="327"/>
      <c r="F1810" s="319"/>
      <c r="G1810" s="328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</row>
    <row r="1811" spans="1:23" x14ac:dyDescent="0.2">
      <c r="A1811" s="330" t="s">
        <v>225</v>
      </c>
      <c r="B1811" s="329" t="s">
        <v>224</v>
      </c>
      <c r="C1811" s="331"/>
      <c r="D1811" s="332">
        <v>1612673.9977198818</v>
      </c>
      <c r="E1811" s="332">
        <v>709271.43113999534</v>
      </c>
      <c r="F1811" s="332">
        <v>414776.55131054186</v>
      </c>
      <c r="G1811" s="332">
        <v>56703.501094327956</v>
      </c>
      <c r="H1811" s="332">
        <v>3213.5617854421957</v>
      </c>
      <c r="I1811" s="332">
        <v>-62266.044902864378</v>
      </c>
      <c r="J1811" s="332">
        <v>710433.7536186832</v>
      </c>
      <c r="K1811" s="332">
        <v>1916303.281288174</v>
      </c>
      <c r="L1811" s="332">
        <v>2090577.9055023338</v>
      </c>
      <c r="M1811" s="332">
        <v>2149262.3384229615</v>
      </c>
      <c r="N1811" s="332">
        <v>1644583.2894114747</v>
      </c>
      <c r="O1811" s="332">
        <v>1944771.6605585422</v>
      </c>
      <c r="P1811" s="332">
        <v>1811682.129432034</v>
      </c>
      <c r="Q1811" s="332">
        <v>2276607.5200146195</v>
      </c>
      <c r="R1811" s="332">
        <v>1955886.4960869341</v>
      </c>
      <c r="S1811" s="332">
        <v>1556598.6019841167</v>
      </c>
      <c r="T1811" s="332">
        <v>1699744.0621607129</v>
      </c>
      <c r="U1811" s="332">
        <v>1983810.2232161891</v>
      </c>
      <c r="V1811" s="332">
        <v>1738097.2519585981</v>
      </c>
      <c r="W1811" s="9"/>
    </row>
    <row r="1812" spans="1:23" x14ac:dyDescent="0.2">
      <c r="A1812" s="9"/>
      <c r="B1812" s="292" t="s">
        <v>226</v>
      </c>
      <c r="C1812" s="326"/>
      <c r="D1812" s="333">
        <v>1075115.9984799211</v>
      </c>
      <c r="E1812" s="333">
        <v>472847.62075999699</v>
      </c>
      <c r="F1812" s="333">
        <v>276517.70087369456</v>
      </c>
      <c r="G1812" s="333">
        <v>37802.334062885311</v>
      </c>
      <c r="H1812" s="333">
        <v>2142.3745236281306</v>
      </c>
      <c r="I1812" s="333">
        <v>-41510.696601909585</v>
      </c>
      <c r="J1812" s="333">
        <v>473622.50241245545</v>
      </c>
      <c r="K1812" s="333">
        <v>1277535.5208587828</v>
      </c>
      <c r="L1812" s="333">
        <v>1393718.6036682227</v>
      </c>
      <c r="M1812" s="333">
        <v>1432841.5589486412</v>
      </c>
      <c r="N1812" s="333">
        <v>1096388.8596076497</v>
      </c>
      <c r="O1812" s="333">
        <v>1296514.4403723618</v>
      </c>
      <c r="P1812" s="333">
        <v>1207788.0862880226</v>
      </c>
      <c r="Q1812" s="333">
        <v>1517738.346676413</v>
      </c>
      <c r="R1812" s="333">
        <v>1303924.3307246231</v>
      </c>
      <c r="S1812" s="333">
        <v>1037732.4013227447</v>
      </c>
      <c r="T1812" s="333">
        <v>1133162.708107142</v>
      </c>
      <c r="U1812" s="333">
        <v>1322540.1488107927</v>
      </c>
      <c r="V1812" s="333">
        <v>1158731.5013057322</v>
      </c>
      <c r="W1812" s="9"/>
    </row>
    <row r="1813" spans="1:23" x14ac:dyDescent="0.2">
      <c r="A1813" s="9"/>
      <c r="B1813" s="334" t="s">
        <v>227</v>
      </c>
      <c r="C1813" s="335"/>
      <c r="D1813" s="333">
        <v>2192518.1074166666</v>
      </c>
      <c r="E1813" s="333">
        <v>2196485.7847648002</v>
      </c>
      <c r="F1813" s="333">
        <v>2208445.8511924334</v>
      </c>
      <c r="G1813" s="333">
        <v>2225236.7842862336</v>
      </c>
      <c r="H1813" s="333">
        <v>2223926.6574112</v>
      </c>
      <c r="I1813" s="333">
        <v>2231283.1286485964</v>
      </c>
      <c r="J1813" s="333">
        <v>1261138.4627691896</v>
      </c>
      <c r="K1813" s="333">
        <v>181716.72647708759</v>
      </c>
      <c r="L1813" s="333">
        <v>61620.690148252885</v>
      </c>
      <c r="M1813" s="333">
        <v>53309.812678330796</v>
      </c>
      <c r="N1813" s="333">
        <v>58386.211312670064</v>
      </c>
      <c r="O1813" s="333">
        <v>63583.034019098828</v>
      </c>
      <c r="P1813" s="333">
        <v>68891.05019789112</v>
      </c>
      <c r="Q1813" s="333">
        <v>74234.963528713866</v>
      </c>
      <c r="R1813" s="333">
        <v>79743.050926127937</v>
      </c>
      <c r="S1813" s="333">
        <v>85542.899278797791</v>
      </c>
      <c r="T1813" s="333">
        <v>91516.743082047731</v>
      </c>
      <c r="U1813" s="333">
        <v>97669.802199395141</v>
      </c>
      <c r="V1813" s="333">
        <v>104007.45309026301</v>
      </c>
      <c r="W1813" s="9"/>
    </row>
    <row r="1814" spans="1:23" ht="13.5" thickBot="1" x14ac:dyDescent="0.25">
      <c r="A1814" s="9"/>
      <c r="B1814" s="336" t="s">
        <v>228</v>
      </c>
      <c r="C1814" s="337"/>
      <c r="D1814" s="338">
        <v>4880308.1036164695</v>
      </c>
      <c r="E1814" s="338">
        <v>3378604.8366647926</v>
      </c>
      <c r="F1814" s="338">
        <v>2899740.1033766698</v>
      </c>
      <c r="G1814" s="338">
        <v>2319742.6194434469</v>
      </c>
      <c r="H1814" s="338">
        <v>2229282.5937202703</v>
      </c>
      <c r="I1814" s="338">
        <v>2127506.3871438224</v>
      </c>
      <c r="J1814" s="338">
        <v>2445194.7188003282</v>
      </c>
      <c r="K1814" s="338">
        <v>3375555.5286240443</v>
      </c>
      <c r="L1814" s="338">
        <v>3545917.1993188094</v>
      </c>
      <c r="M1814" s="338">
        <v>3635413.7100499333</v>
      </c>
      <c r="N1814" s="338">
        <v>2799358.3603317947</v>
      </c>
      <c r="O1814" s="338">
        <v>3304869.1349500027</v>
      </c>
      <c r="P1814" s="338">
        <v>3088361.2659179475</v>
      </c>
      <c r="Q1814" s="338">
        <v>3868580.8302197461</v>
      </c>
      <c r="R1814" s="338">
        <v>3339553.8777376851</v>
      </c>
      <c r="S1814" s="338">
        <v>2679873.9025856592</v>
      </c>
      <c r="T1814" s="338">
        <v>2924423.5133499028</v>
      </c>
      <c r="U1814" s="338">
        <v>3404020.1742263772</v>
      </c>
      <c r="V1814" s="338">
        <v>3000836.2063545934</v>
      </c>
      <c r="W1814" s="9"/>
    </row>
    <row r="1815" spans="1:23" ht="13.5" thickTop="1" x14ac:dyDescent="0.2">
      <c r="A1815" s="330" t="s">
        <v>229</v>
      </c>
      <c r="B1815" s="292" t="s">
        <v>230</v>
      </c>
      <c r="C1815" s="326"/>
      <c r="D1815" s="333">
        <v>-1830936.4025308667</v>
      </c>
      <c r="E1815" s="333">
        <v>-1831671.7700308666</v>
      </c>
      <c r="F1815" s="333">
        <v>-1851025.4785308666</v>
      </c>
      <c r="G1815" s="333">
        <v>-1851808.5305308667</v>
      </c>
      <c r="H1815" s="333">
        <v>-1856275.3866308667</v>
      </c>
      <c r="I1815" s="333">
        <v>-1860876.2484138666</v>
      </c>
      <c r="J1815" s="333">
        <v>-1865615.1360503566</v>
      </c>
      <c r="K1815" s="333">
        <v>-1870496.1903159413</v>
      </c>
      <c r="L1815" s="333">
        <v>-1875523.6762094935</v>
      </c>
      <c r="M1815" s="333">
        <v>-1880701.9866798522</v>
      </c>
      <c r="N1815" s="333">
        <v>-1886035.646464322</v>
      </c>
      <c r="O1815" s="333">
        <v>-1891529.3160423255</v>
      </c>
      <c r="P1815" s="333">
        <v>-1897187.7957076693</v>
      </c>
      <c r="Q1815" s="333">
        <v>-1903016.0297629735</v>
      </c>
      <c r="R1815" s="333">
        <v>-545622.14750660805</v>
      </c>
      <c r="S1815" s="333">
        <v>-163064.45101587541</v>
      </c>
      <c r="T1815" s="333">
        <v>-169433.11973042568</v>
      </c>
      <c r="U1815" s="333">
        <v>-175992.84850641247</v>
      </c>
      <c r="V1815" s="333">
        <v>-182749.36914567882</v>
      </c>
      <c r="W1815" s="9"/>
    </row>
    <row r="1816" spans="1:23" x14ac:dyDescent="0.2">
      <c r="A1816" s="9"/>
      <c r="B1816" s="292" t="s">
        <v>231</v>
      </c>
      <c r="C1816" s="326"/>
      <c r="D1816" s="333">
        <v>0</v>
      </c>
      <c r="E1816" s="333">
        <v>0</v>
      </c>
      <c r="F1816" s="333">
        <v>0</v>
      </c>
      <c r="G1816" s="333">
        <v>0</v>
      </c>
      <c r="H1816" s="333">
        <v>0</v>
      </c>
      <c r="I1816" s="333">
        <v>0</v>
      </c>
      <c r="J1816" s="333">
        <v>0</v>
      </c>
      <c r="K1816" s="333">
        <v>0</v>
      </c>
      <c r="L1816" s="333">
        <v>0</v>
      </c>
      <c r="M1816" s="333">
        <v>0</v>
      </c>
      <c r="N1816" s="333">
        <v>0</v>
      </c>
      <c r="O1816" s="333">
        <v>0</v>
      </c>
      <c r="P1816" s="333">
        <v>0</v>
      </c>
      <c r="Q1816" s="333">
        <v>0</v>
      </c>
      <c r="R1816" s="333">
        <v>0</v>
      </c>
      <c r="S1816" s="333">
        <v>0</v>
      </c>
      <c r="T1816" s="333">
        <v>0</v>
      </c>
      <c r="U1816" s="333">
        <v>0</v>
      </c>
      <c r="V1816" s="333">
        <v>0</v>
      </c>
      <c r="W1816" s="9"/>
    </row>
    <row r="1817" spans="1:23" x14ac:dyDescent="0.2">
      <c r="A1817" s="9"/>
      <c r="B1817" s="329" t="s">
        <v>232</v>
      </c>
      <c r="C1817" s="331"/>
      <c r="D1817" s="332">
        <v>3049371.7010856029</v>
      </c>
      <c r="E1817" s="332">
        <v>1546933.066633926</v>
      </c>
      <c r="F1817" s="332">
        <v>1048714.6248458032</v>
      </c>
      <c r="G1817" s="332">
        <v>467934.08891258016</v>
      </c>
      <c r="H1817" s="332">
        <v>373007.20708940364</v>
      </c>
      <c r="I1817" s="332">
        <v>266630.13872995577</v>
      </c>
      <c r="J1817" s="332">
        <v>579579.58274997165</v>
      </c>
      <c r="K1817" s="332">
        <v>1505059.3383081029</v>
      </c>
      <c r="L1817" s="332">
        <v>1670393.5231093159</v>
      </c>
      <c r="M1817" s="332">
        <v>1754711.723370081</v>
      </c>
      <c r="N1817" s="332">
        <v>913322.71386747272</v>
      </c>
      <c r="O1817" s="332">
        <v>1413339.8189076772</v>
      </c>
      <c r="P1817" s="332">
        <v>1191173.4702102782</v>
      </c>
      <c r="Q1817" s="332">
        <v>1965564.8004567726</v>
      </c>
      <c r="R1817" s="332">
        <v>2793931.7302310769</v>
      </c>
      <c r="S1817" s="332">
        <v>2516809.451569784</v>
      </c>
      <c r="T1817" s="332">
        <v>2754990.3936194773</v>
      </c>
      <c r="U1817" s="332">
        <v>3228027.3257199647</v>
      </c>
      <c r="V1817" s="332">
        <v>2818086.8372089146</v>
      </c>
      <c r="W1817" s="9"/>
    </row>
    <row r="1818" spans="1:23" ht="13.5" thickBot="1" x14ac:dyDescent="0.25">
      <c r="A1818" s="9"/>
      <c r="B1818" s="339" t="s">
        <v>238</v>
      </c>
      <c r="C1818" s="340"/>
      <c r="D1818" s="341">
        <v>-1219748.6804342412</v>
      </c>
      <c r="E1818" s="341">
        <v>-618773.22665357043</v>
      </c>
      <c r="F1818" s="341">
        <v>-419485.84993832133</v>
      </c>
      <c r="G1818" s="341">
        <v>-187173.63556503208</v>
      </c>
      <c r="H1818" s="341">
        <v>-149202.88283576147</v>
      </c>
      <c r="I1818" s="341">
        <v>-106652.05549198232</v>
      </c>
      <c r="J1818" s="341">
        <v>-231831.83309998867</v>
      </c>
      <c r="K1818" s="341">
        <v>-602023.73532324121</v>
      </c>
      <c r="L1818" s="341">
        <v>-668157.4092437264</v>
      </c>
      <c r="M1818" s="341">
        <v>-701884.68934803247</v>
      </c>
      <c r="N1818" s="341">
        <v>-365329.08554698911</v>
      </c>
      <c r="O1818" s="341">
        <v>-565335.9275630709</v>
      </c>
      <c r="P1818" s="341">
        <v>-476469.38808411127</v>
      </c>
      <c r="Q1818" s="341">
        <v>-786225.92018270912</v>
      </c>
      <c r="R1818" s="341">
        <v>-1117572.6920924308</v>
      </c>
      <c r="S1818" s="341">
        <v>-1006723.7806279137</v>
      </c>
      <c r="T1818" s="341">
        <v>-1101996.157447791</v>
      </c>
      <c r="U1818" s="341">
        <v>-1291210.9302879861</v>
      </c>
      <c r="V1818" s="341">
        <v>-1127234.7348835659</v>
      </c>
      <c r="W1818" s="9"/>
    </row>
    <row r="1819" spans="1:23" ht="13.5" thickTop="1" x14ac:dyDescent="0.2">
      <c r="A1819" s="9"/>
      <c r="B1819" s="329" t="s">
        <v>233</v>
      </c>
      <c r="C1819" s="331"/>
      <c r="D1819" s="332">
        <v>1829623.0206513617</v>
      </c>
      <c r="E1819" s="332">
        <v>928159.83998035558</v>
      </c>
      <c r="F1819" s="332">
        <v>629228.77490748186</v>
      </c>
      <c r="G1819" s="332">
        <v>280760.45334754809</v>
      </c>
      <c r="H1819" s="332">
        <v>223804.32425364217</v>
      </c>
      <c r="I1819" s="332">
        <v>159978.08323797345</v>
      </c>
      <c r="J1819" s="332">
        <v>347747.74964998302</v>
      </c>
      <c r="K1819" s="332">
        <v>903035.6029848617</v>
      </c>
      <c r="L1819" s="332">
        <v>1002236.1138655895</v>
      </c>
      <c r="M1819" s="332">
        <v>1052827.0340220486</v>
      </c>
      <c r="N1819" s="332">
        <v>547993.62832048361</v>
      </c>
      <c r="O1819" s="332">
        <v>848003.89134460629</v>
      </c>
      <c r="P1819" s="332">
        <v>714704.0821261669</v>
      </c>
      <c r="Q1819" s="332">
        <v>1179338.8802740634</v>
      </c>
      <c r="R1819" s="332">
        <v>1676359.0381386462</v>
      </c>
      <c r="S1819" s="332">
        <v>1510085.6709418702</v>
      </c>
      <c r="T1819" s="332">
        <v>1652994.2361716863</v>
      </c>
      <c r="U1819" s="332">
        <v>1936816.3954319786</v>
      </c>
      <c r="V1819" s="332">
        <v>1690852.1023253486</v>
      </c>
      <c r="W1819" s="9"/>
    </row>
    <row r="1820" spans="1:23" x14ac:dyDescent="0.2">
      <c r="A1820" s="9"/>
      <c r="B1820" s="9"/>
      <c r="C1820" s="326"/>
      <c r="D1820" s="9"/>
      <c r="E1820" s="327"/>
      <c r="F1820" s="319"/>
      <c r="G1820" s="328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</row>
    <row r="1821" spans="1:23" ht="15.75" x14ac:dyDescent="0.25">
      <c r="A1821" s="342" t="s">
        <v>206</v>
      </c>
      <c r="B1821" s="343"/>
      <c r="C1821" s="9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</row>
    <row r="1822" spans="1:23" x14ac:dyDescent="0.2">
      <c r="A1822" s="290" t="s">
        <v>191</v>
      </c>
      <c r="B1822" s="309"/>
      <c r="C1822" s="344">
        <v>0</v>
      </c>
      <c r="D1822" s="283"/>
      <c r="E1822" s="283"/>
      <c r="F1822" s="283"/>
      <c r="G1822" s="283"/>
      <c r="H1822" s="283"/>
      <c r="I1822" s="283"/>
      <c r="J1822" s="283"/>
      <c r="K1822" s="283"/>
      <c r="L1822" s="283"/>
      <c r="M1822" s="283"/>
      <c r="N1822" s="283"/>
      <c r="O1822" s="283"/>
      <c r="P1822" s="283"/>
      <c r="Q1822" s="283"/>
      <c r="R1822" s="283"/>
      <c r="S1822" s="283"/>
      <c r="T1822" s="283"/>
      <c r="U1822" s="283"/>
      <c r="V1822" s="283"/>
      <c r="W1822" s="283"/>
    </row>
    <row r="1823" spans="1:23" x14ac:dyDescent="0.2">
      <c r="A1823" s="290" t="s">
        <v>192</v>
      </c>
      <c r="B1823" s="309"/>
      <c r="C1823" s="345">
        <v>0</v>
      </c>
      <c r="D1823" s="283"/>
      <c r="E1823" s="283"/>
      <c r="F1823" s="283"/>
      <c r="G1823" s="283"/>
      <c r="H1823" s="283"/>
      <c r="I1823" s="283"/>
      <c r="J1823" s="283"/>
      <c r="K1823" s="283"/>
      <c r="L1823" s="283"/>
      <c r="M1823" s="283"/>
      <c r="N1823" s="283"/>
      <c r="O1823" s="283"/>
      <c r="P1823" s="283"/>
      <c r="Q1823" s="283"/>
      <c r="R1823" s="283"/>
      <c r="S1823" s="283"/>
      <c r="T1823" s="283"/>
      <c r="U1823" s="283"/>
      <c r="V1823" s="283"/>
      <c r="W1823" s="283"/>
    </row>
    <row r="1824" spans="1:23" x14ac:dyDescent="0.2">
      <c r="A1824" s="290" t="s">
        <v>202</v>
      </c>
      <c r="B1824" s="309"/>
      <c r="C1824" s="290">
        <v>15</v>
      </c>
      <c r="D1824" s="283"/>
      <c r="E1824" s="283"/>
      <c r="F1824" s="283"/>
      <c r="G1824" s="283"/>
      <c r="H1824" s="283"/>
      <c r="I1824" s="283"/>
      <c r="J1824" s="283"/>
      <c r="K1824" s="283"/>
      <c r="L1824" s="283"/>
      <c r="M1824" s="283"/>
      <c r="N1824" s="283"/>
      <c r="O1824" s="283"/>
      <c r="P1824" s="283"/>
      <c r="Q1824" s="283"/>
      <c r="R1824" s="283"/>
      <c r="S1824" s="283"/>
      <c r="T1824" s="283"/>
      <c r="U1824" s="283"/>
      <c r="V1824" s="283"/>
      <c r="W1824" s="283"/>
    </row>
    <row r="1825" spans="1:23" x14ac:dyDescent="0.2">
      <c r="A1825" s="290" t="s">
        <v>193</v>
      </c>
      <c r="B1825" s="309"/>
      <c r="C1825" s="345">
        <v>0</v>
      </c>
      <c r="D1825" s="283"/>
      <c r="E1825" s="283"/>
      <c r="F1825" s="283"/>
      <c r="G1825" s="283"/>
      <c r="H1825" s="283"/>
      <c r="I1825" s="283"/>
      <c r="J1825" s="283"/>
      <c r="K1825" s="283"/>
      <c r="L1825" s="283"/>
      <c r="M1825" s="283"/>
      <c r="N1825" s="283"/>
      <c r="O1825" s="283"/>
      <c r="P1825" s="283"/>
      <c r="Q1825" s="283"/>
      <c r="R1825" s="283"/>
      <c r="S1825" s="283"/>
      <c r="T1825" s="283"/>
      <c r="U1825" s="283"/>
      <c r="V1825" s="283"/>
      <c r="W1825" s="283"/>
    </row>
    <row r="1826" spans="1:23" x14ac:dyDescent="0.2">
      <c r="A1826" s="290" t="s">
        <v>194</v>
      </c>
      <c r="B1826" s="309"/>
      <c r="C1826" s="346">
        <v>8.7499999999999994E-2</v>
      </c>
      <c r="D1826" s="283"/>
      <c r="E1826" s="283"/>
      <c r="F1826" s="283"/>
      <c r="G1826" s="283"/>
      <c r="H1826" s="283"/>
      <c r="I1826" s="283"/>
      <c r="J1826" s="283"/>
      <c r="K1826" s="283"/>
      <c r="L1826" s="283"/>
      <c r="M1826" s="283"/>
      <c r="N1826" s="283"/>
      <c r="O1826" s="283"/>
      <c r="P1826" s="283"/>
      <c r="Q1826" s="283"/>
      <c r="R1826" s="283"/>
      <c r="S1826" s="283"/>
      <c r="T1826" s="283"/>
      <c r="U1826" s="283"/>
      <c r="V1826" s="283"/>
      <c r="W1826" s="283"/>
    </row>
    <row r="1827" spans="1:23" x14ac:dyDescent="0.2">
      <c r="A1827" s="290"/>
      <c r="B1827" s="309"/>
      <c r="C1827" s="283"/>
      <c r="D1827" s="312">
        <v>2001</v>
      </c>
      <c r="E1827" s="312">
        <v>2002</v>
      </c>
      <c r="F1827" s="312">
        <v>2003</v>
      </c>
      <c r="G1827" s="312">
        <v>2004</v>
      </c>
      <c r="H1827" s="312">
        <v>2005</v>
      </c>
      <c r="I1827" s="312">
        <v>2006</v>
      </c>
      <c r="J1827" s="312">
        <v>2007</v>
      </c>
      <c r="K1827" s="312">
        <v>2008</v>
      </c>
      <c r="L1827" s="312">
        <v>2009</v>
      </c>
      <c r="M1827" s="312">
        <v>2010</v>
      </c>
      <c r="N1827" s="312">
        <v>2011</v>
      </c>
      <c r="O1827" s="312">
        <v>2012</v>
      </c>
      <c r="P1827" s="312">
        <v>2013</v>
      </c>
      <c r="Q1827" s="312">
        <v>2014</v>
      </c>
      <c r="R1827" s="312">
        <v>2015</v>
      </c>
      <c r="S1827" s="312">
        <v>2016</v>
      </c>
      <c r="T1827" s="312">
        <v>2017</v>
      </c>
      <c r="U1827" s="312">
        <v>2018</v>
      </c>
      <c r="V1827" s="312">
        <v>2019</v>
      </c>
      <c r="W1827" s="312" t="s">
        <v>154</v>
      </c>
    </row>
    <row r="1828" spans="1:23" x14ac:dyDescent="0.2">
      <c r="A1828" s="290" t="s">
        <v>195</v>
      </c>
      <c r="B1828" s="309"/>
      <c r="C1828" s="283"/>
      <c r="D1828" s="347">
        <v>0</v>
      </c>
      <c r="E1828" s="347">
        <v>0</v>
      </c>
      <c r="F1828" s="347">
        <v>0</v>
      </c>
      <c r="G1828" s="347">
        <v>0</v>
      </c>
      <c r="H1828" s="347">
        <v>0</v>
      </c>
      <c r="I1828" s="347">
        <v>0</v>
      </c>
      <c r="J1828" s="347">
        <v>0</v>
      </c>
      <c r="K1828" s="347">
        <v>0</v>
      </c>
      <c r="L1828" s="347">
        <v>0</v>
      </c>
      <c r="M1828" s="347">
        <v>0</v>
      </c>
      <c r="N1828" s="347">
        <v>0</v>
      </c>
      <c r="O1828" s="347">
        <v>0</v>
      </c>
      <c r="P1828" s="347">
        <v>0</v>
      </c>
      <c r="Q1828" s="347">
        <v>0</v>
      </c>
      <c r="R1828" s="347">
        <v>0</v>
      </c>
      <c r="S1828" s="347">
        <v>0</v>
      </c>
      <c r="T1828" s="347">
        <v>0</v>
      </c>
      <c r="U1828" s="347">
        <v>0</v>
      </c>
      <c r="V1828" s="347">
        <v>0</v>
      </c>
      <c r="W1828" s="347">
        <v>0</v>
      </c>
    </row>
    <row r="1829" spans="1:23" x14ac:dyDescent="0.2">
      <c r="A1829" s="290" t="s">
        <v>196</v>
      </c>
      <c r="B1829" s="309"/>
      <c r="C1829" s="283"/>
      <c r="D1829" s="347">
        <v>0</v>
      </c>
      <c r="E1829" s="347">
        <v>0</v>
      </c>
      <c r="F1829" s="347">
        <v>0</v>
      </c>
      <c r="G1829" s="347">
        <v>0</v>
      </c>
      <c r="H1829" s="347">
        <v>0</v>
      </c>
      <c r="I1829" s="347">
        <v>0</v>
      </c>
      <c r="J1829" s="347">
        <v>0</v>
      </c>
      <c r="K1829" s="347">
        <v>0</v>
      </c>
      <c r="L1829" s="347">
        <v>0</v>
      </c>
      <c r="M1829" s="347">
        <v>0</v>
      </c>
      <c r="N1829" s="347">
        <v>0</v>
      </c>
      <c r="O1829" s="347">
        <v>0</v>
      </c>
      <c r="P1829" s="347">
        <v>0</v>
      </c>
      <c r="Q1829" s="347">
        <v>0</v>
      </c>
      <c r="R1829" s="347">
        <v>0</v>
      </c>
      <c r="S1829" s="347">
        <v>0</v>
      </c>
      <c r="T1829" s="347">
        <v>0</v>
      </c>
      <c r="U1829" s="347">
        <v>0</v>
      </c>
      <c r="V1829" s="347">
        <v>0</v>
      </c>
      <c r="W1829" s="347">
        <v>0</v>
      </c>
    </row>
    <row r="1830" spans="1:23" x14ac:dyDescent="0.2">
      <c r="A1830" s="290" t="s">
        <v>197</v>
      </c>
      <c r="B1830" s="309"/>
      <c r="C1830" s="283"/>
      <c r="D1830" s="347">
        <v>0</v>
      </c>
      <c r="E1830" s="347">
        <v>0</v>
      </c>
      <c r="F1830" s="347">
        <v>0</v>
      </c>
      <c r="G1830" s="347">
        <v>0</v>
      </c>
      <c r="H1830" s="347">
        <v>0</v>
      </c>
      <c r="I1830" s="347">
        <v>0</v>
      </c>
      <c r="J1830" s="347">
        <v>0</v>
      </c>
      <c r="K1830" s="347">
        <v>0</v>
      </c>
      <c r="L1830" s="347">
        <v>0</v>
      </c>
      <c r="M1830" s="347">
        <v>0</v>
      </c>
      <c r="N1830" s="347">
        <v>0</v>
      </c>
      <c r="O1830" s="347">
        <v>0</v>
      </c>
      <c r="P1830" s="347">
        <v>0</v>
      </c>
      <c r="Q1830" s="347">
        <v>0</v>
      </c>
      <c r="R1830" s="347">
        <v>0</v>
      </c>
      <c r="S1830" s="347">
        <v>0</v>
      </c>
      <c r="T1830" s="347">
        <v>0</v>
      </c>
      <c r="U1830" s="347">
        <v>0</v>
      </c>
      <c r="V1830" s="347">
        <v>0</v>
      </c>
      <c r="W1830" s="347">
        <v>0</v>
      </c>
    </row>
    <row r="1831" spans="1:23" x14ac:dyDescent="0.2">
      <c r="A1831" s="290" t="s">
        <v>198</v>
      </c>
      <c r="B1831" s="309"/>
      <c r="C1831" s="283"/>
      <c r="D1831" s="348">
        <v>0</v>
      </c>
      <c r="E1831" s="348">
        <v>0</v>
      </c>
      <c r="F1831" s="348">
        <v>0</v>
      </c>
      <c r="G1831" s="348">
        <v>0</v>
      </c>
      <c r="H1831" s="348">
        <v>0</v>
      </c>
      <c r="I1831" s="348">
        <v>0</v>
      </c>
      <c r="J1831" s="348">
        <v>0</v>
      </c>
      <c r="K1831" s="348">
        <v>0</v>
      </c>
      <c r="L1831" s="348">
        <v>0</v>
      </c>
      <c r="M1831" s="348">
        <v>0</v>
      </c>
      <c r="N1831" s="348">
        <v>0</v>
      </c>
      <c r="O1831" s="348">
        <v>0</v>
      </c>
      <c r="P1831" s="348">
        <v>0</v>
      </c>
      <c r="Q1831" s="348">
        <v>0</v>
      </c>
      <c r="R1831" s="348">
        <v>0</v>
      </c>
      <c r="S1831" s="348">
        <v>0</v>
      </c>
      <c r="T1831" s="348">
        <v>0</v>
      </c>
      <c r="U1831" s="348">
        <v>0</v>
      </c>
      <c r="V1831" s="348">
        <v>0</v>
      </c>
      <c r="W1831" s="348">
        <v>0</v>
      </c>
    </row>
    <row r="1832" spans="1:23" ht="13.5" thickBot="1" x14ac:dyDescent="0.25">
      <c r="A1832" s="290" t="s">
        <v>199</v>
      </c>
      <c r="B1832" s="309"/>
      <c r="C1832" s="283"/>
      <c r="D1832" s="349">
        <v>0</v>
      </c>
      <c r="E1832" s="349">
        <v>0</v>
      </c>
      <c r="F1832" s="349">
        <v>0</v>
      </c>
      <c r="G1832" s="349">
        <v>0</v>
      </c>
      <c r="H1832" s="349">
        <v>0</v>
      </c>
      <c r="I1832" s="349">
        <v>0</v>
      </c>
      <c r="J1832" s="349">
        <v>0</v>
      </c>
      <c r="K1832" s="349">
        <v>0</v>
      </c>
      <c r="L1832" s="349">
        <v>0</v>
      </c>
      <c r="M1832" s="349">
        <v>0</v>
      </c>
      <c r="N1832" s="349">
        <v>0</v>
      </c>
      <c r="O1832" s="349">
        <v>0</v>
      </c>
      <c r="P1832" s="349">
        <v>0</v>
      </c>
      <c r="Q1832" s="349">
        <v>0</v>
      </c>
      <c r="R1832" s="349">
        <v>0</v>
      </c>
      <c r="S1832" s="349">
        <v>0</v>
      </c>
      <c r="T1832" s="349">
        <v>0</v>
      </c>
      <c r="U1832" s="349">
        <v>0</v>
      </c>
      <c r="V1832" s="349">
        <v>0</v>
      </c>
      <c r="W1832" s="349">
        <v>0</v>
      </c>
    </row>
    <row r="1833" spans="1:23" ht="13.5" thickTop="1" x14ac:dyDescent="0.2">
      <c r="A1833" s="290"/>
      <c r="B1833" s="309"/>
      <c r="C1833" s="283"/>
      <c r="D1833" s="347"/>
      <c r="E1833" s="347"/>
      <c r="F1833" s="347"/>
      <c r="G1833" s="347"/>
      <c r="H1833" s="347"/>
      <c r="I1833" s="347"/>
      <c r="J1833" s="347"/>
      <c r="K1833" s="347"/>
      <c r="L1833" s="347"/>
      <c r="M1833" s="347"/>
      <c r="N1833" s="347"/>
      <c r="O1833" s="347"/>
      <c r="P1833" s="347"/>
      <c r="Q1833" s="347"/>
      <c r="R1833" s="347"/>
      <c r="S1833" s="347"/>
      <c r="T1833" s="347"/>
      <c r="U1833" s="347"/>
      <c r="V1833" s="347"/>
      <c r="W1833" s="347"/>
    </row>
    <row r="1834" spans="1:23" x14ac:dyDescent="0.2">
      <c r="A1834" s="290" t="s">
        <v>200</v>
      </c>
      <c r="B1834" s="309"/>
      <c r="C1834" s="283"/>
      <c r="D1834" s="347">
        <v>0</v>
      </c>
      <c r="E1834" s="347">
        <v>0</v>
      </c>
      <c r="F1834" s="347">
        <v>0</v>
      </c>
      <c r="G1834" s="347">
        <v>0</v>
      </c>
      <c r="H1834" s="347">
        <v>0</v>
      </c>
      <c r="I1834" s="347">
        <v>0</v>
      </c>
      <c r="J1834" s="347">
        <v>0</v>
      </c>
      <c r="K1834" s="347">
        <v>0</v>
      </c>
      <c r="L1834" s="347">
        <v>0</v>
      </c>
      <c r="M1834" s="347">
        <v>0</v>
      </c>
      <c r="N1834" s="347">
        <v>0</v>
      </c>
      <c r="O1834" s="347">
        <v>0</v>
      </c>
      <c r="P1834" s="347">
        <v>0</v>
      </c>
      <c r="Q1834" s="347">
        <v>0</v>
      </c>
      <c r="R1834" s="347">
        <v>0</v>
      </c>
      <c r="S1834" s="347">
        <v>0</v>
      </c>
      <c r="T1834" s="347">
        <v>0</v>
      </c>
      <c r="U1834" s="347">
        <v>0</v>
      </c>
      <c r="V1834" s="347">
        <v>0</v>
      </c>
      <c r="W1834" s="347">
        <v>0</v>
      </c>
    </row>
    <row r="1835" spans="1:23" x14ac:dyDescent="0.2">
      <c r="A1835" s="290"/>
      <c r="B1835" s="309"/>
      <c r="C1835" s="283"/>
      <c r="D1835" s="283"/>
      <c r="E1835" s="283"/>
      <c r="F1835" s="283"/>
      <c r="G1835" s="283"/>
      <c r="H1835" s="283"/>
      <c r="I1835" s="283"/>
      <c r="J1835" s="283"/>
      <c r="K1835" s="283"/>
      <c r="L1835" s="283"/>
      <c r="M1835" s="283"/>
      <c r="N1835" s="283"/>
      <c r="O1835" s="283"/>
      <c r="P1835" s="283"/>
      <c r="Q1835" s="283"/>
      <c r="R1835" s="283"/>
      <c r="S1835" s="283"/>
      <c r="T1835" s="283"/>
      <c r="U1835" s="283"/>
      <c r="V1835" s="283"/>
      <c r="W1835" s="283"/>
    </row>
    <row r="1836" spans="1:23" x14ac:dyDescent="0.2">
      <c r="A1836" s="290" t="s">
        <v>201</v>
      </c>
      <c r="B1836" s="309"/>
      <c r="C1836" s="283"/>
      <c r="D1836" s="347">
        <v>0</v>
      </c>
      <c r="E1836" s="347">
        <v>0</v>
      </c>
      <c r="F1836" s="347">
        <v>0</v>
      </c>
      <c r="G1836" s="347">
        <v>0</v>
      </c>
      <c r="H1836" s="347">
        <v>0</v>
      </c>
      <c r="I1836" s="347">
        <v>0</v>
      </c>
      <c r="J1836" s="347">
        <v>0</v>
      </c>
      <c r="K1836" s="347">
        <v>0</v>
      </c>
      <c r="L1836" s="347">
        <v>0</v>
      </c>
      <c r="M1836" s="347">
        <v>0</v>
      </c>
      <c r="N1836" s="347">
        <v>0</v>
      </c>
      <c r="O1836" s="347">
        <v>0</v>
      </c>
      <c r="P1836" s="347">
        <v>0</v>
      </c>
      <c r="Q1836" s="347">
        <v>0</v>
      </c>
      <c r="R1836" s="347">
        <v>0</v>
      </c>
      <c r="S1836" s="347">
        <v>0</v>
      </c>
      <c r="T1836" s="347">
        <v>0</v>
      </c>
      <c r="U1836" s="347">
        <v>0</v>
      </c>
      <c r="V1836" s="347">
        <v>0</v>
      </c>
      <c r="W1836" s="347">
        <v>0</v>
      </c>
    </row>
    <row r="1837" spans="1:23" x14ac:dyDescent="0.2">
      <c r="A1837" s="283"/>
      <c r="B1837" s="309"/>
      <c r="C1837" s="283"/>
      <c r="D1837" s="283"/>
      <c r="E1837" s="283"/>
      <c r="F1837" s="283"/>
      <c r="G1837" s="283"/>
      <c r="H1837" s="283"/>
      <c r="I1837" s="283"/>
      <c r="J1837" s="283"/>
      <c r="K1837" s="283"/>
      <c r="L1837" s="283"/>
      <c r="M1837" s="283"/>
      <c r="N1837" s="283"/>
      <c r="O1837" s="283"/>
      <c r="P1837" s="283"/>
      <c r="Q1837" s="283"/>
      <c r="R1837" s="283"/>
      <c r="S1837" s="283"/>
      <c r="T1837" s="283"/>
      <c r="U1837" s="283"/>
      <c r="V1837" s="283"/>
      <c r="W1837" s="283"/>
    </row>
    <row r="1838" spans="1:23" x14ac:dyDescent="0.2">
      <c r="A1838" s="283"/>
      <c r="B1838" s="309"/>
      <c r="C1838" s="283"/>
      <c r="D1838" s="283"/>
      <c r="E1838" s="283"/>
      <c r="F1838" s="283"/>
      <c r="G1838" s="283"/>
      <c r="H1838" s="283"/>
      <c r="I1838" s="283"/>
      <c r="J1838" s="283"/>
      <c r="K1838" s="283"/>
      <c r="L1838" s="283"/>
      <c r="M1838" s="283"/>
      <c r="N1838" s="283"/>
      <c r="O1838" s="283"/>
      <c r="P1838" s="283"/>
      <c r="Q1838" s="283"/>
      <c r="R1838" s="283"/>
      <c r="S1838" s="283"/>
      <c r="T1838" s="283"/>
      <c r="U1838" s="283"/>
      <c r="V1838" s="283"/>
      <c r="W1838" s="283"/>
    </row>
    <row r="1839" spans="1:23" x14ac:dyDescent="0.2">
      <c r="A1839" s="290" t="s">
        <v>203</v>
      </c>
      <c r="B1839" s="285"/>
      <c r="C1839" s="284"/>
      <c r="D1839" s="441">
        <v>3790913.6851365482</v>
      </c>
      <c r="E1839" s="441">
        <v>2891049.8659047955</v>
      </c>
      <c r="F1839" s="441">
        <v>2236148.2325029755</v>
      </c>
      <c r="G1839" s="441">
        <v>2266279.2453805613</v>
      </c>
      <c r="H1839" s="441">
        <v>2137803.0971966423</v>
      </c>
      <c r="I1839" s="441">
        <v>2076999.848085732</v>
      </c>
      <c r="J1839" s="441">
        <v>1876794.4636580728</v>
      </c>
      <c r="K1839" s="441">
        <v>2000398.9224535674</v>
      </c>
      <c r="L1839" s="441">
        <v>2051648.877779542</v>
      </c>
      <c r="M1839" s="441">
        <v>2099005.9416941158</v>
      </c>
      <c r="N1839" s="441">
        <v>1596296.3050347532</v>
      </c>
      <c r="O1839" s="441">
        <v>1898481.3030175678</v>
      </c>
      <c r="P1839" s="441">
        <v>1767403.5863230499</v>
      </c>
      <c r="Q1839" s="441">
        <v>2234277.8024372514</v>
      </c>
      <c r="R1839" s="441">
        <v>1915567.9254737978</v>
      </c>
      <c r="S1839" s="441">
        <v>1518478.0310774723</v>
      </c>
      <c r="T1839" s="441">
        <v>1663887.4309517553</v>
      </c>
      <c r="U1839" s="441">
        <v>1950285.4498958488</v>
      </c>
      <c r="V1839" s="441">
        <v>1706974.2922635337</v>
      </c>
      <c r="W1839" s="441">
        <v>11275684.993370643</v>
      </c>
    </row>
    <row r="1840" spans="1:23" x14ac:dyDescent="0.2">
      <c r="A1840" s="9"/>
      <c r="B1840" s="69"/>
      <c r="C1840" s="9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</row>
    <row r="1841" spans="1:23" x14ac:dyDescent="0.2">
      <c r="A1841" s="298"/>
      <c r="B1841" s="366"/>
      <c r="C1841" s="376"/>
      <c r="D1841" s="68"/>
      <c r="E1841" s="68"/>
      <c r="F1841" s="68"/>
      <c r="G1841" s="68"/>
      <c r="H1841" s="68"/>
      <c r="I1841" s="68"/>
      <c r="J1841" s="68"/>
      <c r="K1841" s="68"/>
      <c r="L1841" s="68"/>
      <c r="M1841" s="68"/>
      <c r="N1841" s="68"/>
      <c r="O1841" s="68"/>
      <c r="P1841" s="68"/>
      <c r="Q1841" s="68"/>
      <c r="R1841" s="68"/>
      <c r="S1841" s="68"/>
      <c r="T1841" s="68"/>
      <c r="U1841" s="68"/>
      <c r="V1841" s="68"/>
      <c r="W1841" s="68"/>
    </row>
    <row r="1842" spans="1:23" x14ac:dyDescent="0.2">
      <c r="A1842" s="298"/>
      <c r="B1842" s="366"/>
      <c r="C1842" s="376"/>
      <c r="D1842" s="68"/>
      <c r="E1842" s="68"/>
      <c r="F1842" s="68"/>
      <c r="G1842" s="68"/>
      <c r="H1842" s="68"/>
      <c r="I1842" s="68"/>
      <c r="J1842" s="68"/>
      <c r="K1842" s="68"/>
      <c r="L1842" s="68"/>
      <c r="M1842" s="68"/>
      <c r="N1842" s="68"/>
      <c r="O1842" s="68"/>
      <c r="P1842" s="68"/>
      <c r="Q1842" s="68"/>
      <c r="R1842" s="68"/>
      <c r="S1842" s="68"/>
      <c r="T1842" s="68"/>
      <c r="U1842" s="68"/>
      <c r="V1842" s="68"/>
      <c r="W1842" s="68"/>
    </row>
    <row r="1843" spans="1:23" x14ac:dyDescent="0.2">
      <c r="A1843" s="298"/>
      <c r="B1843" s="366"/>
      <c r="C1843" s="376"/>
      <c r="D1843" s="68"/>
      <c r="E1843" s="68"/>
      <c r="F1843" s="68"/>
      <c r="G1843" s="68"/>
      <c r="H1843" s="68"/>
      <c r="I1843" s="68"/>
      <c r="J1843" s="68"/>
      <c r="K1843" s="68"/>
      <c r="L1843" s="68"/>
      <c r="M1843" s="68"/>
      <c r="N1843" s="68"/>
      <c r="O1843" s="68"/>
      <c r="P1843" s="68"/>
      <c r="Q1843" s="68"/>
      <c r="R1843" s="68"/>
      <c r="S1843" s="68"/>
      <c r="T1843" s="68"/>
      <c r="U1843" s="68"/>
      <c r="V1843" s="68"/>
      <c r="W1843" s="68"/>
    </row>
    <row r="1844" spans="1:23" x14ac:dyDescent="0.2">
      <c r="A1844" s="298"/>
      <c r="B1844" s="366"/>
      <c r="C1844" s="376"/>
      <c r="D1844" s="68"/>
      <c r="E1844" s="68"/>
      <c r="F1844" s="68"/>
      <c r="G1844" s="68"/>
      <c r="H1844" s="68"/>
      <c r="I1844" s="68"/>
      <c r="J1844" s="68"/>
      <c r="K1844" s="68"/>
      <c r="L1844" s="68"/>
      <c r="M1844" s="68"/>
      <c r="N1844" s="68"/>
      <c r="O1844" s="68"/>
      <c r="P1844" s="68"/>
      <c r="Q1844" s="68"/>
      <c r="R1844" s="68"/>
      <c r="S1844" s="68"/>
      <c r="T1844" s="68"/>
      <c r="U1844" s="68"/>
      <c r="V1844" s="68"/>
      <c r="W1844" s="68"/>
    </row>
    <row r="1845" spans="1:23" x14ac:dyDescent="0.2">
      <c r="A1845" s="298"/>
      <c r="B1845" s="366"/>
      <c r="C1845" s="376"/>
      <c r="D1845" s="376"/>
      <c r="E1845" s="376"/>
      <c r="F1845" s="376"/>
      <c r="G1845" s="376"/>
      <c r="H1845" s="376"/>
      <c r="I1845" s="376"/>
      <c r="J1845" s="376"/>
      <c r="K1845" s="376"/>
      <c r="L1845" s="376"/>
      <c r="M1845" s="376"/>
      <c r="N1845" s="376"/>
      <c r="O1845" s="376"/>
      <c r="P1845" s="376"/>
      <c r="Q1845" s="376"/>
      <c r="R1845" s="376"/>
      <c r="S1845" s="376"/>
      <c r="T1845" s="376"/>
      <c r="U1845" s="376"/>
      <c r="V1845" s="376"/>
      <c r="W1845" s="376"/>
    </row>
    <row r="1846" spans="1:23" x14ac:dyDescent="0.2">
      <c r="A1846" s="298"/>
      <c r="B1846" s="366"/>
      <c r="C1846" s="376"/>
      <c r="D1846" s="68"/>
      <c r="E1846" s="68"/>
      <c r="F1846" s="68"/>
      <c r="G1846" s="68"/>
      <c r="H1846" s="68"/>
      <c r="I1846" s="68"/>
      <c r="J1846" s="68"/>
      <c r="K1846" s="68"/>
      <c r="L1846" s="68"/>
      <c r="M1846" s="68"/>
      <c r="N1846" s="68"/>
      <c r="O1846" s="68"/>
      <c r="P1846" s="68"/>
      <c r="Q1846" s="68"/>
      <c r="R1846" s="68"/>
      <c r="S1846" s="68"/>
      <c r="T1846" s="68"/>
      <c r="U1846" s="68"/>
      <c r="V1846" s="68"/>
      <c r="W1846" s="68"/>
    </row>
    <row r="1847" spans="1:23" x14ac:dyDescent="0.2">
      <c r="A1847" s="376"/>
      <c r="B1847" s="366"/>
      <c r="C1847" s="376"/>
      <c r="D1847" s="376"/>
      <c r="E1847" s="376"/>
      <c r="F1847" s="376"/>
      <c r="G1847" s="376"/>
      <c r="H1847" s="376"/>
      <c r="I1847" s="376"/>
      <c r="J1847" s="376"/>
      <c r="K1847" s="376"/>
      <c r="L1847" s="376"/>
      <c r="M1847" s="376"/>
      <c r="N1847" s="376"/>
      <c r="O1847" s="376"/>
      <c r="P1847" s="376"/>
      <c r="Q1847" s="376"/>
      <c r="R1847" s="376"/>
      <c r="S1847" s="376"/>
      <c r="T1847" s="376"/>
      <c r="U1847" s="376"/>
      <c r="V1847" s="376"/>
      <c r="W1847" s="376"/>
    </row>
    <row r="1848" spans="1:23" ht="15.75" x14ac:dyDescent="0.25">
      <c r="A1848" s="308" t="s">
        <v>29</v>
      </c>
      <c r="B1848" s="311" t="s">
        <v>81</v>
      </c>
      <c r="C1848" s="312">
        <v>2000</v>
      </c>
      <c r="D1848" s="312">
        <v>2001</v>
      </c>
      <c r="E1848" s="312">
        <v>2002</v>
      </c>
      <c r="F1848" s="312">
        <v>2003</v>
      </c>
      <c r="G1848" s="312">
        <v>2004</v>
      </c>
      <c r="H1848" s="312">
        <v>2005</v>
      </c>
      <c r="I1848" s="312">
        <v>2006</v>
      </c>
      <c r="J1848" s="312">
        <v>2007</v>
      </c>
      <c r="K1848" s="312">
        <v>2008</v>
      </c>
      <c r="L1848" s="312">
        <v>2009</v>
      </c>
      <c r="M1848" s="312">
        <v>2010</v>
      </c>
      <c r="N1848" s="312">
        <v>2011</v>
      </c>
      <c r="O1848" s="312">
        <v>2012</v>
      </c>
      <c r="P1848" s="312">
        <v>2013</v>
      </c>
      <c r="Q1848" s="312">
        <v>2014</v>
      </c>
      <c r="R1848" s="312">
        <v>2015</v>
      </c>
      <c r="S1848" s="312">
        <v>2016</v>
      </c>
      <c r="T1848" s="312">
        <v>2017</v>
      </c>
      <c r="U1848" s="312">
        <v>2018</v>
      </c>
      <c r="V1848" s="312">
        <v>2019</v>
      </c>
      <c r="W1848" s="312" t="s">
        <v>154</v>
      </c>
    </row>
    <row r="1849" spans="1:23" x14ac:dyDescent="0.2">
      <c r="A1849" s="308" t="s">
        <v>26</v>
      </c>
      <c r="B1849" s="309">
        <v>83.433000000000007</v>
      </c>
      <c r="C1849" s="314"/>
      <c r="D1849" s="314"/>
      <c r="E1849" s="314"/>
      <c r="F1849" s="314"/>
      <c r="G1849" s="314"/>
      <c r="H1849" s="314"/>
      <c r="I1849" s="314"/>
      <c r="J1849" s="314"/>
      <c r="K1849" s="314"/>
      <c r="L1849" s="314"/>
      <c r="M1849" s="314"/>
      <c r="N1849" s="314"/>
      <c r="O1849" s="314"/>
      <c r="P1849" s="314"/>
      <c r="Q1849" s="314"/>
      <c r="R1849" s="314"/>
      <c r="S1849" s="314"/>
      <c r="T1849" s="314"/>
      <c r="U1849" s="314"/>
      <c r="V1849" s="314"/>
      <c r="W1849" s="314"/>
    </row>
    <row r="1850" spans="1:23" x14ac:dyDescent="0.2">
      <c r="A1850" s="9"/>
      <c r="B1850" s="315" t="s">
        <v>27</v>
      </c>
      <c r="C1850" s="449">
        <v>0</v>
      </c>
      <c r="D1850" s="410">
        <v>7778399.1075253496</v>
      </c>
      <c r="E1850" s="410">
        <v>6842254.5552537916</v>
      </c>
      <c r="F1850" s="410">
        <v>6629692.7122039562</v>
      </c>
      <c r="G1850" s="410">
        <v>6318609.8961360669</v>
      </c>
      <c r="H1850" s="410">
        <v>6451264.7006655894</v>
      </c>
      <c r="I1850" s="410">
        <v>7455383.7868868234</v>
      </c>
      <c r="J1850" s="410">
        <v>8933942.2525088191</v>
      </c>
      <c r="K1850" s="410">
        <v>11309729.683792757</v>
      </c>
      <c r="L1850" s="410">
        <v>11987941.949257994</v>
      </c>
      <c r="M1850" s="410">
        <v>10329741.498823166</v>
      </c>
      <c r="N1850" s="410">
        <v>10137023.425225437</v>
      </c>
      <c r="O1850" s="410">
        <v>10141395.008444561</v>
      </c>
      <c r="P1850" s="410">
        <v>9373421.0289784186</v>
      </c>
      <c r="Q1850" s="410">
        <v>10829294.728562763</v>
      </c>
      <c r="R1850" s="410">
        <v>10140669.306975409</v>
      </c>
      <c r="S1850" s="410">
        <v>10206249.178018356</v>
      </c>
      <c r="T1850" s="410">
        <v>9435440.7257302757</v>
      </c>
      <c r="U1850" s="410">
        <v>10663951.615292406</v>
      </c>
      <c r="V1850" s="410">
        <v>11535367.734861331</v>
      </c>
      <c r="W1850" s="333"/>
    </row>
    <row r="1851" spans="1:23" x14ac:dyDescent="0.2">
      <c r="A1851" s="9"/>
      <c r="B1851" s="315" t="s">
        <v>20</v>
      </c>
      <c r="C1851" s="449">
        <v>0</v>
      </c>
      <c r="D1851" s="410">
        <v>-2279367.9189881762</v>
      </c>
      <c r="E1851" s="410">
        <v>-2812929.5237752814</v>
      </c>
      <c r="F1851" s="410">
        <v>-3058770.0555529702</v>
      </c>
      <c r="G1851" s="410">
        <v>-3311731.7926161261</v>
      </c>
      <c r="H1851" s="410">
        <v>-3520069.6204902469</v>
      </c>
      <c r="I1851" s="410">
        <v>-4670164.8003135696</v>
      </c>
      <c r="J1851" s="410">
        <v>-5800826.5836623712</v>
      </c>
      <c r="K1851" s="410">
        <v>-7183424.3737935591</v>
      </c>
      <c r="L1851" s="410">
        <v>-7682495.6427182453</v>
      </c>
      <c r="M1851" s="410">
        <v>-6000707.9900300922</v>
      </c>
      <c r="N1851" s="410">
        <v>-6623381.3630241612</v>
      </c>
      <c r="O1851" s="410">
        <v>-6143418.2021517968</v>
      </c>
      <c r="P1851" s="410">
        <v>-5621870.6186106894</v>
      </c>
      <c r="Q1851" s="410">
        <v>-6288111.6403606003</v>
      </c>
      <c r="R1851" s="410">
        <v>-6156692.7170526711</v>
      </c>
      <c r="S1851" s="410">
        <v>-6876253.8889866211</v>
      </c>
      <c r="T1851" s="410">
        <v>-5875497.5201904178</v>
      </c>
      <c r="U1851" s="410">
        <v>-6567394.4389183186</v>
      </c>
      <c r="V1851" s="410">
        <v>-7797811.0819347827</v>
      </c>
      <c r="W1851" s="333"/>
    </row>
    <row r="1852" spans="1:23" x14ac:dyDescent="0.2">
      <c r="A1852" s="9"/>
      <c r="B1852" s="315" t="s">
        <v>31</v>
      </c>
      <c r="C1852" s="449">
        <v>0</v>
      </c>
      <c r="D1852" s="410">
        <v>-57028.15214719066</v>
      </c>
      <c r="E1852" s="410">
        <v>-81185.613060895324</v>
      </c>
      <c r="F1852" s="410">
        <v>-93622.506813158674</v>
      </c>
      <c r="G1852" s="410">
        <v>-101362.76169412494</v>
      </c>
      <c r="H1852" s="410">
        <v>-107716.4803515206</v>
      </c>
      <c r="I1852" s="410">
        <v>-148291.97621567055</v>
      </c>
      <c r="J1852" s="410">
        <v>-179818.39534956124</v>
      </c>
      <c r="K1852" s="410">
        <v>-244348.64758108876</v>
      </c>
      <c r="L1852" s="410">
        <v>-255192.43623216765</v>
      </c>
      <c r="M1852" s="410">
        <v>-193964.44469204155</v>
      </c>
      <c r="N1852" s="410">
        <v>-219273.63205426256</v>
      </c>
      <c r="O1852" s="410">
        <v>-204927.31589735823</v>
      </c>
      <c r="P1852" s="410">
        <v>-185685.14264100697</v>
      </c>
      <c r="Q1852" s="410">
        <v>-206543.68349303392</v>
      </c>
      <c r="R1852" s="410">
        <v>-190880.20244975749</v>
      </c>
      <c r="S1852" s="410">
        <v>-209068.5703584156</v>
      </c>
      <c r="T1852" s="410">
        <v>-179130.37208792387</v>
      </c>
      <c r="U1852" s="410">
        <v>-188414.53075049791</v>
      </c>
      <c r="V1852" s="410">
        <v>-229337.41790373807</v>
      </c>
      <c r="W1852" s="333"/>
    </row>
    <row r="1853" spans="1:23" x14ac:dyDescent="0.2">
      <c r="A1853" s="9"/>
      <c r="B1853" s="315" t="s">
        <v>32</v>
      </c>
      <c r="C1853" s="449">
        <v>0</v>
      </c>
      <c r="D1853" s="410">
        <v>0</v>
      </c>
      <c r="E1853" s="410">
        <v>0</v>
      </c>
      <c r="F1853" s="410">
        <v>0</v>
      </c>
      <c r="G1853" s="410">
        <v>0</v>
      </c>
      <c r="H1853" s="410">
        <v>0</v>
      </c>
      <c r="I1853" s="410">
        <v>93418.023327088376</v>
      </c>
      <c r="J1853" s="410">
        <v>103546.416256845</v>
      </c>
      <c r="K1853" s="410">
        <v>114259.16746337658</v>
      </c>
      <c r="L1853" s="410">
        <v>125495.63771574097</v>
      </c>
      <c r="M1853" s="410">
        <v>139570.44415525725</v>
      </c>
      <c r="N1853" s="410">
        <v>153747.39907892016</v>
      </c>
      <c r="O1853" s="410">
        <v>170347.50869303249</v>
      </c>
      <c r="P1853" s="410">
        <v>191004.36881418826</v>
      </c>
      <c r="Q1853" s="410">
        <v>212617.66815241956</v>
      </c>
      <c r="R1853" s="410">
        <v>235515.42537247401</v>
      </c>
      <c r="S1853" s="410">
        <v>258595.6474313915</v>
      </c>
      <c r="T1853" s="410">
        <v>254057.61645580616</v>
      </c>
      <c r="U1853" s="410">
        <v>217360.03222342019</v>
      </c>
      <c r="V1853" s="410">
        <v>225362.25124239805</v>
      </c>
      <c r="W1853" s="333"/>
    </row>
    <row r="1854" spans="1:23" ht="13.5" thickBot="1" x14ac:dyDescent="0.25">
      <c r="A1854" s="9"/>
      <c r="B1854" s="316" t="s">
        <v>33</v>
      </c>
      <c r="C1854" s="450">
        <v>0</v>
      </c>
      <c r="D1854" s="412">
        <v>0</v>
      </c>
      <c r="E1854" s="412">
        <v>0</v>
      </c>
      <c r="F1854" s="412">
        <v>0</v>
      </c>
      <c r="G1854" s="412">
        <v>0</v>
      </c>
      <c r="H1854" s="412">
        <v>0</v>
      </c>
      <c r="I1854" s="412">
        <v>0</v>
      </c>
      <c r="J1854" s="412">
        <v>0</v>
      </c>
      <c r="K1854" s="412">
        <v>0</v>
      </c>
      <c r="L1854" s="412">
        <v>0</v>
      </c>
      <c r="M1854" s="412">
        <v>0</v>
      </c>
      <c r="N1854" s="412">
        <v>0</v>
      </c>
      <c r="O1854" s="412">
        <v>0</v>
      </c>
      <c r="P1854" s="412">
        <v>0</v>
      </c>
      <c r="Q1854" s="412">
        <v>0</v>
      </c>
      <c r="R1854" s="412">
        <v>0</v>
      </c>
      <c r="S1854" s="412">
        <v>0</v>
      </c>
      <c r="T1854" s="412">
        <v>0</v>
      </c>
      <c r="U1854" s="412">
        <v>0</v>
      </c>
      <c r="V1854" s="412">
        <v>0</v>
      </c>
      <c r="W1854" s="333"/>
    </row>
    <row r="1855" spans="1:23" ht="13.5" thickTop="1" x14ac:dyDescent="0.2">
      <c r="A1855" s="9"/>
      <c r="B1855" s="317" t="s">
        <v>38</v>
      </c>
      <c r="C1855" s="451">
        <v>0</v>
      </c>
      <c r="D1855" s="414">
        <v>5442003.0363899823</v>
      </c>
      <c r="E1855" s="414">
        <v>3948139.4184176149</v>
      </c>
      <c r="F1855" s="414">
        <v>3477300.1498378273</v>
      </c>
      <c r="G1855" s="414">
        <v>2905515.3418258158</v>
      </c>
      <c r="H1855" s="414">
        <v>2823478.5998238218</v>
      </c>
      <c r="I1855" s="414">
        <v>2730345.0336846719</v>
      </c>
      <c r="J1855" s="414">
        <v>3056843.6897537317</v>
      </c>
      <c r="K1855" s="414">
        <v>3996215.8298814856</v>
      </c>
      <c r="L1855" s="414">
        <v>4175749.5080233221</v>
      </c>
      <c r="M1855" s="414">
        <v>4274639.5082562892</v>
      </c>
      <c r="N1855" s="414">
        <v>3448115.8292259327</v>
      </c>
      <c r="O1855" s="414">
        <v>3963396.9990884382</v>
      </c>
      <c r="P1855" s="414">
        <v>3756869.6365409102</v>
      </c>
      <c r="Q1855" s="414">
        <v>4547257.0728615485</v>
      </c>
      <c r="R1855" s="414">
        <v>4028611.8128454546</v>
      </c>
      <c r="S1855" s="414">
        <v>3379522.3661047104</v>
      </c>
      <c r="T1855" s="414">
        <v>3634870.4499077401</v>
      </c>
      <c r="U1855" s="414">
        <v>4125502.6778470096</v>
      </c>
      <c r="V1855" s="414">
        <v>3733581.4862652086</v>
      </c>
      <c r="W1855" s="333"/>
    </row>
    <row r="1856" spans="1:23" x14ac:dyDescent="0.2">
      <c r="A1856" s="9"/>
      <c r="B1856" s="315" t="s">
        <v>34</v>
      </c>
      <c r="C1856" s="449">
        <v>0</v>
      </c>
      <c r="D1856" s="410">
        <v>-355535.16277078062</v>
      </c>
      <c r="E1856" s="410">
        <v>-362645.86602619622</v>
      </c>
      <c r="F1856" s="410">
        <v>-369898.78334672016</v>
      </c>
      <c r="G1856" s="410">
        <v>-377296.75901365455</v>
      </c>
      <c r="H1856" s="410">
        <v>-384842.69419392763</v>
      </c>
      <c r="I1856" s="410">
        <v>-392539.54807780619</v>
      </c>
      <c r="J1856" s="410">
        <v>-400390.33903936233</v>
      </c>
      <c r="K1856" s="410">
        <v>-408398.14582014957</v>
      </c>
      <c r="L1856" s="410">
        <v>-416566.10873655259</v>
      </c>
      <c r="M1856" s="410">
        <v>-424897.43091128365</v>
      </c>
      <c r="N1856" s="410">
        <v>-433395.37952950934</v>
      </c>
      <c r="O1856" s="410">
        <v>-442063.28712009953</v>
      </c>
      <c r="P1856" s="410">
        <v>-450904.55286250153</v>
      </c>
      <c r="Q1856" s="410">
        <v>-459922.64391975157</v>
      </c>
      <c r="R1856" s="410">
        <v>-469121.09679814661</v>
      </c>
      <c r="S1856" s="410">
        <v>-478503.51873410953</v>
      </c>
      <c r="T1856" s="410">
        <v>-488073.58910879173</v>
      </c>
      <c r="U1856" s="410">
        <v>-497835.06089096755</v>
      </c>
      <c r="V1856" s="410">
        <v>-507791.7621087869</v>
      </c>
      <c r="W1856" s="333"/>
    </row>
    <row r="1857" spans="1:23" x14ac:dyDescent="0.2">
      <c r="A1857" s="9"/>
      <c r="B1857" s="315" t="s">
        <v>35</v>
      </c>
      <c r="C1857" s="449">
        <v>0</v>
      </c>
      <c r="D1857" s="410">
        <v>-171612.57929687499</v>
      </c>
      <c r="E1857" s="410">
        <v>-171612.57929687499</v>
      </c>
      <c r="F1857" s="410">
        <v>-171612.57929687499</v>
      </c>
      <c r="G1857" s="410">
        <v>-171612.57929687499</v>
      </c>
      <c r="H1857" s="410">
        <v>-171612.57929687499</v>
      </c>
      <c r="I1857" s="410">
        <v>-171612.57929687499</v>
      </c>
      <c r="J1857" s="410">
        <v>-171612.57929687499</v>
      </c>
      <c r="K1857" s="410">
        <v>-171612.57929687499</v>
      </c>
      <c r="L1857" s="410">
        <v>-171612.57929687499</v>
      </c>
      <c r="M1857" s="410">
        <v>-171612.57929687499</v>
      </c>
      <c r="N1857" s="410">
        <v>-171612.57929687499</v>
      </c>
      <c r="O1857" s="410">
        <v>-171612.57929687499</v>
      </c>
      <c r="P1857" s="410">
        <v>-171612.57929687499</v>
      </c>
      <c r="Q1857" s="410">
        <v>-171612.57929687499</v>
      </c>
      <c r="R1857" s="410">
        <v>-171612.57929687499</v>
      </c>
      <c r="S1857" s="410">
        <v>-171612.57929687499</v>
      </c>
      <c r="T1857" s="410">
        <v>-171612.57929687499</v>
      </c>
      <c r="U1857" s="410">
        <v>-171612.57929687499</v>
      </c>
      <c r="V1857" s="410">
        <v>-171612.57929687499</v>
      </c>
      <c r="W1857" s="333"/>
    </row>
    <row r="1858" spans="1:23" ht="13.5" thickBot="1" x14ac:dyDescent="0.25">
      <c r="A1858" s="9"/>
      <c r="B1858" s="316" t="s">
        <v>36</v>
      </c>
      <c r="C1858" s="450">
        <v>0</v>
      </c>
      <c r="D1858" s="412">
        <v>-34547.1907058574</v>
      </c>
      <c r="E1858" s="412">
        <v>-35276.136429751197</v>
      </c>
      <c r="F1858" s="412">
        <v>-36048.6838175628</v>
      </c>
      <c r="G1858" s="412">
        <v>-36863.384071839399</v>
      </c>
      <c r="H1858" s="412">
        <v>-37740.7326127493</v>
      </c>
      <c r="I1858" s="412">
        <v>-38686.5191661684</v>
      </c>
      <c r="J1858" s="412">
        <v>-39646.052617166402</v>
      </c>
      <c r="K1858" s="412">
        <v>-40649.576140416597</v>
      </c>
      <c r="L1858" s="412">
        <v>-41653.6206710849</v>
      </c>
      <c r="M1858" s="412">
        <v>-42715.787998197498</v>
      </c>
      <c r="N1858" s="412">
        <v>-43749.510067754003</v>
      </c>
      <c r="O1858" s="412">
        <v>-44851.997721461303</v>
      </c>
      <c r="P1858" s="412">
        <v>-45991.238463586298</v>
      </c>
      <c r="Q1858" s="412">
        <v>-47141.019425175997</v>
      </c>
      <c r="R1858" s="412">
        <v>-48324.259012747898</v>
      </c>
      <c r="S1858" s="412">
        <v>-49532.365488066702</v>
      </c>
      <c r="T1858" s="412">
        <v>-50760.768152170604</v>
      </c>
      <c r="U1858" s="412">
        <v>-52034.863432790196</v>
      </c>
      <c r="V1858" s="412">
        <v>-53340.938504953301</v>
      </c>
      <c r="W1858" s="333"/>
    </row>
    <row r="1859" spans="1:23" ht="13.5" thickTop="1" x14ac:dyDescent="0.2">
      <c r="A1859" s="9"/>
      <c r="B1859" s="317" t="s">
        <v>221</v>
      </c>
      <c r="C1859" s="452">
        <v>0</v>
      </c>
      <c r="D1859" s="416">
        <v>4880308.1036164695</v>
      </c>
      <c r="E1859" s="416">
        <v>3378604.8366647926</v>
      </c>
      <c r="F1859" s="416">
        <v>2899740.1033766698</v>
      </c>
      <c r="G1859" s="416">
        <v>2319742.6194434469</v>
      </c>
      <c r="H1859" s="416">
        <v>2229282.5937202703</v>
      </c>
      <c r="I1859" s="416">
        <v>2127506.3871438224</v>
      </c>
      <c r="J1859" s="416">
        <v>2445194.7188003282</v>
      </c>
      <c r="K1859" s="416">
        <v>3375555.5286240443</v>
      </c>
      <c r="L1859" s="416">
        <v>3545917.1993188094</v>
      </c>
      <c r="M1859" s="416">
        <v>3635413.7100499333</v>
      </c>
      <c r="N1859" s="416">
        <v>2799358.3603317947</v>
      </c>
      <c r="O1859" s="416">
        <v>3304869.1349500027</v>
      </c>
      <c r="P1859" s="416">
        <v>3088361.2659179475</v>
      </c>
      <c r="Q1859" s="416">
        <v>3868580.8302197461</v>
      </c>
      <c r="R1859" s="416">
        <v>3339553.8777376851</v>
      </c>
      <c r="S1859" s="416">
        <v>2679873.9025856592</v>
      </c>
      <c r="T1859" s="416">
        <v>2924423.5133499028</v>
      </c>
      <c r="U1859" s="416">
        <v>3404020.1742263772</v>
      </c>
      <c r="V1859" s="416">
        <v>3000836.2063545934</v>
      </c>
      <c r="W1859" s="333"/>
    </row>
    <row r="1860" spans="1:23" x14ac:dyDescent="0.2">
      <c r="A1860" s="9"/>
      <c r="B1860" s="315" t="s">
        <v>37</v>
      </c>
      <c r="C1860" s="449">
        <v>0</v>
      </c>
      <c r="D1860" s="410">
        <v>-2192540.6332916664</v>
      </c>
      <c r="E1860" s="410">
        <v>-2196552.2388259</v>
      </c>
      <c r="F1860" s="410">
        <v>-2208433.1712912335</v>
      </c>
      <c r="G1860" s="410">
        <v>-2225152.1517424337</v>
      </c>
      <c r="H1860" s="410">
        <v>-2223872.1612209999</v>
      </c>
      <c r="I1860" s="410">
        <v>-2231231.5870030364</v>
      </c>
      <c r="J1860" s="410">
        <v>-1261089.6368325527</v>
      </c>
      <c r="K1860" s="410">
        <v>-181670.39447474969</v>
      </c>
      <c r="L1860" s="410">
        <v>-61578.265900722843</v>
      </c>
      <c r="M1860" s="410">
        <v>-53273.043183071866</v>
      </c>
      <c r="N1860" s="410">
        <v>-58347.787958376357</v>
      </c>
      <c r="O1860" s="410">
        <v>-63543.355918236317</v>
      </c>
      <c r="P1860" s="410">
        <v>-68850.503258272744</v>
      </c>
      <c r="Q1860" s="410">
        <v>-74193.521685176922</v>
      </c>
      <c r="R1860" s="410">
        <v>-79700.687331554902</v>
      </c>
      <c r="S1860" s="410">
        <v>-85499.586280657546</v>
      </c>
      <c r="T1860" s="410">
        <v>-91472.452198233266</v>
      </c>
      <c r="U1860" s="410">
        <v>-97624.504093336276</v>
      </c>
      <c r="V1860" s="410">
        <v>-103961.11754529236</v>
      </c>
      <c r="W1860" s="333"/>
    </row>
    <row r="1861" spans="1:23" ht="13.5" thickBot="1" x14ac:dyDescent="0.25">
      <c r="A1861" s="9"/>
      <c r="B1861" s="316" t="s">
        <v>222</v>
      </c>
      <c r="C1861" s="450">
        <v>0</v>
      </c>
      <c r="D1861" s="412">
        <v>-1075106.9881299213</v>
      </c>
      <c r="E1861" s="412">
        <v>-472821.03913555708</v>
      </c>
      <c r="F1861" s="412">
        <v>-276522.77283417451</v>
      </c>
      <c r="G1861" s="412">
        <v>-37836.187080405281</v>
      </c>
      <c r="H1861" s="412">
        <v>-2164.1729997081684</v>
      </c>
      <c r="I1861" s="412">
        <v>41490.07994368561</v>
      </c>
      <c r="J1861" s="412">
        <v>-473642.03278711019</v>
      </c>
      <c r="K1861" s="412">
        <v>-1277554.0536597178</v>
      </c>
      <c r="L1861" s="412">
        <v>-1393735.5733672348</v>
      </c>
      <c r="M1861" s="412">
        <v>-1432856.2667467445</v>
      </c>
      <c r="N1861" s="412">
        <v>-1096404.2289493673</v>
      </c>
      <c r="O1861" s="412">
        <v>-1296530.3116127066</v>
      </c>
      <c r="P1861" s="412">
        <v>-1207804.30506387</v>
      </c>
      <c r="Q1861" s="412">
        <v>-1517754.9234138278</v>
      </c>
      <c r="R1861" s="412">
        <v>-1303941.2761624521</v>
      </c>
      <c r="S1861" s="412">
        <v>-1037749.7265220007</v>
      </c>
      <c r="T1861" s="412">
        <v>-1133180.4244606679</v>
      </c>
      <c r="U1861" s="412">
        <v>-1322558.2680532164</v>
      </c>
      <c r="V1861" s="412">
        <v>-1158750.0355237206</v>
      </c>
      <c r="W1861" s="333"/>
    </row>
    <row r="1862" spans="1:23" ht="13.5" thickTop="1" x14ac:dyDescent="0.2">
      <c r="A1862" s="9"/>
      <c r="B1862" s="317" t="s">
        <v>183</v>
      </c>
      <c r="C1862" s="452">
        <v>0</v>
      </c>
      <c r="D1862" s="416">
        <v>1612660.4821948819</v>
      </c>
      <c r="E1862" s="416">
        <v>709231.55870333547</v>
      </c>
      <c r="F1862" s="416">
        <v>414784.15925126179</v>
      </c>
      <c r="G1862" s="416">
        <v>56754.280620607919</v>
      </c>
      <c r="H1862" s="416">
        <v>3246.2594995622521</v>
      </c>
      <c r="I1862" s="416">
        <v>-62235.119915528405</v>
      </c>
      <c r="J1862" s="416">
        <v>710463.04918066529</v>
      </c>
      <c r="K1862" s="416">
        <v>1916331.0804895766</v>
      </c>
      <c r="L1862" s="416">
        <v>2090603.3600508519</v>
      </c>
      <c r="M1862" s="416">
        <v>2149284.4001201168</v>
      </c>
      <c r="N1862" s="416">
        <v>1644606.3434240508</v>
      </c>
      <c r="O1862" s="416">
        <v>1944795.4674190595</v>
      </c>
      <c r="P1862" s="416">
        <v>1811706.4575958049</v>
      </c>
      <c r="Q1862" s="416">
        <v>2276632.3851207411</v>
      </c>
      <c r="R1862" s="416">
        <v>1955911.9142436781</v>
      </c>
      <c r="S1862" s="416">
        <v>1556624.589783001</v>
      </c>
      <c r="T1862" s="416">
        <v>1699770.6366910015</v>
      </c>
      <c r="U1862" s="416">
        <v>1983837.4020798244</v>
      </c>
      <c r="V1862" s="416">
        <v>1738125.0532855806</v>
      </c>
      <c r="W1862" s="333"/>
    </row>
    <row r="1863" spans="1:23" x14ac:dyDescent="0.2">
      <c r="A1863" s="9"/>
      <c r="B1863" s="315" t="s">
        <v>37</v>
      </c>
      <c r="C1863" s="449">
        <v>0</v>
      </c>
      <c r="D1863" s="410">
        <v>2192540.6332916664</v>
      </c>
      <c r="E1863" s="410">
        <v>2196552.2388259</v>
      </c>
      <c r="F1863" s="410">
        <v>2208433.1712912335</v>
      </c>
      <c r="G1863" s="410">
        <v>2225152.1517424337</v>
      </c>
      <c r="H1863" s="410">
        <v>2223872.1612209999</v>
      </c>
      <c r="I1863" s="410">
        <v>2231231.5870030364</v>
      </c>
      <c r="J1863" s="410">
        <v>1261089.6368325527</v>
      </c>
      <c r="K1863" s="410">
        <v>181670.39447474969</v>
      </c>
      <c r="L1863" s="410">
        <v>61578.265900722843</v>
      </c>
      <c r="M1863" s="410">
        <v>53273.043183071866</v>
      </c>
      <c r="N1863" s="410">
        <v>58347.787958376357</v>
      </c>
      <c r="O1863" s="410">
        <v>63543.355918236317</v>
      </c>
      <c r="P1863" s="410">
        <v>68850.503258272744</v>
      </c>
      <c r="Q1863" s="410">
        <v>74193.521685176922</v>
      </c>
      <c r="R1863" s="410">
        <v>79700.687331554902</v>
      </c>
      <c r="S1863" s="410">
        <v>85499.586280657546</v>
      </c>
      <c r="T1863" s="410">
        <v>91472.452198233266</v>
      </c>
      <c r="U1863" s="410">
        <v>97624.504093336276</v>
      </c>
      <c r="V1863" s="410">
        <v>103961.11754529236</v>
      </c>
      <c r="W1863" s="333"/>
    </row>
    <row r="1864" spans="1:23" x14ac:dyDescent="0.2">
      <c r="A1864" s="9"/>
      <c r="B1864" s="315" t="s">
        <v>39</v>
      </c>
      <c r="C1864" s="449">
        <v>0</v>
      </c>
      <c r="D1864" s="410">
        <v>-14879.11</v>
      </c>
      <c r="E1864" s="410">
        <v>-15323.09</v>
      </c>
      <c r="F1864" s="410">
        <v>-384480.99</v>
      </c>
      <c r="G1864" s="410">
        <v>-16310.09</v>
      </c>
      <c r="H1864" s="410">
        <v>-89322.498000000007</v>
      </c>
      <c r="I1864" s="410">
        <v>-92002.172940000004</v>
      </c>
      <c r="J1864" s="410">
        <v>-94762.238128200013</v>
      </c>
      <c r="K1864" s="410">
        <v>-97605.105272046014</v>
      </c>
      <c r="L1864" s="410">
        <v>-100533.2584302074</v>
      </c>
      <c r="M1864" s="410">
        <v>-103549.25618311363</v>
      </c>
      <c r="N1864" s="410">
        <v>-106655.73386860704</v>
      </c>
      <c r="O1864" s="410">
        <v>-109855.40588466526</v>
      </c>
      <c r="P1864" s="410">
        <v>-113151.06806120522</v>
      </c>
      <c r="Q1864" s="410">
        <v>-116545.60010304139</v>
      </c>
      <c r="R1864" s="410">
        <v>-120041.96810613264</v>
      </c>
      <c r="S1864" s="410">
        <v>-123643.22714931662</v>
      </c>
      <c r="T1864" s="410">
        <v>-127352.52396379612</v>
      </c>
      <c r="U1864" s="410">
        <v>-131173.09968271002</v>
      </c>
      <c r="V1864" s="410">
        <v>-135108.29267319132</v>
      </c>
      <c r="W1864" s="333"/>
    </row>
    <row r="1865" spans="1:23" ht="13.5" thickBot="1" x14ac:dyDescent="0.25">
      <c r="A1865" s="9"/>
      <c r="B1865" s="316" t="s">
        <v>40</v>
      </c>
      <c r="C1865" s="450">
        <v>0</v>
      </c>
      <c r="D1865" s="412">
        <v>0</v>
      </c>
      <c r="E1865" s="412">
        <v>0</v>
      </c>
      <c r="F1865" s="412">
        <v>0</v>
      </c>
      <c r="G1865" s="412">
        <v>0</v>
      </c>
      <c r="H1865" s="412">
        <v>0</v>
      </c>
      <c r="I1865" s="412">
        <v>0</v>
      </c>
      <c r="J1865" s="412">
        <v>0</v>
      </c>
      <c r="K1865" s="412">
        <v>0</v>
      </c>
      <c r="L1865" s="412">
        <v>0</v>
      </c>
      <c r="M1865" s="412">
        <v>0</v>
      </c>
      <c r="N1865" s="412">
        <v>0</v>
      </c>
      <c r="O1865" s="412">
        <v>0</v>
      </c>
      <c r="P1865" s="412">
        <v>0</v>
      </c>
      <c r="Q1865" s="412">
        <v>0</v>
      </c>
      <c r="R1865" s="412">
        <v>0</v>
      </c>
      <c r="S1865" s="412">
        <v>0</v>
      </c>
      <c r="T1865" s="412">
        <v>0</v>
      </c>
      <c r="U1865" s="412">
        <v>0</v>
      </c>
      <c r="V1865" s="412">
        <v>0</v>
      </c>
      <c r="W1865" s="333"/>
    </row>
    <row r="1866" spans="1:23" ht="13.5" thickTop="1" x14ac:dyDescent="0.2">
      <c r="A1866" s="9"/>
      <c r="B1866" s="315"/>
      <c r="C1866" s="453"/>
      <c r="D1866" s="333"/>
      <c r="E1866" s="333"/>
      <c r="F1866" s="333"/>
      <c r="G1866" s="333"/>
      <c r="H1866" s="333"/>
      <c r="I1866" s="333"/>
      <c r="J1866" s="333"/>
      <c r="K1866" s="333"/>
      <c r="L1866" s="333"/>
      <c r="M1866" s="333"/>
      <c r="N1866" s="333"/>
      <c r="O1866" s="333"/>
      <c r="P1866" s="333"/>
      <c r="Q1866" s="333"/>
      <c r="R1866" s="333"/>
      <c r="S1866" s="333"/>
      <c r="T1866" s="333"/>
      <c r="U1866" s="333"/>
      <c r="V1866" s="333"/>
      <c r="W1866" s="333"/>
    </row>
    <row r="1867" spans="1:23" x14ac:dyDescent="0.2">
      <c r="A1867" s="9"/>
      <c r="B1867" s="317" t="s">
        <v>234</v>
      </c>
      <c r="C1867" s="452">
        <v>0</v>
      </c>
      <c r="D1867" s="416">
        <v>3790322.0054865484</v>
      </c>
      <c r="E1867" s="416">
        <v>2890460.7075292356</v>
      </c>
      <c r="F1867" s="416">
        <v>2238736.3405424953</v>
      </c>
      <c r="G1867" s="416">
        <v>2265596.3423630418</v>
      </c>
      <c r="H1867" s="416">
        <v>2137795.9227205622</v>
      </c>
      <c r="I1867" s="416">
        <v>2076994.2941475082</v>
      </c>
      <c r="J1867" s="416">
        <v>1876790.4478850181</v>
      </c>
      <c r="K1867" s="416">
        <v>2000396.3696922802</v>
      </c>
      <c r="L1867" s="416">
        <v>2051648.3675213673</v>
      </c>
      <c r="M1867" s="416">
        <v>2099008.1871200753</v>
      </c>
      <c r="N1867" s="416">
        <v>1596298.3975138201</v>
      </c>
      <c r="O1867" s="416">
        <v>1898483.4174526306</v>
      </c>
      <c r="P1867" s="416">
        <v>1767405.8927928724</v>
      </c>
      <c r="Q1867" s="416">
        <v>2234280.3067028765</v>
      </c>
      <c r="R1867" s="416">
        <v>1915570.6334691003</v>
      </c>
      <c r="S1867" s="416">
        <v>1518480.9489143419</v>
      </c>
      <c r="T1867" s="416">
        <v>1663890.5649254385</v>
      </c>
      <c r="U1867" s="416">
        <v>1950288.8064904506</v>
      </c>
      <c r="V1867" s="416">
        <v>1706977.8781576816</v>
      </c>
      <c r="W1867" s="414">
        <v>11275701.562423278</v>
      </c>
    </row>
    <row r="1868" spans="1:23" x14ac:dyDescent="0.2">
      <c r="A1868" s="9"/>
      <c r="B1868" s="292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</row>
    <row r="1869" spans="1:23" x14ac:dyDescent="0.2">
      <c r="A1869" s="308" t="s">
        <v>219</v>
      </c>
      <c r="B1869" s="306" t="s">
        <v>170</v>
      </c>
      <c r="C1869" s="439">
        <v>10898581.133654201</v>
      </c>
      <c r="D1869" s="9"/>
      <c r="E1869" s="137" t="s">
        <v>220</v>
      </c>
      <c r="F1869" s="319" t="s">
        <v>170</v>
      </c>
      <c r="G1869" s="443">
        <v>10898581.133654201</v>
      </c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</row>
    <row r="1870" spans="1:23" x14ac:dyDescent="0.2">
      <c r="A1870" s="9"/>
      <c r="B1870" s="306" t="s">
        <v>180</v>
      </c>
      <c r="C1870" s="439">
        <v>9188495.1394439153</v>
      </c>
      <c r="D1870" s="9"/>
      <c r="E1870" s="321"/>
      <c r="F1870" s="319" t="s">
        <v>180</v>
      </c>
      <c r="G1870" s="443">
        <v>9188495.1394439153</v>
      </c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</row>
    <row r="1871" spans="1:23" ht="13.5" thickBot="1" x14ac:dyDescent="0.25">
      <c r="A1871" s="9"/>
      <c r="B1871" s="322" t="s">
        <v>137</v>
      </c>
      <c r="C1871" s="440">
        <v>1757867.8048419794</v>
      </c>
      <c r="D1871" s="323"/>
      <c r="E1871" s="321"/>
      <c r="F1871" s="319" t="s">
        <v>137</v>
      </c>
      <c r="G1871" s="443">
        <v>1757867.8048419794</v>
      </c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</row>
    <row r="1872" spans="1:23" ht="14.25" thickTop="1" thickBot="1" x14ac:dyDescent="0.25">
      <c r="A1872" s="9"/>
      <c r="B1872" s="306" t="s">
        <v>28</v>
      </c>
      <c r="C1872" s="438">
        <v>21844944.077940095</v>
      </c>
      <c r="D1872" s="305"/>
      <c r="E1872" s="321"/>
      <c r="F1872" s="324" t="s">
        <v>204</v>
      </c>
      <c r="G1872" s="325">
        <v>0</v>
      </c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</row>
    <row r="1873" spans="1:23" ht="13.5" thickTop="1" x14ac:dyDescent="0.2">
      <c r="A1873" s="9"/>
      <c r="B1873" s="292"/>
      <c r="C1873" s="326"/>
      <c r="D1873" s="9"/>
      <c r="E1873" s="327"/>
      <c r="F1873" s="319" t="s">
        <v>28</v>
      </c>
      <c r="G1873" s="368">
        <v>21844944.077940095</v>
      </c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</row>
    <row r="1874" spans="1:23" x14ac:dyDescent="0.2">
      <c r="A1874" s="9"/>
      <c r="B1874" s="292"/>
      <c r="C1874" s="326"/>
      <c r="D1874" s="9"/>
      <c r="E1874" s="327"/>
      <c r="F1874" s="319"/>
      <c r="G1874" s="328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</row>
    <row r="1875" spans="1:23" x14ac:dyDescent="0.2">
      <c r="A1875" s="9"/>
      <c r="B1875" s="292"/>
      <c r="C1875" s="326"/>
      <c r="D1875" s="9"/>
      <c r="E1875" s="327"/>
      <c r="F1875" s="319"/>
      <c r="G1875" s="328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</row>
    <row r="1876" spans="1:23" x14ac:dyDescent="0.2">
      <c r="A1876" s="9"/>
      <c r="B1876" s="329" t="s">
        <v>223</v>
      </c>
      <c r="C1876" s="326"/>
      <c r="D1876" s="9"/>
      <c r="E1876" s="327"/>
      <c r="F1876" s="319"/>
      <c r="G1876" s="328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</row>
    <row r="1877" spans="1:23" x14ac:dyDescent="0.2">
      <c r="A1877" s="330" t="s">
        <v>225</v>
      </c>
      <c r="B1877" s="329" t="s">
        <v>224</v>
      </c>
      <c r="C1877" s="331"/>
      <c r="D1877" s="332">
        <v>1612660.4821948819</v>
      </c>
      <c r="E1877" s="332">
        <v>709231.55870333547</v>
      </c>
      <c r="F1877" s="332">
        <v>414784.15925126179</v>
      </c>
      <c r="G1877" s="332">
        <v>56754.280620607919</v>
      </c>
      <c r="H1877" s="332">
        <v>3246.2594995622521</v>
      </c>
      <c r="I1877" s="332">
        <v>-62235.119915528405</v>
      </c>
      <c r="J1877" s="332">
        <v>710463.04918066529</v>
      </c>
      <c r="K1877" s="332">
        <v>1916331.0804895766</v>
      </c>
      <c r="L1877" s="332">
        <v>2090603.3600508519</v>
      </c>
      <c r="M1877" s="332">
        <v>2149284.4001201168</v>
      </c>
      <c r="N1877" s="332">
        <v>1644606.3434240508</v>
      </c>
      <c r="O1877" s="332">
        <v>1944795.4674190595</v>
      </c>
      <c r="P1877" s="332">
        <v>1811706.4575958049</v>
      </c>
      <c r="Q1877" s="332">
        <v>2276632.3851207411</v>
      </c>
      <c r="R1877" s="332">
        <v>1955911.9142436781</v>
      </c>
      <c r="S1877" s="332">
        <v>1556624.589783001</v>
      </c>
      <c r="T1877" s="332">
        <v>1699770.6366910015</v>
      </c>
      <c r="U1877" s="332">
        <v>1983837.4020798244</v>
      </c>
      <c r="V1877" s="332">
        <v>1738125.0532855806</v>
      </c>
      <c r="W1877" s="9"/>
    </row>
    <row r="1878" spans="1:23" x14ac:dyDescent="0.2">
      <c r="A1878" s="9"/>
      <c r="B1878" s="292" t="s">
        <v>226</v>
      </c>
      <c r="C1878" s="326"/>
      <c r="D1878" s="333">
        <v>1075106.9881299213</v>
      </c>
      <c r="E1878" s="333">
        <v>472821.03913555708</v>
      </c>
      <c r="F1878" s="333">
        <v>276522.77283417451</v>
      </c>
      <c r="G1878" s="333">
        <v>37836.187080405281</v>
      </c>
      <c r="H1878" s="333">
        <v>2164.1729997081684</v>
      </c>
      <c r="I1878" s="333">
        <v>-41490.07994368561</v>
      </c>
      <c r="J1878" s="333">
        <v>473642.03278711019</v>
      </c>
      <c r="K1878" s="333">
        <v>1277554.0536597178</v>
      </c>
      <c r="L1878" s="333">
        <v>1393735.5733672348</v>
      </c>
      <c r="M1878" s="333">
        <v>1432856.2667467445</v>
      </c>
      <c r="N1878" s="333">
        <v>1096404.2289493673</v>
      </c>
      <c r="O1878" s="333">
        <v>1296530.3116127066</v>
      </c>
      <c r="P1878" s="333">
        <v>1207804.30506387</v>
      </c>
      <c r="Q1878" s="333">
        <v>1517754.9234138278</v>
      </c>
      <c r="R1878" s="333">
        <v>1303941.2761624521</v>
      </c>
      <c r="S1878" s="333">
        <v>1037749.7265220007</v>
      </c>
      <c r="T1878" s="333">
        <v>1133180.4244606679</v>
      </c>
      <c r="U1878" s="333">
        <v>1322558.2680532164</v>
      </c>
      <c r="V1878" s="333">
        <v>1158750.0355237206</v>
      </c>
      <c r="W1878" s="9"/>
    </row>
    <row r="1879" spans="1:23" x14ac:dyDescent="0.2">
      <c r="A1879" s="9"/>
      <c r="B1879" s="334" t="s">
        <v>227</v>
      </c>
      <c r="C1879" s="335"/>
      <c r="D1879" s="333">
        <v>2192540.6332916664</v>
      </c>
      <c r="E1879" s="333">
        <v>2196552.2388259</v>
      </c>
      <c r="F1879" s="333">
        <v>2208433.1712912335</v>
      </c>
      <c r="G1879" s="333">
        <v>2225152.1517424337</v>
      </c>
      <c r="H1879" s="333">
        <v>2223872.1612209999</v>
      </c>
      <c r="I1879" s="333">
        <v>2231231.5870030364</v>
      </c>
      <c r="J1879" s="333">
        <v>1261089.6368325527</v>
      </c>
      <c r="K1879" s="333">
        <v>181670.39447474969</v>
      </c>
      <c r="L1879" s="333">
        <v>61578.265900722843</v>
      </c>
      <c r="M1879" s="333">
        <v>53273.043183071866</v>
      </c>
      <c r="N1879" s="333">
        <v>58347.787958376357</v>
      </c>
      <c r="O1879" s="333">
        <v>63543.355918236317</v>
      </c>
      <c r="P1879" s="333">
        <v>68850.503258272744</v>
      </c>
      <c r="Q1879" s="333">
        <v>74193.521685176922</v>
      </c>
      <c r="R1879" s="333">
        <v>79700.687331554902</v>
      </c>
      <c r="S1879" s="333">
        <v>85499.586280657546</v>
      </c>
      <c r="T1879" s="333">
        <v>91472.452198233266</v>
      </c>
      <c r="U1879" s="333">
        <v>97624.504093336276</v>
      </c>
      <c r="V1879" s="333">
        <v>103961.11754529236</v>
      </c>
      <c r="W1879" s="9"/>
    </row>
    <row r="1880" spans="1:23" ht="13.5" thickBot="1" x14ac:dyDescent="0.25">
      <c r="A1880" s="9"/>
      <c r="B1880" s="336" t="s">
        <v>228</v>
      </c>
      <c r="C1880" s="337"/>
      <c r="D1880" s="338">
        <v>4880308.1036164695</v>
      </c>
      <c r="E1880" s="338">
        <v>3378604.8366647926</v>
      </c>
      <c r="F1880" s="338">
        <v>2899740.1033766698</v>
      </c>
      <c r="G1880" s="338">
        <v>2319742.6194434469</v>
      </c>
      <c r="H1880" s="338">
        <v>2229282.5937202703</v>
      </c>
      <c r="I1880" s="338">
        <v>2127506.3871438224</v>
      </c>
      <c r="J1880" s="338">
        <v>2445194.7188003282</v>
      </c>
      <c r="K1880" s="338">
        <v>3375555.5286240438</v>
      </c>
      <c r="L1880" s="338">
        <v>3545917.1993188094</v>
      </c>
      <c r="M1880" s="338">
        <v>3635413.7100499333</v>
      </c>
      <c r="N1880" s="338">
        <v>2799358.3603317947</v>
      </c>
      <c r="O1880" s="338">
        <v>3304869.1349500027</v>
      </c>
      <c r="P1880" s="338">
        <v>3088361.2659179475</v>
      </c>
      <c r="Q1880" s="338">
        <v>3868580.8302197461</v>
      </c>
      <c r="R1880" s="338">
        <v>3339553.8777376851</v>
      </c>
      <c r="S1880" s="338">
        <v>2679873.9025856592</v>
      </c>
      <c r="T1880" s="338">
        <v>2924423.5133499028</v>
      </c>
      <c r="U1880" s="338">
        <v>3404020.1742263772</v>
      </c>
      <c r="V1880" s="338">
        <v>3000836.2063545934</v>
      </c>
      <c r="W1880" s="9"/>
    </row>
    <row r="1881" spans="1:23" ht="13.5" thickTop="1" x14ac:dyDescent="0.2">
      <c r="A1881" s="330" t="s">
        <v>229</v>
      </c>
      <c r="B1881" s="292" t="s">
        <v>230</v>
      </c>
      <c r="C1881" s="326"/>
      <c r="D1881" s="333">
        <v>-1830966.4370308665</v>
      </c>
      <c r="E1881" s="333">
        <v>-1831732.5915308667</v>
      </c>
      <c r="F1881" s="333">
        <v>-1850956.6410308667</v>
      </c>
      <c r="G1881" s="333">
        <v>-1851772.1455308667</v>
      </c>
      <c r="H1881" s="333">
        <v>-1856238.2704308666</v>
      </c>
      <c r="I1881" s="333">
        <v>-1860838.3790778667</v>
      </c>
      <c r="J1881" s="333">
        <v>-1865576.4909842766</v>
      </c>
      <c r="K1881" s="333">
        <v>-1870456.746247879</v>
      </c>
      <c r="L1881" s="333">
        <v>-1875483.4091693892</v>
      </c>
      <c r="M1881" s="333">
        <v>-1880660.8719785449</v>
      </c>
      <c r="N1881" s="333">
        <v>-1885993.6586719754</v>
      </c>
      <c r="O1881" s="333">
        <v>-1891486.4289662086</v>
      </c>
      <c r="P1881" s="333">
        <v>-1897143.9823692688</v>
      </c>
      <c r="Q1881" s="333">
        <v>-1902971.2623744209</v>
      </c>
      <c r="R1881" s="333">
        <v>-545576.39744639897</v>
      </c>
      <c r="S1881" s="333">
        <v>-163017.68880386002</v>
      </c>
      <c r="T1881" s="333">
        <v>-169385.31500204984</v>
      </c>
      <c r="U1881" s="333">
        <v>-175943.96998618532</v>
      </c>
      <c r="V1881" s="333">
        <v>-182699.3846198449</v>
      </c>
      <c r="W1881" s="9"/>
    </row>
    <row r="1882" spans="1:23" x14ac:dyDescent="0.2">
      <c r="A1882" s="9"/>
      <c r="B1882" s="292" t="s">
        <v>231</v>
      </c>
      <c r="C1882" s="326"/>
      <c r="D1882" s="333">
        <v>0</v>
      </c>
      <c r="E1882" s="333">
        <v>0</v>
      </c>
      <c r="F1882" s="333">
        <v>0</v>
      </c>
      <c r="G1882" s="333">
        <v>0</v>
      </c>
      <c r="H1882" s="333">
        <v>0</v>
      </c>
      <c r="I1882" s="333">
        <v>0</v>
      </c>
      <c r="J1882" s="333">
        <v>0</v>
      </c>
      <c r="K1882" s="333">
        <v>0</v>
      </c>
      <c r="L1882" s="333">
        <v>0</v>
      </c>
      <c r="M1882" s="333">
        <v>0</v>
      </c>
      <c r="N1882" s="333">
        <v>0</v>
      </c>
      <c r="O1882" s="333">
        <v>0</v>
      </c>
      <c r="P1882" s="333">
        <v>0</v>
      </c>
      <c r="Q1882" s="333">
        <v>0</v>
      </c>
      <c r="R1882" s="333">
        <v>0</v>
      </c>
      <c r="S1882" s="333">
        <v>0</v>
      </c>
      <c r="T1882" s="333">
        <v>0</v>
      </c>
      <c r="U1882" s="333">
        <v>0</v>
      </c>
      <c r="V1882" s="333">
        <v>0</v>
      </c>
      <c r="W1882" s="9"/>
    </row>
    <row r="1883" spans="1:23" x14ac:dyDescent="0.2">
      <c r="A1883" s="9"/>
      <c r="B1883" s="329" t="s">
        <v>232</v>
      </c>
      <c r="C1883" s="331"/>
      <c r="D1883" s="332">
        <v>3049341.6665856028</v>
      </c>
      <c r="E1883" s="332">
        <v>1546872.2451339259</v>
      </c>
      <c r="F1883" s="332">
        <v>1048783.4623458032</v>
      </c>
      <c r="G1883" s="332">
        <v>467970.47391258017</v>
      </c>
      <c r="H1883" s="332">
        <v>373044.32328940369</v>
      </c>
      <c r="I1883" s="332">
        <v>266668.00806595571</v>
      </c>
      <c r="J1883" s="332">
        <v>579618.22781605157</v>
      </c>
      <c r="K1883" s="332">
        <v>1505098.7823761648</v>
      </c>
      <c r="L1883" s="332">
        <v>1670433.7901494203</v>
      </c>
      <c r="M1883" s="332">
        <v>1754752.8380713884</v>
      </c>
      <c r="N1883" s="332">
        <v>913364.70165981934</v>
      </c>
      <c r="O1883" s="332">
        <v>1413382.7059837941</v>
      </c>
      <c r="P1883" s="332">
        <v>1191217.2835486787</v>
      </c>
      <c r="Q1883" s="332">
        <v>1965609.5678453252</v>
      </c>
      <c r="R1883" s="332">
        <v>2793977.480291286</v>
      </c>
      <c r="S1883" s="332">
        <v>2516856.2137817992</v>
      </c>
      <c r="T1883" s="332">
        <v>2755038.198347853</v>
      </c>
      <c r="U1883" s="332">
        <v>3228076.2042401917</v>
      </c>
      <c r="V1883" s="332">
        <v>2818136.8217347483</v>
      </c>
      <c r="W1883" s="9"/>
    </row>
    <row r="1884" spans="1:23" ht="13.5" thickBot="1" x14ac:dyDescent="0.25">
      <c r="A1884" s="9"/>
      <c r="B1884" s="339" t="s">
        <v>238</v>
      </c>
      <c r="C1884" s="340"/>
      <c r="D1884" s="341">
        <v>-1219736.6666342411</v>
      </c>
      <c r="E1884" s="341">
        <v>-618748.89805357042</v>
      </c>
      <c r="F1884" s="341">
        <v>-419513.38493832131</v>
      </c>
      <c r="G1884" s="341">
        <v>-187188.18956503208</v>
      </c>
      <c r="H1884" s="341">
        <v>-149217.72931576148</v>
      </c>
      <c r="I1884" s="341">
        <v>-106667.20322638229</v>
      </c>
      <c r="J1884" s="341">
        <v>-231847.29112642063</v>
      </c>
      <c r="K1884" s="341">
        <v>-602039.5129504659</v>
      </c>
      <c r="L1884" s="341">
        <v>-668173.51605976815</v>
      </c>
      <c r="M1884" s="341">
        <v>-701901.13522855542</v>
      </c>
      <c r="N1884" s="341">
        <v>-365345.88066392776</v>
      </c>
      <c r="O1884" s="341">
        <v>-565353.0823935176</v>
      </c>
      <c r="P1884" s="341">
        <v>-476486.91341947153</v>
      </c>
      <c r="Q1884" s="341">
        <v>-786243.82713813009</v>
      </c>
      <c r="R1884" s="341">
        <v>-1117590.9921165144</v>
      </c>
      <c r="S1884" s="341">
        <v>-1006742.4855127197</v>
      </c>
      <c r="T1884" s="341">
        <v>-1102015.2793391412</v>
      </c>
      <c r="U1884" s="341">
        <v>-1291230.4816960767</v>
      </c>
      <c r="V1884" s="341">
        <v>-1127254.7286938995</v>
      </c>
      <c r="W1884" s="9"/>
    </row>
    <row r="1885" spans="1:23" ht="13.5" thickTop="1" x14ac:dyDescent="0.2">
      <c r="A1885" s="9"/>
      <c r="B1885" s="329" t="s">
        <v>233</v>
      </c>
      <c r="C1885" s="331"/>
      <c r="D1885" s="332">
        <v>1829604.9999513617</v>
      </c>
      <c r="E1885" s="332">
        <v>928123.34708035551</v>
      </c>
      <c r="F1885" s="332">
        <v>629270.07740748185</v>
      </c>
      <c r="G1885" s="332">
        <v>280782.28434754809</v>
      </c>
      <c r="H1885" s="332">
        <v>223826.59397364222</v>
      </c>
      <c r="I1885" s="332">
        <v>160000.80483957342</v>
      </c>
      <c r="J1885" s="332">
        <v>347770.93668963097</v>
      </c>
      <c r="K1885" s="332">
        <v>903059.26942569891</v>
      </c>
      <c r="L1885" s="332">
        <v>1002260.2740896521</v>
      </c>
      <c r="M1885" s="332">
        <v>1052851.702842833</v>
      </c>
      <c r="N1885" s="332">
        <v>548018.82099589158</v>
      </c>
      <c r="O1885" s="332">
        <v>848029.62359027646</v>
      </c>
      <c r="P1885" s="332">
        <v>714730.37012920715</v>
      </c>
      <c r="Q1885" s="332">
        <v>1179365.7407071951</v>
      </c>
      <c r="R1885" s="332">
        <v>1676386.4881747717</v>
      </c>
      <c r="S1885" s="332">
        <v>1510113.7282690795</v>
      </c>
      <c r="T1885" s="332">
        <v>1653022.9190087118</v>
      </c>
      <c r="U1885" s="332">
        <v>1936845.722544115</v>
      </c>
      <c r="V1885" s="332">
        <v>1690882.0930408488</v>
      </c>
      <c r="W1885" s="9"/>
    </row>
    <row r="1886" spans="1:23" x14ac:dyDescent="0.2">
      <c r="A1886" s="9"/>
      <c r="B1886" s="9"/>
      <c r="C1886" s="326"/>
      <c r="D1886" s="9"/>
      <c r="E1886" s="327"/>
      <c r="F1886" s="319"/>
      <c r="G1886" s="328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</row>
    <row r="1887" spans="1:23" ht="15.75" x14ac:dyDescent="0.25">
      <c r="A1887" s="342" t="s">
        <v>206</v>
      </c>
      <c r="B1887" s="343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</row>
    <row r="1888" spans="1:23" x14ac:dyDescent="0.2">
      <c r="A1888" s="290" t="s">
        <v>191</v>
      </c>
      <c r="B1888" s="309"/>
      <c r="C1888" s="344">
        <v>0</v>
      </c>
      <c r="D1888" s="283"/>
      <c r="E1888" s="283"/>
      <c r="F1888" s="283"/>
      <c r="G1888" s="283"/>
      <c r="H1888" s="283"/>
      <c r="I1888" s="283"/>
      <c r="J1888" s="283"/>
      <c r="K1888" s="283"/>
      <c r="L1888" s="283"/>
      <c r="M1888" s="283"/>
      <c r="N1888" s="283"/>
      <c r="O1888" s="283"/>
      <c r="P1888" s="283"/>
      <c r="Q1888" s="283"/>
      <c r="R1888" s="283"/>
      <c r="S1888" s="283"/>
      <c r="T1888" s="283"/>
      <c r="U1888" s="283"/>
      <c r="V1888" s="283"/>
      <c r="W1888" s="283"/>
    </row>
    <row r="1889" spans="1:23" x14ac:dyDescent="0.2">
      <c r="A1889" s="290" t="s">
        <v>192</v>
      </c>
      <c r="B1889" s="309"/>
      <c r="C1889" s="345">
        <v>0</v>
      </c>
      <c r="D1889" s="283"/>
      <c r="E1889" s="283"/>
      <c r="F1889" s="283"/>
      <c r="G1889" s="283"/>
      <c r="H1889" s="283"/>
      <c r="I1889" s="283"/>
      <c r="J1889" s="283"/>
      <c r="K1889" s="283"/>
      <c r="L1889" s="283"/>
      <c r="M1889" s="283"/>
      <c r="N1889" s="283"/>
      <c r="O1889" s="283"/>
      <c r="P1889" s="283"/>
      <c r="Q1889" s="283"/>
      <c r="R1889" s="283"/>
      <c r="S1889" s="283"/>
      <c r="T1889" s="283"/>
      <c r="U1889" s="283"/>
      <c r="V1889" s="283"/>
      <c r="W1889" s="283"/>
    </row>
    <row r="1890" spans="1:23" x14ac:dyDescent="0.2">
      <c r="A1890" s="290" t="s">
        <v>202</v>
      </c>
      <c r="B1890" s="309"/>
      <c r="C1890" s="290">
        <v>15</v>
      </c>
      <c r="D1890" s="283"/>
      <c r="E1890" s="283"/>
      <c r="F1890" s="283"/>
      <c r="G1890" s="283"/>
      <c r="H1890" s="283"/>
      <c r="I1890" s="283"/>
      <c r="J1890" s="283"/>
      <c r="K1890" s="283"/>
      <c r="L1890" s="283"/>
      <c r="M1890" s="283"/>
      <c r="N1890" s="283"/>
      <c r="O1890" s="283"/>
      <c r="P1890" s="283"/>
      <c r="Q1890" s="283"/>
      <c r="R1890" s="283"/>
      <c r="S1890" s="283"/>
      <c r="T1890" s="283"/>
      <c r="U1890" s="283"/>
      <c r="V1890" s="283"/>
      <c r="W1890" s="283"/>
    </row>
    <row r="1891" spans="1:23" x14ac:dyDescent="0.2">
      <c r="A1891" s="290" t="s">
        <v>193</v>
      </c>
      <c r="B1891" s="309"/>
      <c r="C1891" s="345">
        <v>0</v>
      </c>
      <c r="D1891" s="283"/>
      <c r="E1891" s="283"/>
      <c r="F1891" s="283"/>
      <c r="G1891" s="283"/>
      <c r="H1891" s="283"/>
      <c r="I1891" s="283"/>
      <c r="J1891" s="283"/>
      <c r="K1891" s="283"/>
      <c r="L1891" s="283"/>
      <c r="M1891" s="283"/>
      <c r="N1891" s="283"/>
      <c r="O1891" s="283"/>
      <c r="P1891" s="283"/>
      <c r="Q1891" s="283"/>
      <c r="R1891" s="283"/>
      <c r="S1891" s="283"/>
      <c r="T1891" s="283"/>
      <c r="U1891" s="283"/>
      <c r="V1891" s="283"/>
      <c r="W1891" s="283"/>
    </row>
    <row r="1892" spans="1:23" x14ac:dyDescent="0.2">
      <c r="A1892" s="290" t="s">
        <v>194</v>
      </c>
      <c r="B1892" s="309"/>
      <c r="C1892" s="346">
        <v>8.7499999999999994E-2</v>
      </c>
      <c r="D1892" s="283"/>
      <c r="E1892" s="283"/>
      <c r="F1892" s="283"/>
      <c r="G1892" s="283"/>
      <c r="H1892" s="283"/>
      <c r="I1892" s="283"/>
      <c r="J1892" s="283"/>
      <c r="K1892" s="283"/>
      <c r="L1892" s="283"/>
      <c r="M1892" s="283"/>
      <c r="N1892" s="283"/>
      <c r="O1892" s="283"/>
      <c r="P1892" s="283"/>
      <c r="Q1892" s="283"/>
      <c r="R1892" s="283"/>
      <c r="S1892" s="283"/>
      <c r="T1892" s="283"/>
      <c r="U1892" s="283"/>
      <c r="V1892" s="283"/>
      <c r="W1892" s="283"/>
    </row>
    <row r="1893" spans="1:23" x14ac:dyDescent="0.2">
      <c r="A1893" s="290"/>
      <c r="B1893" s="309"/>
      <c r="C1893" s="283"/>
      <c r="D1893" s="312">
        <v>2001</v>
      </c>
      <c r="E1893" s="312">
        <v>2002</v>
      </c>
      <c r="F1893" s="312">
        <v>2003</v>
      </c>
      <c r="G1893" s="312">
        <v>2004</v>
      </c>
      <c r="H1893" s="312">
        <v>2005</v>
      </c>
      <c r="I1893" s="312">
        <v>2006</v>
      </c>
      <c r="J1893" s="312">
        <v>2007</v>
      </c>
      <c r="K1893" s="312">
        <v>2008</v>
      </c>
      <c r="L1893" s="312">
        <v>2009</v>
      </c>
      <c r="M1893" s="312">
        <v>2010</v>
      </c>
      <c r="N1893" s="312">
        <v>2011</v>
      </c>
      <c r="O1893" s="312">
        <v>2012</v>
      </c>
      <c r="P1893" s="312">
        <v>2013</v>
      </c>
      <c r="Q1893" s="312">
        <v>2014</v>
      </c>
      <c r="R1893" s="312">
        <v>2015</v>
      </c>
      <c r="S1893" s="312">
        <v>2016</v>
      </c>
      <c r="T1893" s="312">
        <v>2017</v>
      </c>
      <c r="U1893" s="312">
        <v>2018</v>
      </c>
      <c r="V1893" s="312">
        <v>2019</v>
      </c>
      <c r="W1893" s="312" t="s">
        <v>154</v>
      </c>
    </row>
    <row r="1894" spans="1:23" x14ac:dyDescent="0.2">
      <c r="A1894" s="290" t="s">
        <v>195</v>
      </c>
      <c r="B1894" s="309"/>
      <c r="C1894" s="283"/>
      <c r="D1894" s="347">
        <v>0</v>
      </c>
      <c r="E1894" s="347">
        <v>0</v>
      </c>
      <c r="F1894" s="347">
        <v>0</v>
      </c>
      <c r="G1894" s="347">
        <v>0</v>
      </c>
      <c r="H1894" s="347">
        <v>0</v>
      </c>
      <c r="I1894" s="347">
        <v>0</v>
      </c>
      <c r="J1894" s="347">
        <v>0</v>
      </c>
      <c r="K1894" s="347">
        <v>0</v>
      </c>
      <c r="L1894" s="347">
        <v>0</v>
      </c>
      <c r="M1894" s="347">
        <v>0</v>
      </c>
      <c r="N1894" s="347">
        <v>0</v>
      </c>
      <c r="O1894" s="347">
        <v>0</v>
      </c>
      <c r="P1894" s="347">
        <v>0</v>
      </c>
      <c r="Q1894" s="347">
        <v>0</v>
      </c>
      <c r="R1894" s="347">
        <v>0</v>
      </c>
      <c r="S1894" s="347">
        <v>0</v>
      </c>
      <c r="T1894" s="347">
        <v>0</v>
      </c>
      <c r="U1894" s="347">
        <v>0</v>
      </c>
      <c r="V1894" s="347">
        <v>0</v>
      </c>
      <c r="W1894" s="347">
        <v>0</v>
      </c>
    </row>
    <row r="1895" spans="1:23" x14ac:dyDescent="0.2">
      <c r="A1895" s="290" t="s">
        <v>196</v>
      </c>
      <c r="B1895" s="309"/>
      <c r="C1895" s="283"/>
      <c r="D1895" s="347">
        <v>0</v>
      </c>
      <c r="E1895" s="347">
        <v>0</v>
      </c>
      <c r="F1895" s="347">
        <v>0</v>
      </c>
      <c r="G1895" s="347">
        <v>0</v>
      </c>
      <c r="H1895" s="347">
        <v>0</v>
      </c>
      <c r="I1895" s="347">
        <v>0</v>
      </c>
      <c r="J1895" s="347">
        <v>0</v>
      </c>
      <c r="K1895" s="347">
        <v>0</v>
      </c>
      <c r="L1895" s="347">
        <v>0</v>
      </c>
      <c r="M1895" s="347">
        <v>0</v>
      </c>
      <c r="N1895" s="347">
        <v>0</v>
      </c>
      <c r="O1895" s="347">
        <v>0</v>
      </c>
      <c r="P1895" s="347">
        <v>0</v>
      </c>
      <c r="Q1895" s="347">
        <v>0</v>
      </c>
      <c r="R1895" s="347">
        <v>0</v>
      </c>
      <c r="S1895" s="347">
        <v>0</v>
      </c>
      <c r="T1895" s="347">
        <v>0</v>
      </c>
      <c r="U1895" s="347">
        <v>0</v>
      </c>
      <c r="V1895" s="347">
        <v>0</v>
      </c>
      <c r="W1895" s="347">
        <v>0</v>
      </c>
    </row>
    <row r="1896" spans="1:23" x14ac:dyDescent="0.2">
      <c r="A1896" s="290" t="s">
        <v>197</v>
      </c>
      <c r="B1896" s="309"/>
      <c r="C1896" s="283"/>
      <c r="D1896" s="347">
        <v>0</v>
      </c>
      <c r="E1896" s="347">
        <v>0</v>
      </c>
      <c r="F1896" s="347">
        <v>0</v>
      </c>
      <c r="G1896" s="347">
        <v>0</v>
      </c>
      <c r="H1896" s="347">
        <v>0</v>
      </c>
      <c r="I1896" s="347">
        <v>0</v>
      </c>
      <c r="J1896" s="347">
        <v>0</v>
      </c>
      <c r="K1896" s="347">
        <v>0</v>
      </c>
      <c r="L1896" s="347">
        <v>0</v>
      </c>
      <c r="M1896" s="347">
        <v>0</v>
      </c>
      <c r="N1896" s="347">
        <v>0</v>
      </c>
      <c r="O1896" s="347">
        <v>0</v>
      </c>
      <c r="P1896" s="347">
        <v>0</v>
      </c>
      <c r="Q1896" s="347">
        <v>0</v>
      </c>
      <c r="R1896" s="347">
        <v>0</v>
      </c>
      <c r="S1896" s="347">
        <v>0</v>
      </c>
      <c r="T1896" s="347">
        <v>0</v>
      </c>
      <c r="U1896" s="347">
        <v>0</v>
      </c>
      <c r="V1896" s="347">
        <v>0</v>
      </c>
      <c r="W1896" s="347">
        <v>0</v>
      </c>
    </row>
    <row r="1897" spans="1:23" x14ac:dyDescent="0.2">
      <c r="A1897" s="290" t="s">
        <v>198</v>
      </c>
      <c r="B1897" s="309"/>
      <c r="C1897" s="283"/>
      <c r="D1897" s="348">
        <v>0</v>
      </c>
      <c r="E1897" s="348">
        <v>0</v>
      </c>
      <c r="F1897" s="348">
        <v>0</v>
      </c>
      <c r="G1897" s="348">
        <v>0</v>
      </c>
      <c r="H1897" s="348">
        <v>0</v>
      </c>
      <c r="I1897" s="348">
        <v>0</v>
      </c>
      <c r="J1897" s="348">
        <v>0</v>
      </c>
      <c r="K1897" s="348">
        <v>0</v>
      </c>
      <c r="L1897" s="348">
        <v>0</v>
      </c>
      <c r="M1897" s="348">
        <v>0</v>
      </c>
      <c r="N1897" s="348">
        <v>0</v>
      </c>
      <c r="O1897" s="348">
        <v>0</v>
      </c>
      <c r="P1897" s="348">
        <v>0</v>
      </c>
      <c r="Q1897" s="348">
        <v>0</v>
      </c>
      <c r="R1897" s="348">
        <v>0</v>
      </c>
      <c r="S1897" s="348">
        <v>0</v>
      </c>
      <c r="T1897" s="348">
        <v>0</v>
      </c>
      <c r="U1897" s="348">
        <v>0</v>
      </c>
      <c r="V1897" s="348">
        <v>0</v>
      </c>
      <c r="W1897" s="348">
        <v>0</v>
      </c>
    </row>
    <row r="1898" spans="1:23" ht="13.5" thickBot="1" x14ac:dyDescent="0.25">
      <c r="A1898" s="290" t="s">
        <v>199</v>
      </c>
      <c r="B1898" s="309"/>
      <c r="C1898" s="283"/>
      <c r="D1898" s="349">
        <v>0</v>
      </c>
      <c r="E1898" s="349">
        <v>0</v>
      </c>
      <c r="F1898" s="349">
        <v>0</v>
      </c>
      <c r="G1898" s="349">
        <v>0</v>
      </c>
      <c r="H1898" s="349">
        <v>0</v>
      </c>
      <c r="I1898" s="349">
        <v>0</v>
      </c>
      <c r="J1898" s="349">
        <v>0</v>
      </c>
      <c r="K1898" s="349">
        <v>0</v>
      </c>
      <c r="L1898" s="349">
        <v>0</v>
      </c>
      <c r="M1898" s="349">
        <v>0</v>
      </c>
      <c r="N1898" s="349">
        <v>0</v>
      </c>
      <c r="O1898" s="349">
        <v>0</v>
      </c>
      <c r="P1898" s="349">
        <v>0</v>
      </c>
      <c r="Q1898" s="349">
        <v>0</v>
      </c>
      <c r="R1898" s="349">
        <v>0</v>
      </c>
      <c r="S1898" s="349">
        <v>0</v>
      </c>
      <c r="T1898" s="349">
        <v>0</v>
      </c>
      <c r="U1898" s="349">
        <v>0</v>
      </c>
      <c r="V1898" s="349">
        <v>0</v>
      </c>
      <c r="W1898" s="349">
        <v>0</v>
      </c>
    </row>
    <row r="1899" spans="1:23" ht="13.5" thickTop="1" x14ac:dyDescent="0.2">
      <c r="A1899" s="290"/>
      <c r="B1899" s="309"/>
      <c r="C1899" s="283"/>
      <c r="D1899" s="347"/>
      <c r="E1899" s="347"/>
      <c r="F1899" s="347"/>
      <c r="G1899" s="347"/>
      <c r="H1899" s="347"/>
      <c r="I1899" s="347"/>
      <c r="J1899" s="347"/>
      <c r="K1899" s="347"/>
      <c r="L1899" s="347"/>
      <c r="M1899" s="347"/>
      <c r="N1899" s="347"/>
      <c r="O1899" s="347"/>
      <c r="P1899" s="347"/>
      <c r="Q1899" s="347"/>
      <c r="R1899" s="347"/>
      <c r="S1899" s="347"/>
      <c r="T1899" s="347"/>
      <c r="U1899" s="347"/>
      <c r="V1899" s="347"/>
      <c r="W1899" s="347"/>
    </row>
    <row r="1900" spans="1:23" x14ac:dyDescent="0.2">
      <c r="A1900" s="290" t="s">
        <v>200</v>
      </c>
      <c r="B1900" s="309"/>
      <c r="C1900" s="283"/>
      <c r="D1900" s="347">
        <v>0</v>
      </c>
      <c r="E1900" s="347">
        <v>0</v>
      </c>
      <c r="F1900" s="347">
        <v>0</v>
      </c>
      <c r="G1900" s="347">
        <v>0</v>
      </c>
      <c r="H1900" s="347">
        <v>0</v>
      </c>
      <c r="I1900" s="347">
        <v>0</v>
      </c>
      <c r="J1900" s="347">
        <v>0</v>
      </c>
      <c r="K1900" s="347">
        <v>0</v>
      </c>
      <c r="L1900" s="347">
        <v>0</v>
      </c>
      <c r="M1900" s="347">
        <v>0</v>
      </c>
      <c r="N1900" s="347">
        <v>0</v>
      </c>
      <c r="O1900" s="347">
        <v>0</v>
      </c>
      <c r="P1900" s="347">
        <v>0</v>
      </c>
      <c r="Q1900" s="347">
        <v>0</v>
      </c>
      <c r="R1900" s="347">
        <v>0</v>
      </c>
      <c r="S1900" s="347">
        <v>0</v>
      </c>
      <c r="T1900" s="347">
        <v>0</v>
      </c>
      <c r="U1900" s="347">
        <v>0</v>
      </c>
      <c r="V1900" s="347">
        <v>0</v>
      </c>
      <c r="W1900" s="347">
        <v>0</v>
      </c>
    </row>
    <row r="1901" spans="1:23" x14ac:dyDescent="0.2">
      <c r="A1901" s="290"/>
      <c r="B1901" s="309"/>
      <c r="C1901" s="283"/>
      <c r="D1901" s="283"/>
      <c r="E1901" s="283"/>
      <c r="F1901" s="283"/>
      <c r="G1901" s="283"/>
      <c r="H1901" s="283"/>
      <c r="I1901" s="283"/>
      <c r="J1901" s="283"/>
      <c r="K1901" s="283"/>
      <c r="L1901" s="283"/>
      <c r="M1901" s="283"/>
      <c r="N1901" s="283"/>
      <c r="O1901" s="283"/>
      <c r="P1901" s="283"/>
      <c r="Q1901" s="283"/>
      <c r="R1901" s="283"/>
      <c r="S1901" s="283"/>
      <c r="T1901" s="283"/>
      <c r="U1901" s="283"/>
      <c r="V1901" s="283"/>
      <c r="W1901" s="283"/>
    </row>
    <row r="1902" spans="1:23" x14ac:dyDescent="0.2">
      <c r="A1902" s="290" t="s">
        <v>201</v>
      </c>
      <c r="B1902" s="309"/>
      <c r="C1902" s="283"/>
      <c r="D1902" s="347">
        <v>0</v>
      </c>
      <c r="E1902" s="347">
        <v>0</v>
      </c>
      <c r="F1902" s="347">
        <v>0</v>
      </c>
      <c r="G1902" s="347">
        <v>0</v>
      </c>
      <c r="H1902" s="347">
        <v>0</v>
      </c>
      <c r="I1902" s="347">
        <v>0</v>
      </c>
      <c r="J1902" s="347">
        <v>0</v>
      </c>
      <c r="K1902" s="347">
        <v>0</v>
      </c>
      <c r="L1902" s="347">
        <v>0</v>
      </c>
      <c r="M1902" s="347">
        <v>0</v>
      </c>
      <c r="N1902" s="347">
        <v>0</v>
      </c>
      <c r="O1902" s="347">
        <v>0</v>
      </c>
      <c r="P1902" s="347">
        <v>0</v>
      </c>
      <c r="Q1902" s="347">
        <v>0</v>
      </c>
      <c r="R1902" s="347">
        <v>0</v>
      </c>
      <c r="S1902" s="347">
        <v>0</v>
      </c>
      <c r="T1902" s="347">
        <v>0</v>
      </c>
      <c r="U1902" s="347">
        <v>0</v>
      </c>
      <c r="V1902" s="347">
        <v>0</v>
      </c>
      <c r="W1902" s="347">
        <v>0</v>
      </c>
    </row>
    <row r="1903" spans="1:23" x14ac:dyDescent="0.2">
      <c r="A1903" s="283"/>
      <c r="B1903" s="309"/>
      <c r="C1903" s="283"/>
      <c r="D1903" s="283"/>
      <c r="E1903" s="283"/>
      <c r="F1903" s="283"/>
      <c r="G1903" s="283"/>
      <c r="H1903" s="283"/>
      <c r="I1903" s="283"/>
      <c r="J1903" s="283"/>
      <c r="K1903" s="283"/>
      <c r="L1903" s="283"/>
      <c r="M1903" s="283"/>
      <c r="N1903" s="283"/>
      <c r="O1903" s="283"/>
      <c r="P1903" s="283"/>
      <c r="Q1903" s="283"/>
      <c r="R1903" s="283"/>
      <c r="S1903" s="283"/>
      <c r="T1903" s="283"/>
      <c r="U1903" s="283"/>
      <c r="V1903" s="283"/>
      <c r="W1903" s="283"/>
    </row>
    <row r="1904" spans="1:23" x14ac:dyDescent="0.2">
      <c r="A1904" s="283"/>
      <c r="B1904" s="309"/>
      <c r="C1904" s="283"/>
      <c r="D1904" s="283"/>
      <c r="E1904" s="283"/>
      <c r="F1904" s="283"/>
      <c r="G1904" s="283"/>
      <c r="H1904" s="283"/>
      <c r="I1904" s="283"/>
      <c r="J1904" s="283"/>
      <c r="K1904" s="283"/>
      <c r="L1904" s="283"/>
      <c r="M1904" s="283"/>
      <c r="N1904" s="283"/>
      <c r="O1904" s="283"/>
      <c r="P1904" s="283"/>
      <c r="Q1904" s="283"/>
      <c r="R1904" s="283"/>
      <c r="S1904" s="283"/>
      <c r="T1904" s="283"/>
      <c r="U1904" s="283"/>
      <c r="V1904" s="283"/>
      <c r="W1904" s="283"/>
    </row>
    <row r="1905" spans="1:23" x14ac:dyDescent="0.2">
      <c r="A1905" s="290" t="s">
        <v>203</v>
      </c>
      <c r="B1905" s="285"/>
      <c r="C1905" s="284"/>
      <c r="D1905" s="441">
        <v>3790322.0054865484</v>
      </c>
      <c r="E1905" s="441">
        <v>2890460.7075292356</v>
      </c>
      <c r="F1905" s="441">
        <v>2238736.3405424953</v>
      </c>
      <c r="G1905" s="441">
        <v>2265596.3423630418</v>
      </c>
      <c r="H1905" s="441">
        <v>2137795.9227205622</v>
      </c>
      <c r="I1905" s="441">
        <v>2076994.2941475082</v>
      </c>
      <c r="J1905" s="441">
        <v>1876790.4478850181</v>
      </c>
      <c r="K1905" s="441">
        <v>2000396.3696922802</v>
      </c>
      <c r="L1905" s="441">
        <v>2051648.3675213673</v>
      </c>
      <c r="M1905" s="441">
        <v>2099008.1871200753</v>
      </c>
      <c r="N1905" s="441">
        <v>1596298.3975138201</v>
      </c>
      <c r="O1905" s="441">
        <v>1898483.4174526306</v>
      </c>
      <c r="P1905" s="441">
        <v>1767405.8927928724</v>
      </c>
      <c r="Q1905" s="441">
        <v>2234280.3067028765</v>
      </c>
      <c r="R1905" s="441">
        <v>1915570.6334691003</v>
      </c>
      <c r="S1905" s="441">
        <v>1518480.9489143419</v>
      </c>
      <c r="T1905" s="441">
        <v>1663890.5649254385</v>
      </c>
      <c r="U1905" s="441">
        <v>1950288.8064904506</v>
      </c>
      <c r="V1905" s="441">
        <v>1706977.8781576816</v>
      </c>
      <c r="W1905" s="441">
        <v>11275701.562423278</v>
      </c>
    </row>
    <row r="1906" spans="1:23" x14ac:dyDescent="0.2">
      <c r="A1906" s="9"/>
      <c r="B1906" s="6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</row>
    <row r="1907" spans="1:23" x14ac:dyDescent="0.2">
      <c r="A1907" s="298"/>
      <c r="B1907" s="366"/>
      <c r="C1907" s="376"/>
      <c r="D1907" s="68"/>
      <c r="E1907" s="68"/>
      <c r="F1907" s="68"/>
      <c r="G1907" s="68"/>
      <c r="H1907" s="68"/>
      <c r="I1907" s="68"/>
      <c r="J1907" s="68"/>
      <c r="K1907" s="68"/>
      <c r="L1907" s="68"/>
      <c r="M1907" s="68"/>
      <c r="N1907" s="68"/>
      <c r="O1907" s="68"/>
      <c r="P1907" s="68"/>
      <c r="Q1907" s="68"/>
      <c r="R1907" s="68"/>
      <c r="S1907" s="68"/>
      <c r="T1907" s="68"/>
      <c r="U1907" s="68"/>
      <c r="V1907" s="68"/>
      <c r="W1907" s="68"/>
    </row>
    <row r="1908" spans="1:23" x14ac:dyDescent="0.2">
      <c r="A1908" s="298"/>
      <c r="B1908" s="366"/>
      <c r="C1908" s="376"/>
      <c r="D1908" s="68"/>
      <c r="E1908" s="68"/>
      <c r="F1908" s="68"/>
      <c r="G1908" s="68"/>
      <c r="H1908" s="68"/>
      <c r="I1908" s="68"/>
      <c r="J1908" s="68"/>
      <c r="K1908" s="68"/>
      <c r="L1908" s="68"/>
      <c r="M1908" s="68"/>
      <c r="N1908" s="68"/>
      <c r="O1908" s="68"/>
      <c r="P1908" s="68"/>
      <c r="Q1908" s="68"/>
      <c r="R1908" s="68"/>
      <c r="S1908" s="68"/>
      <c r="T1908" s="68"/>
      <c r="U1908" s="68"/>
      <c r="V1908" s="68"/>
      <c r="W1908" s="68"/>
    </row>
    <row r="1909" spans="1:23" x14ac:dyDescent="0.2">
      <c r="A1909" s="298"/>
      <c r="B1909" s="366"/>
      <c r="C1909" s="376"/>
      <c r="D1909" s="376"/>
      <c r="E1909" s="376"/>
      <c r="F1909" s="376"/>
      <c r="G1909" s="376"/>
      <c r="H1909" s="376"/>
      <c r="I1909" s="376"/>
      <c r="J1909" s="376"/>
      <c r="K1909" s="376"/>
      <c r="L1909" s="376"/>
      <c r="M1909" s="376"/>
      <c r="N1909" s="376"/>
      <c r="O1909" s="376"/>
      <c r="P1909" s="376"/>
      <c r="Q1909" s="376"/>
      <c r="R1909" s="376"/>
      <c r="S1909" s="376"/>
      <c r="T1909" s="376"/>
      <c r="U1909" s="376"/>
      <c r="V1909" s="376"/>
      <c r="W1909" s="376"/>
    </row>
    <row r="1910" spans="1:23" x14ac:dyDescent="0.2">
      <c r="A1910" s="298"/>
      <c r="B1910" s="366"/>
      <c r="C1910" s="376"/>
      <c r="D1910" s="68"/>
      <c r="E1910" s="68"/>
      <c r="F1910" s="68"/>
      <c r="G1910" s="68"/>
      <c r="H1910" s="68"/>
      <c r="I1910" s="68"/>
      <c r="J1910" s="68"/>
      <c r="K1910" s="68"/>
      <c r="L1910" s="68"/>
      <c r="M1910" s="68"/>
      <c r="N1910" s="68"/>
      <c r="O1910" s="68"/>
      <c r="P1910" s="68"/>
      <c r="Q1910" s="68"/>
      <c r="R1910" s="68"/>
      <c r="S1910" s="68"/>
      <c r="T1910" s="68"/>
      <c r="U1910" s="68"/>
      <c r="V1910" s="68"/>
      <c r="W1910" s="68"/>
    </row>
    <row r="1911" spans="1:23" x14ac:dyDescent="0.2">
      <c r="A1911" s="376"/>
      <c r="B1911" s="366"/>
      <c r="C1911" s="376"/>
      <c r="D1911" s="376"/>
      <c r="E1911" s="376"/>
      <c r="F1911" s="376"/>
      <c r="G1911" s="376"/>
      <c r="H1911" s="376"/>
      <c r="I1911" s="376"/>
      <c r="J1911" s="376"/>
      <c r="K1911" s="376"/>
      <c r="L1911" s="376"/>
      <c r="M1911" s="376"/>
      <c r="N1911" s="376"/>
      <c r="O1911" s="376"/>
      <c r="P1911" s="376"/>
      <c r="Q1911" s="376"/>
      <c r="R1911" s="376"/>
      <c r="S1911" s="376"/>
      <c r="T1911" s="376"/>
      <c r="U1911" s="376"/>
      <c r="V1911" s="376"/>
      <c r="W1911" s="376"/>
    </row>
    <row r="1912" spans="1:23" x14ac:dyDescent="0.2">
      <c r="A1912" s="376"/>
      <c r="B1912" s="366"/>
      <c r="C1912" s="376"/>
      <c r="D1912" s="376"/>
      <c r="E1912" s="376"/>
      <c r="F1912" s="376"/>
      <c r="G1912" s="376"/>
      <c r="H1912" s="376"/>
      <c r="I1912" s="376"/>
      <c r="J1912" s="376"/>
      <c r="K1912" s="376"/>
      <c r="L1912" s="376"/>
      <c r="M1912" s="376"/>
      <c r="N1912" s="376"/>
      <c r="O1912" s="376"/>
      <c r="P1912" s="376"/>
      <c r="Q1912" s="376"/>
      <c r="R1912" s="376"/>
      <c r="S1912" s="376"/>
      <c r="T1912" s="376"/>
      <c r="U1912" s="376"/>
      <c r="V1912" s="376"/>
      <c r="W1912" s="376"/>
    </row>
    <row r="1913" spans="1:23" x14ac:dyDescent="0.2">
      <c r="A1913" s="298"/>
      <c r="B1913" s="379"/>
      <c r="C1913" s="286"/>
      <c r="D1913" s="380"/>
      <c r="E1913" s="380"/>
      <c r="F1913" s="380"/>
      <c r="G1913" s="380"/>
      <c r="H1913" s="380"/>
      <c r="I1913" s="380"/>
      <c r="J1913" s="380"/>
      <c r="K1913" s="380"/>
      <c r="L1913" s="380"/>
      <c r="M1913" s="380"/>
      <c r="N1913" s="380"/>
      <c r="O1913" s="380"/>
      <c r="P1913" s="380"/>
      <c r="Q1913" s="380"/>
      <c r="R1913" s="380"/>
      <c r="S1913" s="380"/>
      <c r="T1913" s="380"/>
      <c r="U1913" s="380"/>
      <c r="V1913" s="380"/>
      <c r="W1913" s="380"/>
    </row>
    <row r="1914" spans="1:23" ht="15.75" x14ac:dyDescent="0.25">
      <c r="A1914" s="308" t="s">
        <v>29</v>
      </c>
      <c r="B1914" s="311" t="s">
        <v>82</v>
      </c>
      <c r="C1914" s="312">
        <v>2000</v>
      </c>
      <c r="D1914" s="312">
        <v>2001</v>
      </c>
      <c r="E1914" s="312">
        <v>2002</v>
      </c>
      <c r="F1914" s="312">
        <v>2003</v>
      </c>
      <c r="G1914" s="312">
        <v>2004</v>
      </c>
      <c r="H1914" s="312">
        <v>2005</v>
      </c>
      <c r="I1914" s="312">
        <v>2006</v>
      </c>
      <c r="J1914" s="312">
        <v>2007</v>
      </c>
      <c r="K1914" s="312">
        <v>2008</v>
      </c>
      <c r="L1914" s="312">
        <v>2009</v>
      </c>
      <c r="M1914" s="312">
        <v>2010</v>
      </c>
      <c r="N1914" s="312">
        <v>2011</v>
      </c>
      <c r="O1914" s="312">
        <v>2012</v>
      </c>
      <c r="P1914" s="312">
        <v>2013</v>
      </c>
      <c r="Q1914" s="312">
        <v>2014</v>
      </c>
      <c r="R1914" s="312">
        <v>2015</v>
      </c>
      <c r="S1914" s="312">
        <v>2016</v>
      </c>
      <c r="T1914" s="312">
        <v>2017</v>
      </c>
      <c r="U1914" s="312">
        <v>2018</v>
      </c>
      <c r="V1914" s="312">
        <v>2019</v>
      </c>
      <c r="W1914" s="312" t="s">
        <v>154</v>
      </c>
    </row>
    <row r="1915" spans="1:23" x14ac:dyDescent="0.2">
      <c r="A1915" s="308" t="s">
        <v>26</v>
      </c>
      <c r="B1915" s="309">
        <v>83.433000000000007</v>
      </c>
      <c r="C1915" s="314"/>
      <c r="D1915" s="314"/>
      <c r="E1915" s="314"/>
      <c r="F1915" s="314"/>
      <c r="G1915" s="314"/>
      <c r="H1915" s="314"/>
      <c r="I1915" s="314"/>
      <c r="J1915" s="314"/>
      <c r="K1915" s="314"/>
      <c r="L1915" s="314"/>
      <c r="M1915" s="314"/>
      <c r="N1915" s="314"/>
      <c r="O1915" s="314"/>
      <c r="P1915" s="314"/>
      <c r="Q1915" s="314"/>
      <c r="R1915" s="314"/>
      <c r="S1915" s="314"/>
      <c r="T1915" s="314"/>
      <c r="U1915" s="314"/>
      <c r="V1915" s="314"/>
      <c r="W1915" s="314"/>
    </row>
    <row r="1916" spans="1:23" x14ac:dyDescent="0.2">
      <c r="A1916" s="9"/>
      <c r="B1916" s="315" t="s">
        <v>27</v>
      </c>
      <c r="C1916" s="449">
        <v>0</v>
      </c>
      <c r="D1916" s="410">
        <v>7778399.1075253496</v>
      </c>
      <c r="E1916" s="410">
        <v>6842254.5552537916</v>
      </c>
      <c r="F1916" s="410">
        <v>6629692.7122039562</v>
      </c>
      <c r="G1916" s="410">
        <v>6318609.8961360669</v>
      </c>
      <c r="H1916" s="410">
        <v>6451264.7006655894</v>
      </c>
      <c r="I1916" s="410">
        <v>7455383.7868868234</v>
      </c>
      <c r="J1916" s="410">
        <v>8933942.2525088191</v>
      </c>
      <c r="K1916" s="410">
        <v>11309729.683792757</v>
      </c>
      <c r="L1916" s="410">
        <v>11987941.949257994</v>
      </c>
      <c r="M1916" s="410">
        <v>10329741.498823166</v>
      </c>
      <c r="N1916" s="410">
        <v>10137023.425225437</v>
      </c>
      <c r="O1916" s="410">
        <v>10141395.008444561</v>
      </c>
      <c r="P1916" s="410">
        <v>9373421.0289784186</v>
      </c>
      <c r="Q1916" s="410">
        <v>10829294.728562763</v>
      </c>
      <c r="R1916" s="410">
        <v>10140669.306975409</v>
      </c>
      <c r="S1916" s="410">
        <v>10206249.178018356</v>
      </c>
      <c r="T1916" s="410">
        <v>9435440.7257302757</v>
      </c>
      <c r="U1916" s="410">
        <v>10663951.615292406</v>
      </c>
      <c r="V1916" s="410">
        <v>11535367.734861331</v>
      </c>
      <c r="W1916" s="333"/>
    </row>
    <row r="1917" spans="1:23" x14ac:dyDescent="0.2">
      <c r="A1917" s="9"/>
      <c r="B1917" s="315" t="s">
        <v>20</v>
      </c>
      <c r="C1917" s="449">
        <v>0</v>
      </c>
      <c r="D1917" s="410">
        <v>-2279367.9189881762</v>
      </c>
      <c r="E1917" s="410">
        <v>-2812929.5237752814</v>
      </c>
      <c r="F1917" s="410">
        <v>-3058770.0555529702</v>
      </c>
      <c r="G1917" s="410">
        <v>-3311731.7926161261</v>
      </c>
      <c r="H1917" s="410">
        <v>-3520069.6204902469</v>
      </c>
      <c r="I1917" s="410">
        <v>-4670164.8003135696</v>
      </c>
      <c r="J1917" s="410">
        <v>-5800826.5836623712</v>
      </c>
      <c r="K1917" s="410">
        <v>-7183424.3737935591</v>
      </c>
      <c r="L1917" s="410">
        <v>-7682495.6427182453</v>
      </c>
      <c r="M1917" s="410">
        <v>-6000707.9900300922</v>
      </c>
      <c r="N1917" s="410">
        <v>-6623381.3630241612</v>
      </c>
      <c r="O1917" s="410">
        <v>-6143418.2021517968</v>
      </c>
      <c r="P1917" s="410">
        <v>-5621870.6186106894</v>
      </c>
      <c r="Q1917" s="410">
        <v>-6288111.6403606003</v>
      </c>
      <c r="R1917" s="410">
        <v>-6156692.7170526711</v>
      </c>
      <c r="S1917" s="410">
        <v>-6876253.8889866211</v>
      </c>
      <c r="T1917" s="410">
        <v>-5875497.5201904178</v>
      </c>
      <c r="U1917" s="410">
        <v>-6567394.4389183186</v>
      </c>
      <c r="V1917" s="410">
        <v>-7797811.0819347827</v>
      </c>
      <c r="W1917" s="333"/>
    </row>
    <row r="1918" spans="1:23" x14ac:dyDescent="0.2">
      <c r="A1918" s="9"/>
      <c r="B1918" s="315" t="s">
        <v>31</v>
      </c>
      <c r="C1918" s="449">
        <v>0</v>
      </c>
      <c r="D1918" s="410">
        <v>-57028.15214719066</v>
      </c>
      <c r="E1918" s="410">
        <v>-81185.613060895324</v>
      </c>
      <c r="F1918" s="410">
        <v>-93622.506813158674</v>
      </c>
      <c r="G1918" s="410">
        <v>-101362.76169412494</v>
      </c>
      <c r="H1918" s="410">
        <v>-107716.4803515206</v>
      </c>
      <c r="I1918" s="410">
        <v>-148291.97621567055</v>
      </c>
      <c r="J1918" s="410">
        <v>-179818.39534956124</v>
      </c>
      <c r="K1918" s="410">
        <v>-244348.64758108876</v>
      </c>
      <c r="L1918" s="410">
        <v>-255192.43623216765</v>
      </c>
      <c r="M1918" s="410">
        <v>-193964.44469204155</v>
      </c>
      <c r="N1918" s="410">
        <v>-219273.63205426256</v>
      </c>
      <c r="O1918" s="410">
        <v>-204927.31589735823</v>
      </c>
      <c r="P1918" s="410">
        <v>-185685.14264100697</v>
      </c>
      <c r="Q1918" s="410">
        <v>-206543.68349303392</v>
      </c>
      <c r="R1918" s="410">
        <v>-190880.20244975749</v>
      </c>
      <c r="S1918" s="410">
        <v>-209068.5703584156</v>
      </c>
      <c r="T1918" s="410">
        <v>-179130.37208792387</v>
      </c>
      <c r="U1918" s="410">
        <v>-188414.53075049791</v>
      </c>
      <c r="V1918" s="410">
        <v>-229337.41790373807</v>
      </c>
      <c r="W1918" s="333"/>
    </row>
    <row r="1919" spans="1:23" x14ac:dyDescent="0.2">
      <c r="A1919" s="9"/>
      <c r="B1919" s="315" t="s">
        <v>32</v>
      </c>
      <c r="C1919" s="449">
        <v>0</v>
      </c>
      <c r="D1919" s="410">
        <v>0</v>
      </c>
      <c r="E1919" s="410">
        <v>0</v>
      </c>
      <c r="F1919" s="410">
        <v>0</v>
      </c>
      <c r="G1919" s="410">
        <v>0</v>
      </c>
      <c r="H1919" s="410">
        <v>0</v>
      </c>
      <c r="I1919" s="410">
        <v>93418.023327088376</v>
      </c>
      <c r="J1919" s="410">
        <v>103546.416256845</v>
      </c>
      <c r="K1919" s="410">
        <v>114259.16746337658</v>
      </c>
      <c r="L1919" s="410">
        <v>125495.63771574097</v>
      </c>
      <c r="M1919" s="410">
        <v>139570.44415525725</v>
      </c>
      <c r="N1919" s="410">
        <v>153747.39907892016</v>
      </c>
      <c r="O1919" s="410">
        <v>170347.50869303249</v>
      </c>
      <c r="P1919" s="410">
        <v>191004.36881418826</v>
      </c>
      <c r="Q1919" s="410">
        <v>212617.66815241956</v>
      </c>
      <c r="R1919" s="410">
        <v>235515.42537247401</v>
      </c>
      <c r="S1919" s="410">
        <v>258595.6474313915</v>
      </c>
      <c r="T1919" s="410">
        <v>254057.61645580616</v>
      </c>
      <c r="U1919" s="410">
        <v>217360.03222342019</v>
      </c>
      <c r="V1919" s="410">
        <v>225362.25124239805</v>
      </c>
      <c r="W1919" s="333"/>
    </row>
    <row r="1920" spans="1:23" ht="13.5" thickBot="1" x14ac:dyDescent="0.25">
      <c r="A1920" s="9"/>
      <c r="B1920" s="316" t="s">
        <v>33</v>
      </c>
      <c r="C1920" s="450">
        <v>0</v>
      </c>
      <c r="D1920" s="412">
        <v>0</v>
      </c>
      <c r="E1920" s="412">
        <v>0</v>
      </c>
      <c r="F1920" s="412">
        <v>0</v>
      </c>
      <c r="G1920" s="412">
        <v>0</v>
      </c>
      <c r="H1920" s="412">
        <v>0</v>
      </c>
      <c r="I1920" s="412">
        <v>0</v>
      </c>
      <c r="J1920" s="412">
        <v>0</v>
      </c>
      <c r="K1920" s="412">
        <v>0</v>
      </c>
      <c r="L1920" s="412">
        <v>0</v>
      </c>
      <c r="M1920" s="412">
        <v>0</v>
      </c>
      <c r="N1920" s="412">
        <v>0</v>
      </c>
      <c r="O1920" s="412">
        <v>0</v>
      </c>
      <c r="P1920" s="412">
        <v>0</v>
      </c>
      <c r="Q1920" s="412">
        <v>0</v>
      </c>
      <c r="R1920" s="412">
        <v>0</v>
      </c>
      <c r="S1920" s="412">
        <v>0</v>
      </c>
      <c r="T1920" s="412">
        <v>0</v>
      </c>
      <c r="U1920" s="412">
        <v>0</v>
      </c>
      <c r="V1920" s="412">
        <v>0</v>
      </c>
      <c r="W1920" s="333"/>
    </row>
    <row r="1921" spans="1:23" ht="13.5" thickTop="1" x14ac:dyDescent="0.2">
      <c r="A1921" s="9"/>
      <c r="B1921" s="317" t="s">
        <v>38</v>
      </c>
      <c r="C1921" s="451">
        <v>0</v>
      </c>
      <c r="D1921" s="414">
        <v>5442003.0363899823</v>
      </c>
      <c r="E1921" s="414">
        <v>3948139.4184176149</v>
      </c>
      <c r="F1921" s="414">
        <v>3477300.1498378273</v>
      </c>
      <c r="G1921" s="414">
        <v>2905515.3418258158</v>
      </c>
      <c r="H1921" s="414">
        <v>2823478.5998238218</v>
      </c>
      <c r="I1921" s="414">
        <v>2730345.0336846719</v>
      </c>
      <c r="J1921" s="414">
        <v>3056843.6897537317</v>
      </c>
      <c r="K1921" s="414">
        <v>3996215.8298814856</v>
      </c>
      <c r="L1921" s="414">
        <v>4175749.5080233221</v>
      </c>
      <c r="M1921" s="414">
        <v>4274639.5082562892</v>
      </c>
      <c r="N1921" s="414">
        <v>3448115.8292259327</v>
      </c>
      <c r="O1921" s="414">
        <v>3963396.9990884382</v>
      </c>
      <c r="P1921" s="414">
        <v>3756869.6365409102</v>
      </c>
      <c r="Q1921" s="414">
        <v>4547257.0728615485</v>
      </c>
      <c r="R1921" s="414">
        <v>4028611.8128454546</v>
      </c>
      <c r="S1921" s="414">
        <v>3379522.3661047104</v>
      </c>
      <c r="T1921" s="414">
        <v>3634870.4499077401</v>
      </c>
      <c r="U1921" s="414">
        <v>4125502.6778470096</v>
      </c>
      <c r="V1921" s="414">
        <v>3733581.4862652086</v>
      </c>
      <c r="W1921" s="333"/>
    </row>
    <row r="1922" spans="1:23" x14ac:dyDescent="0.2">
      <c r="A1922" s="9"/>
      <c r="B1922" s="315" t="s">
        <v>34</v>
      </c>
      <c r="C1922" s="449">
        <v>0</v>
      </c>
      <c r="D1922" s="410">
        <v>-355535.16277078062</v>
      </c>
      <c r="E1922" s="410">
        <v>-362645.86602619622</v>
      </c>
      <c r="F1922" s="410">
        <v>-369898.78334672016</v>
      </c>
      <c r="G1922" s="410">
        <v>-377296.75901365455</v>
      </c>
      <c r="H1922" s="410">
        <v>-384842.69419392763</v>
      </c>
      <c r="I1922" s="410">
        <v>-392539.54807780619</v>
      </c>
      <c r="J1922" s="410">
        <v>-400390.33903936233</v>
      </c>
      <c r="K1922" s="410">
        <v>-408398.14582014957</v>
      </c>
      <c r="L1922" s="410">
        <v>-416566.10873655259</v>
      </c>
      <c r="M1922" s="410">
        <v>-424897.43091128365</v>
      </c>
      <c r="N1922" s="410">
        <v>-433395.37952950934</v>
      </c>
      <c r="O1922" s="410">
        <v>-442063.28712009953</v>
      </c>
      <c r="P1922" s="410">
        <v>-450904.55286250153</v>
      </c>
      <c r="Q1922" s="410">
        <v>-459922.64391975157</v>
      </c>
      <c r="R1922" s="410">
        <v>-469121.09679814661</v>
      </c>
      <c r="S1922" s="410">
        <v>-478503.51873410953</v>
      </c>
      <c r="T1922" s="410">
        <v>-488073.58910879173</v>
      </c>
      <c r="U1922" s="410">
        <v>-497835.06089096755</v>
      </c>
      <c r="V1922" s="410">
        <v>-507791.7621087869</v>
      </c>
      <c r="W1922" s="333"/>
    </row>
    <row r="1923" spans="1:23" x14ac:dyDescent="0.2">
      <c r="A1923" s="9"/>
      <c r="B1923" s="315" t="s">
        <v>35</v>
      </c>
      <c r="C1923" s="449">
        <v>0</v>
      </c>
      <c r="D1923" s="410">
        <v>-171612.57929687499</v>
      </c>
      <c r="E1923" s="410">
        <v>-171612.57929687499</v>
      </c>
      <c r="F1923" s="410">
        <v>-171612.57929687499</v>
      </c>
      <c r="G1923" s="410">
        <v>-171612.57929687499</v>
      </c>
      <c r="H1923" s="410">
        <v>-171612.57929687499</v>
      </c>
      <c r="I1923" s="410">
        <v>-171612.57929687499</v>
      </c>
      <c r="J1923" s="410">
        <v>-171612.57929687499</v>
      </c>
      <c r="K1923" s="410">
        <v>-171612.57929687499</v>
      </c>
      <c r="L1923" s="410">
        <v>-171612.57929687499</v>
      </c>
      <c r="M1923" s="410">
        <v>-171612.57929687499</v>
      </c>
      <c r="N1923" s="410">
        <v>-171612.57929687499</v>
      </c>
      <c r="O1923" s="410">
        <v>-171612.57929687499</v>
      </c>
      <c r="P1923" s="410">
        <v>-171612.57929687499</v>
      </c>
      <c r="Q1923" s="410">
        <v>-171612.57929687499</v>
      </c>
      <c r="R1923" s="410">
        <v>-171612.57929687499</v>
      </c>
      <c r="S1923" s="410">
        <v>-171612.57929687499</v>
      </c>
      <c r="T1923" s="410">
        <v>-171612.57929687499</v>
      </c>
      <c r="U1923" s="410">
        <v>-171612.57929687499</v>
      </c>
      <c r="V1923" s="410">
        <v>-171612.57929687499</v>
      </c>
      <c r="W1923" s="333"/>
    </row>
    <row r="1924" spans="1:23" ht="13.5" thickBot="1" x14ac:dyDescent="0.25">
      <c r="A1924" s="9"/>
      <c r="B1924" s="316" t="s">
        <v>36</v>
      </c>
      <c r="C1924" s="450">
        <v>0</v>
      </c>
      <c r="D1924" s="412">
        <v>-34547.1907058574</v>
      </c>
      <c r="E1924" s="412">
        <v>-35276.136429751197</v>
      </c>
      <c r="F1924" s="412">
        <v>-36048.6838175628</v>
      </c>
      <c r="G1924" s="412">
        <v>-36863.384071839399</v>
      </c>
      <c r="H1924" s="412">
        <v>-37740.7326127493</v>
      </c>
      <c r="I1924" s="412">
        <v>-38686.5191661684</v>
      </c>
      <c r="J1924" s="412">
        <v>-39646.052617166402</v>
      </c>
      <c r="K1924" s="412">
        <v>-40649.576140416597</v>
      </c>
      <c r="L1924" s="412">
        <v>-41653.6206710849</v>
      </c>
      <c r="M1924" s="412">
        <v>-42715.787998197498</v>
      </c>
      <c r="N1924" s="412">
        <v>-43749.510067754003</v>
      </c>
      <c r="O1924" s="412">
        <v>-44851.997721461303</v>
      </c>
      <c r="P1924" s="412">
        <v>-45991.238463586298</v>
      </c>
      <c r="Q1924" s="412">
        <v>-47141.019425175997</v>
      </c>
      <c r="R1924" s="412">
        <v>-48324.259012747898</v>
      </c>
      <c r="S1924" s="412">
        <v>-49532.365488066702</v>
      </c>
      <c r="T1924" s="412">
        <v>-50760.768152170604</v>
      </c>
      <c r="U1924" s="412">
        <v>-52034.863432790196</v>
      </c>
      <c r="V1924" s="412">
        <v>-53340.938504953301</v>
      </c>
      <c r="W1924" s="333"/>
    </row>
    <row r="1925" spans="1:23" ht="13.5" thickTop="1" x14ac:dyDescent="0.2">
      <c r="A1925" s="9"/>
      <c r="B1925" s="317" t="s">
        <v>221</v>
      </c>
      <c r="C1925" s="452">
        <v>0</v>
      </c>
      <c r="D1925" s="416">
        <v>4880308.1036164695</v>
      </c>
      <c r="E1925" s="416">
        <v>3378604.8366647926</v>
      </c>
      <c r="F1925" s="416">
        <v>2899740.1033766698</v>
      </c>
      <c r="G1925" s="416">
        <v>2319742.6194434469</v>
      </c>
      <c r="H1925" s="416">
        <v>2229282.5937202703</v>
      </c>
      <c r="I1925" s="416">
        <v>2127506.3871438224</v>
      </c>
      <c r="J1925" s="416">
        <v>2445194.7188003282</v>
      </c>
      <c r="K1925" s="416">
        <v>3375555.5286240443</v>
      </c>
      <c r="L1925" s="416">
        <v>3545917.1993188094</v>
      </c>
      <c r="M1925" s="416">
        <v>3635413.7100499333</v>
      </c>
      <c r="N1925" s="416">
        <v>2799358.3603317947</v>
      </c>
      <c r="O1925" s="416">
        <v>3304869.1349500027</v>
      </c>
      <c r="P1925" s="416">
        <v>3088361.2659179475</v>
      </c>
      <c r="Q1925" s="416">
        <v>3868580.8302197461</v>
      </c>
      <c r="R1925" s="416">
        <v>3339553.8777376851</v>
      </c>
      <c r="S1925" s="416">
        <v>2679873.9025856592</v>
      </c>
      <c r="T1925" s="416">
        <v>2924423.5133499028</v>
      </c>
      <c r="U1925" s="416">
        <v>3404020.1742263772</v>
      </c>
      <c r="V1925" s="416">
        <v>3000836.2063545934</v>
      </c>
      <c r="W1925" s="333"/>
    </row>
    <row r="1926" spans="1:23" x14ac:dyDescent="0.2">
      <c r="A1926" s="9"/>
      <c r="B1926" s="315" t="s">
        <v>37</v>
      </c>
      <c r="C1926" s="449">
        <v>0</v>
      </c>
      <c r="D1926" s="410">
        <v>-2192540.6332916664</v>
      </c>
      <c r="E1926" s="410">
        <v>-2210158.6552009</v>
      </c>
      <c r="F1926" s="410">
        <v>-2220800.1739075333</v>
      </c>
      <c r="G1926" s="410">
        <v>-2222765.9934726334</v>
      </c>
      <c r="H1926" s="410">
        <v>-2221622.5140418001</v>
      </c>
      <c r="I1926" s="410">
        <v>-2229059.5415241667</v>
      </c>
      <c r="J1926" s="410">
        <v>-1258985.9031358557</v>
      </c>
      <c r="K1926" s="410">
        <v>-179632.74748216567</v>
      </c>
      <c r="L1926" s="410">
        <v>-59593.322103499304</v>
      </c>
      <c r="M1926" s="410">
        <v>-52343.292619258624</v>
      </c>
      <c r="N1926" s="410">
        <v>-57576.108262161724</v>
      </c>
      <c r="O1926" s="410">
        <v>-62703.340287732244</v>
      </c>
      <c r="P1926" s="410">
        <v>-67940.828551810526</v>
      </c>
      <c r="Q1926" s="410">
        <v>-73212.09813047784</v>
      </c>
      <c r="R1926" s="410">
        <v>-78645.36246317187</v>
      </c>
      <c r="S1926" s="410">
        <v>-84368.143059180002</v>
      </c>
      <c r="T1926" s="410">
        <v>-90262.607073068415</v>
      </c>
      <c r="U1926" s="410">
        <v>-96333.905007373483</v>
      </c>
      <c r="V1926" s="410">
        <v>-102587.34187970767</v>
      </c>
      <c r="W1926" s="333"/>
    </row>
    <row r="1927" spans="1:23" ht="13.5" thickBot="1" x14ac:dyDescent="0.25">
      <c r="A1927" s="9"/>
      <c r="B1927" s="316" t="s">
        <v>222</v>
      </c>
      <c r="C1927" s="450">
        <v>0</v>
      </c>
      <c r="D1927" s="412">
        <v>-1075106.9881299213</v>
      </c>
      <c r="E1927" s="412">
        <v>-467378.47258555703</v>
      </c>
      <c r="F1927" s="412">
        <v>-271575.97178765462</v>
      </c>
      <c r="G1927" s="412">
        <v>-38790.650388325383</v>
      </c>
      <c r="H1927" s="412">
        <v>-3064.0318713881079</v>
      </c>
      <c r="I1927" s="412">
        <v>40621.261752137732</v>
      </c>
      <c r="J1927" s="412">
        <v>-474483.52626578906</v>
      </c>
      <c r="K1927" s="412">
        <v>-1278369.1124567515</v>
      </c>
      <c r="L1927" s="412">
        <v>-1394529.5508861241</v>
      </c>
      <c r="M1927" s="412">
        <v>-1433228.16697227</v>
      </c>
      <c r="N1927" s="412">
        <v>-1096712.9008278532</v>
      </c>
      <c r="O1927" s="412">
        <v>-1296866.3178649081</v>
      </c>
      <c r="P1927" s="412">
        <v>-1208168.1749464548</v>
      </c>
      <c r="Q1927" s="412">
        <v>-1518147.4928357073</v>
      </c>
      <c r="R1927" s="412">
        <v>-1304363.4061098052</v>
      </c>
      <c r="S1927" s="412">
        <v>-1038202.3038105917</v>
      </c>
      <c r="T1927" s="412">
        <v>-1133664.3625107338</v>
      </c>
      <c r="U1927" s="412">
        <v>-1323074.5076876015</v>
      </c>
      <c r="V1927" s="412">
        <v>-1159299.5457899543</v>
      </c>
      <c r="W1927" s="333"/>
    </row>
    <row r="1928" spans="1:23" ht="13.5" thickTop="1" x14ac:dyDescent="0.2">
      <c r="A1928" s="9"/>
      <c r="B1928" s="317" t="s">
        <v>183</v>
      </c>
      <c r="C1928" s="452">
        <v>0</v>
      </c>
      <c r="D1928" s="416">
        <v>1612660.4821948819</v>
      </c>
      <c r="E1928" s="416">
        <v>701067.70887833554</v>
      </c>
      <c r="F1928" s="416">
        <v>407363.9576814819</v>
      </c>
      <c r="G1928" s="416">
        <v>58185.975582488063</v>
      </c>
      <c r="H1928" s="416">
        <v>4596.0478070821609</v>
      </c>
      <c r="I1928" s="416">
        <v>-60931.892628206588</v>
      </c>
      <c r="J1928" s="416">
        <v>711725.28939868347</v>
      </c>
      <c r="K1928" s="416">
        <v>1917553.668685127</v>
      </c>
      <c r="L1928" s="416">
        <v>2091794.3263291859</v>
      </c>
      <c r="M1928" s="416">
        <v>2149842.2504584044</v>
      </c>
      <c r="N1928" s="416">
        <v>1645069.3512417797</v>
      </c>
      <c r="O1928" s="416">
        <v>1945299.4767973621</v>
      </c>
      <c r="P1928" s="416">
        <v>1812252.262419682</v>
      </c>
      <c r="Q1928" s="416">
        <v>2277221.239253561</v>
      </c>
      <c r="R1928" s="416">
        <v>1956545.1091647078</v>
      </c>
      <c r="S1928" s="416">
        <v>1557303.4557158872</v>
      </c>
      <c r="T1928" s="416">
        <v>1700496.5437661004</v>
      </c>
      <c r="U1928" s="416">
        <v>1984611.7615314021</v>
      </c>
      <c r="V1928" s="416">
        <v>1738949.3186849314</v>
      </c>
      <c r="W1928" s="333"/>
    </row>
    <row r="1929" spans="1:23" x14ac:dyDescent="0.2">
      <c r="A1929" s="9"/>
      <c r="B1929" s="315" t="s">
        <v>37</v>
      </c>
      <c r="C1929" s="449">
        <v>0</v>
      </c>
      <c r="D1929" s="410">
        <v>2192540.6332916664</v>
      </c>
      <c r="E1929" s="410">
        <v>2210158.6552009</v>
      </c>
      <c r="F1929" s="410">
        <v>2220800.1739075333</v>
      </c>
      <c r="G1929" s="410">
        <v>2222765.9934726334</v>
      </c>
      <c r="H1929" s="410">
        <v>2221622.5140418001</v>
      </c>
      <c r="I1929" s="410">
        <v>2229059.5415241667</v>
      </c>
      <c r="J1929" s="410">
        <v>1258985.9031358557</v>
      </c>
      <c r="K1929" s="410">
        <v>179632.74748216567</v>
      </c>
      <c r="L1929" s="410">
        <v>59593.322103499304</v>
      </c>
      <c r="M1929" s="410">
        <v>52343.292619258624</v>
      </c>
      <c r="N1929" s="410">
        <v>57576.108262161724</v>
      </c>
      <c r="O1929" s="410">
        <v>62703.340287732244</v>
      </c>
      <c r="P1929" s="410">
        <v>67940.828551810526</v>
      </c>
      <c r="Q1929" s="410">
        <v>73212.09813047784</v>
      </c>
      <c r="R1929" s="410">
        <v>78645.36246317187</v>
      </c>
      <c r="S1929" s="410">
        <v>84368.143059180002</v>
      </c>
      <c r="T1929" s="410">
        <v>90262.607073068415</v>
      </c>
      <c r="U1929" s="410">
        <v>96333.905007373483</v>
      </c>
      <c r="V1929" s="410">
        <v>102587.34187970767</v>
      </c>
      <c r="W1929" s="333"/>
    </row>
    <row r="1930" spans="1:23" x14ac:dyDescent="0.2">
      <c r="A1930" s="9"/>
      <c r="B1930" s="315" t="s">
        <v>39</v>
      </c>
      <c r="C1930" s="449">
        <v>0</v>
      </c>
      <c r="D1930" s="410">
        <v>-14879.11</v>
      </c>
      <c r="E1930" s="410">
        <v>-378160.86</v>
      </c>
      <c r="F1930" s="410">
        <v>-15780.83</v>
      </c>
      <c r="G1930" s="410">
        <v>-16310.09</v>
      </c>
      <c r="H1930" s="410">
        <v>-88150.02</v>
      </c>
      <c r="I1930" s="410">
        <v>-90794.520600000003</v>
      </c>
      <c r="J1930" s="410">
        <v>-93518.356218000001</v>
      </c>
      <c r="K1930" s="410">
        <v>-96323.90690454001</v>
      </c>
      <c r="L1930" s="410">
        <v>-99213.62411167621</v>
      </c>
      <c r="M1930" s="410">
        <v>-102190.0328350265</v>
      </c>
      <c r="N1930" s="410">
        <v>-105255.73382007731</v>
      </c>
      <c r="O1930" s="410">
        <v>-108413.40583467964</v>
      </c>
      <c r="P1930" s="410">
        <v>-111665.80800972003</v>
      </c>
      <c r="Q1930" s="410">
        <v>-115015.78225001163</v>
      </c>
      <c r="R1930" s="410">
        <v>-118466.25571751199</v>
      </c>
      <c r="S1930" s="410">
        <v>-122020.24338903735</v>
      </c>
      <c r="T1930" s="410">
        <v>-125680.85069070848</v>
      </c>
      <c r="U1930" s="410">
        <v>-129451.27621142974</v>
      </c>
      <c r="V1930" s="410">
        <v>-133334.81449777263</v>
      </c>
      <c r="W1930" s="333"/>
    </row>
    <row r="1931" spans="1:23" ht="13.5" thickBot="1" x14ac:dyDescent="0.25">
      <c r="A1931" s="9"/>
      <c r="B1931" s="316" t="s">
        <v>40</v>
      </c>
      <c r="C1931" s="450">
        <v>0</v>
      </c>
      <c r="D1931" s="412">
        <v>0</v>
      </c>
      <c r="E1931" s="412">
        <v>0</v>
      </c>
      <c r="F1931" s="412">
        <v>0</v>
      </c>
      <c r="G1931" s="412">
        <v>0</v>
      </c>
      <c r="H1931" s="412">
        <v>0</v>
      </c>
      <c r="I1931" s="412">
        <v>0</v>
      </c>
      <c r="J1931" s="412">
        <v>0</v>
      </c>
      <c r="K1931" s="412">
        <v>0</v>
      </c>
      <c r="L1931" s="412">
        <v>0</v>
      </c>
      <c r="M1931" s="412">
        <v>0</v>
      </c>
      <c r="N1931" s="412">
        <v>0</v>
      </c>
      <c r="O1931" s="412">
        <v>0</v>
      </c>
      <c r="P1931" s="412">
        <v>0</v>
      </c>
      <c r="Q1931" s="412">
        <v>0</v>
      </c>
      <c r="R1931" s="412">
        <v>0</v>
      </c>
      <c r="S1931" s="412">
        <v>0</v>
      </c>
      <c r="T1931" s="412">
        <v>0</v>
      </c>
      <c r="U1931" s="412">
        <v>0</v>
      </c>
      <c r="V1931" s="412">
        <v>0</v>
      </c>
      <c r="W1931" s="333"/>
    </row>
    <row r="1932" spans="1:23" ht="13.5" thickTop="1" x14ac:dyDescent="0.2">
      <c r="A1932" s="9"/>
      <c r="B1932" s="315"/>
      <c r="C1932" s="453"/>
      <c r="D1932" s="333"/>
      <c r="E1932" s="333"/>
      <c r="F1932" s="333"/>
      <c r="G1932" s="333"/>
      <c r="H1932" s="333"/>
      <c r="I1932" s="333"/>
      <c r="J1932" s="333"/>
      <c r="K1932" s="333"/>
      <c r="L1932" s="333"/>
      <c r="M1932" s="333"/>
      <c r="N1932" s="333"/>
      <c r="O1932" s="333"/>
      <c r="P1932" s="333"/>
      <c r="Q1932" s="333"/>
      <c r="R1932" s="333"/>
      <c r="S1932" s="333"/>
      <c r="T1932" s="333"/>
      <c r="U1932" s="333"/>
      <c r="V1932" s="333"/>
      <c r="W1932" s="333"/>
    </row>
    <row r="1933" spans="1:23" x14ac:dyDescent="0.2">
      <c r="A1933" s="9"/>
      <c r="B1933" s="317" t="s">
        <v>234</v>
      </c>
      <c r="C1933" s="452">
        <v>0</v>
      </c>
      <c r="D1933" s="416">
        <v>3790322.0054865484</v>
      </c>
      <c r="E1933" s="416">
        <v>2533065.5040792357</v>
      </c>
      <c r="F1933" s="416">
        <v>2612383.3015890149</v>
      </c>
      <c r="G1933" s="416">
        <v>2264641.8790551214</v>
      </c>
      <c r="H1933" s="416">
        <v>2138068.5418488821</v>
      </c>
      <c r="I1933" s="416">
        <v>2077333.1282959604</v>
      </c>
      <c r="J1933" s="416">
        <v>1877192.8363165392</v>
      </c>
      <c r="K1933" s="416">
        <v>2000862.5092627527</v>
      </c>
      <c r="L1933" s="416">
        <v>2052174.0243210089</v>
      </c>
      <c r="M1933" s="416">
        <v>2099995.5102426363</v>
      </c>
      <c r="N1933" s="416">
        <v>1597389.7256838642</v>
      </c>
      <c r="O1933" s="416">
        <v>1899589.4112504146</v>
      </c>
      <c r="P1933" s="416">
        <v>1768527.2829617725</v>
      </c>
      <c r="Q1933" s="416">
        <v>2235417.5551340273</v>
      </c>
      <c r="R1933" s="416">
        <v>1916724.2159103677</v>
      </c>
      <c r="S1933" s="416">
        <v>1519651.3553860299</v>
      </c>
      <c r="T1933" s="416">
        <v>1665078.3001484603</v>
      </c>
      <c r="U1933" s="416">
        <v>1951494.390327346</v>
      </c>
      <c r="V1933" s="416">
        <v>1708201.8460668665</v>
      </c>
      <c r="W1933" s="414">
        <v>11282696.881449491</v>
      </c>
    </row>
    <row r="1934" spans="1:23" x14ac:dyDescent="0.2">
      <c r="A1934" s="9"/>
      <c r="B1934" s="292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</row>
    <row r="1935" spans="1:23" x14ac:dyDescent="0.2">
      <c r="A1935" s="308" t="s">
        <v>219</v>
      </c>
      <c r="B1935" s="306" t="s">
        <v>170</v>
      </c>
      <c r="C1935" s="439">
        <v>10882718.863847189</v>
      </c>
      <c r="D1935" s="9"/>
      <c r="E1935" s="137" t="s">
        <v>220</v>
      </c>
      <c r="F1935" s="319" t="s">
        <v>170</v>
      </c>
      <c r="G1935" s="443">
        <v>10882718.863847189</v>
      </c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</row>
    <row r="1936" spans="1:23" x14ac:dyDescent="0.2">
      <c r="A1936" s="9"/>
      <c r="B1936" s="306" t="s">
        <v>180</v>
      </c>
      <c r="C1936" s="439">
        <v>9192439.5270100161</v>
      </c>
      <c r="D1936" s="9"/>
      <c r="E1936" s="321"/>
      <c r="F1936" s="319" t="s">
        <v>180</v>
      </c>
      <c r="G1936" s="443">
        <v>9192439.5270100161</v>
      </c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</row>
    <row r="1937" spans="1:23" ht="13.5" thickBot="1" x14ac:dyDescent="0.25">
      <c r="A1937" s="9"/>
      <c r="B1937" s="322" t="s">
        <v>137</v>
      </c>
      <c r="C1937" s="440">
        <v>1758958.3663500776</v>
      </c>
      <c r="D1937" s="323"/>
      <c r="E1937" s="321"/>
      <c r="F1937" s="319" t="s">
        <v>137</v>
      </c>
      <c r="G1937" s="443">
        <v>1758958.3663500776</v>
      </c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</row>
    <row r="1938" spans="1:23" ht="14.25" thickTop="1" thickBot="1" x14ac:dyDescent="0.25">
      <c r="A1938" s="9"/>
      <c r="B1938" s="306" t="s">
        <v>28</v>
      </c>
      <c r="C1938" s="438">
        <v>21834116.757207282</v>
      </c>
      <c r="D1938" s="305"/>
      <c r="E1938" s="321"/>
      <c r="F1938" s="324" t="s">
        <v>204</v>
      </c>
      <c r="G1938" s="325">
        <v>0</v>
      </c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</row>
    <row r="1939" spans="1:23" ht="13.5" thickTop="1" x14ac:dyDescent="0.2">
      <c r="A1939" s="9"/>
      <c r="B1939" s="292"/>
      <c r="C1939" s="326"/>
      <c r="D1939" s="9"/>
      <c r="E1939" s="327"/>
      <c r="F1939" s="319" t="s">
        <v>28</v>
      </c>
      <c r="G1939" s="368">
        <v>21834116.757207282</v>
      </c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</row>
    <row r="1940" spans="1:23" x14ac:dyDescent="0.2">
      <c r="A1940" s="9"/>
      <c r="B1940" s="292"/>
      <c r="C1940" s="326"/>
      <c r="D1940" s="9"/>
      <c r="E1940" s="327"/>
      <c r="F1940" s="319"/>
      <c r="G1940" s="328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</row>
    <row r="1941" spans="1:23" x14ac:dyDescent="0.2">
      <c r="A1941" s="9"/>
      <c r="B1941" s="292"/>
      <c r="C1941" s="326"/>
      <c r="D1941" s="9"/>
      <c r="E1941" s="327"/>
      <c r="F1941" s="319"/>
      <c r="G1941" s="328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</row>
    <row r="1942" spans="1:23" x14ac:dyDescent="0.2">
      <c r="A1942" s="9"/>
      <c r="B1942" s="329" t="s">
        <v>223</v>
      </c>
      <c r="C1942" s="326"/>
      <c r="D1942" s="9"/>
      <c r="E1942" s="327"/>
      <c r="F1942" s="319"/>
      <c r="G1942" s="328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</row>
    <row r="1943" spans="1:23" x14ac:dyDescent="0.2">
      <c r="A1943" s="330" t="s">
        <v>225</v>
      </c>
      <c r="B1943" s="329" t="s">
        <v>224</v>
      </c>
      <c r="C1943" s="331"/>
      <c r="D1943" s="332">
        <v>1612660.4821948819</v>
      </c>
      <c r="E1943" s="332">
        <v>701067.70887833554</v>
      </c>
      <c r="F1943" s="332">
        <v>407363.9576814819</v>
      </c>
      <c r="G1943" s="332">
        <v>58185.975582488063</v>
      </c>
      <c r="H1943" s="332">
        <v>4596.0478070821609</v>
      </c>
      <c r="I1943" s="332">
        <v>-60931.892628206588</v>
      </c>
      <c r="J1943" s="332">
        <v>711725.28939868347</v>
      </c>
      <c r="K1943" s="332">
        <v>1917553.668685127</v>
      </c>
      <c r="L1943" s="332">
        <v>2091794.3263291859</v>
      </c>
      <c r="M1943" s="332">
        <v>2149842.2504584044</v>
      </c>
      <c r="N1943" s="332">
        <v>1645069.3512417797</v>
      </c>
      <c r="O1943" s="332">
        <v>1945299.4767973621</v>
      </c>
      <c r="P1943" s="332">
        <v>1812252.262419682</v>
      </c>
      <c r="Q1943" s="332">
        <v>2277221.239253561</v>
      </c>
      <c r="R1943" s="332">
        <v>1956545.1091647078</v>
      </c>
      <c r="S1943" s="332">
        <v>1557303.4557158872</v>
      </c>
      <c r="T1943" s="332">
        <v>1700496.5437661004</v>
      </c>
      <c r="U1943" s="332">
        <v>1984611.7615314021</v>
      </c>
      <c r="V1943" s="332">
        <v>1738949.3186849314</v>
      </c>
      <c r="W1943" s="9"/>
    </row>
    <row r="1944" spans="1:23" x14ac:dyDescent="0.2">
      <c r="A1944" s="9"/>
      <c r="B1944" s="292" t="s">
        <v>226</v>
      </c>
      <c r="C1944" s="326"/>
      <c r="D1944" s="333">
        <v>1075106.9881299213</v>
      </c>
      <c r="E1944" s="333">
        <v>467378.47258555703</v>
      </c>
      <c r="F1944" s="333">
        <v>271575.97178765462</v>
      </c>
      <c r="G1944" s="333">
        <v>38790.650388325383</v>
      </c>
      <c r="H1944" s="333">
        <v>3064.0318713881079</v>
      </c>
      <c r="I1944" s="333">
        <v>-40621.261752137732</v>
      </c>
      <c r="J1944" s="333">
        <v>474483.52626578906</v>
      </c>
      <c r="K1944" s="333">
        <v>1278369.1124567515</v>
      </c>
      <c r="L1944" s="333">
        <v>1394529.5508861241</v>
      </c>
      <c r="M1944" s="333">
        <v>1433228.16697227</v>
      </c>
      <c r="N1944" s="333">
        <v>1096712.9008278532</v>
      </c>
      <c r="O1944" s="333">
        <v>1296866.3178649081</v>
      </c>
      <c r="P1944" s="333">
        <v>1208168.1749464548</v>
      </c>
      <c r="Q1944" s="333">
        <v>1518147.4928357073</v>
      </c>
      <c r="R1944" s="333">
        <v>1304363.4061098052</v>
      </c>
      <c r="S1944" s="333">
        <v>1038202.3038105917</v>
      </c>
      <c r="T1944" s="333">
        <v>1133664.3625107338</v>
      </c>
      <c r="U1944" s="333">
        <v>1323074.5076876015</v>
      </c>
      <c r="V1944" s="333">
        <v>1159299.5457899543</v>
      </c>
      <c r="W1944" s="9"/>
    </row>
    <row r="1945" spans="1:23" x14ac:dyDescent="0.2">
      <c r="A1945" s="9"/>
      <c r="B1945" s="334" t="s">
        <v>227</v>
      </c>
      <c r="C1945" s="335"/>
      <c r="D1945" s="333">
        <v>2192540.6332916664</v>
      </c>
      <c r="E1945" s="333">
        <v>2210158.6552009</v>
      </c>
      <c r="F1945" s="333">
        <v>2220800.1739075333</v>
      </c>
      <c r="G1945" s="333">
        <v>2222765.9934726334</v>
      </c>
      <c r="H1945" s="333">
        <v>2221622.5140418001</v>
      </c>
      <c r="I1945" s="333">
        <v>2229059.5415241667</v>
      </c>
      <c r="J1945" s="333">
        <v>1258985.9031358557</v>
      </c>
      <c r="K1945" s="333">
        <v>179632.74748216567</v>
      </c>
      <c r="L1945" s="333">
        <v>59593.322103499304</v>
      </c>
      <c r="M1945" s="333">
        <v>52343.292619258624</v>
      </c>
      <c r="N1945" s="333">
        <v>57576.108262161724</v>
      </c>
      <c r="O1945" s="333">
        <v>62703.340287732244</v>
      </c>
      <c r="P1945" s="333">
        <v>67940.828551810526</v>
      </c>
      <c r="Q1945" s="333">
        <v>73212.09813047784</v>
      </c>
      <c r="R1945" s="333">
        <v>78645.36246317187</v>
      </c>
      <c r="S1945" s="333">
        <v>84368.143059180002</v>
      </c>
      <c r="T1945" s="333">
        <v>90262.607073068415</v>
      </c>
      <c r="U1945" s="333">
        <v>96333.905007373483</v>
      </c>
      <c r="V1945" s="333">
        <v>102587.34187970767</v>
      </c>
      <c r="W1945" s="9"/>
    </row>
    <row r="1946" spans="1:23" ht="13.5" thickBot="1" x14ac:dyDescent="0.25">
      <c r="A1946" s="9"/>
      <c r="B1946" s="336" t="s">
        <v>228</v>
      </c>
      <c r="C1946" s="337"/>
      <c r="D1946" s="338">
        <v>4880308.1036164695</v>
      </c>
      <c r="E1946" s="338">
        <v>3378604.8366647926</v>
      </c>
      <c r="F1946" s="338">
        <v>2899740.1033766698</v>
      </c>
      <c r="G1946" s="338">
        <v>2319742.6194434469</v>
      </c>
      <c r="H1946" s="338">
        <v>2229282.5937202703</v>
      </c>
      <c r="I1946" s="338">
        <v>2127506.3871438224</v>
      </c>
      <c r="J1946" s="338">
        <v>2445194.7188003282</v>
      </c>
      <c r="K1946" s="338">
        <v>3375555.5286240443</v>
      </c>
      <c r="L1946" s="338">
        <v>3545917.1993188094</v>
      </c>
      <c r="M1946" s="338">
        <v>3635413.7100499333</v>
      </c>
      <c r="N1946" s="338">
        <v>2799358.3603317947</v>
      </c>
      <c r="O1946" s="338">
        <v>3304869.1349500027</v>
      </c>
      <c r="P1946" s="338">
        <v>3088361.2659179475</v>
      </c>
      <c r="Q1946" s="338">
        <v>3868580.8302197461</v>
      </c>
      <c r="R1946" s="338">
        <v>3339553.8777376851</v>
      </c>
      <c r="S1946" s="338">
        <v>2679873.9025856592</v>
      </c>
      <c r="T1946" s="338">
        <v>2924423.5133499028</v>
      </c>
      <c r="U1946" s="338">
        <v>3404020.1742263772</v>
      </c>
      <c r="V1946" s="338">
        <v>3000836.2063545934</v>
      </c>
      <c r="W1946" s="9"/>
    </row>
    <row r="1947" spans="1:23" ht="13.5" thickTop="1" x14ac:dyDescent="0.2">
      <c r="A1947" s="330" t="s">
        <v>229</v>
      </c>
      <c r="B1947" s="292" t="s">
        <v>230</v>
      </c>
      <c r="C1947" s="326"/>
      <c r="D1947" s="333">
        <v>-1830966.4370308665</v>
      </c>
      <c r="E1947" s="333">
        <v>-1849874.4800308666</v>
      </c>
      <c r="F1947" s="333">
        <v>-1850663.5215308666</v>
      </c>
      <c r="G1947" s="333">
        <v>-1851479.0260308667</v>
      </c>
      <c r="H1947" s="333">
        <v>-1855886.5270308666</v>
      </c>
      <c r="I1947" s="333">
        <v>-1860426.2530608666</v>
      </c>
      <c r="J1947" s="333">
        <v>-1865102.1708717665</v>
      </c>
      <c r="K1947" s="333">
        <v>-1869918.3662169937</v>
      </c>
      <c r="L1947" s="333">
        <v>-1874879.0474225774</v>
      </c>
      <c r="M1947" s="333">
        <v>-1879988.5490643287</v>
      </c>
      <c r="N1947" s="333">
        <v>-1885251.3357553326</v>
      </c>
      <c r="O1947" s="333">
        <v>-1890672.0060470665</v>
      </c>
      <c r="P1947" s="333">
        <v>-1896255.2964475525</v>
      </c>
      <c r="Q1947" s="333">
        <v>-1902006.0855600531</v>
      </c>
      <c r="R1947" s="333">
        <v>-544532.43501260015</v>
      </c>
      <c r="S1947" s="333">
        <v>-161892.5771820473</v>
      </c>
      <c r="T1947" s="333">
        <v>-168176.6197165827</v>
      </c>
      <c r="U1947" s="333">
        <v>-174649.18352715421</v>
      </c>
      <c r="V1947" s="333">
        <v>-181315.92425204284</v>
      </c>
      <c r="W1947" s="9"/>
    </row>
    <row r="1948" spans="1:23" x14ac:dyDescent="0.2">
      <c r="A1948" s="9"/>
      <c r="B1948" s="292" t="s">
        <v>231</v>
      </c>
      <c r="C1948" s="326"/>
      <c r="D1948" s="333">
        <v>0</v>
      </c>
      <c r="E1948" s="333">
        <v>0</v>
      </c>
      <c r="F1948" s="333">
        <v>0</v>
      </c>
      <c r="G1948" s="333">
        <v>0</v>
      </c>
      <c r="H1948" s="333">
        <v>0</v>
      </c>
      <c r="I1948" s="333">
        <v>0</v>
      </c>
      <c r="J1948" s="333">
        <v>0</v>
      </c>
      <c r="K1948" s="333">
        <v>0</v>
      </c>
      <c r="L1948" s="333">
        <v>0</v>
      </c>
      <c r="M1948" s="333">
        <v>0</v>
      </c>
      <c r="N1948" s="333">
        <v>0</v>
      </c>
      <c r="O1948" s="333">
        <v>0</v>
      </c>
      <c r="P1948" s="333">
        <v>0</v>
      </c>
      <c r="Q1948" s="333">
        <v>0</v>
      </c>
      <c r="R1948" s="333">
        <v>0</v>
      </c>
      <c r="S1948" s="333">
        <v>0</v>
      </c>
      <c r="T1948" s="333">
        <v>0</v>
      </c>
      <c r="U1948" s="333">
        <v>0</v>
      </c>
      <c r="V1948" s="333">
        <v>0</v>
      </c>
      <c r="W1948" s="9"/>
    </row>
    <row r="1949" spans="1:23" x14ac:dyDescent="0.2">
      <c r="A1949" s="9"/>
      <c r="B1949" s="329" t="s">
        <v>232</v>
      </c>
      <c r="C1949" s="331"/>
      <c r="D1949" s="332">
        <v>3049341.6665856028</v>
      </c>
      <c r="E1949" s="332">
        <v>1528730.356633926</v>
      </c>
      <c r="F1949" s="332">
        <v>1049076.5818458032</v>
      </c>
      <c r="G1949" s="332">
        <v>468263.5934125802</v>
      </c>
      <c r="H1949" s="332">
        <v>373396.06668940373</v>
      </c>
      <c r="I1949" s="332">
        <v>267080.13408295577</v>
      </c>
      <c r="J1949" s="332">
        <v>580092.54792856169</v>
      </c>
      <c r="K1949" s="332">
        <v>1505637.1624070506</v>
      </c>
      <c r="L1949" s="332">
        <v>1671038.151896232</v>
      </c>
      <c r="M1949" s="332">
        <v>1755425.1609856046</v>
      </c>
      <c r="N1949" s="332">
        <v>914107.02457646211</v>
      </c>
      <c r="O1949" s="332">
        <v>1414197.1289029361</v>
      </c>
      <c r="P1949" s="332">
        <v>1192105.969470395</v>
      </c>
      <c r="Q1949" s="332">
        <v>1966574.744659693</v>
      </c>
      <c r="R1949" s="332">
        <v>2795021.4427250847</v>
      </c>
      <c r="S1949" s="332">
        <v>2517981.3254036121</v>
      </c>
      <c r="T1949" s="332">
        <v>2756246.89363332</v>
      </c>
      <c r="U1949" s="332">
        <v>3229370.9906992228</v>
      </c>
      <c r="V1949" s="332">
        <v>2819520.2821025504</v>
      </c>
      <c r="W1949" s="9"/>
    </row>
    <row r="1950" spans="1:23" ht="13.5" thickBot="1" x14ac:dyDescent="0.25">
      <c r="A1950" s="9"/>
      <c r="B1950" s="339" t="s">
        <v>238</v>
      </c>
      <c r="C1950" s="340"/>
      <c r="D1950" s="341">
        <v>-1219736.6666342411</v>
      </c>
      <c r="E1950" s="341">
        <v>-611492.14265357039</v>
      </c>
      <c r="F1950" s="341">
        <v>-419630.63273832132</v>
      </c>
      <c r="G1950" s="341">
        <v>-187305.43736503209</v>
      </c>
      <c r="H1950" s="341">
        <v>-149358.4266757615</v>
      </c>
      <c r="I1950" s="341">
        <v>-106832.05363318231</v>
      </c>
      <c r="J1950" s="341">
        <v>-232037.01917142468</v>
      </c>
      <c r="K1950" s="341">
        <v>-602254.86496282031</v>
      </c>
      <c r="L1950" s="341">
        <v>-668415.26075849286</v>
      </c>
      <c r="M1950" s="341">
        <v>-702170.0643942419</v>
      </c>
      <c r="N1950" s="341">
        <v>-365642.80983058485</v>
      </c>
      <c r="O1950" s="341">
        <v>-565678.8515611745</v>
      </c>
      <c r="P1950" s="341">
        <v>-476842.38778815803</v>
      </c>
      <c r="Q1950" s="341">
        <v>-786629.89786387724</v>
      </c>
      <c r="R1950" s="341">
        <v>-1118008.577090034</v>
      </c>
      <c r="S1950" s="341">
        <v>-1007192.5301614449</v>
      </c>
      <c r="T1950" s="341">
        <v>-1102498.757453328</v>
      </c>
      <c r="U1950" s="341">
        <v>-1291748.3962796892</v>
      </c>
      <c r="V1950" s="341">
        <v>-1127808.1128410201</v>
      </c>
      <c r="W1950" s="9"/>
    </row>
    <row r="1951" spans="1:23" ht="13.5" thickTop="1" x14ac:dyDescent="0.2">
      <c r="A1951" s="9"/>
      <c r="B1951" s="329" t="s">
        <v>233</v>
      </c>
      <c r="C1951" s="331"/>
      <c r="D1951" s="332">
        <v>1829604.9999513617</v>
      </c>
      <c r="E1951" s="332">
        <v>917238.21398035565</v>
      </c>
      <c r="F1951" s="332">
        <v>629445.94910748187</v>
      </c>
      <c r="G1951" s="332">
        <v>280958.15604754811</v>
      </c>
      <c r="H1951" s="332">
        <v>224037.64001364223</v>
      </c>
      <c r="I1951" s="332">
        <v>160248.08044977346</v>
      </c>
      <c r="J1951" s="332">
        <v>348055.52875713701</v>
      </c>
      <c r="K1951" s="332">
        <v>903382.29744423029</v>
      </c>
      <c r="L1951" s="332">
        <v>1002622.8911377392</v>
      </c>
      <c r="M1951" s="332">
        <v>1053255.0965913627</v>
      </c>
      <c r="N1951" s="332">
        <v>548464.21474587731</v>
      </c>
      <c r="O1951" s="332">
        <v>848518.27734176163</v>
      </c>
      <c r="P1951" s="332">
        <v>715263.58168223698</v>
      </c>
      <c r="Q1951" s="332">
        <v>1179944.8467958157</v>
      </c>
      <c r="R1951" s="332">
        <v>1677012.8656350507</v>
      </c>
      <c r="S1951" s="332">
        <v>1510788.7952421671</v>
      </c>
      <c r="T1951" s="332">
        <v>1653748.136179992</v>
      </c>
      <c r="U1951" s="332">
        <v>1937622.5944195336</v>
      </c>
      <c r="V1951" s="332">
        <v>1691712.1692615303</v>
      </c>
      <c r="W1951" s="9"/>
    </row>
    <row r="1952" spans="1:23" x14ac:dyDescent="0.2">
      <c r="A1952" s="9"/>
      <c r="B1952" s="9"/>
      <c r="C1952" s="326"/>
      <c r="D1952" s="9"/>
      <c r="E1952" s="327"/>
      <c r="F1952" s="319"/>
      <c r="G1952" s="328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</row>
    <row r="1953" spans="1:23" ht="15.75" x14ac:dyDescent="0.25">
      <c r="A1953" s="342" t="s">
        <v>206</v>
      </c>
      <c r="B1953" s="343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</row>
    <row r="1954" spans="1:23" x14ac:dyDescent="0.2">
      <c r="A1954" s="290" t="s">
        <v>191</v>
      </c>
      <c r="B1954" s="309"/>
      <c r="C1954" s="344">
        <v>0</v>
      </c>
      <c r="D1954" s="283"/>
      <c r="E1954" s="283"/>
      <c r="F1954" s="283"/>
      <c r="G1954" s="283"/>
      <c r="H1954" s="283"/>
      <c r="I1954" s="283"/>
      <c r="J1954" s="283"/>
      <c r="K1954" s="283"/>
      <c r="L1954" s="283"/>
      <c r="M1954" s="283"/>
      <c r="N1954" s="283"/>
      <c r="O1954" s="283"/>
      <c r="P1954" s="283"/>
      <c r="Q1954" s="283"/>
      <c r="R1954" s="283"/>
      <c r="S1954" s="283"/>
      <c r="T1954" s="283"/>
      <c r="U1954" s="283"/>
      <c r="V1954" s="283"/>
      <c r="W1954" s="283"/>
    </row>
    <row r="1955" spans="1:23" x14ac:dyDescent="0.2">
      <c r="A1955" s="290" t="s">
        <v>192</v>
      </c>
      <c r="B1955" s="309"/>
      <c r="C1955" s="345">
        <v>0</v>
      </c>
      <c r="D1955" s="283"/>
      <c r="E1955" s="283"/>
      <c r="F1955" s="283"/>
      <c r="G1955" s="283"/>
      <c r="H1955" s="283"/>
      <c r="I1955" s="283"/>
      <c r="J1955" s="283"/>
      <c r="K1955" s="283"/>
      <c r="L1955" s="283"/>
      <c r="M1955" s="283"/>
      <c r="N1955" s="283"/>
      <c r="O1955" s="283"/>
      <c r="P1955" s="283"/>
      <c r="Q1955" s="283"/>
      <c r="R1955" s="283"/>
      <c r="S1955" s="283"/>
      <c r="T1955" s="283"/>
      <c r="U1955" s="283"/>
      <c r="V1955" s="283"/>
      <c r="W1955" s="283"/>
    </row>
    <row r="1956" spans="1:23" x14ac:dyDescent="0.2">
      <c r="A1956" s="290" t="s">
        <v>202</v>
      </c>
      <c r="B1956" s="309"/>
      <c r="C1956" s="290">
        <v>15</v>
      </c>
      <c r="D1956" s="283"/>
      <c r="E1956" s="283"/>
      <c r="F1956" s="283"/>
      <c r="G1956" s="283"/>
      <c r="H1956" s="283"/>
      <c r="I1956" s="283"/>
      <c r="J1956" s="283"/>
      <c r="K1956" s="283"/>
      <c r="L1956" s="283"/>
      <c r="M1956" s="283"/>
      <c r="N1956" s="283"/>
      <c r="O1956" s="283"/>
      <c r="P1956" s="283"/>
      <c r="Q1956" s="283"/>
      <c r="R1956" s="283"/>
      <c r="S1956" s="283"/>
      <c r="T1956" s="283"/>
      <c r="U1956" s="283"/>
      <c r="V1956" s="283"/>
      <c r="W1956" s="283"/>
    </row>
    <row r="1957" spans="1:23" x14ac:dyDescent="0.2">
      <c r="A1957" s="290" t="s">
        <v>193</v>
      </c>
      <c r="B1957" s="309"/>
      <c r="C1957" s="345">
        <v>0</v>
      </c>
      <c r="D1957" s="283"/>
      <c r="E1957" s="283"/>
      <c r="F1957" s="283"/>
      <c r="G1957" s="283"/>
      <c r="H1957" s="283"/>
      <c r="I1957" s="283"/>
      <c r="J1957" s="283"/>
      <c r="K1957" s="283"/>
      <c r="L1957" s="283"/>
      <c r="M1957" s="283"/>
      <c r="N1957" s="283"/>
      <c r="O1957" s="283"/>
      <c r="P1957" s="283"/>
      <c r="Q1957" s="283"/>
      <c r="R1957" s="283"/>
      <c r="S1957" s="283"/>
      <c r="T1957" s="283"/>
      <c r="U1957" s="283"/>
      <c r="V1957" s="283"/>
      <c r="W1957" s="283"/>
    </row>
    <row r="1958" spans="1:23" x14ac:dyDescent="0.2">
      <c r="A1958" s="290" t="s">
        <v>194</v>
      </c>
      <c r="B1958" s="309"/>
      <c r="C1958" s="346">
        <v>8.7499999999999994E-2</v>
      </c>
      <c r="D1958" s="283"/>
      <c r="E1958" s="283"/>
      <c r="F1958" s="283"/>
      <c r="G1958" s="283"/>
      <c r="H1958" s="283"/>
      <c r="I1958" s="283"/>
      <c r="J1958" s="283"/>
      <c r="K1958" s="283"/>
      <c r="L1958" s="283"/>
      <c r="M1958" s="283"/>
      <c r="N1958" s="283"/>
      <c r="O1958" s="283"/>
      <c r="P1958" s="283"/>
      <c r="Q1958" s="283"/>
      <c r="R1958" s="283"/>
      <c r="S1958" s="283"/>
      <c r="T1958" s="283"/>
      <c r="U1958" s="283"/>
      <c r="V1958" s="283"/>
      <c r="W1958" s="283"/>
    </row>
    <row r="1959" spans="1:23" x14ac:dyDescent="0.2">
      <c r="A1959" s="290"/>
      <c r="B1959" s="309"/>
      <c r="C1959" s="283"/>
      <c r="D1959" s="312">
        <v>2001</v>
      </c>
      <c r="E1959" s="312">
        <v>2002</v>
      </c>
      <c r="F1959" s="312">
        <v>2003</v>
      </c>
      <c r="G1959" s="312">
        <v>2004</v>
      </c>
      <c r="H1959" s="312">
        <v>2005</v>
      </c>
      <c r="I1959" s="312">
        <v>2006</v>
      </c>
      <c r="J1959" s="312">
        <v>2007</v>
      </c>
      <c r="K1959" s="312">
        <v>2008</v>
      </c>
      <c r="L1959" s="312">
        <v>2009</v>
      </c>
      <c r="M1959" s="312">
        <v>2010</v>
      </c>
      <c r="N1959" s="312">
        <v>2011</v>
      </c>
      <c r="O1959" s="312">
        <v>2012</v>
      </c>
      <c r="P1959" s="312">
        <v>2013</v>
      </c>
      <c r="Q1959" s="312">
        <v>2014</v>
      </c>
      <c r="R1959" s="312">
        <v>2015</v>
      </c>
      <c r="S1959" s="312">
        <v>2016</v>
      </c>
      <c r="T1959" s="312">
        <v>2017</v>
      </c>
      <c r="U1959" s="312">
        <v>2018</v>
      </c>
      <c r="V1959" s="312">
        <v>2019</v>
      </c>
      <c r="W1959" s="312" t="s">
        <v>154</v>
      </c>
    </row>
    <row r="1960" spans="1:23" x14ac:dyDescent="0.2">
      <c r="A1960" s="290" t="s">
        <v>195</v>
      </c>
      <c r="B1960" s="309"/>
      <c r="C1960" s="283"/>
      <c r="D1960" s="347">
        <v>0</v>
      </c>
      <c r="E1960" s="347">
        <v>0</v>
      </c>
      <c r="F1960" s="347">
        <v>0</v>
      </c>
      <c r="G1960" s="347">
        <v>0</v>
      </c>
      <c r="H1960" s="347">
        <v>0</v>
      </c>
      <c r="I1960" s="347">
        <v>0</v>
      </c>
      <c r="J1960" s="347">
        <v>0</v>
      </c>
      <c r="K1960" s="347">
        <v>0</v>
      </c>
      <c r="L1960" s="347">
        <v>0</v>
      </c>
      <c r="M1960" s="347">
        <v>0</v>
      </c>
      <c r="N1960" s="347">
        <v>0</v>
      </c>
      <c r="O1960" s="347">
        <v>0</v>
      </c>
      <c r="P1960" s="347">
        <v>0</v>
      </c>
      <c r="Q1960" s="347">
        <v>0</v>
      </c>
      <c r="R1960" s="347">
        <v>0</v>
      </c>
      <c r="S1960" s="347">
        <v>0</v>
      </c>
      <c r="T1960" s="347">
        <v>0</v>
      </c>
      <c r="U1960" s="347">
        <v>0</v>
      </c>
      <c r="V1960" s="347">
        <v>0</v>
      </c>
      <c r="W1960" s="347">
        <v>0</v>
      </c>
    </row>
    <row r="1961" spans="1:23" x14ac:dyDescent="0.2">
      <c r="A1961" s="290" t="s">
        <v>196</v>
      </c>
      <c r="B1961" s="309"/>
      <c r="C1961" s="283"/>
      <c r="D1961" s="347">
        <v>0</v>
      </c>
      <c r="E1961" s="347">
        <v>0</v>
      </c>
      <c r="F1961" s="347">
        <v>0</v>
      </c>
      <c r="G1961" s="347">
        <v>0</v>
      </c>
      <c r="H1961" s="347">
        <v>0</v>
      </c>
      <c r="I1961" s="347">
        <v>0</v>
      </c>
      <c r="J1961" s="347">
        <v>0</v>
      </c>
      <c r="K1961" s="347">
        <v>0</v>
      </c>
      <c r="L1961" s="347">
        <v>0</v>
      </c>
      <c r="M1961" s="347">
        <v>0</v>
      </c>
      <c r="N1961" s="347">
        <v>0</v>
      </c>
      <c r="O1961" s="347">
        <v>0</v>
      </c>
      <c r="P1961" s="347">
        <v>0</v>
      </c>
      <c r="Q1961" s="347">
        <v>0</v>
      </c>
      <c r="R1961" s="347">
        <v>0</v>
      </c>
      <c r="S1961" s="347">
        <v>0</v>
      </c>
      <c r="T1961" s="347">
        <v>0</v>
      </c>
      <c r="U1961" s="347">
        <v>0</v>
      </c>
      <c r="V1961" s="347">
        <v>0</v>
      </c>
      <c r="W1961" s="347">
        <v>0</v>
      </c>
    </row>
    <row r="1962" spans="1:23" x14ac:dyDescent="0.2">
      <c r="A1962" s="290" t="s">
        <v>197</v>
      </c>
      <c r="B1962" s="309"/>
      <c r="C1962" s="283"/>
      <c r="D1962" s="347">
        <v>0</v>
      </c>
      <c r="E1962" s="347">
        <v>0</v>
      </c>
      <c r="F1962" s="347">
        <v>0</v>
      </c>
      <c r="G1962" s="347">
        <v>0</v>
      </c>
      <c r="H1962" s="347">
        <v>0</v>
      </c>
      <c r="I1962" s="347">
        <v>0</v>
      </c>
      <c r="J1962" s="347">
        <v>0</v>
      </c>
      <c r="K1962" s="347">
        <v>0</v>
      </c>
      <c r="L1962" s="347">
        <v>0</v>
      </c>
      <c r="M1962" s="347">
        <v>0</v>
      </c>
      <c r="N1962" s="347">
        <v>0</v>
      </c>
      <c r="O1962" s="347">
        <v>0</v>
      </c>
      <c r="P1962" s="347">
        <v>0</v>
      </c>
      <c r="Q1962" s="347">
        <v>0</v>
      </c>
      <c r="R1962" s="347">
        <v>0</v>
      </c>
      <c r="S1962" s="347">
        <v>0</v>
      </c>
      <c r="T1962" s="347">
        <v>0</v>
      </c>
      <c r="U1962" s="347">
        <v>0</v>
      </c>
      <c r="V1962" s="347">
        <v>0</v>
      </c>
      <c r="W1962" s="347">
        <v>0</v>
      </c>
    </row>
    <row r="1963" spans="1:23" x14ac:dyDescent="0.2">
      <c r="A1963" s="290" t="s">
        <v>198</v>
      </c>
      <c r="B1963" s="309"/>
      <c r="C1963" s="283"/>
      <c r="D1963" s="348">
        <v>0</v>
      </c>
      <c r="E1963" s="348">
        <v>0</v>
      </c>
      <c r="F1963" s="348">
        <v>0</v>
      </c>
      <c r="G1963" s="348">
        <v>0</v>
      </c>
      <c r="H1963" s="348">
        <v>0</v>
      </c>
      <c r="I1963" s="348">
        <v>0</v>
      </c>
      <c r="J1963" s="348">
        <v>0</v>
      </c>
      <c r="K1963" s="348">
        <v>0</v>
      </c>
      <c r="L1963" s="348">
        <v>0</v>
      </c>
      <c r="M1963" s="348">
        <v>0</v>
      </c>
      <c r="N1963" s="348">
        <v>0</v>
      </c>
      <c r="O1963" s="348">
        <v>0</v>
      </c>
      <c r="P1963" s="348">
        <v>0</v>
      </c>
      <c r="Q1963" s="348">
        <v>0</v>
      </c>
      <c r="R1963" s="348">
        <v>0</v>
      </c>
      <c r="S1963" s="348">
        <v>0</v>
      </c>
      <c r="T1963" s="348">
        <v>0</v>
      </c>
      <c r="U1963" s="348">
        <v>0</v>
      </c>
      <c r="V1963" s="348">
        <v>0</v>
      </c>
      <c r="W1963" s="348">
        <v>0</v>
      </c>
    </row>
    <row r="1964" spans="1:23" ht="13.5" thickBot="1" x14ac:dyDescent="0.25">
      <c r="A1964" s="290" t="s">
        <v>199</v>
      </c>
      <c r="B1964" s="309"/>
      <c r="C1964" s="283"/>
      <c r="D1964" s="349">
        <v>0</v>
      </c>
      <c r="E1964" s="349">
        <v>0</v>
      </c>
      <c r="F1964" s="349">
        <v>0</v>
      </c>
      <c r="G1964" s="349">
        <v>0</v>
      </c>
      <c r="H1964" s="349">
        <v>0</v>
      </c>
      <c r="I1964" s="349">
        <v>0</v>
      </c>
      <c r="J1964" s="349">
        <v>0</v>
      </c>
      <c r="K1964" s="349">
        <v>0</v>
      </c>
      <c r="L1964" s="349">
        <v>0</v>
      </c>
      <c r="M1964" s="349">
        <v>0</v>
      </c>
      <c r="N1964" s="349">
        <v>0</v>
      </c>
      <c r="O1964" s="349">
        <v>0</v>
      </c>
      <c r="P1964" s="349">
        <v>0</v>
      </c>
      <c r="Q1964" s="349">
        <v>0</v>
      </c>
      <c r="R1964" s="349">
        <v>0</v>
      </c>
      <c r="S1964" s="349">
        <v>0</v>
      </c>
      <c r="T1964" s="349">
        <v>0</v>
      </c>
      <c r="U1964" s="349">
        <v>0</v>
      </c>
      <c r="V1964" s="349">
        <v>0</v>
      </c>
      <c r="W1964" s="349">
        <v>0</v>
      </c>
    </row>
    <row r="1965" spans="1:23" ht="13.5" thickTop="1" x14ac:dyDescent="0.2">
      <c r="A1965" s="290"/>
      <c r="B1965" s="309"/>
      <c r="C1965" s="283"/>
      <c r="D1965" s="347"/>
      <c r="E1965" s="347"/>
      <c r="F1965" s="347"/>
      <c r="G1965" s="347"/>
      <c r="H1965" s="347"/>
      <c r="I1965" s="347"/>
      <c r="J1965" s="347"/>
      <c r="K1965" s="347"/>
      <c r="L1965" s="347"/>
      <c r="M1965" s="347"/>
      <c r="N1965" s="347"/>
      <c r="O1965" s="347"/>
      <c r="P1965" s="347"/>
      <c r="Q1965" s="347"/>
      <c r="R1965" s="347"/>
      <c r="S1965" s="347"/>
      <c r="T1965" s="347"/>
      <c r="U1965" s="347"/>
      <c r="V1965" s="347"/>
      <c r="W1965" s="347"/>
    </row>
    <row r="1966" spans="1:23" x14ac:dyDescent="0.2">
      <c r="A1966" s="290" t="s">
        <v>200</v>
      </c>
      <c r="B1966" s="309"/>
      <c r="C1966" s="283"/>
      <c r="D1966" s="347">
        <v>0</v>
      </c>
      <c r="E1966" s="347">
        <v>0</v>
      </c>
      <c r="F1966" s="347">
        <v>0</v>
      </c>
      <c r="G1966" s="347">
        <v>0</v>
      </c>
      <c r="H1966" s="347">
        <v>0</v>
      </c>
      <c r="I1966" s="347">
        <v>0</v>
      </c>
      <c r="J1966" s="347">
        <v>0</v>
      </c>
      <c r="K1966" s="347">
        <v>0</v>
      </c>
      <c r="L1966" s="347">
        <v>0</v>
      </c>
      <c r="M1966" s="347">
        <v>0</v>
      </c>
      <c r="N1966" s="347">
        <v>0</v>
      </c>
      <c r="O1966" s="347">
        <v>0</v>
      </c>
      <c r="P1966" s="347">
        <v>0</v>
      </c>
      <c r="Q1966" s="347">
        <v>0</v>
      </c>
      <c r="R1966" s="347">
        <v>0</v>
      </c>
      <c r="S1966" s="347">
        <v>0</v>
      </c>
      <c r="T1966" s="347">
        <v>0</v>
      </c>
      <c r="U1966" s="347">
        <v>0</v>
      </c>
      <c r="V1966" s="347">
        <v>0</v>
      </c>
      <c r="W1966" s="347">
        <v>0</v>
      </c>
    </row>
    <row r="1967" spans="1:23" x14ac:dyDescent="0.2">
      <c r="A1967" s="290"/>
      <c r="B1967" s="309"/>
      <c r="C1967" s="283"/>
      <c r="D1967" s="283"/>
      <c r="E1967" s="283"/>
      <c r="F1967" s="283"/>
      <c r="G1967" s="283"/>
      <c r="H1967" s="283"/>
      <c r="I1967" s="283"/>
      <c r="J1967" s="283"/>
      <c r="K1967" s="283"/>
      <c r="L1967" s="283"/>
      <c r="M1967" s="283"/>
      <c r="N1967" s="283"/>
      <c r="O1967" s="283"/>
      <c r="P1967" s="283"/>
      <c r="Q1967" s="283"/>
      <c r="R1967" s="283"/>
      <c r="S1967" s="283"/>
      <c r="T1967" s="283"/>
      <c r="U1967" s="283"/>
      <c r="V1967" s="283"/>
      <c r="W1967" s="283"/>
    </row>
    <row r="1968" spans="1:23" x14ac:dyDescent="0.2">
      <c r="A1968" s="290" t="s">
        <v>201</v>
      </c>
      <c r="B1968" s="309"/>
      <c r="C1968" s="283"/>
      <c r="D1968" s="347">
        <v>0</v>
      </c>
      <c r="E1968" s="347">
        <v>0</v>
      </c>
      <c r="F1968" s="347">
        <v>0</v>
      </c>
      <c r="G1968" s="347">
        <v>0</v>
      </c>
      <c r="H1968" s="347">
        <v>0</v>
      </c>
      <c r="I1968" s="347">
        <v>0</v>
      </c>
      <c r="J1968" s="347">
        <v>0</v>
      </c>
      <c r="K1968" s="347">
        <v>0</v>
      </c>
      <c r="L1968" s="347">
        <v>0</v>
      </c>
      <c r="M1968" s="347">
        <v>0</v>
      </c>
      <c r="N1968" s="347">
        <v>0</v>
      </c>
      <c r="O1968" s="347">
        <v>0</v>
      </c>
      <c r="P1968" s="347">
        <v>0</v>
      </c>
      <c r="Q1968" s="347">
        <v>0</v>
      </c>
      <c r="R1968" s="347">
        <v>0</v>
      </c>
      <c r="S1968" s="347">
        <v>0</v>
      </c>
      <c r="T1968" s="347">
        <v>0</v>
      </c>
      <c r="U1968" s="347">
        <v>0</v>
      </c>
      <c r="V1968" s="347">
        <v>0</v>
      </c>
      <c r="W1968" s="347">
        <v>0</v>
      </c>
    </row>
    <row r="1969" spans="1:23" x14ac:dyDescent="0.2">
      <c r="A1969" s="283"/>
      <c r="B1969" s="309"/>
      <c r="C1969" s="283"/>
      <c r="D1969" s="283"/>
      <c r="E1969" s="283"/>
      <c r="F1969" s="283"/>
      <c r="G1969" s="283"/>
      <c r="H1969" s="283"/>
      <c r="I1969" s="283"/>
      <c r="J1969" s="283"/>
      <c r="K1969" s="283"/>
      <c r="L1969" s="283"/>
      <c r="M1969" s="283"/>
      <c r="N1969" s="283"/>
      <c r="O1969" s="283"/>
      <c r="P1969" s="283"/>
      <c r="Q1969" s="283"/>
      <c r="R1969" s="283"/>
      <c r="S1969" s="283"/>
      <c r="T1969" s="283"/>
      <c r="U1969" s="283"/>
      <c r="V1969" s="283"/>
      <c r="W1969" s="283"/>
    </row>
    <row r="1970" spans="1:23" x14ac:dyDescent="0.2">
      <c r="A1970" s="283"/>
      <c r="B1970" s="309"/>
      <c r="C1970" s="283"/>
      <c r="D1970" s="283"/>
      <c r="E1970" s="283"/>
      <c r="F1970" s="283"/>
      <c r="G1970" s="283"/>
      <c r="H1970" s="283"/>
      <c r="I1970" s="283"/>
      <c r="J1970" s="283"/>
      <c r="K1970" s="283"/>
      <c r="L1970" s="283"/>
      <c r="M1970" s="283"/>
      <c r="N1970" s="283"/>
      <c r="O1970" s="283"/>
      <c r="P1970" s="283"/>
      <c r="Q1970" s="283"/>
      <c r="R1970" s="283"/>
      <c r="S1970" s="283"/>
      <c r="T1970" s="283"/>
      <c r="U1970" s="283"/>
      <c r="V1970" s="283"/>
      <c r="W1970" s="283"/>
    </row>
    <row r="1971" spans="1:23" x14ac:dyDescent="0.2">
      <c r="A1971" s="290" t="s">
        <v>203</v>
      </c>
      <c r="B1971" s="285"/>
      <c r="C1971" s="284"/>
      <c r="D1971" s="441">
        <v>3790322.0054865484</v>
      </c>
      <c r="E1971" s="441">
        <v>2533065.5040792357</v>
      </c>
      <c r="F1971" s="441">
        <v>2612383.3015890149</v>
      </c>
      <c r="G1971" s="441">
        <v>2264641.8790551214</v>
      </c>
      <c r="H1971" s="441">
        <v>2138068.5418488821</v>
      </c>
      <c r="I1971" s="441">
        <v>2077333.1282959604</v>
      </c>
      <c r="J1971" s="441">
        <v>1877192.8363165392</v>
      </c>
      <c r="K1971" s="441">
        <v>2000862.5092627527</v>
      </c>
      <c r="L1971" s="441">
        <v>2052174.0243210089</v>
      </c>
      <c r="M1971" s="441">
        <v>2099995.5102426363</v>
      </c>
      <c r="N1971" s="441">
        <v>1597389.7256838642</v>
      </c>
      <c r="O1971" s="441">
        <v>1899589.4112504146</v>
      </c>
      <c r="P1971" s="441">
        <v>1768527.2829617725</v>
      </c>
      <c r="Q1971" s="441">
        <v>2235417.5551340273</v>
      </c>
      <c r="R1971" s="441">
        <v>1916724.2159103677</v>
      </c>
      <c r="S1971" s="441">
        <v>1519651.3553860299</v>
      </c>
      <c r="T1971" s="441">
        <v>1665078.3001484603</v>
      </c>
      <c r="U1971" s="441">
        <v>1951494.390327346</v>
      </c>
      <c r="V1971" s="441">
        <v>1708201.8460668665</v>
      </c>
      <c r="W1971" s="441">
        <v>11282696.881449491</v>
      </c>
    </row>
    <row r="1972" spans="1:23" x14ac:dyDescent="0.2">
      <c r="A1972" s="9"/>
      <c r="B1972" s="6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</row>
    <row r="1973" spans="1:23" x14ac:dyDescent="0.2">
      <c r="A1973" s="298"/>
      <c r="B1973" s="366"/>
      <c r="C1973" s="376"/>
      <c r="D1973" s="376"/>
      <c r="E1973" s="376"/>
      <c r="F1973" s="376"/>
      <c r="G1973" s="376"/>
      <c r="H1973" s="376"/>
      <c r="I1973" s="376"/>
      <c r="J1973" s="376"/>
      <c r="K1973" s="376"/>
      <c r="L1973" s="376"/>
      <c r="M1973" s="376"/>
      <c r="N1973" s="376"/>
      <c r="O1973" s="376"/>
      <c r="P1973" s="376"/>
      <c r="Q1973" s="376"/>
      <c r="R1973" s="376"/>
      <c r="S1973" s="376"/>
      <c r="T1973" s="376"/>
      <c r="U1973" s="376"/>
      <c r="V1973" s="376"/>
      <c r="W1973" s="376"/>
    </row>
    <row r="1974" spans="1:23" x14ac:dyDescent="0.2">
      <c r="A1974" s="298"/>
      <c r="B1974" s="366"/>
      <c r="C1974" s="376"/>
      <c r="D1974" s="68"/>
      <c r="E1974" s="68"/>
      <c r="F1974" s="68"/>
      <c r="G1974" s="68"/>
      <c r="H1974" s="68"/>
      <c r="I1974" s="68"/>
      <c r="J1974" s="68"/>
      <c r="K1974" s="68"/>
      <c r="L1974" s="68"/>
      <c r="M1974" s="68"/>
      <c r="N1974" s="68"/>
      <c r="O1974" s="68"/>
      <c r="P1974" s="68"/>
      <c r="Q1974" s="68"/>
      <c r="R1974" s="68"/>
      <c r="S1974" s="68"/>
      <c r="T1974" s="68"/>
      <c r="U1974" s="68"/>
      <c r="V1974" s="68"/>
      <c r="W1974" s="68"/>
    </row>
    <row r="1975" spans="1:23" x14ac:dyDescent="0.2">
      <c r="A1975" s="376"/>
      <c r="B1975" s="366"/>
      <c r="C1975" s="376"/>
      <c r="D1975" s="376"/>
      <c r="E1975" s="376"/>
      <c r="F1975" s="376"/>
      <c r="G1975" s="376"/>
      <c r="H1975" s="376"/>
      <c r="I1975" s="376"/>
      <c r="J1975" s="376"/>
      <c r="K1975" s="376"/>
      <c r="L1975" s="376"/>
      <c r="M1975" s="376"/>
      <c r="N1975" s="376"/>
      <c r="O1975" s="376"/>
      <c r="P1975" s="376"/>
      <c r="Q1975" s="376"/>
      <c r="R1975" s="376"/>
      <c r="S1975" s="376"/>
      <c r="T1975" s="376"/>
      <c r="U1975" s="376"/>
      <c r="V1975" s="376"/>
      <c r="W1975" s="376"/>
    </row>
    <row r="1976" spans="1:23" x14ac:dyDescent="0.2">
      <c r="A1976" s="376"/>
      <c r="B1976" s="366"/>
      <c r="C1976" s="376"/>
      <c r="D1976" s="376"/>
      <c r="E1976" s="376"/>
      <c r="F1976" s="376"/>
      <c r="G1976" s="376"/>
      <c r="H1976" s="376"/>
      <c r="I1976" s="376"/>
      <c r="J1976" s="376"/>
      <c r="K1976" s="376"/>
      <c r="L1976" s="376"/>
      <c r="M1976" s="376"/>
      <c r="N1976" s="376"/>
      <c r="O1976" s="376"/>
      <c r="P1976" s="376"/>
      <c r="Q1976" s="376"/>
      <c r="R1976" s="376"/>
      <c r="S1976" s="376"/>
      <c r="T1976" s="376"/>
      <c r="U1976" s="376"/>
      <c r="V1976" s="376"/>
      <c r="W1976" s="376"/>
    </row>
    <row r="1977" spans="1:23" x14ac:dyDescent="0.2">
      <c r="A1977" s="298"/>
      <c r="B1977" s="379"/>
      <c r="C1977" s="286"/>
      <c r="D1977" s="380"/>
      <c r="E1977" s="380"/>
      <c r="F1977" s="380"/>
      <c r="G1977" s="380"/>
      <c r="H1977" s="380"/>
      <c r="I1977" s="380"/>
      <c r="J1977" s="380"/>
      <c r="K1977" s="380"/>
      <c r="L1977" s="380"/>
      <c r="M1977" s="380"/>
      <c r="N1977" s="380"/>
      <c r="O1977" s="380"/>
      <c r="P1977" s="380"/>
      <c r="Q1977" s="380"/>
      <c r="R1977" s="380"/>
      <c r="S1977" s="380"/>
      <c r="T1977" s="380"/>
      <c r="U1977" s="380"/>
      <c r="V1977" s="380"/>
      <c r="W1977" s="380"/>
    </row>
    <row r="1978" spans="1:23" x14ac:dyDescent="0.2">
      <c r="B1978" s="23"/>
    </row>
    <row r="1979" spans="1:23" x14ac:dyDescent="0.2">
      <c r="A1979" s="298"/>
      <c r="B1979" s="379"/>
      <c r="C1979" s="286"/>
      <c r="D1979" s="380"/>
      <c r="E1979" s="380"/>
      <c r="F1979" s="380"/>
      <c r="G1979" s="380"/>
      <c r="H1979" s="380"/>
      <c r="I1979" s="380"/>
      <c r="J1979" s="380"/>
      <c r="K1979" s="380"/>
      <c r="L1979" s="380"/>
      <c r="M1979" s="380"/>
      <c r="N1979" s="380"/>
      <c r="O1979" s="380"/>
      <c r="P1979" s="380"/>
      <c r="Q1979" s="380"/>
      <c r="R1979" s="380"/>
      <c r="S1979" s="380"/>
      <c r="T1979" s="380"/>
      <c r="U1979" s="380"/>
      <c r="V1979" s="380"/>
      <c r="W1979" s="380"/>
    </row>
    <row r="1980" spans="1:23" ht="15.75" x14ac:dyDescent="0.25">
      <c r="A1980" s="308" t="s">
        <v>29</v>
      </c>
      <c r="B1980" s="311" t="s">
        <v>83</v>
      </c>
      <c r="C1980" s="312">
        <v>2000</v>
      </c>
      <c r="D1980" s="312">
        <v>2001</v>
      </c>
      <c r="E1980" s="312">
        <v>2002</v>
      </c>
      <c r="F1980" s="312">
        <v>2003</v>
      </c>
      <c r="G1980" s="312">
        <v>2004</v>
      </c>
      <c r="H1980" s="312">
        <v>2005</v>
      </c>
      <c r="I1980" s="312">
        <v>2006</v>
      </c>
      <c r="J1980" s="312">
        <v>2007</v>
      </c>
      <c r="K1980" s="312">
        <v>2008</v>
      </c>
      <c r="L1980" s="312">
        <v>2009</v>
      </c>
      <c r="M1980" s="312">
        <v>2010</v>
      </c>
      <c r="N1980" s="312">
        <v>2011</v>
      </c>
      <c r="O1980" s="312">
        <v>2012</v>
      </c>
      <c r="P1980" s="312">
        <v>2013</v>
      </c>
      <c r="Q1980" s="312">
        <v>2014</v>
      </c>
      <c r="R1980" s="312">
        <v>2015</v>
      </c>
      <c r="S1980" s="312">
        <v>2016</v>
      </c>
      <c r="T1980" s="312">
        <v>2017</v>
      </c>
      <c r="U1980" s="312">
        <v>2018</v>
      </c>
      <c r="V1980" s="312">
        <v>2019</v>
      </c>
      <c r="W1980" s="312" t="s">
        <v>154</v>
      </c>
    </row>
    <row r="1981" spans="1:23" x14ac:dyDescent="0.2">
      <c r="A1981" s="308" t="s">
        <v>26</v>
      </c>
      <c r="B1981" s="309">
        <v>83.433000000000007</v>
      </c>
      <c r="C1981" s="314"/>
      <c r="D1981" s="314"/>
      <c r="E1981" s="314"/>
      <c r="F1981" s="314"/>
      <c r="G1981" s="314"/>
      <c r="H1981" s="314"/>
      <c r="I1981" s="314"/>
      <c r="J1981" s="314"/>
      <c r="K1981" s="314"/>
      <c r="L1981" s="314"/>
      <c r="M1981" s="314"/>
      <c r="N1981" s="314"/>
      <c r="O1981" s="314"/>
      <c r="P1981" s="314"/>
      <c r="Q1981" s="314"/>
      <c r="R1981" s="314"/>
      <c r="S1981" s="314"/>
      <c r="T1981" s="314"/>
      <c r="U1981" s="314"/>
      <c r="V1981" s="314"/>
      <c r="W1981" s="314"/>
    </row>
    <row r="1982" spans="1:23" x14ac:dyDescent="0.2">
      <c r="A1982" s="9"/>
      <c r="B1982" s="315" t="s">
        <v>27</v>
      </c>
      <c r="C1982" s="449">
        <v>0</v>
      </c>
      <c r="D1982" s="410">
        <v>7778399.1075253496</v>
      </c>
      <c r="E1982" s="410">
        <v>6842254.5552537916</v>
      </c>
      <c r="F1982" s="410">
        <v>6629692.7122039562</v>
      </c>
      <c r="G1982" s="410">
        <v>6318609.8961360669</v>
      </c>
      <c r="H1982" s="410">
        <v>6451264.7006655894</v>
      </c>
      <c r="I1982" s="410">
        <v>7455383.7868868234</v>
      </c>
      <c r="J1982" s="410">
        <v>8933942.2525088191</v>
      </c>
      <c r="K1982" s="410">
        <v>11309729.683792757</v>
      </c>
      <c r="L1982" s="410">
        <v>11987941.949257994</v>
      </c>
      <c r="M1982" s="410">
        <v>10329741.498823166</v>
      </c>
      <c r="N1982" s="410">
        <v>10137023.425225437</v>
      </c>
      <c r="O1982" s="410">
        <v>10141395.008444561</v>
      </c>
      <c r="P1982" s="410">
        <v>9373421.0289784186</v>
      </c>
      <c r="Q1982" s="410">
        <v>10829294.728562763</v>
      </c>
      <c r="R1982" s="410">
        <v>10140669.306975409</v>
      </c>
      <c r="S1982" s="410">
        <v>10206249.178018356</v>
      </c>
      <c r="T1982" s="410">
        <v>9435440.7257302757</v>
      </c>
      <c r="U1982" s="410">
        <v>10663951.615292406</v>
      </c>
      <c r="V1982" s="410">
        <v>11535367.734861331</v>
      </c>
      <c r="W1982" s="333"/>
    </row>
    <row r="1983" spans="1:23" x14ac:dyDescent="0.2">
      <c r="A1983" s="9"/>
      <c r="B1983" s="315" t="s">
        <v>20</v>
      </c>
      <c r="C1983" s="449">
        <v>0</v>
      </c>
      <c r="D1983" s="410">
        <v>-2279367.9189881762</v>
      </c>
      <c r="E1983" s="410">
        <v>-2812929.5237752814</v>
      </c>
      <c r="F1983" s="410">
        <v>-3058770.0555529702</v>
      </c>
      <c r="G1983" s="410">
        <v>-3311731.7926161261</v>
      </c>
      <c r="H1983" s="410">
        <v>-3520069.6204902469</v>
      </c>
      <c r="I1983" s="410">
        <v>-4670164.8003135696</v>
      </c>
      <c r="J1983" s="410">
        <v>-5800826.5836623712</v>
      </c>
      <c r="K1983" s="410">
        <v>-7183424.3737935591</v>
      </c>
      <c r="L1983" s="410">
        <v>-7682495.6427182453</v>
      </c>
      <c r="M1983" s="410">
        <v>-6000707.9900300922</v>
      </c>
      <c r="N1983" s="410">
        <v>-6623381.3630241612</v>
      </c>
      <c r="O1983" s="410">
        <v>-6143418.2021517968</v>
      </c>
      <c r="P1983" s="410">
        <v>-5621870.6186106894</v>
      </c>
      <c r="Q1983" s="410">
        <v>-6288111.6403606003</v>
      </c>
      <c r="R1983" s="410">
        <v>-6156692.7170526711</v>
      </c>
      <c r="S1983" s="410">
        <v>-6876253.8889866211</v>
      </c>
      <c r="T1983" s="410">
        <v>-5875497.5201904178</v>
      </c>
      <c r="U1983" s="410">
        <v>-6567394.4389183186</v>
      </c>
      <c r="V1983" s="410">
        <v>-7797811.0819347827</v>
      </c>
      <c r="W1983" s="333"/>
    </row>
    <row r="1984" spans="1:23" x14ac:dyDescent="0.2">
      <c r="A1984" s="9"/>
      <c r="B1984" s="315" t="s">
        <v>31</v>
      </c>
      <c r="C1984" s="449">
        <v>0</v>
      </c>
      <c r="D1984" s="410">
        <v>-57028.15214719066</v>
      </c>
      <c r="E1984" s="410">
        <v>-81185.613060895324</v>
      </c>
      <c r="F1984" s="410">
        <v>-93622.506813158674</v>
      </c>
      <c r="G1984" s="410">
        <v>-101362.76169412494</v>
      </c>
      <c r="H1984" s="410">
        <v>-107716.4803515206</v>
      </c>
      <c r="I1984" s="410">
        <v>-148291.97621567055</v>
      </c>
      <c r="J1984" s="410">
        <v>-179818.39534956124</v>
      </c>
      <c r="K1984" s="410">
        <v>-244348.64758108876</v>
      </c>
      <c r="L1984" s="410">
        <v>-255192.43623216765</v>
      </c>
      <c r="M1984" s="410">
        <v>-193964.44469204155</v>
      </c>
      <c r="N1984" s="410">
        <v>-219273.63205426256</v>
      </c>
      <c r="O1984" s="410">
        <v>-204927.31589735823</v>
      </c>
      <c r="P1984" s="410">
        <v>-185685.14264100697</v>
      </c>
      <c r="Q1984" s="410">
        <v>-206543.68349303392</v>
      </c>
      <c r="R1984" s="410">
        <v>-190880.20244975749</v>
      </c>
      <c r="S1984" s="410">
        <v>-209068.5703584156</v>
      </c>
      <c r="T1984" s="410">
        <v>-179130.37208792387</v>
      </c>
      <c r="U1984" s="410">
        <v>-188414.53075049791</v>
      </c>
      <c r="V1984" s="410">
        <v>-229337.41790373807</v>
      </c>
      <c r="W1984" s="333"/>
    </row>
    <row r="1985" spans="1:23" x14ac:dyDescent="0.2">
      <c r="A1985" s="9"/>
      <c r="B1985" s="315" t="s">
        <v>32</v>
      </c>
      <c r="C1985" s="449">
        <v>0</v>
      </c>
      <c r="D1985" s="410">
        <v>0</v>
      </c>
      <c r="E1985" s="410">
        <v>0</v>
      </c>
      <c r="F1985" s="410">
        <v>0</v>
      </c>
      <c r="G1985" s="410">
        <v>0</v>
      </c>
      <c r="H1985" s="410">
        <v>0</v>
      </c>
      <c r="I1985" s="410">
        <v>93418.023327088376</v>
      </c>
      <c r="J1985" s="410">
        <v>103546.416256845</v>
      </c>
      <c r="K1985" s="410">
        <v>114259.16746337658</v>
      </c>
      <c r="L1985" s="410">
        <v>125495.63771574097</v>
      </c>
      <c r="M1985" s="410">
        <v>139570.44415525725</v>
      </c>
      <c r="N1985" s="410">
        <v>153747.39907892016</v>
      </c>
      <c r="O1985" s="410">
        <v>170347.50869303249</v>
      </c>
      <c r="P1985" s="410">
        <v>191004.36881418826</v>
      </c>
      <c r="Q1985" s="410">
        <v>212617.66815241956</v>
      </c>
      <c r="R1985" s="410">
        <v>235515.42537247401</v>
      </c>
      <c r="S1985" s="410">
        <v>258595.6474313915</v>
      </c>
      <c r="T1985" s="410">
        <v>254057.61645580616</v>
      </c>
      <c r="U1985" s="410">
        <v>217360.03222342019</v>
      </c>
      <c r="V1985" s="410">
        <v>225362.25124239805</v>
      </c>
      <c r="W1985" s="333"/>
    </row>
    <row r="1986" spans="1:23" ht="13.5" thickBot="1" x14ac:dyDescent="0.25">
      <c r="A1986" s="9"/>
      <c r="B1986" s="316" t="s">
        <v>33</v>
      </c>
      <c r="C1986" s="450">
        <v>0</v>
      </c>
      <c r="D1986" s="412">
        <v>0</v>
      </c>
      <c r="E1986" s="412">
        <v>0</v>
      </c>
      <c r="F1986" s="412">
        <v>0</v>
      </c>
      <c r="G1986" s="412">
        <v>0</v>
      </c>
      <c r="H1986" s="412">
        <v>0</v>
      </c>
      <c r="I1986" s="412">
        <v>0</v>
      </c>
      <c r="J1986" s="412">
        <v>0</v>
      </c>
      <c r="K1986" s="412">
        <v>0</v>
      </c>
      <c r="L1986" s="412">
        <v>0</v>
      </c>
      <c r="M1986" s="412">
        <v>0</v>
      </c>
      <c r="N1986" s="412">
        <v>0</v>
      </c>
      <c r="O1986" s="412">
        <v>0</v>
      </c>
      <c r="P1986" s="412">
        <v>0</v>
      </c>
      <c r="Q1986" s="412">
        <v>0</v>
      </c>
      <c r="R1986" s="412">
        <v>0</v>
      </c>
      <c r="S1986" s="412">
        <v>0</v>
      </c>
      <c r="T1986" s="412">
        <v>0</v>
      </c>
      <c r="U1986" s="412">
        <v>0</v>
      </c>
      <c r="V1986" s="412">
        <v>0</v>
      </c>
      <c r="W1986" s="333"/>
    </row>
    <row r="1987" spans="1:23" ht="13.5" thickTop="1" x14ac:dyDescent="0.2">
      <c r="A1987" s="9"/>
      <c r="B1987" s="317" t="s">
        <v>38</v>
      </c>
      <c r="C1987" s="451">
        <v>0</v>
      </c>
      <c r="D1987" s="414">
        <v>5442003.0363899823</v>
      </c>
      <c r="E1987" s="414">
        <v>3948139.4184176149</v>
      </c>
      <c r="F1987" s="414">
        <v>3477300.1498378273</v>
      </c>
      <c r="G1987" s="414">
        <v>2905515.3418258158</v>
      </c>
      <c r="H1987" s="414">
        <v>2823478.5998238218</v>
      </c>
      <c r="I1987" s="414">
        <v>2730345.0336846719</v>
      </c>
      <c r="J1987" s="414">
        <v>3056843.6897537317</v>
      </c>
      <c r="K1987" s="414">
        <v>3996215.8298814856</v>
      </c>
      <c r="L1987" s="414">
        <v>4175749.5080233221</v>
      </c>
      <c r="M1987" s="414">
        <v>4274639.5082562892</v>
      </c>
      <c r="N1987" s="414">
        <v>3448115.8292259327</v>
      </c>
      <c r="O1987" s="414">
        <v>3963396.9990884382</v>
      </c>
      <c r="P1987" s="414">
        <v>3756869.6365409102</v>
      </c>
      <c r="Q1987" s="414">
        <v>4547257.0728615485</v>
      </c>
      <c r="R1987" s="414">
        <v>4028611.8128454546</v>
      </c>
      <c r="S1987" s="414">
        <v>3379522.3661047104</v>
      </c>
      <c r="T1987" s="414">
        <v>3634870.4499077401</v>
      </c>
      <c r="U1987" s="414">
        <v>4125502.6778470096</v>
      </c>
      <c r="V1987" s="414">
        <v>3733581.4862652086</v>
      </c>
      <c r="W1987" s="333"/>
    </row>
    <row r="1988" spans="1:23" x14ac:dyDescent="0.2">
      <c r="A1988" s="9"/>
      <c r="B1988" s="315" t="s">
        <v>34</v>
      </c>
      <c r="C1988" s="449">
        <v>0</v>
      </c>
      <c r="D1988" s="410">
        <v>-355535.16277078062</v>
      </c>
      <c r="E1988" s="410">
        <v>-362645.86602619622</v>
      </c>
      <c r="F1988" s="410">
        <v>-369898.78334672016</v>
      </c>
      <c r="G1988" s="410">
        <v>-377296.75901365455</v>
      </c>
      <c r="H1988" s="410">
        <v>-384842.69419392763</v>
      </c>
      <c r="I1988" s="410">
        <v>-392539.54807780619</v>
      </c>
      <c r="J1988" s="410">
        <v>-400390.33903936233</v>
      </c>
      <c r="K1988" s="410">
        <v>-408398.14582014957</v>
      </c>
      <c r="L1988" s="410">
        <v>-416566.10873655259</v>
      </c>
      <c r="M1988" s="410">
        <v>-424897.43091128365</v>
      </c>
      <c r="N1988" s="410">
        <v>-433395.37952950934</v>
      </c>
      <c r="O1988" s="410">
        <v>-442063.28712009953</v>
      </c>
      <c r="P1988" s="410">
        <v>-450904.55286250153</v>
      </c>
      <c r="Q1988" s="410">
        <v>-459922.64391975157</v>
      </c>
      <c r="R1988" s="410">
        <v>-469121.09679814661</v>
      </c>
      <c r="S1988" s="410">
        <v>-478503.51873410953</v>
      </c>
      <c r="T1988" s="410">
        <v>-488073.58910879173</v>
      </c>
      <c r="U1988" s="410">
        <v>-497835.06089096755</v>
      </c>
      <c r="V1988" s="410">
        <v>-507791.7621087869</v>
      </c>
      <c r="W1988" s="333"/>
    </row>
    <row r="1989" spans="1:23" x14ac:dyDescent="0.2">
      <c r="A1989" s="9"/>
      <c r="B1989" s="315" t="s">
        <v>35</v>
      </c>
      <c r="C1989" s="449">
        <v>0</v>
      </c>
      <c r="D1989" s="410">
        <v>-171612.57929687499</v>
      </c>
      <c r="E1989" s="410">
        <v>-171612.57929687499</v>
      </c>
      <c r="F1989" s="410">
        <v>-171612.57929687499</v>
      </c>
      <c r="G1989" s="410">
        <v>-171612.57929687499</v>
      </c>
      <c r="H1989" s="410">
        <v>-171612.57929687499</v>
      </c>
      <c r="I1989" s="410">
        <v>-171612.57929687499</v>
      </c>
      <c r="J1989" s="410">
        <v>-171612.57929687499</v>
      </c>
      <c r="K1989" s="410">
        <v>-171612.57929687499</v>
      </c>
      <c r="L1989" s="410">
        <v>-171612.57929687499</v>
      </c>
      <c r="M1989" s="410">
        <v>-171612.57929687499</v>
      </c>
      <c r="N1989" s="410">
        <v>-171612.57929687499</v>
      </c>
      <c r="O1989" s="410">
        <v>-171612.57929687499</v>
      </c>
      <c r="P1989" s="410">
        <v>-171612.57929687499</v>
      </c>
      <c r="Q1989" s="410">
        <v>-171612.57929687499</v>
      </c>
      <c r="R1989" s="410">
        <v>-171612.57929687499</v>
      </c>
      <c r="S1989" s="410">
        <v>-171612.57929687499</v>
      </c>
      <c r="T1989" s="410">
        <v>-171612.57929687499</v>
      </c>
      <c r="U1989" s="410">
        <v>-171612.57929687499</v>
      </c>
      <c r="V1989" s="410">
        <v>-171612.57929687499</v>
      </c>
      <c r="W1989" s="333"/>
    </row>
    <row r="1990" spans="1:23" ht="13.5" thickBot="1" x14ac:dyDescent="0.25">
      <c r="A1990" s="9"/>
      <c r="B1990" s="316" t="s">
        <v>36</v>
      </c>
      <c r="C1990" s="450">
        <v>0</v>
      </c>
      <c r="D1990" s="412">
        <v>-34547.1907058574</v>
      </c>
      <c r="E1990" s="412">
        <v>-35276.136429751197</v>
      </c>
      <c r="F1990" s="412">
        <v>-36048.6838175628</v>
      </c>
      <c r="G1990" s="412">
        <v>-36863.384071839399</v>
      </c>
      <c r="H1990" s="412">
        <v>-37740.7326127493</v>
      </c>
      <c r="I1990" s="412">
        <v>-38686.5191661684</v>
      </c>
      <c r="J1990" s="412">
        <v>-39646.052617166402</v>
      </c>
      <c r="K1990" s="412">
        <v>-40649.576140416597</v>
      </c>
      <c r="L1990" s="412">
        <v>-41653.6206710849</v>
      </c>
      <c r="M1990" s="412">
        <v>-42715.787998197498</v>
      </c>
      <c r="N1990" s="412">
        <v>-43749.510067754003</v>
      </c>
      <c r="O1990" s="412">
        <v>-44851.997721461303</v>
      </c>
      <c r="P1990" s="412">
        <v>-45991.238463586298</v>
      </c>
      <c r="Q1990" s="412">
        <v>-47141.019425175997</v>
      </c>
      <c r="R1990" s="412">
        <v>-48324.259012747898</v>
      </c>
      <c r="S1990" s="412">
        <v>-49532.365488066702</v>
      </c>
      <c r="T1990" s="412">
        <v>-50760.768152170604</v>
      </c>
      <c r="U1990" s="412">
        <v>-52034.863432790196</v>
      </c>
      <c r="V1990" s="412">
        <v>-53340.938504953301</v>
      </c>
      <c r="W1990" s="333"/>
    </row>
    <row r="1991" spans="1:23" ht="13.5" thickTop="1" x14ac:dyDescent="0.2">
      <c r="A1991" s="9"/>
      <c r="B1991" s="317" t="s">
        <v>221</v>
      </c>
      <c r="C1991" s="452">
        <v>0</v>
      </c>
      <c r="D1991" s="416">
        <v>4880308.1036164695</v>
      </c>
      <c r="E1991" s="416">
        <v>3378604.8366647926</v>
      </c>
      <c r="F1991" s="416">
        <v>2899740.1033766698</v>
      </c>
      <c r="G1991" s="416">
        <v>2319742.6194434469</v>
      </c>
      <c r="H1991" s="416">
        <v>2229282.5937202703</v>
      </c>
      <c r="I1991" s="416">
        <v>2127506.3871438224</v>
      </c>
      <c r="J1991" s="416">
        <v>2445194.7188003282</v>
      </c>
      <c r="K1991" s="416">
        <v>3375555.5286240443</v>
      </c>
      <c r="L1991" s="416">
        <v>3545917.1993188094</v>
      </c>
      <c r="M1991" s="416">
        <v>3635413.7100499333</v>
      </c>
      <c r="N1991" s="416">
        <v>2799358.3603317947</v>
      </c>
      <c r="O1991" s="416">
        <v>3304869.1349500027</v>
      </c>
      <c r="P1991" s="416">
        <v>3088361.2659179475</v>
      </c>
      <c r="Q1991" s="416">
        <v>3868580.8302197461</v>
      </c>
      <c r="R1991" s="416">
        <v>3339553.8777376851</v>
      </c>
      <c r="S1991" s="416">
        <v>2679873.9025856592</v>
      </c>
      <c r="T1991" s="416">
        <v>2924423.5133499028</v>
      </c>
      <c r="U1991" s="416">
        <v>3404020.1742263772</v>
      </c>
      <c r="V1991" s="416">
        <v>3000836.2063545934</v>
      </c>
      <c r="W1991" s="333"/>
    </row>
    <row r="1992" spans="1:23" x14ac:dyDescent="0.2">
      <c r="A1992" s="9"/>
      <c r="B1992" s="315" t="s">
        <v>37</v>
      </c>
      <c r="C1992" s="449">
        <v>0</v>
      </c>
      <c r="D1992" s="410">
        <v>-2192540.6332916664</v>
      </c>
      <c r="E1992" s="410">
        <v>-2210158.6552009</v>
      </c>
      <c r="F1992" s="410">
        <v>-2220800.1739075333</v>
      </c>
      <c r="G1992" s="410">
        <v>-2222765.9934726334</v>
      </c>
      <c r="H1992" s="410">
        <v>-2221622.5140418001</v>
      </c>
      <c r="I1992" s="410">
        <v>-2229059.5415241667</v>
      </c>
      <c r="J1992" s="410">
        <v>-1258985.9031358557</v>
      </c>
      <c r="K1992" s="410">
        <v>-179632.74748216567</v>
      </c>
      <c r="L1992" s="410">
        <v>-59593.322103499304</v>
      </c>
      <c r="M1992" s="410">
        <v>-52343.292619258624</v>
      </c>
      <c r="N1992" s="410">
        <v>-57576.108262161724</v>
      </c>
      <c r="O1992" s="410">
        <v>-62703.340287732244</v>
      </c>
      <c r="P1992" s="410">
        <v>-67940.828551810526</v>
      </c>
      <c r="Q1992" s="410">
        <v>-73212.09813047784</v>
      </c>
      <c r="R1992" s="410">
        <v>-78645.36246317187</v>
      </c>
      <c r="S1992" s="410">
        <v>-84368.143059180002</v>
      </c>
      <c r="T1992" s="410">
        <v>-90262.607073068415</v>
      </c>
      <c r="U1992" s="410">
        <v>-96333.905007373483</v>
      </c>
      <c r="V1992" s="410">
        <v>-102587.34187970767</v>
      </c>
      <c r="W1992" s="333"/>
    </row>
    <row r="1993" spans="1:23" ht="13.5" thickBot="1" x14ac:dyDescent="0.25">
      <c r="A1993" s="9"/>
      <c r="B1993" s="316" t="s">
        <v>222</v>
      </c>
      <c r="C1993" s="450">
        <v>0</v>
      </c>
      <c r="D1993" s="412">
        <v>-1075106.9881299213</v>
      </c>
      <c r="E1993" s="412">
        <v>-467378.47258555703</v>
      </c>
      <c r="F1993" s="412">
        <v>-271575.97178765462</v>
      </c>
      <c r="G1993" s="412">
        <v>-38790.650388325383</v>
      </c>
      <c r="H1993" s="412">
        <v>-3064.0318713881079</v>
      </c>
      <c r="I1993" s="412">
        <v>40621.261752137732</v>
      </c>
      <c r="J1993" s="412">
        <v>-474483.52626578906</v>
      </c>
      <c r="K1993" s="412">
        <v>-1278369.1124567515</v>
      </c>
      <c r="L1993" s="412">
        <v>-1394529.5508861241</v>
      </c>
      <c r="M1993" s="412">
        <v>-1433228.16697227</v>
      </c>
      <c r="N1993" s="412">
        <v>-1096712.9008278532</v>
      </c>
      <c r="O1993" s="412">
        <v>-1296866.3178649081</v>
      </c>
      <c r="P1993" s="412">
        <v>-1208168.1749464548</v>
      </c>
      <c r="Q1993" s="412">
        <v>-1518147.4928357073</v>
      </c>
      <c r="R1993" s="412">
        <v>-1304363.4061098052</v>
      </c>
      <c r="S1993" s="412">
        <v>-1038202.3038105917</v>
      </c>
      <c r="T1993" s="412">
        <v>-1133664.3625107338</v>
      </c>
      <c r="U1993" s="412">
        <v>-1323074.5076876015</v>
      </c>
      <c r="V1993" s="412">
        <v>-1159299.5457899543</v>
      </c>
      <c r="W1993" s="333"/>
    </row>
    <row r="1994" spans="1:23" ht="13.5" thickTop="1" x14ac:dyDescent="0.2">
      <c r="A1994" s="9"/>
      <c r="B1994" s="317" t="s">
        <v>183</v>
      </c>
      <c r="C1994" s="452">
        <v>0</v>
      </c>
      <c r="D1994" s="416">
        <v>1612660.4821948819</v>
      </c>
      <c r="E1994" s="416">
        <v>701067.70887833554</v>
      </c>
      <c r="F1994" s="416">
        <v>407363.9576814819</v>
      </c>
      <c r="G1994" s="416">
        <v>58185.975582488063</v>
      </c>
      <c r="H1994" s="416">
        <v>4596.0478070821609</v>
      </c>
      <c r="I1994" s="416">
        <v>-60931.892628206588</v>
      </c>
      <c r="J1994" s="416">
        <v>711725.28939868347</v>
      </c>
      <c r="K1994" s="416">
        <v>1917553.668685127</v>
      </c>
      <c r="L1994" s="416">
        <v>2091794.3263291859</v>
      </c>
      <c r="M1994" s="416">
        <v>2149842.2504584044</v>
      </c>
      <c r="N1994" s="416">
        <v>1645069.3512417797</v>
      </c>
      <c r="O1994" s="416">
        <v>1945299.4767973621</v>
      </c>
      <c r="P1994" s="416">
        <v>1812252.262419682</v>
      </c>
      <c r="Q1994" s="416">
        <v>2277221.239253561</v>
      </c>
      <c r="R1994" s="416">
        <v>1956545.1091647078</v>
      </c>
      <c r="S1994" s="416">
        <v>1557303.4557158872</v>
      </c>
      <c r="T1994" s="416">
        <v>1700496.5437661004</v>
      </c>
      <c r="U1994" s="416">
        <v>1984611.7615314021</v>
      </c>
      <c r="V1994" s="416">
        <v>1738949.3186849314</v>
      </c>
      <c r="W1994" s="333"/>
    </row>
    <row r="1995" spans="1:23" x14ac:dyDescent="0.2">
      <c r="A1995" s="9"/>
      <c r="B1995" s="315" t="s">
        <v>37</v>
      </c>
      <c r="C1995" s="449">
        <v>0</v>
      </c>
      <c r="D1995" s="410">
        <v>2192540.6332916664</v>
      </c>
      <c r="E1995" s="410">
        <v>2210158.6552009</v>
      </c>
      <c r="F1995" s="410">
        <v>2220800.1739075333</v>
      </c>
      <c r="G1995" s="410">
        <v>2222765.9934726334</v>
      </c>
      <c r="H1995" s="410">
        <v>2221622.5140418001</v>
      </c>
      <c r="I1995" s="410">
        <v>2229059.5415241667</v>
      </c>
      <c r="J1995" s="410">
        <v>1258985.9031358557</v>
      </c>
      <c r="K1995" s="410">
        <v>179632.74748216567</v>
      </c>
      <c r="L1995" s="410">
        <v>59593.322103499304</v>
      </c>
      <c r="M1995" s="410">
        <v>52343.292619258624</v>
      </c>
      <c r="N1995" s="410">
        <v>57576.108262161724</v>
      </c>
      <c r="O1995" s="410">
        <v>62703.340287732244</v>
      </c>
      <c r="P1995" s="410">
        <v>67940.828551810526</v>
      </c>
      <c r="Q1995" s="410">
        <v>73212.09813047784</v>
      </c>
      <c r="R1995" s="410">
        <v>78645.36246317187</v>
      </c>
      <c r="S1995" s="410">
        <v>84368.143059180002</v>
      </c>
      <c r="T1995" s="410">
        <v>90262.607073068415</v>
      </c>
      <c r="U1995" s="410">
        <v>96333.905007373483</v>
      </c>
      <c r="V1995" s="410">
        <v>102587.34187970767</v>
      </c>
      <c r="W1995" s="333"/>
    </row>
    <row r="1996" spans="1:23" x14ac:dyDescent="0.2">
      <c r="A1996" s="9"/>
      <c r="B1996" s="315" t="s">
        <v>39</v>
      </c>
      <c r="C1996" s="449">
        <v>0</v>
      </c>
      <c r="D1996" s="410">
        <v>-14879.11</v>
      </c>
      <c r="E1996" s="410">
        <v>-378160.86</v>
      </c>
      <c r="F1996" s="410">
        <v>-15780.83</v>
      </c>
      <c r="G1996" s="410">
        <v>-16310.09</v>
      </c>
      <c r="H1996" s="410">
        <v>-88150.02</v>
      </c>
      <c r="I1996" s="410">
        <v>-90794.520600000003</v>
      </c>
      <c r="J1996" s="410">
        <v>-93518.356218000001</v>
      </c>
      <c r="K1996" s="410">
        <v>-96323.90690454001</v>
      </c>
      <c r="L1996" s="410">
        <v>-99213.62411167621</v>
      </c>
      <c r="M1996" s="410">
        <v>-102190.0328350265</v>
      </c>
      <c r="N1996" s="410">
        <v>-105255.73382007731</v>
      </c>
      <c r="O1996" s="410">
        <v>-108413.40583467964</v>
      </c>
      <c r="P1996" s="410">
        <v>-111665.80800972003</v>
      </c>
      <c r="Q1996" s="410">
        <v>-115015.78225001163</v>
      </c>
      <c r="R1996" s="410">
        <v>-118466.25571751199</v>
      </c>
      <c r="S1996" s="410">
        <v>-122020.24338903735</v>
      </c>
      <c r="T1996" s="410">
        <v>-125680.85069070848</v>
      </c>
      <c r="U1996" s="410">
        <v>-129451.27621142974</v>
      </c>
      <c r="V1996" s="410">
        <v>-133334.81449777263</v>
      </c>
      <c r="W1996" s="333"/>
    </row>
    <row r="1997" spans="1:23" ht="13.5" thickBot="1" x14ac:dyDescent="0.25">
      <c r="A1997" s="9"/>
      <c r="B1997" s="316" t="s">
        <v>40</v>
      </c>
      <c r="C1997" s="450">
        <v>0</v>
      </c>
      <c r="D1997" s="412">
        <v>0</v>
      </c>
      <c r="E1997" s="412">
        <v>0</v>
      </c>
      <c r="F1997" s="412">
        <v>0</v>
      </c>
      <c r="G1997" s="412">
        <v>0</v>
      </c>
      <c r="H1997" s="412">
        <v>0</v>
      </c>
      <c r="I1997" s="412">
        <v>0</v>
      </c>
      <c r="J1997" s="412">
        <v>0</v>
      </c>
      <c r="K1997" s="412">
        <v>0</v>
      </c>
      <c r="L1997" s="412">
        <v>0</v>
      </c>
      <c r="M1997" s="412">
        <v>0</v>
      </c>
      <c r="N1997" s="412">
        <v>0</v>
      </c>
      <c r="O1997" s="412">
        <v>0</v>
      </c>
      <c r="P1997" s="412">
        <v>0</v>
      </c>
      <c r="Q1997" s="412">
        <v>0</v>
      </c>
      <c r="R1997" s="412">
        <v>0</v>
      </c>
      <c r="S1997" s="412">
        <v>0</v>
      </c>
      <c r="T1997" s="412">
        <v>0</v>
      </c>
      <c r="U1997" s="412">
        <v>0</v>
      </c>
      <c r="V1997" s="412">
        <v>0</v>
      </c>
      <c r="W1997" s="333"/>
    </row>
    <row r="1998" spans="1:23" ht="13.5" thickTop="1" x14ac:dyDescent="0.2">
      <c r="A1998" s="9"/>
      <c r="B1998" s="315"/>
      <c r="C1998" s="453"/>
      <c r="D1998" s="333"/>
      <c r="E1998" s="333"/>
      <c r="F1998" s="333"/>
      <c r="G1998" s="333"/>
      <c r="H1998" s="333"/>
      <c r="I1998" s="333"/>
      <c r="J1998" s="333"/>
      <c r="K1998" s="333"/>
      <c r="L1998" s="333"/>
      <c r="M1998" s="333"/>
      <c r="N1998" s="333"/>
      <c r="O1998" s="333"/>
      <c r="P1998" s="333"/>
      <c r="Q1998" s="333"/>
      <c r="R1998" s="333"/>
      <c r="S1998" s="333"/>
      <c r="T1998" s="333"/>
      <c r="U1998" s="333"/>
      <c r="V1998" s="333"/>
      <c r="W1998" s="333"/>
    </row>
    <row r="1999" spans="1:23" x14ac:dyDescent="0.2">
      <c r="A1999" s="9"/>
      <c r="B1999" s="317" t="s">
        <v>234</v>
      </c>
      <c r="C1999" s="452">
        <v>0</v>
      </c>
      <c r="D1999" s="416">
        <v>3790322.0054865484</v>
      </c>
      <c r="E1999" s="416">
        <v>2533065.5040792357</v>
      </c>
      <c r="F1999" s="416">
        <v>2612383.3015890149</v>
      </c>
      <c r="G1999" s="416">
        <v>2264641.8790551214</v>
      </c>
      <c r="H1999" s="416">
        <v>2138068.5418488821</v>
      </c>
      <c r="I1999" s="416">
        <v>2077333.1282959604</v>
      </c>
      <c r="J1999" s="416">
        <v>1877192.8363165392</v>
      </c>
      <c r="K1999" s="416">
        <v>2000862.5092627527</v>
      </c>
      <c r="L1999" s="416">
        <v>2052174.0243210089</v>
      </c>
      <c r="M1999" s="416">
        <v>2099995.5102426363</v>
      </c>
      <c r="N1999" s="416">
        <v>1597389.7256838642</v>
      </c>
      <c r="O1999" s="416">
        <v>1899589.4112504146</v>
      </c>
      <c r="P1999" s="416">
        <v>1768527.2829617725</v>
      </c>
      <c r="Q1999" s="416">
        <v>2235417.5551340273</v>
      </c>
      <c r="R1999" s="416">
        <v>1916724.2159103677</v>
      </c>
      <c r="S1999" s="416">
        <v>1519651.3553860299</v>
      </c>
      <c r="T1999" s="416">
        <v>1665078.3001484603</v>
      </c>
      <c r="U1999" s="416">
        <v>1951494.390327346</v>
      </c>
      <c r="V1999" s="416">
        <v>1708201.8460668665</v>
      </c>
      <c r="W1999" s="414">
        <v>11282696.881449491</v>
      </c>
    </row>
    <row r="2000" spans="1:23" x14ac:dyDescent="0.2">
      <c r="A2000" s="9"/>
      <c r="B2000" s="292"/>
      <c r="C2000" s="9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</row>
    <row r="2001" spans="1:23" x14ac:dyDescent="0.2">
      <c r="A2001" s="308" t="s">
        <v>219</v>
      </c>
      <c r="B2001" s="306" t="s">
        <v>170</v>
      </c>
      <c r="C2001" s="439">
        <v>10882718.863847189</v>
      </c>
      <c r="D2001" s="9"/>
      <c r="E2001" s="137" t="s">
        <v>220</v>
      </c>
      <c r="F2001" s="319" t="s">
        <v>170</v>
      </c>
      <c r="G2001" s="443">
        <v>10882718.863847189</v>
      </c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</row>
    <row r="2002" spans="1:23" x14ac:dyDescent="0.2">
      <c r="A2002" s="9"/>
      <c r="B2002" s="306" t="s">
        <v>180</v>
      </c>
      <c r="C2002" s="439">
        <v>9192439.5270100161</v>
      </c>
      <c r="D2002" s="9"/>
      <c r="E2002" s="321"/>
      <c r="F2002" s="319" t="s">
        <v>180</v>
      </c>
      <c r="G2002" s="443">
        <v>9192439.5270100161</v>
      </c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</row>
    <row r="2003" spans="1:23" ht="13.5" thickBot="1" x14ac:dyDescent="0.25">
      <c r="A2003" s="9"/>
      <c r="B2003" s="322" t="s">
        <v>137</v>
      </c>
      <c r="C2003" s="440">
        <v>1758958.3663500776</v>
      </c>
      <c r="D2003" s="323"/>
      <c r="E2003" s="321"/>
      <c r="F2003" s="319" t="s">
        <v>137</v>
      </c>
      <c r="G2003" s="443">
        <v>1758958.3663500776</v>
      </c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</row>
    <row r="2004" spans="1:23" ht="14.25" thickTop="1" thickBot="1" x14ac:dyDescent="0.25">
      <c r="A2004" s="9"/>
      <c r="B2004" s="306" t="s">
        <v>28</v>
      </c>
      <c r="C2004" s="438">
        <v>21834116.757207282</v>
      </c>
      <c r="D2004" s="305"/>
      <c r="E2004" s="321"/>
      <c r="F2004" s="324" t="s">
        <v>204</v>
      </c>
      <c r="G2004" s="325">
        <v>0</v>
      </c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</row>
    <row r="2005" spans="1:23" ht="13.5" thickTop="1" x14ac:dyDescent="0.2">
      <c r="A2005" s="9"/>
      <c r="B2005" s="292"/>
      <c r="C2005" s="326"/>
      <c r="D2005" s="9"/>
      <c r="E2005" s="327"/>
      <c r="F2005" s="319" t="s">
        <v>28</v>
      </c>
      <c r="G2005" s="368">
        <v>21834116.757207282</v>
      </c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</row>
    <row r="2006" spans="1:23" x14ac:dyDescent="0.2">
      <c r="A2006" s="9"/>
      <c r="B2006" s="292"/>
      <c r="C2006" s="326"/>
      <c r="D2006" s="9"/>
      <c r="E2006" s="327"/>
      <c r="F2006" s="319"/>
      <c r="G2006" s="328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</row>
    <row r="2007" spans="1:23" x14ac:dyDescent="0.2">
      <c r="A2007" s="9"/>
      <c r="B2007" s="292"/>
      <c r="C2007" s="326"/>
      <c r="D2007" s="9"/>
      <c r="E2007" s="327"/>
      <c r="F2007" s="319"/>
      <c r="G2007" s="328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</row>
    <row r="2008" spans="1:23" x14ac:dyDescent="0.2">
      <c r="A2008" s="9"/>
      <c r="B2008" s="329" t="s">
        <v>223</v>
      </c>
      <c r="C2008" s="326"/>
      <c r="D2008" s="9"/>
      <c r="E2008" s="327"/>
      <c r="F2008" s="319"/>
      <c r="G2008" s="328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</row>
    <row r="2009" spans="1:23" x14ac:dyDescent="0.2">
      <c r="A2009" s="330" t="s">
        <v>225</v>
      </c>
      <c r="B2009" s="329" t="s">
        <v>224</v>
      </c>
      <c r="C2009" s="331"/>
      <c r="D2009" s="332">
        <v>1612660.4821948819</v>
      </c>
      <c r="E2009" s="332">
        <v>701067.70887833554</v>
      </c>
      <c r="F2009" s="332">
        <v>407363.9576814819</v>
      </c>
      <c r="G2009" s="332">
        <v>58185.975582488063</v>
      </c>
      <c r="H2009" s="332">
        <v>4596.0478070821609</v>
      </c>
      <c r="I2009" s="332">
        <v>-60931.892628206588</v>
      </c>
      <c r="J2009" s="332">
        <v>711725.28939868347</v>
      </c>
      <c r="K2009" s="332">
        <v>1917553.668685127</v>
      </c>
      <c r="L2009" s="332">
        <v>2091794.3263291859</v>
      </c>
      <c r="M2009" s="332">
        <v>2149842.2504584044</v>
      </c>
      <c r="N2009" s="332">
        <v>1645069.3512417797</v>
      </c>
      <c r="O2009" s="332">
        <v>1945299.4767973621</v>
      </c>
      <c r="P2009" s="332">
        <v>1812252.262419682</v>
      </c>
      <c r="Q2009" s="332">
        <v>2277221.239253561</v>
      </c>
      <c r="R2009" s="332">
        <v>1956545.1091647078</v>
      </c>
      <c r="S2009" s="332">
        <v>1557303.4557158872</v>
      </c>
      <c r="T2009" s="332">
        <v>1700496.5437661004</v>
      </c>
      <c r="U2009" s="332">
        <v>1984611.7615314021</v>
      </c>
      <c r="V2009" s="332">
        <v>1738949.3186849314</v>
      </c>
      <c r="W2009" s="9"/>
    </row>
    <row r="2010" spans="1:23" x14ac:dyDescent="0.2">
      <c r="A2010" s="9"/>
      <c r="B2010" s="292" t="s">
        <v>226</v>
      </c>
      <c r="C2010" s="326"/>
      <c r="D2010" s="333">
        <v>1075106.9881299213</v>
      </c>
      <c r="E2010" s="333">
        <v>467378.47258555703</v>
      </c>
      <c r="F2010" s="333">
        <v>271575.97178765462</v>
      </c>
      <c r="G2010" s="333">
        <v>38790.650388325383</v>
      </c>
      <c r="H2010" s="333">
        <v>3064.0318713881079</v>
      </c>
      <c r="I2010" s="333">
        <v>-40621.261752137732</v>
      </c>
      <c r="J2010" s="333">
        <v>474483.52626578906</v>
      </c>
      <c r="K2010" s="333">
        <v>1278369.1124567515</v>
      </c>
      <c r="L2010" s="333">
        <v>1394529.5508861241</v>
      </c>
      <c r="M2010" s="333">
        <v>1433228.16697227</v>
      </c>
      <c r="N2010" s="333">
        <v>1096712.9008278532</v>
      </c>
      <c r="O2010" s="333">
        <v>1296866.3178649081</v>
      </c>
      <c r="P2010" s="333">
        <v>1208168.1749464548</v>
      </c>
      <c r="Q2010" s="333">
        <v>1518147.4928357073</v>
      </c>
      <c r="R2010" s="333">
        <v>1304363.4061098052</v>
      </c>
      <c r="S2010" s="333">
        <v>1038202.3038105917</v>
      </c>
      <c r="T2010" s="333">
        <v>1133664.3625107338</v>
      </c>
      <c r="U2010" s="333">
        <v>1323074.5076876015</v>
      </c>
      <c r="V2010" s="333">
        <v>1159299.5457899543</v>
      </c>
      <c r="W2010" s="9"/>
    </row>
    <row r="2011" spans="1:23" x14ac:dyDescent="0.2">
      <c r="A2011" s="9"/>
      <c r="B2011" s="334" t="s">
        <v>227</v>
      </c>
      <c r="C2011" s="335"/>
      <c r="D2011" s="333">
        <v>2192540.6332916664</v>
      </c>
      <c r="E2011" s="333">
        <v>2210158.6552009</v>
      </c>
      <c r="F2011" s="333">
        <v>2220800.1739075333</v>
      </c>
      <c r="G2011" s="333">
        <v>2222765.9934726334</v>
      </c>
      <c r="H2011" s="333">
        <v>2221622.5140418001</v>
      </c>
      <c r="I2011" s="333">
        <v>2229059.5415241667</v>
      </c>
      <c r="J2011" s="333">
        <v>1258985.9031358557</v>
      </c>
      <c r="K2011" s="333">
        <v>179632.74748216567</v>
      </c>
      <c r="L2011" s="333">
        <v>59593.322103499304</v>
      </c>
      <c r="M2011" s="333">
        <v>52343.292619258624</v>
      </c>
      <c r="N2011" s="333">
        <v>57576.108262161724</v>
      </c>
      <c r="O2011" s="333">
        <v>62703.340287732244</v>
      </c>
      <c r="P2011" s="333">
        <v>67940.828551810526</v>
      </c>
      <c r="Q2011" s="333">
        <v>73212.09813047784</v>
      </c>
      <c r="R2011" s="333">
        <v>78645.36246317187</v>
      </c>
      <c r="S2011" s="333">
        <v>84368.143059180002</v>
      </c>
      <c r="T2011" s="333">
        <v>90262.607073068415</v>
      </c>
      <c r="U2011" s="333">
        <v>96333.905007373483</v>
      </c>
      <c r="V2011" s="333">
        <v>102587.34187970767</v>
      </c>
      <c r="W2011" s="9"/>
    </row>
    <row r="2012" spans="1:23" ht="13.5" thickBot="1" x14ac:dyDescent="0.25">
      <c r="A2012" s="9"/>
      <c r="B2012" s="336" t="s">
        <v>228</v>
      </c>
      <c r="C2012" s="337"/>
      <c r="D2012" s="338">
        <v>4880308.1036164695</v>
      </c>
      <c r="E2012" s="338">
        <v>3378604.8366647926</v>
      </c>
      <c r="F2012" s="338">
        <v>2899740.1033766698</v>
      </c>
      <c r="G2012" s="338">
        <v>2319742.6194434469</v>
      </c>
      <c r="H2012" s="338">
        <v>2229282.5937202703</v>
      </c>
      <c r="I2012" s="338">
        <v>2127506.3871438224</v>
      </c>
      <c r="J2012" s="338">
        <v>2445194.7188003282</v>
      </c>
      <c r="K2012" s="338">
        <v>3375555.5286240443</v>
      </c>
      <c r="L2012" s="338">
        <v>3545917.1993188094</v>
      </c>
      <c r="M2012" s="338">
        <v>3635413.7100499333</v>
      </c>
      <c r="N2012" s="338">
        <v>2799358.3603317947</v>
      </c>
      <c r="O2012" s="338">
        <v>3304869.1349500027</v>
      </c>
      <c r="P2012" s="338">
        <v>3088361.2659179475</v>
      </c>
      <c r="Q2012" s="338">
        <v>3868580.8302197461</v>
      </c>
      <c r="R2012" s="338">
        <v>3339553.8777376851</v>
      </c>
      <c r="S2012" s="338">
        <v>2679873.9025856592</v>
      </c>
      <c r="T2012" s="338">
        <v>2924423.5133499028</v>
      </c>
      <c r="U2012" s="338">
        <v>3404020.1742263772</v>
      </c>
      <c r="V2012" s="338">
        <v>3000836.2063545934</v>
      </c>
      <c r="W2012" s="9"/>
    </row>
    <row r="2013" spans="1:23" ht="13.5" thickTop="1" x14ac:dyDescent="0.2">
      <c r="A2013" s="330" t="s">
        <v>229</v>
      </c>
      <c r="B2013" s="292" t="s">
        <v>230</v>
      </c>
      <c r="C2013" s="326"/>
      <c r="D2013" s="333">
        <v>-1830966.4370308665</v>
      </c>
      <c r="E2013" s="333">
        <v>-1849874.4800308666</v>
      </c>
      <c r="F2013" s="333">
        <v>-1850663.5215308666</v>
      </c>
      <c r="G2013" s="333">
        <v>-1851479.0260308667</v>
      </c>
      <c r="H2013" s="333">
        <v>-1855886.5270308666</v>
      </c>
      <c r="I2013" s="333">
        <v>-1860426.2530608666</v>
      </c>
      <c r="J2013" s="333">
        <v>-1865102.1708717665</v>
      </c>
      <c r="K2013" s="333">
        <v>-1869918.3662169937</v>
      </c>
      <c r="L2013" s="333">
        <v>-1874879.0474225774</v>
      </c>
      <c r="M2013" s="333">
        <v>-1879988.5490643287</v>
      </c>
      <c r="N2013" s="333">
        <v>-1885251.3357553326</v>
      </c>
      <c r="O2013" s="333">
        <v>-1890672.0060470665</v>
      </c>
      <c r="P2013" s="333">
        <v>-1896255.2964475525</v>
      </c>
      <c r="Q2013" s="333">
        <v>-1902006.0855600531</v>
      </c>
      <c r="R2013" s="333">
        <v>-544532.43501260015</v>
      </c>
      <c r="S2013" s="333">
        <v>-161892.5771820473</v>
      </c>
      <c r="T2013" s="333">
        <v>-168176.6197165827</v>
      </c>
      <c r="U2013" s="333">
        <v>-174649.18352715421</v>
      </c>
      <c r="V2013" s="333">
        <v>-181315.92425204284</v>
      </c>
      <c r="W2013" s="9"/>
    </row>
    <row r="2014" spans="1:23" x14ac:dyDescent="0.2">
      <c r="A2014" s="9"/>
      <c r="B2014" s="292" t="s">
        <v>231</v>
      </c>
      <c r="C2014" s="326"/>
      <c r="D2014" s="333">
        <v>0</v>
      </c>
      <c r="E2014" s="333">
        <v>0</v>
      </c>
      <c r="F2014" s="333">
        <v>0</v>
      </c>
      <c r="G2014" s="333">
        <v>0</v>
      </c>
      <c r="H2014" s="333">
        <v>0</v>
      </c>
      <c r="I2014" s="333">
        <v>0</v>
      </c>
      <c r="J2014" s="333">
        <v>0</v>
      </c>
      <c r="K2014" s="333">
        <v>0</v>
      </c>
      <c r="L2014" s="333">
        <v>0</v>
      </c>
      <c r="M2014" s="333">
        <v>0</v>
      </c>
      <c r="N2014" s="333">
        <v>0</v>
      </c>
      <c r="O2014" s="333">
        <v>0</v>
      </c>
      <c r="P2014" s="333">
        <v>0</v>
      </c>
      <c r="Q2014" s="333">
        <v>0</v>
      </c>
      <c r="R2014" s="333">
        <v>0</v>
      </c>
      <c r="S2014" s="333">
        <v>0</v>
      </c>
      <c r="T2014" s="333">
        <v>0</v>
      </c>
      <c r="U2014" s="333">
        <v>0</v>
      </c>
      <c r="V2014" s="333">
        <v>0</v>
      </c>
      <c r="W2014" s="9"/>
    </row>
    <row r="2015" spans="1:23" x14ac:dyDescent="0.2">
      <c r="A2015" s="9"/>
      <c r="B2015" s="329" t="s">
        <v>232</v>
      </c>
      <c r="C2015" s="331"/>
      <c r="D2015" s="332">
        <v>3049341.6665856028</v>
      </c>
      <c r="E2015" s="332">
        <v>1528730.356633926</v>
      </c>
      <c r="F2015" s="332">
        <v>1049076.5818458032</v>
      </c>
      <c r="G2015" s="332">
        <v>468263.5934125802</v>
      </c>
      <c r="H2015" s="332">
        <v>373396.06668940373</v>
      </c>
      <c r="I2015" s="332">
        <v>267080.13408295577</v>
      </c>
      <c r="J2015" s="332">
        <v>580092.54792856169</v>
      </c>
      <c r="K2015" s="332">
        <v>1505637.1624070506</v>
      </c>
      <c r="L2015" s="332">
        <v>1671038.151896232</v>
      </c>
      <c r="M2015" s="332">
        <v>1755425.1609856046</v>
      </c>
      <c r="N2015" s="332">
        <v>914107.02457646211</v>
      </c>
      <c r="O2015" s="332">
        <v>1414197.1289029361</v>
      </c>
      <c r="P2015" s="332">
        <v>1192105.969470395</v>
      </c>
      <c r="Q2015" s="332">
        <v>1966574.744659693</v>
      </c>
      <c r="R2015" s="332">
        <v>2795021.4427250847</v>
      </c>
      <c r="S2015" s="332">
        <v>2517981.3254036121</v>
      </c>
      <c r="T2015" s="332">
        <v>2756246.89363332</v>
      </c>
      <c r="U2015" s="332">
        <v>3229370.9906992228</v>
      </c>
      <c r="V2015" s="332">
        <v>2819520.2821025504</v>
      </c>
      <c r="W2015" s="9"/>
    </row>
    <row r="2016" spans="1:23" ht="13.5" thickBot="1" x14ac:dyDescent="0.25">
      <c r="A2016" s="9"/>
      <c r="B2016" s="339" t="s">
        <v>238</v>
      </c>
      <c r="C2016" s="340"/>
      <c r="D2016" s="341">
        <v>-1219736.6666342411</v>
      </c>
      <c r="E2016" s="341">
        <v>-611492.14265357039</v>
      </c>
      <c r="F2016" s="341">
        <v>-419630.63273832132</v>
      </c>
      <c r="G2016" s="341">
        <v>-187305.43736503209</v>
      </c>
      <c r="H2016" s="341">
        <v>-149358.4266757615</v>
      </c>
      <c r="I2016" s="341">
        <v>-106832.05363318231</v>
      </c>
      <c r="J2016" s="341">
        <v>-232037.01917142468</v>
      </c>
      <c r="K2016" s="341">
        <v>-602254.86496282031</v>
      </c>
      <c r="L2016" s="341">
        <v>-668415.26075849286</v>
      </c>
      <c r="M2016" s="341">
        <v>-702170.0643942419</v>
      </c>
      <c r="N2016" s="341">
        <v>-365642.80983058485</v>
      </c>
      <c r="O2016" s="341">
        <v>-565678.8515611745</v>
      </c>
      <c r="P2016" s="341">
        <v>-476842.38778815803</v>
      </c>
      <c r="Q2016" s="341">
        <v>-786629.89786387724</v>
      </c>
      <c r="R2016" s="341">
        <v>-1118008.577090034</v>
      </c>
      <c r="S2016" s="341">
        <v>-1007192.5301614449</v>
      </c>
      <c r="T2016" s="341">
        <v>-1102498.757453328</v>
      </c>
      <c r="U2016" s="341">
        <v>-1291748.3962796892</v>
      </c>
      <c r="V2016" s="341">
        <v>-1127808.1128410201</v>
      </c>
      <c r="W2016" s="9"/>
    </row>
    <row r="2017" spans="1:23" ht="13.5" thickTop="1" x14ac:dyDescent="0.2">
      <c r="A2017" s="9"/>
      <c r="B2017" s="329" t="s">
        <v>233</v>
      </c>
      <c r="C2017" s="331"/>
      <c r="D2017" s="332">
        <v>1829604.9999513617</v>
      </c>
      <c r="E2017" s="332">
        <v>917238.21398035565</v>
      </c>
      <c r="F2017" s="332">
        <v>629445.94910748187</v>
      </c>
      <c r="G2017" s="332">
        <v>280958.15604754811</v>
      </c>
      <c r="H2017" s="332">
        <v>224037.64001364223</v>
      </c>
      <c r="I2017" s="332">
        <v>160248.08044977346</v>
      </c>
      <c r="J2017" s="332">
        <v>348055.52875713701</v>
      </c>
      <c r="K2017" s="332">
        <v>903382.29744423029</v>
      </c>
      <c r="L2017" s="332">
        <v>1002622.8911377392</v>
      </c>
      <c r="M2017" s="332">
        <v>1053255.0965913627</v>
      </c>
      <c r="N2017" s="332">
        <v>548464.21474587731</v>
      </c>
      <c r="O2017" s="332">
        <v>848518.27734176163</v>
      </c>
      <c r="P2017" s="332">
        <v>715263.58168223698</v>
      </c>
      <c r="Q2017" s="332">
        <v>1179944.8467958157</v>
      </c>
      <c r="R2017" s="332">
        <v>1677012.8656350507</v>
      </c>
      <c r="S2017" s="332">
        <v>1510788.7952421671</v>
      </c>
      <c r="T2017" s="332">
        <v>1653748.136179992</v>
      </c>
      <c r="U2017" s="332">
        <v>1937622.5944195336</v>
      </c>
      <c r="V2017" s="332">
        <v>1691712.1692615303</v>
      </c>
      <c r="W2017" s="9"/>
    </row>
    <row r="2018" spans="1:23" x14ac:dyDescent="0.2">
      <c r="A2018" s="9"/>
      <c r="B2018" s="9"/>
      <c r="C2018" s="326"/>
      <c r="D2018" s="9"/>
      <c r="E2018" s="327"/>
      <c r="F2018" s="319"/>
      <c r="G2018" s="328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</row>
    <row r="2019" spans="1:23" ht="15.75" x14ac:dyDescent="0.25">
      <c r="A2019" s="342" t="s">
        <v>206</v>
      </c>
      <c r="B2019" s="343"/>
      <c r="C2019" s="9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</row>
    <row r="2020" spans="1:23" x14ac:dyDescent="0.2">
      <c r="A2020" s="290" t="s">
        <v>191</v>
      </c>
      <c r="B2020" s="309"/>
      <c r="C2020" s="344">
        <v>0</v>
      </c>
      <c r="D2020" s="283"/>
      <c r="E2020" s="283"/>
      <c r="F2020" s="283"/>
      <c r="G2020" s="283"/>
      <c r="H2020" s="283"/>
      <c r="I2020" s="283"/>
      <c r="J2020" s="283"/>
      <c r="K2020" s="283"/>
      <c r="L2020" s="283"/>
      <c r="M2020" s="283"/>
      <c r="N2020" s="283"/>
      <c r="O2020" s="283"/>
      <c r="P2020" s="283"/>
      <c r="Q2020" s="283"/>
      <c r="R2020" s="283"/>
      <c r="S2020" s="283"/>
      <c r="T2020" s="283"/>
      <c r="U2020" s="283"/>
      <c r="V2020" s="283"/>
      <c r="W2020" s="283"/>
    </row>
    <row r="2021" spans="1:23" x14ac:dyDescent="0.2">
      <c r="A2021" s="290" t="s">
        <v>192</v>
      </c>
      <c r="B2021" s="309"/>
      <c r="C2021" s="345">
        <v>0</v>
      </c>
      <c r="D2021" s="283"/>
      <c r="E2021" s="283"/>
      <c r="F2021" s="283"/>
      <c r="G2021" s="283"/>
      <c r="H2021" s="283"/>
      <c r="I2021" s="283"/>
      <c r="J2021" s="283"/>
      <c r="K2021" s="283"/>
      <c r="L2021" s="283"/>
      <c r="M2021" s="283"/>
      <c r="N2021" s="283"/>
      <c r="O2021" s="283"/>
      <c r="P2021" s="283"/>
      <c r="Q2021" s="283"/>
      <c r="R2021" s="283"/>
      <c r="S2021" s="283"/>
      <c r="T2021" s="283"/>
      <c r="U2021" s="283"/>
      <c r="V2021" s="283"/>
      <c r="W2021" s="283"/>
    </row>
    <row r="2022" spans="1:23" x14ac:dyDescent="0.2">
      <c r="A2022" s="290" t="s">
        <v>202</v>
      </c>
      <c r="B2022" s="309"/>
      <c r="C2022" s="290">
        <v>15</v>
      </c>
      <c r="D2022" s="283"/>
      <c r="E2022" s="283"/>
      <c r="F2022" s="283"/>
      <c r="G2022" s="283"/>
      <c r="H2022" s="283"/>
      <c r="I2022" s="283"/>
      <c r="J2022" s="283"/>
      <c r="K2022" s="283"/>
      <c r="L2022" s="283"/>
      <c r="M2022" s="283"/>
      <c r="N2022" s="283"/>
      <c r="O2022" s="283"/>
      <c r="P2022" s="283"/>
      <c r="Q2022" s="283"/>
      <c r="R2022" s="283"/>
      <c r="S2022" s="283"/>
      <c r="T2022" s="283"/>
      <c r="U2022" s="283"/>
      <c r="V2022" s="283"/>
      <c r="W2022" s="283"/>
    </row>
    <row r="2023" spans="1:23" x14ac:dyDescent="0.2">
      <c r="A2023" s="290" t="s">
        <v>193</v>
      </c>
      <c r="B2023" s="309"/>
      <c r="C2023" s="345">
        <v>0</v>
      </c>
      <c r="D2023" s="283"/>
      <c r="E2023" s="283"/>
      <c r="F2023" s="283"/>
      <c r="G2023" s="283"/>
      <c r="H2023" s="283"/>
      <c r="I2023" s="283"/>
      <c r="J2023" s="283"/>
      <c r="K2023" s="283"/>
      <c r="L2023" s="283"/>
      <c r="M2023" s="283"/>
      <c r="N2023" s="283"/>
      <c r="O2023" s="283"/>
      <c r="P2023" s="283"/>
      <c r="Q2023" s="283"/>
      <c r="R2023" s="283"/>
      <c r="S2023" s="283"/>
      <c r="T2023" s="283"/>
      <c r="U2023" s="283"/>
      <c r="V2023" s="283"/>
      <c r="W2023" s="283"/>
    </row>
    <row r="2024" spans="1:23" x14ac:dyDescent="0.2">
      <c r="A2024" s="290" t="s">
        <v>194</v>
      </c>
      <c r="B2024" s="309"/>
      <c r="C2024" s="346">
        <v>8.7499999999999994E-2</v>
      </c>
      <c r="D2024" s="283"/>
      <c r="E2024" s="283"/>
      <c r="F2024" s="283"/>
      <c r="G2024" s="283"/>
      <c r="H2024" s="283"/>
      <c r="I2024" s="283"/>
      <c r="J2024" s="283"/>
      <c r="K2024" s="283"/>
      <c r="L2024" s="283"/>
      <c r="M2024" s="283"/>
      <c r="N2024" s="283"/>
      <c r="O2024" s="283"/>
      <c r="P2024" s="283"/>
      <c r="Q2024" s="283"/>
      <c r="R2024" s="283"/>
      <c r="S2024" s="283"/>
      <c r="T2024" s="283"/>
      <c r="U2024" s="283"/>
      <c r="V2024" s="283"/>
      <c r="W2024" s="283"/>
    </row>
    <row r="2025" spans="1:23" x14ac:dyDescent="0.2">
      <c r="A2025" s="290"/>
      <c r="B2025" s="309"/>
      <c r="C2025" s="283"/>
      <c r="D2025" s="312">
        <v>2001</v>
      </c>
      <c r="E2025" s="312">
        <v>2002</v>
      </c>
      <c r="F2025" s="312">
        <v>2003</v>
      </c>
      <c r="G2025" s="312">
        <v>2004</v>
      </c>
      <c r="H2025" s="312">
        <v>2005</v>
      </c>
      <c r="I2025" s="312">
        <v>2006</v>
      </c>
      <c r="J2025" s="312">
        <v>2007</v>
      </c>
      <c r="K2025" s="312">
        <v>2008</v>
      </c>
      <c r="L2025" s="312">
        <v>2009</v>
      </c>
      <c r="M2025" s="312">
        <v>2010</v>
      </c>
      <c r="N2025" s="312">
        <v>2011</v>
      </c>
      <c r="O2025" s="312">
        <v>2012</v>
      </c>
      <c r="P2025" s="312">
        <v>2013</v>
      </c>
      <c r="Q2025" s="312">
        <v>2014</v>
      </c>
      <c r="R2025" s="312">
        <v>2015</v>
      </c>
      <c r="S2025" s="312">
        <v>2016</v>
      </c>
      <c r="T2025" s="312">
        <v>2017</v>
      </c>
      <c r="U2025" s="312">
        <v>2018</v>
      </c>
      <c r="V2025" s="312">
        <v>2019</v>
      </c>
      <c r="W2025" s="312" t="s">
        <v>154</v>
      </c>
    </row>
    <row r="2026" spans="1:23" x14ac:dyDescent="0.2">
      <c r="A2026" s="290" t="s">
        <v>195</v>
      </c>
      <c r="B2026" s="309"/>
      <c r="C2026" s="283"/>
      <c r="D2026" s="347">
        <v>0</v>
      </c>
      <c r="E2026" s="347">
        <v>0</v>
      </c>
      <c r="F2026" s="347">
        <v>0</v>
      </c>
      <c r="G2026" s="347">
        <v>0</v>
      </c>
      <c r="H2026" s="347">
        <v>0</v>
      </c>
      <c r="I2026" s="347">
        <v>0</v>
      </c>
      <c r="J2026" s="347">
        <v>0</v>
      </c>
      <c r="K2026" s="347">
        <v>0</v>
      </c>
      <c r="L2026" s="347">
        <v>0</v>
      </c>
      <c r="M2026" s="347">
        <v>0</v>
      </c>
      <c r="N2026" s="347">
        <v>0</v>
      </c>
      <c r="O2026" s="347">
        <v>0</v>
      </c>
      <c r="P2026" s="347">
        <v>0</v>
      </c>
      <c r="Q2026" s="347">
        <v>0</v>
      </c>
      <c r="R2026" s="347">
        <v>0</v>
      </c>
      <c r="S2026" s="347">
        <v>0</v>
      </c>
      <c r="T2026" s="347">
        <v>0</v>
      </c>
      <c r="U2026" s="347">
        <v>0</v>
      </c>
      <c r="V2026" s="347">
        <v>0</v>
      </c>
      <c r="W2026" s="347">
        <v>0</v>
      </c>
    </row>
    <row r="2027" spans="1:23" x14ac:dyDescent="0.2">
      <c r="A2027" s="290" t="s">
        <v>196</v>
      </c>
      <c r="B2027" s="309"/>
      <c r="C2027" s="283"/>
      <c r="D2027" s="347">
        <v>0</v>
      </c>
      <c r="E2027" s="347">
        <v>0</v>
      </c>
      <c r="F2027" s="347">
        <v>0</v>
      </c>
      <c r="G2027" s="347">
        <v>0</v>
      </c>
      <c r="H2027" s="347">
        <v>0</v>
      </c>
      <c r="I2027" s="347">
        <v>0</v>
      </c>
      <c r="J2027" s="347">
        <v>0</v>
      </c>
      <c r="K2027" s="347">
        <v>0</v>
      </c>
      <c r="L2027" s="347">
        <v>0</v>
      </c>
      <c r="M2027" s="347">
        <v>0</v>
      </c>
      <c r="N2027" s="347">
        <v>0</v>
      </c>
      <c r="O2027" s="347">
        <v>0</v>
      </c>
      <c r="P2027" s="347">
        <v>0</v>
      </c>
      <c r="Q2027" s="347">
        <v>0</v>
      </c>
      <c r="R2027" s="347">
        <v>0</v>
      </c>
      <c r="S2027" s="347">
        <v>0</v>
      </c>
      <c r="T2027" s="347">
        <v>0</v>
      </c>
      <c r="U2027" s="347">
        <v>0</v>
      </c>
      <c r="V2027" s="347">
        <v>0</v>
      </c>
      <c r="W2027" s="347">
        <v>0</v>
      </c>
    </row>
    <row r="2028" spans="1:23" x14ac:dyDescent="0.2">
      <c r="A2028" s="290" t="s">
        <v>197</v>
      </c>
      <c r="B2028" s="309"/>
      <c r="C2028" s="283"/>
      <c r="D2028" s="347">
        <v>0</v>
      </c>
      <c r="E2028" s="347">
        <v>0</v>
      </c>
      <c r="F2028" s="347">
        <v>0</v>
      </c>
      <c r="G2028" s="347">
        <v>0</v>
      </c>
      <c r="H2028" s="347">
        <v>0</v>
      </c>
      <c r="I2028" s="347">
        <v>0</v>
      </c>
      <c r="J2028" s="347">
        <v>0</v>
      </c>
      <c r="K2028" s="347">
        <v>0</v>
      </c>
      <c r="L2028" s="347">
        <v>0</v>
      </c>
      <c r="M2028" s="347">
        <v>0</v>
      </c>
      <c r="N2028" s="347">
        <v>0</v>
      </c>
      <c r="O2028" s="347">
        <v>0</v>
      </c>
      <c r="P2028" s="347">
        <v>0</v>
      </c>
      <c r="Q2028" s="347">
        <v>0</v>
      </c>
      <c r="R2028" s="347">
        <v>0</v>
      </c>
      <c r="S2028" s="347">
        <v>0</v>
      </c>
      <c r="T2028" s="347">
        <v>0</v>
      </c>
      <c r="U2028" s="347">
        <v>0</v>
      </c>
      <c r="V2028" s="347">
        <v>0</v>
      </c>
      <c r="W2028" s="347">
        <v>0</v>
      </c>
    </row>
    <row r="2029" spans="1:23" x14ac:dyDescent="0.2">
      <c r="A2029" s="290" t="s">
        <v>198</v>
      </c>
      <c r="B2029" s="309"/>
      <c r="C2029" s="283"/>
      <c r="D2029" s="348">
        <v>0</v>
      </c>
      <c r="E2029" s="348">
        <v>0</v>
      </c>
      <c r="F2029" s="348">
        <v>0</v>
      </c>
      <c r="G2029" s="348">
        <v>0</v>
      </c>
      <c r="H2029" s="348">
        <v>0</v>
      </c>
      <c r="I2029" s="348">
        <v>0</v>
      </c>
      <c r="J2029" s="348">
        <v>0</v>
      </c>
      <c r="K2029" s="348">
        <v>0</v>
      </c>
      <c r="L2029" s="348">
        <v>0</v>
      </c>
      <c r="M2029" s="348">
        <v>0</v>
      </c>
      <c r="N2029" s="348">
        <v>0</v>
      </c>
      <c r="O2029" s="348">
        <v>0</v>
      </c>
      <c r="P2029" s="348">
        <v>0</v>
      </c>
      <c r="Q2029" s="348">
        <v>0</v>
      </c>
      <c r="R2029" s="348">
        <v>0</v>
      </c>
      <c r="S2029" s="348">
        <v>0</v>
      </c>
      <c r="T2029" s="348">
        <v>0</v>
      </c>
      <c r="U2029" s="348">
        <v>0</v>
      </c>
      <c r="V2029" s="348">
        <v>0</v>
      </c>
      <c r="W2029" s="348">
        <v>0</v>
      </c>
    </row>
    <row r="2030" spans="1:23" ht="13.5" thickBot="1" x14ac:dyDescent="0.25">
      <c r="A2030" s="290" t="s">
        <v>199</v>
      </c>
      <c r="B2030" s="309"/>
      <c r="C2030" s="283"/>
      <c r="D2030" s="349">
        <v>0</v>
      </c>
      <c r="E2030" s="349">
        <v>0</v>
      </c>
      <c r="F2030" s="349">
        <v>0</v>
      </c>
      <c r="G2030" s="349">
        <v>0</v>
      </c>
      <c r="H2030" s="349">
        <v>0</v>
      </c>
      <c r="I2030" s="349">
        <v>0</v>
      </c>
      <c r="J2030" s="349">
        <v>0</v>
      </c>
      <c r="K2030" s="349">
        <v>0</v>
      </c>
      <c r="L2030" s="349">
        <v>0</v>
      </c>
      <c r="M2030" s="349">
        <v>0</v>
      </c>
      <c r="N2030" s="349">
        <v>0</v>
      </c>
      <c r="O2030" s="349">
        <v>0</v>
      </c>
      <c r="P2030" s="349">
        <v>0</v>
      </c>
      <c r="Q2030" s="349">
        <v>0</v>
      </c>
      <c r="R2030" s="349">
        <v>0</v>
      </c>
      <c r="S2030" s="349">
        <v>0</v>
      </c>
      <c r="T2030" s="349">
        <v>0</v>
      </c>
      <c r="U2030" s="349">
        <v>0</v>
      </c>
      <c r="V2030" s="349">
        <v>0</v>
      </c>
      <c r="W2030" s="349">
        <v>0</v>
      </c>
    </row>
    <row r="2031" spans="1:23" ht="13.5" thickTop="1" x14ac:dyDescent="0.2">
      <c r="A2031" s="290"/>
      <c r="B2031" s="309"/>
      <c r="C2031" s="283"/>
      <c r="D2031" s="347"/>
      <c r="E2031" s="347"/>
      <c r="F2031" s="347"/>
      <c r="G2031" s="347"/>
      <c r="H2031" s="347"/>
      <c r="I2031" s="347"/>
      <c r="J2031" s="347"/>
      <c r="K2031" s="347"/>
      <c r="L2031" s="347"/>
      <c r="M2031" s="347"/>
      <c r="N2031" s="347"/>
      <c r="O2031" s="347"/>
      <c r="P2031" s="347"/>
      <c r="Q2031" s="347"/>
      <c r="R2031" s="347"/>
      <c r="S2031" s="347"/>
      <c r="T2031" s="347"/>
      <c r="U2031" s="347"/>
      <c r="V2031" s="347"/>
      <c r="W2031" s="347"/>
    </row>
    <row r="2032" spans="1:23" x14ac:dyDescent="0.2">
      <c r="A2032" s="290" t="s">
        <v>200</v>
      </c>
      <c r="B2032" s="309"/>
      <c r="C2032" s="283"/>
      <c r="D2032" s="347">
        <v>0</v>
      </c>
      <c r="E2032" s="347">
        <v>0</v>
      </c>
      <c r="F2032" s="347">
        <v>0</v>
      </c>
      <c r="G2032" s="347">
        <v>0</v>
      </c>
      <c r="H2032" s="347">
        <v>0</v>
      </c>
      <c r="I2032" s="347">
        <v>0</v>
      </c>
      <c r="J2032" s="347">
        <v>0</v>
      </c>
      <c r="K2032" s="347">
        <v>0</v>
      </c>
      <c r="L2032" s="347">
        <v>0</v>
      </c>
      <c r="M2032" s="347">
        <v>0</v>
      </c>
      <c r="N2032" s="347">
        <v>0</v>
      </c>
      <c r="O2032" s="347">
        <v>0</v>
      </c>
      <c r="P2032" s="347">
        <v>0</v>
      </c>
      <c r="Q2032" s="347">
        <v>0</v>
      </c>
      <c r="R2032" s="347">
        <v>0</v>
      </c>
      <c r="S2032" s="347">
        <v>0</v>
      </c>
      <c r="T2032" s="347">
        <v>0</v>
      </c>
      <c r="U2032" s="347">
        <v>0</v>
      </c>
      <c r="V2032" s="347">
        <v>0</v>
      </c>
      <c r="W2032" s="347">
        <v>0</v>
      </c>
    </row>
    <row r="2033" spans="1:23" x14ac:dyDescent="0.2">
      <c r="A2033" s="290"/>
      <c r="B2033" s="309"/>
      <c r="C2033" s="283"/>
      <c r="D2033" s="283"/>
      <c r="E2033" s="283"/>
      <c r="F2033" s="283"/>
      <c r="G2033" s="283"/>
      <c r="H2033" s="283"/>
      <c r="I2033" s="283"/>
      <c r="J2033" s="283"/>
      <c r="K2033" s="283"/>
      <c r="L2033" s="283"/>
      <c r="M2033" s="283"/>
      <c r="N2033" s="283"/>
      <c r="O2033" s="283"/>
      <c r="P2033" s="283"/>
      <c r="Q2033" s="283"/>
      <c r="R2033" s="283"/>
      <c r="S2033" s="283"/>
      <c r="T2033" s="283"/>
      <c r="U2033" s="283"/>
      <c r="V2033" s="283"/>
      <c r="W2033" s="283"/>
    </row>
    <row r="2034" spans="1:23" x14ac:dyDescent="0.2">
      <c r="A2034" s="290" t="s">
        <v>201</v>
      </c>
      <c r="B2034" s="309"/>
      <c r="C2034" s="283"/>
      <c r="D2034" s="347">
        <v>0</v>
      </c>
      <c r="E2034" s="347">
        <v>0</v>
      </c>
      <c r="F2034" s="347">
        <v>0</v>
      </c>
      <c r="G2034" s="347">
        <v>0</v>
      </c>
      <c r="H2034" s="347">
        <v>0</v>
      </c>
      <c r="I2034" s="347">
        <v>0</v>
      </c>
      <c r="J2034" s="347">
        <v>0</v>
      </c>
      <c r="K2034" s="347">
        <v>0</v>
      </c>
      <c r="L2034" s="347">
        <v>0</v>
      </c>
      <c r="M2034" s="347">
        <v>0</v>
      </c>
      <c r="N2034" s="347">
        <v>0</v>
      </c>
      <c r="O2034" s="347">
        <v>0</v>
      </c>
      <c r="P2034" s="347">
        <v>0</v>
      </c>
      <c r="Q2034" s="347">
        <v>0</v>
      </c>
      <c r="R2034" s="347">
        <v>0</v>
      </c>
      <c r="S2034" s="347">
        <v>0</v>
      </c>
      <c r="T2034" s="347">
        <v>0</v>
      </c>
      <c r="U2034" s="347">
        <v>0</v>
      </c>
      <c r="V2034" s="347">
        <v>0</v>
      </c>
      <c r="W2034" s="347">
        <v>0</v>
      </c>
    </row>
    <row r="2035" spans="1:23" x14ac:dyDescent="0.2">
      <c r="A2035" s="283"/>
      <c r="B2035" s="309"/>
      <c r="C2035" s="283"/>
      <c r="D2035" s="283"/>
      <c r="E2035" s="283"/>
      <c r="F2035" s="283"/>
      <c r="G2035" s="283"/>
      <c r="H2035" s="283"/>
      <c r="I2035" s="283"/>
      <c r="J2035" s="283"/>
      <c r="K2035" s="283"/>
      <c r="L2035" s="283"/>
      <c r="M2035" s="283"/>
      <c r="N2035" s="283"/>
      <c r="O2035" s="283"/>
      <c r="P2035" s="283"/>
      <c r="Q2035" s="283"/>
      <c r="R2035" s="283"/>
      <c r="S2035" s="283"/>
      <c r="T2035" s="283"/>
      <c r="U2035" s="283"/>
      <c r="V2035" s="283"/>
      <c r="W2035" s="283"/>
    </row>
    <row r="2036" spans="1:23" x14ac:dyDescent="0.2">
      <c r="A2036" s="283"/>
      <c r="B2036" s="309"/>
      <c r="C2036" s="283"/>
      <c r="D2036" s="283"/>
      <c r="E2036" s="283"/>
      <c r="F2036" s="283"/>
      <c r="G2036" s="283"/>
      <c r="H2036" s="283"/>
      <c r="I2036" s="283"/>
      <c r="J2036" s="283"/>
      <c r="K2036" s="283"/>
      <c r="L2036" s="283"/>
      <c r="M2036" s="283"/>
      <c r="N2036" s="283"/>
      <c r="O2036" s="283"/>
      <c r="P2036" s="283"/>
      <c r="Q2036" s="283"/>
      <c r="R2036" s="283"/>
      <c r="S2036" s="283"/>
      <c r="T2036" s="283"/>
      <c r="U2036" s="283"/>
      <c r="V2036" s="283"/>
      <c r="W2036" s="283"/>
    </row>
    <row r="2037" spans="1:23" x14ac:dyDescent="0.2">
      <c r="A2037" s="290" t="s">
        <v>203</v>
      </c>
      <c r="B2037" s="285"/>
      <c r="C2037" s="284"/>
      <c r="D2037" s="441">
        <v>3790322.0054865484</v>
      </c>
      <c r="E2037" s="441">
        <v>2533065.5040792357</v>
      </c>
      <c r="F2037" s="441">
        <v>2612383.3015890149</v>
      </c>
      <c r="G2037" s="441">
        <v>2264641.8790551214</v>
      </c>
      <c r="H2037" s="441">
        <v>2138068.5418488821</v>
      </c>
      <c r="I2037" s="441">
        <v>2077333.1282959604</v>
      </c>
      <c r="J2037" s="441">
        <v>1877192.8363165392</v>
      </c>
      <c r="K2037" s="441">
        <v>2000862.5092627527</v>
      </c>
      <c r="L2037" s="441">
        <v>2052174.0243210089</v>
      </c>
      <c r="M2037" s="441">
        <v>2099995.5102426363</v>
      </c>
      <c r="N2037" s="441">
        <v>1597389.7256838642</v>
      </c>
      <c r="O2037" s="441">
        <v>1899589.4112504146</v>
      </c>
      <c r="P2037" s="441">
        <v>1768527.2829617725</v>
      </c>
      <c r="Q2037" s="441">
        <v>2235417.5551340273</v>
      </c>
      <c r="R2037" s="441">
        <v>1916724.2159103677</v>
      </c>
      <c r="S2037" s="441">
        <v>1519651.3553860299</v>
      </c>
      <c r="T2037" s="441">
        <v>1665078.3001484603</v>
      </c>
      <c r="U2037" s="441">
        <v>1951494.390327346</v>
      </c>
      <c r="V2037" s="441">
        <v>1708201.8460668665</v>
      </c>
      <c r="W2037" s="441">
        <v>11282696.881449491</v>
      </c>
    </row>
    <row r="2038" spans="1:23" x14ac:dyDescent="0.2">
      <c r="A2038" s="9"/>
      <c r="B2038" s="69"/>
      <c r="C2038" s="9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</row>
    <row r="2039" spans="1:23" x14ac:dyDescent="0.2">
      <c r="A2039" s="376"/>
      <c r="B2039" s="366"/>
      <c r="C2039" s="376"/>
      <c r="D2039" s="376"/>
      <c r="E2039" s="376"/>
      <c r="F2039" s="376"/>
      <c r="G2039" s="376"/>
      <c r="H2039" s="376"/>
      <c r="I2039" s="376"/>
      <c r="J2039" s="376"/>
      <c r="K2039" s="376"/>
      <c r="L2039" s="376"/>
      <c r="M2039" s="376"/>
      <c r="N2039" s="376"/>
      <c r="O2039" s="376"/>
      <c r="P2039" s="376"/>
      <c r="Q2039" s="376"/>
      <c r="R2039" s="376"/>
      <c r="S2039" s="376"/>
      <c r="T2039" s="376"/>
      <c r="U2039" s="376"/>
      <c r="V2039" s="376"/>
      <c r="W2039" s="376"/>
    </row>
    <row r="2040" spans="1:23" x14ac:dyDescent="0.2">
      <c r="A2040" s="376"/>
      <c r="B2040" s="366"/>
      <c r="C2040" s="376"/>
      <c r="D2040" s="376"/>
      <c r="E2040" s="376"/>
      <c r="F2040" s="376"/>
      <c r="G2040" s="376"/>
      <c r="H2040" s="376"/>
      <c r="I2040" s="376"/>
      <c r="J2040" s="376"/>
      <c r="K2040" s="376"/>
      <c r="L2040" s="376"/>
      <c r="M2040" s="376"/>
      <c r="N2040" s="376"/>
      <c r="O2040" s="376"/>
      <c r="P2040" s="376"/>
      <c r="Q2040" s="376"/>
      <c r="R2040" s="376"/>
      <c r="S2040" s="376"/>
      <c r="T2040" s="376"/>
      <c r="U2040" s="376"/>
      <c r="V2040" s="376"/>
      <c r="W2040" s="376"/>
    </row>
    <row r="2041" spans="1:23" x14ac:dyDescent="0.2">
      <c r="A2041" s="298"/>
      <c r="B2041" s="379"/>
      <c r="C2041" s="286"/>
      <c r="D2041" s="380"/>
      <c r="E2041" s="380"/>
      <c r="F2041" s="380"/>
      <c r="G2041" s="380"/>
      <c r="H2041" s="380"/>
      <c r="I2041" s="380"/>
      <c r="J2041" s="380"/>
      <c r="K2041" s="380"/>
      <c r="L2041" s="380"/>
      <c r="M2041" s="380"/>
      <c r="N2041" s="380"/>
      <c r="O2041" s="380"/>
      <c r="P2041" s="380"/>
      <c r="Q2041" s="380"/>
      <c r="R2041" s="380"/>
      <c r="S2041" s="380"/>
      <c r="T2041" s="380"/>
      <c r="U2041" s="380"/>
      <c r="V2041" s="380"/>
      <c r="W2041" s="380"/>
    </row>
    <row r="2042" spans="1:23" x14ac:dyDescent="0.2">
      <c r="B2042" s="23"/>
    </row>
    <row r="2046" spans="1:23" ht="15.75" x14ac:dyDescent="0.25">
      <c r="A2046" s="308" t="s">
        <v>29</v>
      </c>
      <c r="B2046" s="311" t="s">
        <v>84</v>
      </c>
      <c r="C2046" s="312">
        <v>2000</v>
      </c>
      <c r="D2046" s="312">
        <v>2001</v>
      </c>
      <c r="E2046" s="312">
        <v>2002</v>
      </c>
      <c r="F2046" s="312">
        <v>2003</v>
      </c>
      <c r="G2046" s="312">
        <v>2004</v>
      </c>
      <c r="H2046" s="312">
        <v>2005</v>
      </c>
      <c r="I2046" s="312">
        <v>2006</v>
      </c>
      <c r="J2046" s="312">
        <v>2007</v>
      </c>
      <c r="K2046" s="312">
        <v>2008</v>
      </c>
      <c r="L2046" s="312">
        <v>2009</v>
      </c>
      <c r="M2046" s="312">
        <v>2010</v>
      </c>
      <c r="N2046" s="312">
        <v>2011</v>
      </c>
      <c r="O2046" s="312">
        <v>2012</v>
      </c>
      <c r="P2046" s="312">
        <v>2013</v>
      </c>
      <c r="Q2046" s="312">
        <v>2014</v>
      </c>
      <c r="R2046" s="312">
        <v>2015</v>
      </c>
      <c r="S2046" s="312">
        <v>2016</v>
      </c>
      <c r="T2046" s="312">
        <v>2017</v>
      </c>
      <c r="U2046" s="312">
        <v>2018</v>
      </c>
      <c r="V2046" s="312">
        <v>2019</v>
      </c>
      <c r="W2046" s="312" t="s">
        <v>154</v>
      </c>
    </row>
    <row r="2047" spans="1:23" x14ac:dyDescent="0.2">
      <c r="A2047" s="308" t="s">
        <v>26</v>
      </c>
      <c r="B2047" s="309">
        <v>83.433000000000007</v>
      </c>
      <c r="C2047" s="314"/>
      <c r="D2047" s="314"/>
      <c r="E2047" s="314"/>
      <c r="F2047" s="314"/>
      <c r="G2047" s="314"/>
      <c r="H2047" s="314"/>
      <c r="I2047" s="314"/>
      <c r="J2047" s="314"/>
      <c r="K2047" s="314"/>
      <c r="L2047" s="314"/>
      <c r="M2047" s="314"/>
      <c r="N2047" s="314"/>
      <c r="O2047" s="314"/>
      <c r="P2047" s="314"/>
      <c r="Q2047" s="314"/>
      <c r="R2047" s="314"/>
      <c r="S2047" s="314"/>
      <c r="T2047" s="314"/>
      <c r="U2047" s="314"/>
      <c r="V2047" s="314"/>
      <c r="W2047" s="314"/>
    </row>
    <row r="2048" spans="1:23" x14ac:dyDescent="0.2">
      <c r="A2048" s="9"/>
      <c r="B2048" s="315" t="s">
        <v>27</v>
      </c>
      <c r="C2048" s="449">
        <v>0</v>
      </c>
      <c r="D2048" s="410">
        <v>7778399.1075253496</v>
      </c>
      <c r="E2048" s="410">
        <v>6842254.5552537916</v>
      </c>
      <c r="F2048" s="410">
        <v>6629692.7122039562</v>
      </c>
      <c r="G2048" s="410">
        <v>6318609.8961360669</v>
      </c>
      <c r="H2048" s="410">
        <v>6451264.7006655894</v>
      </c>
      <c r="I2048" s="410">
        <v>7455383.7868868234</v>
      </c>
      <c r="J2048" s="410">
        <v>8933942.2525088191</v>
      </c>
      <c r="K2048" s="410">
        <v>11309729.683792757</v>
      </c>
      <c r="L2048" s="410">
        <v>11987941.949257994</v>
      </c>
      <c r="M2048" s="410">
        <v>10329741.498823166</v>
      </c>
      <c r="N2048" s="410">
        <v>10137023.425225437</v>
      </c>
      <c r="O2048" s="410">
        <v>10141395.008444561</v>
      </c>
      <c r="P2048" s="410">
        <v>9373421.0289784186</v>
      </c>
      <c r="Q2048" s="410">
        <v>10829294.728562763</v>
      </c>
      <c r="R2048" s="410">
        <v>10140669.306975409</v>
      </c>
      <c r="S2048" s="410">
        <v>10206249.178018356</v>
      </c>
      <c r="T2048" s="410">
        <v>9435440.7257302757</v>
      </c>
      <c r="U2048" s="410">
        <v>10663951.615292406</v>
      </c>
      <c r="V2048" s="410">
        <v>11535367.734861331</v>
      </c>
      <c r="W2048" s="333"/>
    </row>
    <row r="2049" spans="1:23" x14ac:dyDescent="0.2">
      <c r="A2049" s="9"/>
      <c r="B2049" s="315" t="s">
        <v>20</v>
      </c>
      <c r="C2049" s="449">
        <v>0</v>
      </c>
      <c r="D2049" s="410">
        <v>-2279367.9189881762</v>
      </c>
      <c r="E2049" s="410">
        <v>-2812929.5237752814</v>
      </c>
      <c r="F2049" s="410">
        <v>-3058770.0555529702</v>
      </c>
      <c r="G2049" s="410">
        <v>-3311731.7926161261</v>
      </c>
      <c r="H2049" s="410">
        <v>-3520069.6204902469</v>
      </c>
      <c r="I2049" s="410">
        <v>-4670164.8003135696</v>
      </c>
      <c r="J2049" s="410">
        <v>-5800826.5836623712</v>
      </c>
      <c r="K2049" s="410">
        <v>-7183424.3737935591</v>
      </c>
      <c r="L2049" s="410">
        <v>-7682495.6427182453</v>
      </c>
      <c r="M2049" s="410">
        <v>-6000707.9900300922</v>
      </c>
      <c r="N2049" s="410">
        <v>-6623381.3630241612</v>
      </c>
      <c r="O2049" s="410">
        <v>-6143418.2021517968</v>
      </c>
      <c r="P2049" s="410">
        <v>-5621870.6186106894</v>
      </c>
      <c r="Q2049" s="410">
        <v>-6288111.6403606003</v>
      </c>
      <c r="R2049" s="410">
        <v>-6156692.7170526711</v>
      </c>
      <c r="S2049" s="410">
        <v>-6876253.8889866211</v>
      </c>
      <c r="T2049" s="410">
        <v>-5875497.5201904178</v>
      </c>
      <c r="U2049" s="410">
        <v>-6567394.4389183186</v>
      </c>
      <c r="V2049" s="410">
        <v>-7797811.0819347827</v>
      </c>
      <c r="W2049" s="333"/>
    </row>
    <row r="2050" spans="1:23" x14ac:dyDescent="0.2">
      <c r="A2050" s="9"/>
      <c r="B2050" s="315" t="s">
        <v>31</v>
      </c>
      <c r="C2050" s="449">
        <v>0</v>
      </c>
      <c r="D2050" s="410">
        <v>-57028.15214719066</v>
      </c>
      <c r="E2050" s="410">
        <v>-81185.613060895324</v>
      </c>
      <c r="F2050" s="410">
        <v>-93622.506813158674</v>
      </c>
      <c r="G2050" s="410">
        <v>-101362.76169412494</v>
      </c>
      <c r="H2050" s="410">
        <v>-107716.4803515206</v>
      </c>
      <c r="I2050" s="410">
        <v>-148291.97621567055</v>
      </c>
      <c r="J2050" s="410">
        <v>-179818.39534956124</v>
      </c>
      <c r="K2050" s="410">
        <v>-244348.64758108876</v>
      </c>
      <c r="L2050" s="410">
        <v>-255192.43623216765</v>
      </c>
      <c r="M2050" s="410">
        <v>-193964.44469204155</v>
      </c>
      <c r="N2050" s="410">
        <v>-219273.63205426256</v>
      </c>
      <c r="O2050" s="410">
        <v>-204927.31589735823</v>
      </c>
      <c r="P2050" s="410">
        <v>-185685.14264100697</v>
      </c>
      <c r="Q2050" s="410">
        <v>-206543.68349303392</v>
      </c>
      <c r="R2050" s="410">
        <v>-190880.20244975749</v>
      </c>
      <c r="S2050" s="410">
        <v>-209068.5703584156</v>
      </c>
      <c r="T2050" s="410">
        <v>-179130.37208792387</v>
      </c>
      <c r="U2050" s="410">
        <v>-188414.53075049791</v>
      </c>
      <c r="V2050" s="410">
        <v>-229337.41790373807</v>
      </c>
      <c r="W2050" s="333"/>
    </row>
    <row r="2051" spans="1:23" x14ac:dyDescent="0.2">
      <c r="A2051" s="9"/>
      <c r="B2051" s="315" t="s">
        <v>32</v>
      </c>
      <c r="C2051" s="449">
        <v>0</v>
      </c>
      <c r="D2051" s="410">
        <v>0</v>
      </c>
      <c r="E2051" s="410">
        <v>0</v>
      </c>
      <c r="F2051" s="410">
        <v>0</v>
      </c>
      <c r="G2051" s="410">
        <v>0</v>
      </c>
      <c r="H2051" s="410">
        <v>0</v>
      </c>
      <c r="I2051" s="410">
        <v>93418.023327088376</v>
      </c>
      <c r="J2051" s="410">
        <v>103546.416256845</v>
      </c>
      <c r="K2051" s="410">
        <v>114259.16746337658</v>
      </c>
      <c r="L2051" s="410">
        <v>125495.63771574097</v>
      </c>
      <c r="M2051" s="410">
        <v>139570.44415525725</v>
      </c>
      <c r="N2051" s="410">
        <v>153747.39907892016</v>
      </c>
      <c r="O2051" s="410">
        <v>170347.50869303249</v>
      </c>
      <c r="P2051" s="410">
        <v>191004.36881418826</v>
      </c>
      <c r="Q2051" s="410">
        <v>212617.66815241956</v>
      </c>
      <c r="R2051" s="410">
        <v>235515.42537247401</v>
      </c>
      <c r="S2051" s="410">
        <v>258595.6474313915</v>
      </c>
      <c r="T2051" s="410">
        <v>254057.61645580616</v>
      </c>
      <c r="U2051" s="410">
        <v>217360.03222342019</v>
      </c>
      <c r="V2051" s="410">
        <v>225362.25124239805</v>
      </c>
      <c r="W2051" s="333"/>
    </row>
    <row r="2052" spans="1:23" ht="13.5" thickBot="1" x14ac:dyDescent="0.25">
      <c r="A2052" s="9"/>
      <c r="B2052" s="316" t="s">
        <v>33</v>
      </c>
      <c r="C2052" s="450">
        <v>0</v>
      </c>
      <c r="D2052" s="412">
        <v>0</v>
      </c>
      <c r="E2052" s="412">
        <v>0</v>
      </c>
      <c r="F2052" s="412">
        <v>0</v>
      </c>
      <c r="G2052" s="412">
        <v>0</v>
      </c>
      <c r="H2052" s="412">
        <v>0</v>
      </c>
      <c r="I2052" s="412">
        <v>0</v>
      </c>
      <c r="J2052" s="412">
        <v>0</v>
      </c>
      <c r="K2052" s="412">
        <v>0</v>
      </c>
      <c r="L2052" s="412">
        <v>0</v>
      </c>
      <c r="M2052" s="412">
        <v>0</v>
      </c>
      <c r="N2052" s="412">
        <v>0</v>
      </c>
      <c r="O2052" s="412">
        <v>0</v>
      </c>
      <c r="P2052" s="412">
        <v>0</v>
      </c>
      <c r="Q2052" s="412">
        <v>0</v>
      </c>
      <c r="R2052" s="412">
        <v>0</v>
      </c>
      <c r="S2052" s="412">
        <v>0</v>
      </c>
      <c r="T2052" s="412">
        <v>0</v>
      </c>
      <c r="U2052" s="412">
        <v>0</v>
      </c>
      <c r="V2052" s="412">
        <v>0</v>
      </c>
      <c r="W2052" s="333"/>
    </row>
    <row r="2053" spans="1:23" ht="13.5" thickTop="1" x14ac:dyDescent="0.2">
      <c r="A2053" s="9"/>
      <c r="B2053" s="317" t="s">
        <v>38</v>
      </c>
      <c r="C2053" s="451">
        <v>0</v>
      </c>
      <c r="D2053" s="414">
        <v>5442003.0363899823</v>
      </c>
      <c r="E2053" s="414">
        <v>3948139.4184176149</v>
      </c>
      <c r="F2053" s="414">
        <v>3477300.1498378273</v>
      </c>
      <c r="G2053" s="414">
        <v>2905515.3418258158</v>
      </c>
      <c r="H2053" s="414">
        <v>2823478.5998238218</v>
      </c>
      <c r="I2053" s="414">
        <v>2730345.0336846719</v>
      </c>
      <c r="J2053" s="414">
        <v>3056843.6897537317</v>
      </c>
      <c r="K2053" s="414">
        <v>3996215.8298814856</v>
      </c>
      <c r="L2053" s="414">
        <v>4175749.5080233221</v>
      </c>
      <c r="M2053" s="414">
        <v>4274639.5082562892</v>
      </c>
      <c r="N2053" s="414">
        <v>3448115.8292259327</v>
      </c>
      <c r="O2053" s="414">
        <v>3963396.9990884382</v>
      </c>
      <c r="P2053" s="414">
        <v>3756869.6365409102</v>
      </c>
      <c r="Q2053" s="414">
        <v>4547257.0728615485</v>
      </c>
      <c r="R2053" s="414">
        <v>4028611.8128454546</v>
      </c>
      <c r="S2053" s="414">
        <v>3379522.3661047104</v>
      </c>
      <c r="T2053" s="414">
        <v>3634870.4499077401</v>
      </c>
      <c r="U2053" s="414">
        <v>4125502.6778470096</v>
      </c>
      <c r="V2053" s="414">
        <v>3733581.4862652086</v>
      </c>
      <c r="W2053" s="333"/>
    </row>
    <row r="2054" spans="1:23" x14ac:dyDescent="0.2">
      <c r="A2054" s="9"/>
      <c r="B2054" s="315" t="s">
        <v>34</v>
      </c>
      <c r="C2054" s="449">
        <v>0</v>
      </c>
      <c r="D2054" s="410">
        <v>-355535.16277078062</v>
      </c>
      <c r="E2054" s="410">
        <v>-362645.86602619622</v>
      </c>
      <c r="F2054" s="410">
        <v>-369898.78334672016</v>
      </c>
      <c r="G2054" s="410">
        <v>-377296.75901365455</v>
      </c>
      <c r="H2054" s="410">
        <v>-384842.69419392763</v>
      </c>
      <c r="I2054" s="410">
        <v>-392539.54807780619</v>
      </c>
      <c r="J2054" s="410">
        <v>-400390.33903936233</v>
      </c>
      <c r="K2054" s="410">
        <v>-408398.14582014957</v>
      </c>
      <c r="L2054" s="410">
        <v>-416566.10873655259</v>
      </c>
      <c r="M2054" s="410">
        <v>-424897.43091128365</v>
      </c>
      <c r="N2054" s="410">
        <v>-433395.37952950934</v>
      </c>
      <c r="O2054" s="410">
        <v>-442063.28712009953</v>
      </c>
      <c r="P2054" s="410">
        <v>-450904.55286250153</v>
      </c>
      <c r="Q2054" s="410">
        <v>-459922.64391975157</v>
      </c>
      <c r="R2054" s="410">
        <v>-469121.09679814661</v>
      </c>
      <c r="S2054" s="410">
        <v>-478503.51873410953</v>
      </c>
      <c r="T2054" s="410">
        <v>-488073.58910879173</v>
      </c>
      <c r="U2054" s="410">
        <v>-497835.06089096755</v>
      </c>
      <c r="V2054" s="410">
        <v>-507791.7621087869</v>
      </c>
      <c r="W2054" s="333"/>
    </row>
    <row r="2055" spans="1:23" x14ac:dyDescent="0.2">
      <c r="A2055" s="9"/>
      <c r="B2055" s="315" t="s">
        <v>35</v>
      </c>
      <c r="C2055" s="449">
        <v>0</v>
      </c>
      <c r="D2055" s="410">
        <v>-171612.57929687499</v>
      </c>
      <c r="E2055" s="410">
        <v>-171612.57929687499</v>
      </c>
      <c r="F2055" s="410">
        <v>-171612.57929687499</v>
      </c>
      <c r="G2055" s="410">
        <v>-171612.57929687499</v>
      </c>
      <c r="H2055" s="410">
        <v>-171612.57929687499</v>
      </c>
      <c r="I2055" s="410">
        <v>-171612.57929687499</v>
      </c>
      <c r="J2055" s="410">
        <v>-171612.57929687499</v>
      </c>
      <c r="K2055" s="410">
        <v>-171612.57929687499</v>
      </c>
      <c r="L2055" s="410">
        <v>-171612.57929687499</v>
      </c>
      <c r="M2055" s="410">
        <v>-171612.57929687499</v>
      </c>
      <c r="N2055" s="410">
        <v>-171612.57929687499</v>
      </c>
      <c r="O2055" s="410">
        <v>-171612.57929687499</v>
      </c>
      <c r="P2055" s="410">
        <v>-171612.57929687499</v>
      </c>
      <c r="Q2055" s="410">
        <v>-171612.57929687499</v>
      </c>
      <c r="R2055" s="410">
        <v>-171612.57929687499</v>
      </c>
      <c r="S2055" s="410">
        <v>-171612.57929687499</v>
      </c>
      <c r="T2055" s="410">
        <v>-171612.57929687499</v>
      </c>
      <c r="U2055" s="410">
        <v>-171612.57929687499</v>
      </c>
      <c r="V2055" s="410">
        <v>-171612.57929687499</v>
      </c>
      <c r="W2055" s="333"/>
    </row>
    <row r="2056" spans="1:23" ht="13.5" thickBot="1" x14ac:dyDescent="0.25">
      <c r="A2056" s="9"/>
      <c r="B2056" s="316" t="s">
        <v>36</v>
      </c>
      <c r="C2056" s="450">
        <v>0</v>
      </c>
      <c r="D2056" s="412">
        <v>-34547.1907058574</v>
      </c>
      <c r="E2056" s="412">
        <v>-35276.136429751197</v>
      </c>
      <c r="F2056" s="412">
        <v>-36048.6838175628</v>
      </c>
      <c r="G2056" s="412">
        <v>-36863.384071839399</v>
      </c>
      <c r="H2056" s="412">
        <v>-37740.7326127493</v>
      </c>
      <c r="I2056" s="412">
        <v>-38686.5191661684</v>
      </c>
      <c r="J2056" s="412">
        <v>-39646.052617166402</v>
      </c>
      <c r="K2056" s="412">
        <v>-40649.576140416597</v>
      </c>
      <c r="L2056" s="412">
        <v>-41653.6206710849</v>
      </c>
      <c r="M2056" s="412">
        <v>-42715.787998197498</v>
      </c>
      <c r="N2056" s="412">
        <v>-43749.510067754003</v>
      </c>
      <c r="O2056" s="412">
        <v>-44851.997721461303</v>
      </c>
      <c r="P2056" s="412">
        <v>-45991.238463586298</v>
      </c>
      <c r="Q2056" s="412">
        <v>-47141.019425175997</v>
      </c>
      <c r="R2056" s="412">
        <v>-48324.259012747898</v>
      </c>
      <c r="S2056" s="412">
        <v>-49532.365488066702</v>
      </c>
      <c r="T2056" s="412">
        <v>-50760.768152170604</v>
      </c>
      <c r="U2056" s="412">
        <v>-52034.863432790196</v>
      </c>
      <c r="V2056" s="412">
        <v>-53340.938504953301</v>
      </c>
      <c r="W2056" s="333"/>
    </row>
    <row r="2057" spans="1:23" ht="13.5" thickTop="1" x14ac:dyDescent="0.2">
      <c r="A2057" s="9"/>
      <c r="B2057" s="317" t="s">
        <v>221</v>
      </c>
      <c r="C2057" s="452">
        <v>0</v>
      </c>
      <c r="D2057" s="416">
        <v>4880308.1036164695</v>
      </c>
      <c r="E2057" s="416">
        <v>3378604.8366647926</v>
      </c>
      <c r="F2057" s="416">
        <v>2899740.1033766698</v>
      </c>
      <c r="G2057" s="416">
        <v>2319742.6194434469</v>
      </c>
      <c r="H2057" s="416">
        <v>2229282.5937202703</v>
      </c>
      <c r="I2057" s="416">
        <v>2127506.3871438224</v>
      </c>
      <c r="J2057" s="416">
        <v>2445194.7188003282</v>
      </c>
      <c r="K2057" s="416">
        <v>3375555.5286240443</v>
      </c>
      <c r="L2057" s="416">
        <v>3545917.1993188094</v>
      </c>
      <c r="M2057" s="416">
        <v>3635413.7100499333</v>
      </c>
      <c r="N2057" s="416">
        <v>2799358.3603317947</v>
      </c>
      <c r="O2057" s="416">
        <v>3304869.1349500027</v>
      </c>
      <c r="P2057" s="416">
        <v>3088361.2659179475</v>
      </c>
      <c r="Q2057" s="416">
        <v>3868580.8302197461</v>
      </c>
      <c r="R2057" s="416">
        <v>3339553.8777376851</v>
      </c>
      <c r="S2057" s="416">
        <v>2679873.9025856592</v>
      </c>
      <c r="T2057" s="416">
        <v>2924423.5133499028</v>
      </c>
      <c r="U2057" s="416">
        <v>3404020.1742263772</v>
      </c>
      <c r="V2057" s="416">
        <v>3000836.2063545934</v>
      </c>
      <c r="W2057" s="333"/>
    </row>
    <row r="2058" spans="1:23" x14ac:dyDescent="0.2">
      <c r="A2058" s="9"/>
      <c r="B2058" s="315" t="s">
        <v>37</v>
      </c>
      <c r="C2058" s="449">
        <v>0</v>
      </c>
      <c r="D2058" s="410">
        <v>-2205815.0036666663</v>
      </c>
      <c r="E2058" s="410">
        <v>-2222106.2867557998</v>
      </c>
      <c r="F2058" s="410">
        <v>-2218245.9140550336</v>
      </c>
      <c r="G2058" s="410">
        <v>-2220404.7699058335</v>
      </c>
      <c r="H2058" s="410">
        <v>-2219370.1278626998</v>
      </c>
      <c r="I2058" s="410">
        <v>-2226838.6718359864</v>
      </c>
      <c r="J2058" s="410">
        <v>-1256795.6851576173</v>
      </c>
      <c r="K2058" s="410">
        <v>-177461.22997631613</v>
      </c>
      <c r="L2058" s="410">
        <v>-58419.559668315262</v>
      </c>
      <c r="M2058" s="410">
        <v>-51284.26516026906</v>
      </c>
      <c r="N2058" s="410">
        <v>-56410.562440250484</v>
      </c>
      <c r="O2058" s="410">
        <v>-61434.579799051658</v>
      </c>
      <c r="P2058" s="410">
        <v>-66566.854921797538</v>
      </c>
      <c r="Q2058" s="410">
        <v>-71729.754964892476</v>
      </c>
      <c r="R2058" s="410">
        <v>-77051.398675946912</v>
      </c>
      <c r="S2058" s="410">
        <v>-82659.210031666327</v>
      </c>
      <c r="T2058" s="410">
        <v>-88435.255728057295</v>
      </c>
      <c r="U2058" s="410">
        <v>-94384.582795340015</v>
      </c>
      <c r="V2058" s="410">
        <v>-100512.38967464124</v>
      </c>
      <c r="W2058" s="333"/>
    </row>
    <row r="2059" spans="1:23" ht="13.5" thickBot="1" x14ac:dyDescent="0.25">
      <c r="A2059" s="9"/>
      <c r="B2059" s="316" t="s">
        <v>222</v>
      </c>
      <c r="C2059" s="450">
        <v>0</v>
      </c>
      <c r="D2059" s="412">
        <v>-1069797.2399799214</v>
      </c>
      <c r="E2059" s="412">
        <v>-462599.41996359715</v>
      </c>
      <c r="F2059" s="412">
        <v>-272597.67572865449</v>
      </c>
      <c r="G2059" s="412">
        <v>-39735.139815045339</v>
      </c>
      <c r="H2059" s="412">
        <v>-3964.9863430282103</v>
      </c>
      <c r="I2059" s="412">
        <v>39732.913876865619</v>
      </c>
      <c r="J2059" s="412">
        <v>-475359.6134570844</v>
      </c>
      <c r="K2059" s="412">
        <v>-1279237.7194590913</v>
      </c>
      <c r="L2059" s="412">
        <v>-1394999.0558601979</v>
      </c>
      <c r="M2059" s="412">
        <v>-1433651.7779558657</v>
      </c>
      <c r="N2059" s="412">
        <v>-1097179.1191566177</v>
      </c>
      <c r="O2059" s="412">
        <v>-1297373.8220603804</v>
      </c>
      <c r="P2059" s="412">
        <v>-1208717.76439846</v>
      </c>
      <c r="Q2059" s="412">
        <v>-1518740.4301019416</v>
      </c>
      <c r="R2059" s="412">
        <v>-1305000.9916246952</v>
      </c>
      <c r="S2059" s="412">
        <v>-1038885.8770215972</v>
      </c>
      <c r="T2059" s="412">
        <v>-1134395.3030487383</v>
      </c>
      <c r="U2059" s="412">
        <v>-1323854.2365724149</v>
      </c>
      <c r="V2059" s="412">
        <v>-1160129.526671981</v>
      </c>
      <c r="W2059" s="333"/>
    </row>
    <row r="2060" spans="1:23" ht="13.5" thickTop="1" x14ac:dyDescent="0.2">
      <c r="A2060" s="9"/>
      <c r="B2060" s="317" t="s">
        <v>183</v>
      </c>
      <c r="C2060" s="452">
        <v>0</v>
      </c>
      <c r="D2060" s="416">
        <v>1604695.8599698818</v>
      </c>
      <c r="E2060" s="416">
        <v>693899.12994539575</v>
      </c>
      <c r="F2060" s="416">
        <v>408896.51359298173</v>
      </c>
      <c r="G2060" s="416">
        <v>59602.709722567997</v>
      </c>
      <c r="H2060" s="416">
        <v>5947.479514542315</v>
      </c>
      <c r="I2060" s="416">
        <v>-59599.370815298425</v>
      </c>
      <c r="J2060" s="416">
        <v>713039.42018562648</v>
      </c>
      <c r="K2060" s="416">
        <v>1918856.579188637</v>
      </c>
      <c r="L2060" s="416">
        <v>2092498.5837902965</v>
      </c>
      <c r="M2060" s="416">
        <v>2150477.6669337982</v>
      </c>
      <c r="N2060" s="416">
        <v>1645768.6787349265</v>
      </c>
      <c r="O2060" s="416">
        <v>1946060.7330905704</v>
      </c>
      <c r="P2060" s="416">
        <v>1813076.6465976897</v>
      </c>
      <c r="Q2060" s="416">
        <v>2278110.6451529125</v>
      </c>
      <c r="R2060" s="416">
        <v>1957501.4874370429</v>
      </c>
      <c r="S2060" s="416">
        <v>1558328.8155323956</v>
      </c>
      <c r="T2060" s="416">
        <v>1701592.9545731074</v>
      </c>
      <c r="U2060" s="416">
        <v>1985781.3548586222</v>
      </c>
      <c r="V2060" s="416">
        <v>1740194.2900079712</v>
      </c>
      <c r="W2060" s="333"/>
    </row>
    <row r="2061" spans="1:23" x14ac:dyDescent="0.2">
      <c r="A2061" s="9"/>
      <c r="B2061" s="315" t="s">
        <v>37</v>
      </c>
      <c r="C2061" s="449">
        <v>0</v>
      </c>
      <c r="D2061" s="410">
        <v>2205815.0036666663</v>
      </c>
      <c r="E2061" s="410">
        <v>2222106.2867557998</v>
      </c>
      <c r="F2061" s="410">
        <v>2218245.9140550336</v>
      </c>
      <c r="G2061" s="410">
        <v>2220404.7699058335</v>
      </c>
      <c r="H2061" s="410">
        <v>2219370.1278626998</v>
      </c>
      <c r="I2061" s="410">
        <v>2226838.6718359864</v>
      </c>
      <c r="J2061" s="410">
        <v>1256795.6851576173</v>
      </c>
      <c r="K2061" s="410">
        <v>177461.22997631613</v>
      </c>
      <c r="L2061" s="410">
        <v>58419.559668315262</v>
      </c>
      <c r="M2061" s="410">
        <v>51284.26516026906</v>
      </c>
      <c r="N2061" s="410">
        <v>56410.562440250484</v>
      </c>
      <c r="O2061" s="410">
        <v>61434.579799051658</v>
      </c>
      <c r="P2061" s="410">
        <v>66566.854921797538</v>
      </c>
      <c r="Q2061" s="410">
        <v>71729.754964892476</v>
      </c>
      <c r="R2061" s="410">
        <v>77051.398675946912</v>
      </c>
      <c r="S2061" s="410">
        <v>82659.210031666327</v>
      </c>
      <c r="T2061" s="410">
        <v>88435.255728057295</v>
      </c>
      <c r="U2061" s="410">
        <v>94384.582795340015</v>
      </c>
      <c r="V2061" s="410">
        <v>100512.38967464124</v>
      </c>
      <c r="W2061" s="333"/>
    </row>
    <row r="2062" spans="1:23" x14ac:dyDescent="0.2">
      <c r="A2062" s="9"/>
      <c r="B2062" s="315" t="s">
        <v>39</v>
      </c>
      <c r="C2062" s="449">
        <v>0</v>
      </c>
      <c r="D2062" s="410">
        <v>-368862.32</v>
      </c>
      <c r="E2062" s="410">
        <v>-15323.09</v>
      </c>
      <c r="F2062" s="410">
        <v>-15780.83</v>
      </c>
      <c r="G2062" s="410">
        <v>-16310.09</v>
      </c>
      <c r="H2062" s="410">
        <v>-86379.108000000022</v>
      </c>
      <c r="I2062" s="410">
        <v>-88970.481240000023</v>
      </c>
      <c r="J2062" s="410">
        <v>-91639.595677200021</v>
      </c>
      <c r="K2062" s="410">
        <v>-94388.783547516025</v>
      </c>
      <c r="L2062" s="410">
        <v>-97220.447053941505</v>
      </c>
      <c r="M2062" s="410">
        <v>-100137.06046555976</v>
      </c>
      <c r="N2062" s="410">
        <v>-103141.17227952655</v>
      </c>
      <c r="O2062" s="410">
        <v>-106235.40744791235</v>
      </c>
      <c r="P2062" s="410">
        <v>-109422.46967134973</v>
      </c>
      <c r="Q2062" s="410">
        <v>-112705.14376149022</v>
      </c>
      <c r="R2062" s="410">
        <v>-116086.29807433493</v>
      </c>
      <c r="S2062" s="410">
        <v>-119568.88701656499</v>
      </c>
      <c r="T2062" s="410">
        <v>-123155.95362706194</v>
      </c>
      <c r="U2062" s="410">
        <v>-126850.63223587381</v>
      </c>
      <c r="V2062" s="410">
        <v>-130656.15120295003</v>
      </c>
      <c r="W2062" s="333"/>
    </row>
    <row r="2063" spans="1:23" ht="13.5" thickBot="1" x14ac:dyDescent="0.25">
      <c r="A2063" s="9"/>
      <c r="B2063" s="316" t="s">
        <v>40</v>
      </c>
      <c r="C2063" s="450">
        <v>0</v>
      </c>
      <c r="D2063" s="412">
        <v>0</v>
      </c>
      <c r="E2063" s="412">
        <v>0</v>
      </c>
      <c r="F2063" s="412">
        <v>0</v>
      </c>
      <c r="G2063" s="412">
        <v>0</v>
      </c>
      <c r="H2063" s="412">
        <v>0</v>
      </c>
      <c r="I2063" s="412">
        <v>0</v>
      </c>
      <c r="J2063" s="412">
        <v>0</v>
      </c>
      <c r="K2063" s="412">
        <v>0</v>
      </c>
      <c r="L2063" s="412">
        <v>0</v>
      </c>
      <c r="M2063" s="412">
        <v>0</v>
      </c>
      <c r="N2063" s="412">
        <v>0</v>
      </c>
      <c r="O2063" s="412">
        <v>0</v>
      </c>
      <c r="P2063" s="412">
        <v>0</v>
      </c>
      <c r="Q2063" s="412">
        <v>0</v>
      </c>
      <c r="R2063" s="412">
        <v>0</v>
      </c>
      <c r="S2063" s="412">
        <v>0</v>
      </c>
      <c r="T2063" s="412">
        <v>0</v>
      </c>
      <c r="U2063" s="412">
        <v>0</v>
      </c>
      <c r="V2063" s="412">
        <v>0</v>
      </c>
      <c r="W2063" s="333"/>
    </row>
    <row r="2064" spans="1:23" ht="13.5" thickTop="1" x14ac:dyDescent="0.2">
      <c r="A2064" s="9"/>
      <c r="B2064" s="315"/>
      <c r="C2064" s="453"/>
      <c r="D2064" s="333"/>
      <c r="E2064" s="333"/>
      <c r="F2064" s="333"/>
      <c r="G2064" s="333"/>
      <c r="H2064" s="333"/>
      <c r="I2064" s="333"/>
      <c r="J2064" s="333"/>
      <c r="K2064" s="333"/>
      <c r="L2064" s="333"/>
      <c r="M2064" s="333"/>
      <c r="N2064" s="333"/>
      <c r="O2064" s="333"/>
      <c r="P2064" s="333"/>
      <c r="Q2064" s="333"/>
      <c r="R2064" s="333"/>
      <c r="S2064" s="333"/>
      <c r="T2064" s="333"/>
      <c r="U2064" s="333"/>
      <c r="V2064" s="333"/>
      <c r="W2064" s="333"/>
    </row>
    <row r="2065" spans="1:23" x14ac:dyDescent="0.2">
      <c r="A2065" s="9"/>
      <c r="B2065" s="317" t="s">
        <v>234</v>
      </c>
      <c r="C2065" s="452">
        <v>0</v>
      </c>
      <c r="D2065" s="416">
        <v>3441648.5436365483</v>
      </c>
      <c r="E2065" s="416">
        <v>2900682.3267011959</v>
      </c>
      <c r="F2065" s="416">
        <v>2611361.5976480152</v>
      </c>
      <c r="G2065" s="416">
        <v>2263697.3896284015</v>
      </c>
      <c r="H2065" s="416">
        <v>2138938.4993772423</v>
      </c>
      <c r="I2065" s="416">
        <v>2078268.8197806878</v>
      </c>
      <c r="J2065" s="416">
        <v>1878195.5096660438</v>
      </c>
      <c r="K2065" s="416">
        <v>2001929.0256174372</v>
      </c>
      <c r="L2065" s="416">
        <v>2053697.6964046704</v>
      </c>
      <c r="M2065" s="416">
        <v>2101624.8716285075</v>
      </c>
      <c r="N2065" s="416">
        <v>1599038.0688956506</v>
      </c>
      <c r="O2065" s="416">
        <v>1901259.9054417098</v>
      </c>
      <c r="P2065" s="416">
        <v>1770221.0318481375</v>
      </c>
      <c r="Q2065" s="416">
        <v>2237135.2563563148</v>
      </c>
      <c r="R2065" s="416">
        <v>1918466.588038655</v>
      </c>
      <c r="S2065" s="416">
        <v>1521419.1385474969</v>
      </c>
      <c r="T2065" s="416">
        <v>1666872.2566741027</v>
      </c>
      <c r="U2065" s="416">
        <v>1953315.3054180886</v>
      </c>
      <c r="V2065" s="416">
        <v>1710050.5284796625</v>
      </c>
      <c r="W2065" s="414">
        <v>11293347.479722364</v>
      </c>
    </row>
    <row r="2066" spans="1:23" x14ac:dyDescent="0.2">
      <c r="A2066" s="9"/>
      <c r="B2066" s="292"/>
      <c r="C2066" s="9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</row>
    <row r="2067" spans="1:23" x14ac:dyDescent="0.2">
      <c r="A2067" s="308" t="s">
        <v>219</v>
      </c>
      <c r="B2067" s="306" t="s">
        <v>170</v>
      </c>
      <c r="C2067" s="439">
        <v>10868001.072313625</v>
      </c>
      <c r="D2067" s="9"/>
      <c r="E2067" s="137" t="s">
        <v>220</v>
      </c>
      <c r="F2067" s="319" t="s">
        <v>170</v>
      </c>
      <c r="G2067" s="443">
        <v>10868001.072313625</v>
      </c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</row>
    <row r="2068" spans="1:23" x14ac:dyDescent="0.2">
      <c r="A2068" s="9"/>
      <c r="B2068" s="306" t="s">
        <v>180</v>
      </c>
      <c r="C2068" s="439">
        <v>9199418.4084320553</v>
      </c>
      <c r="D2068" s="9"/>
      <c r="E2068" s="321"/>
      <c r="F2068" s="319" t="s">
        <v>180</v>
      </c>
      <c r="G2068" s="443">
        <v>9199418.4084320553</v>
      </c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</row>
    <row r="2069" spans="1:23" ht="13.5" thickBot="1" x14ac:dyDescent="0.25">
      <c r="A2069" s="9"/>
      <c r="B2069" s="322" t="s">
        <v>137</v>
      </c>
      <c r="C2069" s="440">
        <v>1760618.7813320225</v>
      </c>
      <c r="D2069" s="323"/>
      <c r="E2069" s="321"/>
      <c r="F2069" s="319" t="s">
        <v>137</v>
      </c>
      <c r="G2069" s="443">
        <v>1760618.7813320225</v>
      </c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</row>
    <row r="2070" spans="1:23" ht="14.25" thickTop="1" thickBot="1" x14ac:dyDescent="0.25">
      <c r="A2070" s="9"/>
      <c r="B2070" s="306" t="s">
        <v>28</v>
      </c>
      <c r="C2070" s="438">
        <v>21828038.2620777</v>
      </c>
      <c r="D2070" s="305"/>
      <c r="E2070" s="321"/>
      <c r="F2070" s="324" t="s">
        <v>204</v>
      </c>
      <c r="G2070" s="325">
        <v>0</v>
      </c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</row>
    <row r="2071" spans="1:23" ht="13.5" thickTop="1" x14ac:dyDescent="0.2">
      <c r="A2071" s="9"/>
      <c r="B2071" s="292"/>
      <c r="C2071" s="326"/>
      <c r="D2071" s="9"/>
      <c r="E2071" s="327"/>
      <c r="F2071" s="319" t="s">
        <v>28</v>
      </c>
      <c r="G2071" s="368">
        <v>21828038.2620777</v>
      </c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</row>
    <row r="2072" spans="1:23" x14ac:dyDescent="0.2">
      <c r="A2072" s="9"/>
      <c r="B2072" s="292"/>
      <c r="C2072" s="326"/>
      <c r="D2072" s="9"/>
      <c r="E2072" s="327"/>
      <c r="F2072" s="319"/>
      <c r="G2072" s="328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</row>
    <row r="2073" spans="1:23" x14ac:dyDescent="0.2">
      <c r="A2073" s="9"/>
      <c r="B2073" s="292"/>
      <c r="C2073" s="326"/>
      <c r="D2073" s="9"/>
      <c r="E2073" s="327"/>
      <c r="F2073" s="319"/>
      <c r="G2073" s="328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</row>
    <row r="2074" spans="1:23" x14ac:dyDescent="0.2">
      <c r="A2074" s="9"/>
      <c r="B2074" s="329" t="s">
        <v>223</v>
      </c>
      <c r="C2074" s="326"/>
      <c r="D2074" s="9"/>
      <c r="E2074" s="327"/>
      <c r="F2074" s="319"/>
      <c r="G2074" s="328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</row>
    <row r="2075" spans="1:23" x14ac:dyDescent="0.2">
      <c r="A2075" s="330" t="s">
        <v>225</v>
      </c>
      <c r="B2075" s="329" t="s">
        <v>224</v>
      </c>
      <c r="C2075" s="331"/>
      <c r="D2075" s="332">
        <v>1604695.8599698818</v>
      </c>
      <c r="E2075" s="332">
        <v>693899.12994539575</v>
      </c>
      <c r="F2075" s="332">
        <v>408896.51359298173</v>
      </c>
      <c r="G2075" s="332">
        <v>59602.709722567997</v>
      </c>
      <c r="H2075" s="332">
        <v>5947.479514542315</v>
      </c>
      <c r="I2075" s="332">
        <v>-59599.370815298425</v>
      </c>
      <c r="J2075" s="332">
        <v>713039.42018562648</v>
      </c>
      <c r="K2075" s="332">
        <v>1918856.579188637</v>
      </c>
      <c r="L2075" s="332">
        <v>2092498.5837902965</v>
      </c>
      <c r="M2075" s="332">
        <v>2150477.6669337982</v>
      </c>
      <c r="N2075" s="332">
        <v>1645768.6787349265</v>
      </c>
      <c r="O2075" s="332">
        <v>1946060.7330905704</v>
      </c>
      <c r="P2075" s="332">
        <v>1813076.6465976897</v>
      </c>
      <c r="Q2075" s="332">
        <v>2278110.6451529125</v>
      </c>
      <c r="R2075" s="332">
        <v>1957501.4874370429</v>
      </c>
      <c r="S2075" s="332">
        <v>1558328.8155323956</v>
      </c>
      <c r="T2075" s="332">
        <v>1701592.9545731074</v>
      </c>
      <c r="U2075" s="332">
        <v>1985781.3548586222</v>
      </c>
      <c r="V2075" s="332">
        <v>1740194.2900079712</v>
      </c>
      <c r="W2075" s="9"/>
    </row>
    <row r="2076" spans="1:23" x14ac:dyDescent="0.2">
      <c r="A2076" s="9"/>
      <c r="B2076" s="292" t="s">
        <v>226</v>
      </c>
      <c r="C2076" s="326"/>
      <c r="D2076" s="333">
        <v>1069797.2399799214</v>
      </c>
      <c r="E2076" s="333">
        <v>462599.41996359715</v>
      </c>
      <c r="F2076" s="333">
        <v>272597.67572865449</v>
      </c>
      <c r="G2076" s="333">
        <v>39735.139815045339</v>
      </c>
      <c r="H2076" s="333">
        <v>3964.9863430282103</v>
      </c>
      <c r="I2076" s="333">
        <v>-39732.913876865619</v>
      </c>
      <c r="J2076" s="333">
        <v>475359.6134570844</v>
      </c>
      <c r="K2076" s="333">
        <v>1279237.7194590913</v>
      </c>
      <c r="L2076" s="333">
        <v>1394999.0558601979</v>
      </c>
      <c r="M2076" s="333">
        <v>1433651.7779558657</v>
      </c>
      <c r="N2076" s="333">
        <v>1097179.1191566177</v>
      </c>
      <c r="O2076" s="333">
        <v>1297373.8220603804</v>
      </c>
      <c r="P2076" s="333">
        <v>1208717.76439846</v>
      </c>
      <c r="Q2076" s="333">
        <v>1518740.4301019416</v>
      </c>
      <c r="R2076" s="333">
        <v>1305000.9916246952</v>
      </c>
      <c r="S2076" s="333">
        <v>1038885.8770215972</v>
      </c>
      <c r="T2076" s="333">
        <v>1134395.3030487383</v>
      </c>
      <c r="U2076" s="333">
        <v>1323854.2365724149</v>
      </c>
      <c r="V2076" s="333">
        <v>1160129.526671981</v>
      </c>
      <c r="W2076" s="9"/>
    </row>
    <row r="2077" spans="1:23" x14ac:dyDescent="0.2">
      <c r="A2077" s="9"/>
      <c r="B2077" s="334" t="s">
        <v>227</v>
      </c>
      <c r="C2077" s="335"/>
      <c r="D2077" s="333">
        <v>2205815.0036666663</v>
      </c>
      <c r="E2077" s="333">
        <v>2222106.2867557998</v>
      </c>
      <c r="F2077" s="333">
        <v>2218245.9140550336</v>
      </c>
      <c r="G2077" s="333">
        <v>2220404.7699058335</v>
      </c>
      <c r="H2077" s="333">
        <v>2219370.1278626998</v>
      </c>
      <c r="I2077" s="333">
        <v>2226838.6718359864</v>
      </c>
      <c r="J2077" s="333">
        <v>1256795.6851576173</v>
      </c>
      <c r="K2077" s="333">
        <v>177461.22997631613</v>
      </c>
      <c r="L2077" s="333">
        <v>58419.559668315262</v>
      </c>
      <c r="M2077" s="333">
        <v>51284.26516026906</v>
      </c>
      <c r="N2077" s="333">
        <v>56410.562440250484</v>
      </c>
      <c r="O2077" s="333">
        <v>61434.579799051658</v>
      </c>
      <c r="P2077" s="333">
        <v>66566.854921797538</v>
      </c>
      <c r="Q2077" s="333">
        <v>71729.754964892476</v>
      </c>
      <c r="R2077" s="333">
        <v>77051.398675946912</v>
      </c>
      <c r="S2077" s="333">
        <v>82659.210031666327</v>
      </c>
      <c r="T2077" s="333">
        <v>88435.255728057295</v>
      </c>
      <c r="U2077" s="333">
        <v>94384.582795340015</v>
      </c>
      <c r="V2077" s="333">
        <v>100512.38967464124</v>
      </c>
      <c r="W2077" s="9"/>
    </row>
    <row r="2078" spans="1:23" ht="13.5" thickBot="1" x14ac:dyDescent="0.25">
      <c r="A2078" s="9"/>
      <c r="B2078" s="336" t="s">
        <v>228</v>
      </c>
      <c r="C2078" s="337"/>
      <c r="D2078" s="338">
        <v>4880308.1036164695</v>
      </c>
      <c r="E2078" s="338">
        <v>3378604.8366647926</v>
      </c>
      <c r="F2078" s="338">
        <v>2899740.1033766698</v>
      </c>
      <c r="G2078" s="338">
        <v>2319742.6194434469</v>
      </c>
      <c r="H2078" s="338">
        <v>2229282.5937202703</v>
      </c>
      <c r="I2078" s="338">
        <v>2127506.3871438224</v>
      </c>
      <c r="J2078" s="338">
        <v>2445194.7188003282</v>
      </c>
      <c r="K2078" s="338">
        <v>3375555.5286240443</v>
      </c>
      <c r="L2078" s="338">
        <v>3545917.1993188094</v>
      </c>
      <c r="M2078" s="338">
        <v>3635413.7100499328</v>
      </c>
      <c r="N2078" s="338">
        <v>2799358.3603317947</v>
      </c>
      <c r="O2078" s="338">
        <v>3304869.1349500027</v>
      </c>
      <c r="P2078" s="338">
        <v>3088361.2659179475</v>
      </c>
      <c r="Q2078" s="338">
        <v>3868580.8302197461</v>
      </c>
      <c r="R2078" s="338">
        <v>3339553.8777376851</v>
      </c>
      <c r="S2078" s="338">
        <v>2679873.9025856592</v>
      </c>
      <c r="T2078" s="338">
        <v>2924423.5133499028</v>
      </c>
      <c r="U2078" s="338">
        <v>3404020.1742263772</v>
      </c>
      <c r="V2078" s="338">
        <v>3000836.2063545934</v>
      </c>
      <c r="W2078" s="9"/>
    </row>
    <row r="2079" spans="1:23" ht="13.5" thickTop="1" x14ac:dyDescent="0.2">
      <c r="A2079" s="330" t="s">
        <v>229</v>
      </c>
      <c r="B2079" s="292" t="s">
        <v>230</v>
      </c>
      <c r="C2079" s="326"/>
      <c r="D2079" s="333">
        <v>-1848665.5975308665</v>
      </c>
      <c r="E2079" s="333">
        <v>-1849431.7520308667</v>
      </c>
      <c r="F2079" s="333">
        <v>-1850220.7935308665</v>
      </c>
      <c r="G2079" s="333">
        <v>-1851036.2980308665</v>
      </c>
      <c r="H2079" s="333">
        <v>-1855355.2534308666</v>
      </c>
      <c r="I2079" s="333">
        <v>-1859803.7774928666</v>
      </c>
      <c r="J2079" s="333">
        <v>-1864385.7572767267</v>
      </c>
      <c r="K2079" s="333">
        <v>-1869105.1964541024</v>
      </c>
      <c r="L2079" s="333">
        <v>-1873966.2188067995</v>
      </c>
      <c r="M2079" s="333">
        <v>-1878973.0718300776</v>
      </c>
      <c r="N2079" s="333">
        <v>-1884130.1304440538</v>
      </c>
      <c r="O2079" s="333">
        <v>-1889441.9008164494</v>
      </c>
      <c r="P2079" s="333">
        <v>-1894913.0243000169</v>
      </c>
      <c r="Q2079" s="333">
        <v>-1900548.2814880915</v>
      </c>
      <c r="R2079" s="333">
        <v>-542955.63305847964</v>
      </c>
      <c r="S2079" s="333">
        <v>-160193.20740930305</v>
      </c>
      <c r="T2079" s="333">
        <v>-166351.00509065617</v>
      </c>
      <c r="U2079" s="333">
        <v>-172693.53670244984</v>
      </c>
      <c r="V2079" s="333">
        <v>-179226.34426259735</v>
      </c>
      <c r="W2079" s="9"/>
    </row>
    <row r="2080" spans="1:23" x14ac:dyDescent="0.2">
      <c r="A2080" s="9"/>
      <c r="B2080" s="292" t="s">
        <v>231</v>
      </c>
      <c r="C2080" s="326"/>
      <c r="D2080" s="333">
        <v>0</v>
      </c>
      <c r="E2080" s="333">
        <v>0</v>
      </c>
      <c r="F2080" s="333">
        <v>0</v>
      </c>
      <c r="G2080" s="333">
        <v>0</v>
      </c>
      <c r="H2080" s="333">
        <v>0</v>
      </c>
      <c r="I2080" s="333">
        <v>0</v>
      </c>
      <c r="J2080" s="333">
        <v>0</v>
      </c>
      <c r="K2080" s="333">
        <v>0</v>
      </c>
      <c r="L2080" s="333">
        <v>0</v>
      </c>
      <c r="M2080" s="333">
        <v>0</v>
      </c>
      <c r="N2080" s="333">
        <v>0</v>
      </c>
      <c r="O2080" s="333">
        <v>0</v>
      </c>
      <c r="P2080" s="333">
        <v>0</v>
      </c>
      <c r="Q2080" s="333">
        <v>0</v>
      </c>
      <c r="R2080" s="333">
        <v>0</v>
      </c>
      <c r="S2080" s="333">
        <v>0</v>
      </c>
      <c r="T2080" s="333">
        <v>0</v>
      </c>
      <c r="U2080" s="333">
        <v>0</v>
      </c>
      <c r="V2080" s="333">
        <v>0</v>
      </c>
      <c r="W2080" s="9"/>
    </row>
    <row r="2081" spans="1:23" x14ac:dyDescent="0.2">
      <c r="A2081" s="9"/>
      <c r="B2081" s="329" t="s">
        <v>232</v>
      </c>
      <c r="C2081" s="331"/>
      <c r="D2081" s="332">
        <v>3031642.506085603</v>
      </c>
      <c r="E2081" s="332">
        <v>1529173.0846339259</v>
      </c>
      <c r="F2081" s="332">
        <v>1049519.3098458033</v>
      </c>
      <c r="G2081" s="332">
        <v>468706.32141258032</v>
      </c>
      <c r="H2081" s="332">
        <v>373927.34028940368</v>
      </c>
      <c r="I2081" s="332">
        <v>267702.60965095577</v>
      </c>
      <c r="J2081" s="332">
        <v>580808.96152360155</v>
      </c>
      <c r="K2081" s="332">
        <v>1506450.3321699419</v>
      </c>
      <c r="L2081" s="332">
        <v>1671950.9805120099</v>
      </c>
      <c r="M2081" s="332">
        <v>1756440.6382198553</v>
      </c>
      <c r="N2081" s="332">
        <v>915228.22988774092</v>
      </c>
      <c r="O2081" s="332">
        <v>1415427.2341335532</v>
      </c>
      <c r="P2081" s="332">
        <v>1193448.2416179306</v>
      </c>
      <c r="Q2081" s="332">
        <v>1968032.5487316546</v>
      </c>
      <c r="R2081" s="332">
        <v>2796598.2446792056</v>
      </c>
      <c r="S2081" s="332">
        <v>2519680.695176356</v>
      </c>
      <c r="T2081" s="332">
        <v>2758072.5082592466</v>
      </c>
      <c r="U2081" s="332">
        <v>3231326.6375239273</v>
      </c>
      <c r="V2081" s="332">
        <v>2821609.8620919962</v>
      </c>
      <c r="W2081" s="9"/>
    </row>
    <row r="2082" spans="1:23" ht="13.5" thickBot="1" x14ac:dyDescent="0.25">
      <c r="A2082" s="9"/>
      <c r="B2082" s="339" t="s">
        <v>238</v>
      </c>
      <c r="C2082" s="340"/>
      <c r="D2082" s="341">
        <v>-1212657.0024342414</v>
      </c>
      <c r="E2082" s="341">
        <v>-611669.23385357042</v>
      </c>
      <c r="F2082" s="341">
        <v>-419807.72393832135</v>
      </c>
      <c r="G2082" s="341">
        <v>-187482.52856503215</v>
      </c>
      <c r="H2082" s="341">
        <v>-149570.93611576149</v>
      </c>
      <c r="I2082" s="341">
        <v>-107081.04386038231</v>
      </c>
      <c r="J2082" s="341">
        <v>-232323.58460944064</v>
      </c>
      <c r="K2082" s="341">
        <v>-602580.13286797679</v>
      </c>
      <c r="L2082" s="341">
        <v>-668780.392204804</v>
      </c>
      <c r="M2082" s="341">
        <v>-702576.25528794213</v>
      </c>
      <c r="N2082" s="341">
        <v>-366091.29195509641</v>
      </c>
      <c r="O2082" s="341">
        <v>-566170.89365342131</v>
      </c>
      <c r="P2082" s="341">
        <v>-477379.29664717225</v>
      </c>
      <c r="Q2082" s="341">
        <v>-787213.01949266193</v>
      </c>
      <c r="R2082" s="341">
        <v>-1118639.2978716823</v>
      </c>
      <c r="S2082" s="341">
        <v>-1007872.2780705425</v>
      </c>
      <c r="T2082" s="341">
        <v>-1103229.0033036987</v>
      </c>
      <c r="U2082" s="341">
        <v>-1292530.655009571</v>
      </c>
      <c r="V2082" s="341">
        <v>-1128643.9448367986</v>
      </c>
      <c r="W2082" s="9"/>
    </row>
    <row r="2083" spans="1:23" ht="13.5" thickTop="1" x14ac:dyDescent="0.2">
      <c r="A2083" s="9"/>
      <c r="B2083" s="329" t="s">
        <v>233</v>
      </c>
      <c r="C2083" s="331"/>
      <c r="D2083" s="332">
        <v>1818985.5036513617</v>
      </c>
      <c r="E2083" s="332">
        <v>917503.85078035551</v>
      </c>
      <c r="F2083" s="332">
        <v>629711.58590748196</v>
      </c>
      <c r="G2083" s="332">
        <v>281223.79284754815</v>
      </c>
      <c r="H2083" s="332">
        <v>224356.40417364219</v>
      </c>
      <c r="I2083" s="332">
        <v>160621.56579057346</v>
      </c>
      <c r="J2083" s="332">
        <v>348485.37691416091</v>
      </c>
      <c r="K2083" s="332">
        <v>903870.19930196507</v>
      </c>
      <c r="L2083" s="332">
        <v>1003170.5883072059</v>
      </c>
      <c r="M2083" s="332">
        <v>1053864.3829319132</v>
      </c>
      <c r="N2083" s="332">
        <v>549136.93793264451</v>
      </c>
      <c r="O2083" s="332">
        <v>849256.34048013191</v>
      </c>
      <c r="P2083" s="332">
        <v>716068.9449707584</v>
      </c>
      <c r="Q2083" s="332">
        <v>1180819.5292389928</v>
      </c>
      <c r="R2083" s="332">
        <v>1677958.9468075233</v>
      </c>
      <c r="S2083" s="332">
        <v>1511808.4171058135</v>
      </c>
      <c r="T2083" s="332">
        <v>1654843.5049555479</v>
      </c>
      <c r="U2083" s="332">
        <v>1938795.9825143563</v>
      </c>
      <c r="V2083" s="332">
        <v>1692965.9172551977</v>
      </c>
      <c r="W2083" s="9"/>
    </row>
    <row r="2084" spans="1:23" x14ac:dyDescent="0.2">
      <c r="A2084" s="9"/>
      <c r="B2084" s="9"/>
      <c r="C2084" s="326"/>
      <c r="D2084" s="9"/>
      <c r="E2084" s="327"/>
      <c r="F2084" s="319"/>
      <c r="G2084" s="328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</row>
    <row r="2085" spans="1:23" ht="15.75" x14ac:dyDescent="0.25">
      <c r="A2085" s="342" t="s">
        <v>206</v>
      </c>
      <c r="B2085" s="343"/>
      <c r="C2085" s="9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</row>
    <row r="2086" spans="1:23" x14ac:dyDescent="0.2">
      <c r="A2086" s="290" t="s">
        <v>191</v>
      </c>
      <c r="B2086" s="309"/>
      <c r="C2086" s="344">
        <v>0</v>
      </c>
      <c r="D2086" s="283"/>
      <c r="E2086" s="283"/>
      <c r="F2086" s="283"/>
      <c r="G2086" s="283"/>
      <c r="H2086" s="283"/>
      <c r="I2086" s="283"/>
      <c r="J2086" s="283"/>
      <c r="K2086" s="283"/>
      <c r="L2086" s="283"/>
      <c r="M2086" s="283"/>
      <c r="N2086" s="283"/>
      <c r="O2086" s="283"/>
      <c r="P2086" s="283"/>
      <c r="Q2086" s="283"/>
      <c r="R2086" s="283"/>
      <c r="S2086" s="283"/>
      <c r="T2086" s="283"/>
      <c r="U2086" s="283"/>
      <c r="V2086" s="283"/>
      <c r="W2086" s="283"/>
    </row>
    <row r="2087" spans="1:23" x14ac:dyDescent="0.2">
      <c r="A2087" s="290" t="s">
        <v>192</v>
      </c>
      <c r="B2087" s="309"/>
      <c r="C2087" s="345">
        <v>0</v>
      </c>
      <c r="D2087" s="283"/>
      <c r="E2087" s="283"/>
      <c r="F2087" s="283"/>
      <c r="G2087" s="283"/>
      <c r="H2087" s="283"/>
      <c r="I2087" s="283"/>
      <c r="J2087" s="283"/>
      <c r="K2087" s="283"/>
      <c r="L2087" s="283"/>
      <c r="M2087" s="283"/>
      <c r="N2087" s="283"/>
      <c r="O2087" s="283"/>
      <c r="P2087" s="283"/>
      <c r="Q2087" s="283"/>
      <c r="R2087" s="283"/>
      <c r="S2087" s="283"/>
      <c r="T2087" s="283"/>
      <c r="U2087" s="283"/>
      <c r="V2087" s="283"/>
      <c r="W2087" s="283"/>
    </row>
    <row r="2088" spans="1:23" x14ac:dyDescent="0.2">
      <c r="A2088" s="290" t="s">
        <v>202</v>
      </c>
      <c r="B2088" s="309"/>
      <c r="C2088" s="290">
        <v>15</v>
      </c>
      <c r="D2088" s="283"/>
      <c r="E2088" s="283"/>
      <c r="F2088" s="283"/>
      <c r="G2088" s="283"/>
      <c r="H2088" s="283"/>
      <c r="I2088" s="283"/>
      <c r="J2088" s="283"/>
      <c r="K2088" s="283"/>
      <c r="L2088" s="283"/>
      <c r="M2088" s="283"/>
      <c r="N2088" s="283"/>
      <c r="O2088" s="283"/>
      <c r="P2088" s="283"/>
      <c r="Q2088" s="283"/>
      <c r="R2088" s="283"/>
      <c r="S2088" s="283"/>
      <c r="T2088" s="283"/>
      <c r="U2088" s="283"/>
      <c r="V2088" s="283"/>
      <c r="W2088" s="283"/>
    </row>
    <row r="2089" spans="1:23" x14ac:dyDescent="0.2">
      <c r="A2089" s="290" t="s">
        <v>193</v>
      </c>
      <c r="B2089" s="309"/>
      <c r="C2089" s="345">
        <v>0</v>
      </c>
      <c r="D2089" s="283"/>
      <c r="E2089" s="283"/>
      <c r="F2089" s="283"/>
      <c r="G2089" s="283"/>
      <c r="H2089" s="283"/>
      <c r="I2089" s="283"/>
      <c r="J2089" s="283"/>
      <c r="K2089" s="283"/>
      <c r="L2089" s="283"/>
      <c r="M2089" s="283"/>
      <c r="N2089" s="283"/>
      <c r="O2089" s="283"/>
      <c r="P2089" s="283"/>
      <c r="Q2089" s="283"/>
      <c r="R2089" s="283"/>
      <c r="S2089" s="283"/>
      <c r="T2089" s="283"/>
      <c r="U2089" s="283"/>
      <c r="V2089" s="283"/>
      <c r="W2089" s="283"/>
    </row>
    <row r="2090" spans="1:23" x14ac:dyDescent="0.2">
      <c r="A2090" s="290" t="s">
        <v>194</v>
      </c>
      <c r="B2090" s="309"/>
      <c r="C2090" s="346">
        <v>8.7499999999999994E-2</v>
      </c>
      <c r="D2090" s="283"/>
      <c r="E2090" s="283"/>
      <c r="F2090" s="283"/>
      <c r="G2090" s="283"/>
      <c r="H2090" s="283"/>
      <c r="I2090" s="283"/>
      <c r="J2090" s="283"/>
      <c r="K2090" s="283"/>
      <c r="L2090" s="283"/>
      <c r="M2090" s="283"/>
      <c r="N2090" s="283"/>
      <c r="O2090" s="283"/>
      <c r="P2090" s="283"/>
      <c r="Q2090" s="283"/>
      <c r="R2090" s="283"/>
      <c r="S2090" s="283"/>
      <c r="T2090" s="283"/>
      <c r="U2090" s="283"/>
      <c r="V2090" s="283"/>
      <c r="W2090" s="283"/>
    </row>
    <row r="2091" spans="1:23" x14ac:dyDescent="0.2">
      <c r="A2091" s="290"/>
      <c r="B2091" s="309"/>
      <c r="C2091" s="283"/>
      <c r="D2091" s="312">
        <v>2001</v>
      </c>
      <c r="E2091" s="312">
        <v>2002</v>
      </c>
      <c r="F2091" s="312">
        <v>2003</v>
      </c>
      <c r="G2091" s="312">
        <v>2004</v>
      </c>
      <c r="H2091" s="312">
        <v>2005</v>
      </c>
      <c r="I2091" s="312">
        <v>2006</v>
      </c>
      <c r="J2091" s="312">
        <v>2007</v>
      </c>
      <c r="K2091" s="312">
        <v>2008</v>
      </c>
      <c r="L2091" s="312">
        <v>2009</v>
      </c>
      <c r="M2091" s="312">
        <v>2010</v>
      </c>
      <c r="N2091" s="312">
        <v>2011</v>
      </c>
      <c r="O2091" s="312">
        <v>2012</v>
      </c>
      <c r="P2091" s="312">
        <v>2013</v>
      </c>
      <c r="Q2091" s="312">
        <v>2014</v>
      </c>
      <c r="R2091" s="312">
        <v>2015</v>
      </c>
      <c r="S2091" s="312">
        <v>2016</v>
      </c>
      <c r="T2091" s="312">
        <v>2017</v>
      </c>
      <c r="U2091" s="312">
        <v>2018</v>
      </c>
      <c r="V2091" s="312">
        <v>2019</v>
      </c>
      <c r="W2091" s="312" t="s">
        <v>154</v>
      </c>
    </row>
    <row r="2092" spans="1:23" x14ac:dyDescent="0.2">
      <c r="A2092" s="290" t="s">
        <v>195</v>
      </c>
      <c r="B2092" s="309"/>
      <c r="C2092" s="283"/>
      <c r="D2092" s="347">
        <v>0</v>
      </c>
      <c r="E2092" s="347">
        <v>0</v>
      </c>
      <c r="F2092" s="347">
        <v>0</v>
      </c>
      <c r="G2092" s="347">
        <v>0</v>
      </c>
      <c r="H2092" s="347">
        <v>0</v>
      </c>
      <c r="I2092" s="347">
        <v>0</v>
      </c>
      <c r="J2092" s="347">
        <v>0</v>
      </c>
      <c r="K2092" s="347">
        <v>0</v>
      </c>
      <c r="L2092" s="347">
        <v>0</v>
      </c>
      <c r="M2092" s="347">
        <v>0</v>
      </c>
      <c r="N2092" s="347">
        <v>0</v>
      </c>
      <c r="O2092" s="347">
        <v>0</v>
      </c>
      <c r="P2092" s="347">
        <v>0</v>
      </c>
      <c r="Q2092" s="347">
        <v>0</v>
      </c>
      <c r="R2092" s="347">
        <v>0</v>
      </c>
      <c r="S2092" s="347">
        <v>0</v>
      </c>
      <c r="T2092" s="347">
        <v>0</v>
      </c>
      <c r="U2092" s="347">
        <v>0</v>
      </c>
      <c r="V2092" s="347">
        <v>0</v>
      </c>
      <c r="W2092" s="347">
        <v>0</v>
      </c>
    </row>
    <row r="2093" spans="1:23" x14ac:dyDescent="0.2">
      <c r="A2093" s="290" t="s">
        <v>196</v>
      </c>
      <c r="B2093" s="309"/>
      <c r="C2093" s="283"/>
      <c r="D2093" s="347">
        <v>0</v>
      </c>
      <c r="E2093" s="347">
        <v>0</v>
      </c>
      <c r="F2093" s="347">
        <v>0</v>
      </c>
      <c r="G2093" s="347">
        <v>0</v>
      </c>
      <c r="H2093" s="347">
        <v>0</v>
      </c>
      <c r="I2093" s="347">
        <v>0</v>
      </c>
      <c r="J2093" s="347">
        <v>0</v>
      </c>
      <c r="K2093" s="347">
        <v>0</v>
      </c>
      <c r="L2093" s="347">
        <v>0</v>
      </c>
      <c r="M2093" s="347">
        <v>0</v>
      </c>
      <c r="N2093" s="347">
        <v>0</v>
      </c>
      <c r="O2093" s="347">
        <v>0</v>
      </c>
      <c r="P2093" s="347">
        <v>0</v>
      </c>
      <c r="Q2093" s="347">
        <v>0</v>
      </c>
      <c r="R2093" s="347">
        <v>0</v>
      </c>
      <c r="S2093" s="347">
        <v>0</v>
      </c>
      <c r="T2093" s="347">
        <v>0</v>
      </c>
      <c r="U2093" s="347">
        <v>0</v>
      </c>
      <c r="V2093" s="347">
        <v>0</v>
      </c>
      <c r="W2093" s="347">
        <v>0</v>
      </c>
    </row>
    <row r="2094" spans="1:23" x14ac:dyDescent="0.2">
      <c r="A2094" s="290" t="s">
        <v>197</v>
      </c>
      <c r="B2094" s="309"/>
      <c r="C2094" s="283"/>
      <c r="D2094" s="347">
        <v>0</v>
      </c>
      <c r="E2094" s="347">
        <v>0</v>
      </c>
      <c r="F2094" s="347">
        <v>0</v>
      </c>
      <c r="G2094" s="347">
        <v>0</v>
      </c>
      <c r="H2094" s="347">
        <v>0</v>
      </c>
      <c r="I2094" s="347">
        <v>0</v>
      </c>
      <c r="J2094" s="347">
        <v>0</v>
      </c>
      <c r="K2094" s="347">
        <v>0</v>
      </c>
      <c r="L2094" s="347">
        <v>0</v>
      </c>
      <c r="M2094" s="347">
        <v>0</v>
      </c>
      <c r="N2094" s="347">
        <v>0</v>
      </c>
      <c r="O2094" s="347">
        <v>0</v>
      </c>
      <c r="P2094" s="347">
        <v>0</v>
      </c>
      <c r="Q2094" s="347">
        <v>0</v>
      </c>
      <c r="R2094" s="347">
        <v>0</v>
      </c>
      <c r="S2094" s="347">
        <v>0</v>
      </c>
      <c r="T2094" s="347">
        <v>0</v>
      </c>
      <c r="U2094" s="347">
        <v>0</v>
      </c>
      <c r="V2094" s="347">
        <v>0</v>
      </c>
      <c r="W2094" s="347">
        <v>0</v>
      </c>
    </row>
    <row r="2095" spans="1:23" x14ac:dyDescent="0.2">
      <c r="A2095" s="290" t="s">
        <v>198</v>
      </c>
      <c r="B2095" s="309"/>
      <c r="C2095" s="283"/>
      <c r="D2095" s="348">
        <v>0</v>
      </c>
      <c r="E2095" s="348">
        <v>0</v>
      </c>
      <c r="F2095" s="348">
        <v>0</v>
      </c>
      <c r="G2095" s="348">
        <v>0</v>
      </c>
      <c r="H2095" s="348">
        <v>0</v>
      </c>
      <c r="I2095" s="348">
        <v>0</v>
      </c>
      <c r="J2095" s="348">
        <v>0</v>
      </c>
      <c r="K2095" s="348">
        <v>0</v>
      </c>
      <c r="L2095" s="348">
        <v>0</v>
      </c>
      <c r="M2095" s="348">
        <v>0</v>
      </c>
      <c r="N2095" s="348">
        <v>0</v>
      </c>
      <c r="O2095" s="348">
        <v>0</v>
      </c>
      <c r="P2095" s="348">
        <v>0</v>
      </c>
      <c r="Q2095" s="348">
        <v>0</v>
      </c>
      <c r="R2095" s="348">
        <v>0</v>
      </c>
      <c r="S2095" s="348">
        <v>0</v>
      </c>
      <c r="T2095" s="348">
        <v>0</v>
      </c>
      <c r="U2095" s="348">
        <v>0</v>
      </c>
      <c r="V2095" s="348">
        <v>0</v>
      </c>
      <c r="W2095" s="348">
        <v>0</v>
      </c>
    </row>
    <row r="2096" spans="1:23" ht="13.5" thickBot="1" x14ac:dyDescent="0.25">
      <c r="A2096" s="290" t="s">
        <v>199</v>
      </c>
      <c r="B2096" s="309"/>
      <c r="C2096" s="283"/>
      <c r="D2096" s="349">
        <v>0</v>
      </c>
      <c r="E2096" s="349">
        <v>0</v>
      </c>
      <c r="F2096" s="349">
        <v>0</v>
      </c>
      <c r="G2096" s="349">
        <v>0</v>
      </c>
      <c r="H2096" s="349">
        <v>0</v>
      </c>
      <c r="I2096" s="349">
        <v>0</v>
      </c>
      <c r="J2096" s="349">
        <v>0</v>
      </c>
      <c r="K2096" s="349">
        <v>0</v>
      </c>
      <c r="L2096" s="349">
        <v>0</v>
      </c>
      <c r="M2096" s="349">
        <v>0</v>
      </c>
      <c r="N2096" s="349">
        <v>0</v>
      </c>
      <c r="O2096" s="349">
        <v>0</v>
      </c>
      <c r="P2096" s="349">
        <v>0</v>
      </c>
      <c r="Q2096" s="349">
        <v>0</v>
      </c>
      <c r="R2096" s="349">
        <v>0</v>
      </c>
      <c r="S2096" s="349">
        <v>0</v>
      </c>
      <c r="T2096" s="349">
        <v>0</v>
      </c>
      <c r="U2096" s="349">
        <v>0</v>
      </c>
      <c r="V2096" s="349">
        <v>0</v>
      </c>
      <c r="W2096" s="349">
        <v>0</v>
      </c>
    </row>
    <row r="2097" spans="1:23" ht="13.5" thickTop="1" x14ac:dyDescent="0.2">
      <c r="A2097" s="290"/>
      <c r="B2097" s="309"/>
      <c r="C2097" s="283"/>
      <c r="D2097" s="347"/>
      <c r="E2097" s="347"/>
      <c r="F2097" s="347"/>
      <c r="G2097" s="347"/>
      <c r="H2097" s="347"/>
      <c r="I2097" s="347"/>
      <c r="J2097" s="347"/>
      <c r="K2097" s="347"/>
      <c r="L2097" s="347"/>
      <c r="M2097" s="347"/>
      <c r="N2097" s="347"/>
      <c r="O2097" s="347"/>
      <c r="P2097" s="347"/>
      <c r="Q2097" s="347"/>
      <c r="R2097" s="347"/>
      <c r="S2097" s="347"/>
      <c r="T2097" s="347"/>
      <c r="U2097" s="347"/>
      <c r="V2097" s="347"/>
      <c r="W2097" s="347"/>
    </row>
    <row r="2098" spans="1:23" x14ac:dyDescent="0.2">
      <c r="A2098" s="290" t="s">
        <v>200</v>
      </c>
      <c r="B2098" s="309"/>
      <c r="C2098" s="283"/>
      <c r="D2098" s="347">
        <v>0</v>
      </c>
      <c r="E2098" s="347">
        <v>0</v>
      </c>
      <c r="F2098" s="347">
        <v>0</v>
      </c>
      <c r="G2098" s="347">
        <v>0</v>
      </c>
      <c r="H2098" s="347">
        <v>0</v>
      </c>
      <c r="I2098" s="347">
        <v>0</v>
      </c>
      <c r="J2098" s="347">
        <v>0</v>
      </c>
      <c r="K2098" s="347">
        <v>0</v>
      </c>
      <c r="L2098" s="347">
        <v>0</v>
      </c>
      <c r="M2098" s="347">
        <v>0</v>
      </c>
      <c r="N2098" s="347">
        <v>0</v>
      </c>
      <c r="O2098" s="347">
        <v>0</v>
      </c>
      <c r="P2098" s="347">
        <v>0</v>
      </c>
      <c r="Q2098" s="347">
        <v>0</v>
      </c>
      <c r="R2098" s="347">
        <v>0</v>
      </c>
      <c r="S2098" s="347">
        <v>0</v>
      </c>
      <c r="T2098" s="347">
        <v>0</v>
      </c>
      <c r="U2098" s="347">
        <v>0</v>
      </c>
      <c r="V2098" s="347">
        <v>0</v>
      </c>
      <c r="W2098" s="347">
        <v>0</v>
      </c>
    </row>
    <row r="2099" spans="1:23" x14ac:dyDescent="0.2">
      <c r="A2099" s="290"/>
      <c r="B2099" s="309"/>
      <c r="C2099" s="283"/>
      <c r="D2099" s="283"/>
      <c r="E2099" s="283"/>
      <c r="F2099" s="283"/>
      <c r="G2099" s="283"/>
      <c r="H2099" s="283"/>
      <c r="I2099" s="283"/>
      <c r="J2099" s="283"/>
      <c r="K2099" s="283"/>
      <c r="L2099" s="283"/>
      <c r="M2099" s="283"/>
      <c r="N2099" s="283"/>
      <c r="O2099" s="283"/>
      <c r="P2099" s="283"/>
      <c r="Q2099" s="283"/>
      <c r="R2099" s="283"/>
      <c r="S2099" s="283"/>
      <c r="T2099" s="283"/>
      <c r="U2099" s="283"/>
      <c r="V2099" s="283"/>
      <c r="W2099" s="283"/>
    </row>
    <row r="2100" spans="1:23" x14ac:dyDescent="0.2">
      <c r="A2100" s="290" t="s">
        <v>201</v>
      </c>
      <c r="B2100" s="309"/>
      <c r="C2100" s="283"/>
      <c r="D2100" s="347">
        <v>0</v>
      </c>
      <c r="E2100" s="347">
        <v>0</v>
      </c>
      <c r="F2100" s="347">
        <v>0</v>
      </c>
      <c r="G2100" s="347">
        <v>0</v>
      </c>
      <c r="H2100" s="347">
        <v>0</v>
      </c>
      <c r="I2100" s="347">
        <v>0</v>
      </c>
      <c r="J2100" s="347">
        <v>0</v>
      </c>
      <c r="K2100" s="347">
        <v>0</v>
      </c>
      <c r="L2100" s="347">
        <v>0</v>
      </c>
      <c r="M2100" s="347">
        <v>0</v>
      </c>
      <c r="N2100" s="347">
        <v>0</v>
      </c>
      <c r="O2100" s="347">
        <v>0</v>
      </c>
      <c r="P2100" s="347">
        <v>0</v>
      </c>
      <c r="Q2100" s="347">
        <v>0</v>
      </c>
      <c r="R2100" s="347">
        <v>0</v>
      </c>
      <c r="S2100" s="347">
        <v>0</v>
      </c>
      <c r="T2100" s="347">
        <v>0</v>
      </c>
      <c r="U2100" s="347">
        <v>0</v>
      </c>
      <c r="V2100" s="347">
        <v>0</v>
      </c>
      <c r="W2100" s="347">
        <v>0</v>
      </c>
    </row>
    <row r="2101" spans="1:23" x14ac:dyDescent="0.2">
      <c r="A2101" s="283"/>
      <c r="B2101" s="309"/>
      <c r="C2101" s="283"/>
      <c r="D2101" s="283"/>
      <c r="E2101" s="283"/>
      <c r="F2101" s="283"/>
      <c r="G2101" s="283"/>
      <c r="H2101" s="283"/>
      <c r="I2101" s="283"/>
      <c r="J2101" s="283"/>
      <c r="K2101" s="283"/>
      <c r="L2101" s="283"/>
      <c r="M2101" s="283"/>
      <c r="N2101" s="283"/>
      <c r="O2101" s="283"/>
      <c r="P2101" s="283"/>
      <c r="Q2101" s="283"/>
      <c r="R2101" s="283"/>
      <c r="S2101" s="283"/>
      <c r="T2101" s="283"/>
      <c r="U2101" s="283"/>
      <c r="V2101" s="283"/>
      <c r="W2101" s="283"/>
    </row>
    <row r="2102" spans="1:23" x14ac:dyDescent="0.2">
      <c r="A2102" s="283"/>
      <c r="B2102" s="309"/>
      <c r="C2102" s="283"/>
      <c r="D2102" s="283"/>
      <c r="E2102" s="283"/>
      <c r="F2102" s="283"/>
      <c r="G2102" s="283"/>
      <c r="H2102" s="283"/>
      <c r="I2102" s="283"/>
      <c r="J2102" s="283"/>
      <c r="K2102" s="283"/>
      <c r="L2102" s="283"/>
      <c r="M2102" s="283"/>
      <c r="N2102" s="283"/>
      <c r="O2102" s="283"/>
      <c r="P2102" s="283"/>
      <c r="Q2102" s="283"/>
      <c r="R2102" s="283"/>
      <c r="S2102" s="283"/>
      <c r="T2102" s="283"/>
      <c r="U2102" s="283"/>
      <c r="V2102" s="283"/>
      <c r="W2102" s="283"/>
    </row>
    <row r="2103" spans="1:23" x14ac:dyDescent="0.2">
      <c r="A2103" s="290" t="s">
        <v>203</v>
      </c>
      <c r="B2103" s="285"/>
      <c r="C2103" s="284"/>
      <c r="D2103" s="441">
        <v>3441648.5436365483</v>
      </c>
      <c r="E2103" s="441">
        <v>2900682.3267011959</v>
      </c>
      <c r="F2103" s="441">
        <v>2611361.5976480152</v>
      </c>
      <c r="G2103" s="441">
        <v>2263697.3896284015</v>
      </c>
      <c r="H2103" s="441">
        <v>2138938.4993772423</v>
      </c>
      <c r="I2103" s="441">
        <v>2078268.8197806878</v>
      </c>
      <c r="J2103" s="441">
        <v>1878195.5096660438</v>
      </c>
      <c r="K2103" s="441">
        <v>2001929.0256174372</v>
      </c>
      <c r="L2103" s="441">
        <v>2053697.6964046704</v>
      </c>
      <c r="M2103" s="441">
        <v>2101624.8716285075</v>
      </c>
      <c r="N2103" s="441">
        <v>1599038.0688956506</v>
      </c>
      <c r="O2103" s="441">
        <v>1901259.9054417098</v>
      </c>
      <c r="P2103" s="441">
        <v>1770221.0318481375</v>
      </c>
      <c r="Q2103" s="441">
        <v>2237135.2563563148</v>
      </c>
      <c r="R2103" s="441">
        <v>1918466.588038655</v>
      </c>
      <c r="S2103" s="441">
        <v>1521419.1385474969</v>
      </c>
      <c r="T2103" s="441">
        <v>1666872.2566741027</v>
      </c>
      <c r="U2103" s="441">
        <v>1953315.3054180886</v>
      </c>
      <c r="V2103" s="441">
        <v>1710050.5284796625</v>
      </c>
      <c r="W2103" s="441">
        <v>11293347.479722364</v>
      </c>
    </row>
    <row r="2104" spans="1:23" x14ac:dyDescent="0.2">
      <c r="A2104" s="9"/>
      <c r="B2104" s="69"/>
      <c r="C2104" s="9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</row>
    <row r="2105" spans="1:23" x14ac:dyDescent="0.2">
      <c r="A2105" s="298"/>
      <c r="B2105" s="379"/>
      <c r="C2105" s="286"/>
      <c r="D2105" s="380"/>
      <c r="E2105" s="380"/>
      <c r="F2105" s="380"/>
      <c r="G2105" s="380"/>
      <c r="H2105" s="380"/>
      <c r="I2105" s="380"/>
      <c r="J2105" s="380"/>
      <c r="K2105" s="380"/>
      <c r="L2105" s="380"/>
      <c r="M2105" s="380"/>
      <c r="N2105" s="380"/>
      <c r="O2105" s="380"/>
      <c r="P2105" s="380"/>
      <c r="Q2105" s="380"/>
      <c r="R2105" s="380"/>
      <c r="S2105" s="380"/>
      <c r="T2105" s="380"/>
      <c r="U2105" s="380"/>
      <c r="V2105" s="380"/>
      <c r="W2105" s="380"/>
    </row>
    <row r="2106" spans="1:23" x14ac:dyDescent="0.2">
      <c r="B2106" s="23"/>
    </row>
    <row r="2112" spans="1:23" ht="15.75" x14ac:dyDescent="0.25">
      <c r="A2112" s="308" t="s">
        <v>29</v>
      </c>
      <c r="B2112" s="311" t="s">
        <v>85</v>
      </c>
      <c r="C2112" s="312">
        <v>2000</v>
      </c>
      <c r="D2112" s="312">
        <v>2001</v>
      </c>
      <c r="E2112" s="312">
        <v>2002</v>
      </c>
      <c r="F2112" s="312">
        <v>2003</v>
      </c>
      <c r="G2112" s="312">
        <v>2004</v>
      </c>
      <c r="H2112" s="312">
        <v>2005</v>
      </c>
      <c r="I2112" s="312">
        <v>2006</v>
      </c>
      <c r="J2112" s="312">
        <v>2007</v>
      </c>
      <c r="K2112" s="312">
        <v>2008</v>
      </c>
      <c r="L2112" s="312">
        <v>2009</v>
      </c>
      <c r="M2112" s="312">
        <v>2010</v>
      </c>
      <c r="N2112" s="312">
        <v>2011</v>
      </c>
      <c r="O2112" s="312">
        <v>2012</v>
      </c>
      <c r="P2112" s="312">
        <v>2013</v>
      </c>
      <c r="Q2112" s="312">
        <v>2014</v>
      </c>
      <c r="R2112" s="312">
        <v>2015</v>
      </c>
      <c r="S2112" s="312">
        <v>2016</v>
      </c>
      <c r="T2112" s="312">
        <v>2017</v>
      </c>
      <c r="U2112" s="312">
        <v>2018</v>
      </c>
      <c r="V2112" s="312">
        <v>2019</v>
      </c>
      <c r="W2112" s="312" t="s">
        <v>154</v>
      </c>
    </row>
    <row r="2113" spans="1:23" x14ac:dyDescent="0.2">
      <c r="A2113" s="308" t="s">
        <v>26</v>
      </c>
      <c r="B2113" s="309">
        <v>83.433000000000007</v>
      </c>
      <c r="C2113" s="314"/>
      <c r="D2113" s="314"/>
      <c r="E2113" s="314"/>
      <c r="F2113" s="314"/>
      <c r="G2113" s="314"/>
      <c r="H2113" s="314"/>
      <c r="I2113" s="314"/>
      <c r="J2113" s="314"/>
      <c r="K2113" s="314"/>
      <c r="L2113" s="314"/>
      <c r="M2113" s="314"/>
      <c r="N2113" s="314"/>
      <c r="O2113" s="314"/>
      <c r="P2113" s="314"/>
      <c r="Q2113" s="314"/>
      <c r="R2113" s="314"/>
      <c r="S2113" s="314"/>
      <c r="T2113" s="314"/>
      <c r="U2113" s="314"/>
      <c r="V2113" s="314"/>
      <c r="W2113" s="314"/>
    </row>
    <row r="2114" spans="1:23" x14ac:dyDescent="0.2">
      <c r="A2114" s="9"/>
      <c r="B2114" s="315" t="s">
        <v>27</v>
      </c>
      <c r="C2114" s="449">
        <v>0</v>
      </c>
      <c r="D2114" s="410">
        <v>7778399.1075253496</v>
      </c>
      <c r="E2114" s="410">
        <v>6842254.5552537916</v>
      </c>
      <c r="F2114" s="410">
        <v>6629692.7122039562</v>
      </c>
      <c r="G2114" s="410">
        <v>6318609.8961360669</v>
      </c>
      <c r="H2114" s="410">
        <v>6451264.7006655894</v>
      </c>
      <c r="I2114" s="410">
        <v>7455383.7868868234</v>
      </c>
      <c r="J2114" s="410">
        <v>8933942.2525088191</v>
      </c>
      <c r="K2114" s="410">
        <v>11309729.683792757</v>
      </c>
      <c r="L2114" s="410">
        <v>11987941.949257994</v>
      </c>
      <c r="M2114" s="410">
        <v>10329741.498823166</v>
      </c>
      <c r="N2114" s="410">
        <v>10137023.425225437</v>
      </c>
      <c r="O2114" s="410">
        <v>10141395.008444561</v>
      </c>
      <c r="P2114" s="410">
        <v>9373421.0289784186</v>
      </c>
      <c r="Q2114" s="410">
        <v>10829294.728562763</v>
      </c>
      <c r="R2114" s="410">
        <v>10140669.306975409</v>
      </c>
      <c r="S2114" s="410">
        <v>10206249.178018356</v>
      </c>
      <c r="T2114" s="410">
        <v>9435440.7257302757</v>
      </c>
      <c r="U2114" s="410">
        <v>10663951.615292406</v>
      </c>
      <c r="V2114" s="410">
        <v>11535367.734861331</v>
      </c>
      <c r="W2114" s="333"/>
    </row>
    <row r="2115" spans="1:23" x14ac:dyDescent="0.2">
      <c r="A2115" s="9"/>
      <c r="B2115" s="315" t="s">
        <v>20</v>
      </c>
      <c r="C2115" s="449">
        <v>0</v>
      </c>
      <c r="D2115" s="410">
        <v>-2279367.9189881762</v>
      </c>
      <c r="E2115" s="410">
        <v>-2812929.5237752814</v>
      </c>
      <c r="F2115" s="410">
        <v>-3058770.0555529702</v>
      </c>
      <c r="G2115" s="410">
        <v>-3311731.7926161261</v>
      </c>
      <c r="H2115" s="410">
        <v>-3520069.6204902469</v>
      </c>
      <c r="I2115" s="410">
        <v>-4670164.8003135696</v>
      </c>
      <c r="J2115" s="410">
        <v>-5800826.5836623712</v>
      </c>
      <c r="K2115" s="410">
        <v>-7183424.3737935591</v>
      </c>
      <c r="L2115" s="410">
        <v>-7682495.6427182453</v>
      </c>
      <c r="M2115" s="410">
        <v>-6000707.9900300922</v>
      </c>
      <c r="N2115" s="410">
        <v>-6623381.3630241612</v>
      </c>
      <c r="O2115" s="410">
        <v>-6143418.2021517968</v>
      </c>
      <c r="P2115" s="410">
        <v>-5621870.6186106894</v>
      </c>
      <c r="Q2115" s="410">
        <v>-6288111.6403606003</v>
      </c>
      <c r="R2115" s="410">
        <v>-6156692.7170526711</v>
      </c>
      <c r="S2115" s="410">
        <v>-6876253.8889866211</v>
      </c>
      <c r="T2115" s="410">
        <v>-5875497.5201904178</v>
      </c>
      <c r="U2115" s="410">
        <v>-6567394.4389183186</v>
      </c>
      <c r="V2115" s="410">
        <v>-7797811.0819347827</v>
      </c>
      <c r="W2115" s="333"/>
    </row>
    <row r="2116" spans="1:23" x14ac:dyDescent="0.2">
      <c r="A2116" s="9"/>
      <c r="B2116" s="315" t="s">
        <v>31</v>
      </c>
      <c r="C2116" s="449">
        <v>0</v>
      </c>
      <c r="D2116" s="410">
        <v>-57028.15214719066</v>
      </c>
      <c r="E2116" s="410">
        <v>-81185.613060895324</v>
      </c>
      <c r="F2116" s="410">
        <v>-93622.506813158674</v>
      </c>
      <c r="G2116" s="410">
        <v>-101362.76169412494</v>
      </c>
      <c r="H2116" s="410">
        <v>-107716.4803515206</v>
      </c>
      <c r="I2116" s="410">
        <v>-148291.97621567055</v>
      </c>
      <c r="J2116" s="410">
        <v>-179818.39534956124</v>
      </c>
      <c r="K2116" s="410">
        <v>-244348.64758108876</v>
      </c>
      <c r="L2116" s="410">
        <v>-255192.43623216765</v>
      </c>
      <c r="M2116" s="410">
        <v>-193964.44469204155</v>
      </c>
      <c r="N2116" s="410">
        <v>-219273.63205426256</v>
      </c>
      <c r="O2116" s="410">
        <v>-204927.31589735823</v>
      </c>
      <c r="P2116" s="410">
        <v>-185685.14264100697</v>
      </c>
      <c r="Q2116" s="410">
        <v>-206543.68349303392</v>
      </c>
      <c r="R2116" s="410">
        <v>-190880.20244975749</v>
      </c>
      <c r="S2116" s="410">
        <v>-209068.5703584156</v>
      </c>
      <c r="T2116" s="410">
        <v>-179130.37208792387</v>
      </c>
      <c r="U2116" s="410">
        <v>-188414.53075049791</v>
      </c>
      <c r="V2116" s="410">
        <v>-229337.41790373807</v>
      </c>
      <c r="W2116" s="333"/>
    </row>
    <row r="2117" spans="1:23" x14ac:dyDescent="0.2">
      <c r="A2117" s="9"/>
      <c r="B2117" s="315" t="s">
        <v>32</v>
      </c>
      <c r="C2117" s="449">
        <v>0</v>
      </c>
      <c r="D2117" s="410">
        <v>0</v>
      </c>
      <c r="E2117" s="410">
        <v>0</v>
      </c>
      <c r="F2117" s="410">
        <v>0</v>
      </c>
      <c r="G2117" s="410">
        <v>0</v>
      </c>
      <c r="H2117" s="410">
        <v>0</v>
      </c>
      <c r="I2117" s="410">
        <v>93418.023327088376</v>
      </c>
      <c r="J2117" s="410">
        <v>103546.416256845</v>
      </c>
      <c r="K2117" s="410">
        <v>114259.16746337658</v>
      </c>
      <c r="L2117" s="410">
        <v>125495.63771574097</v>
      </c>
      <c r="M2117" s="410">
        <v>139570.44415525725</v>
      </c>
      <c r="N2117" s="410">
        <v>153747.39907892016</v>
      </c>
      <c r="O2117" s="410">
        <v>170347.50869303249</v>
      </c>
      <c r="P2117" s="410">
        <v>191004.36881418826</v>
      </c>
      <c r="Q2117" s="410">
        <v>212617.66815241956</v>
      </c>
      <c r="R2117" s="410">
        <v>235515.42537247401</v>
      </c>
      <c r="S2117" s="410">
        <v>258595.6474313915</v>
      </c>
      <c r="T2117" s="410">
        <v>254057.61645580616</v>
      </c>
      <c r="U2117" s="410">
        <v>217360.03222342019</v>
      </c>
      <c r="V2117" s="410">
        <v>225362.25124239805</v>
      </c>
      <c r="W2117" s="333"/>
    </row>
    <row r="2118" spans="1:23" ht="13.5" thickBot="1" x14ac:dyDescent="0.25">
      <c r="A2118" s="9"/>
      <c r="B2118" s="316" t="s">
        <v>33</v>
      </c>
      <c r="C2118" s="450">
        <v>0</v>
      </c>
      <c r="D2118" s="412">
        <v>0</v>
      </c>
      <c r="E2118" s="412">
        <v>0</v>
      </c>
      <c r="F2118" s="412">
        <v>0</v>
      </c>
      <c r="G2118" s="412">
        <v>0</v>
      </c>
      <c r="H2118" s="412">
        <v>0</v>
      </c>
      <c r="I2118" s="412">
        <v>0</v>
      </c>
      <c r="J2118" s="412">
        <v>0</v>
      </c>
      <c r="K2118" s="412">
        <v>0</v>
      </c>
      <c r="L2118" s="412">
        <v>0</v>
      </c>
      <c r="M2118" s="412">
        <v>0</v>
      </c>
      <c r="N2118" s="412">
        <v>0</v>
      </c>
      <c r="O2118" s="412">
        <v>0</v>
      </c>
      <c r="P2118" s="412">
        <v>0</v>
      </c>
      <c r="Q2118" s="412">
        <v>0</v>
      </c>
      <c r="R2118" s="412">
        <v>0</v>
      </c>
      <c r="S2118" s="412">
        <v>0</v>
      </c>
      <c r="T2118" s="412">
        <v>0</v>
      </c>
      <c r="U2118" s="412">
        <v>0</v>
      </c>
      <c r="V2118" s="412">
        <v>0</v>
      </c>
      <c r="W2118" s="333"/>
    </row>
    <row r="2119" spans="1:23" ht="13.5" thickTop="1" x14ac:dyDescent="0.2">
      <c r="A2119" s="9"/>
      <c r="B2119" s="317" t="s">
        <v>38</v>
      </c>
      <c r="C2119" s="451">
        <v>0</v>
      </c>
      <c r="D2119" s="414">
        <v>5442003.0363899823</v>
      </c>
      <c r="E2119" s="414">
        <v>3948139.4184176149</v>
      </c>
      <c r="F2119" s="414">
        <v>3477300.1498378273</v>
      </c>
      <c r="G2119" s="414">
        <v>2905515.3418258158</v>
      </c>
      <c r="H2119" s="414">
        <v>2823478.5998238218</v>
      </c>
      <c r="I2119" s="414">
        <v>2730345.0336846719</v>
      </c>
      <c r="J2119" s="414">
        <v>3056843.6897537317</v>
      </c>
      <c r="K2119" s="414">
        <v>3996215.8298814856</v>
      </c>
      <c r="L2119" s="414">
        <v>4175749.5080233221</v>
      </c>
      <c r="M2119" s="414">
        <v>4274639.5082562892</v>
      </c>
      <c r="N2119" s="414">
        <v>3448115.8292259327</v>
      </c>
      <c r="O2119" s="414">
        <v>3963396.9990884382</v>
      </c>
      <c r="P2119" s="414">
        <v>3756869.6365409102</v>
      </c>
      <c r="Q2119" s="414">
        <v>4547257.0728615485</v>
      </c>
      <c r="R2119" s="414">
        <v>4028611.8128454546</v>
      </c>
      <c r="S2119" s="414">
        <v>3379522.3661047104</v>
      </c>
      <c r="T2119" s="414">
        <v>3634870.4499077401</v>
      </c>
      <c r="U2119" s="414">
        <v>4125502.6778470096</v>
      </c>
      <c r="V2119" s="414">
        <v>3733581.4862652086</v>
      </c>
      <c r="W2119" s="333"/>
    </row>
    <row r="2120" spans="1:23" x14ac:dyDescent="0.2">
      <c r="A2120" s="9"/>
      <c r="B2120" s="315" t="s">
        <v>34</v>
      </c>
      <c r="C2120" s="449">
        <v>0</v>
      </c>
      <c r="D2120" s="410">
        <v>-355535.16277078062</v>
      </c>
      <c r="E2120" s="410">
        <v>-362645.86602619622</v>
      </c>
      <c r="F2120" s="410">
        <v>-369898.78334672016</v>
      </c>
      <c r="G2120" s="410">
        <v>-377296.75901365455</v>
      </c>
      <c r="H2120" s="410">
        <v>-384842.69419392763</v>
      </c>
      <c r="I2120" s="410">
        <v>-392539.54807780619</v>
      </c>
      <c r="J2120" s="410">
        <v>-400390.33903936233</v>
      </c>
      <c r="K2120" s="410">
        <v>-408398.14582014957</v>
      </c>
      <c r="L2120" s="410">
        <v>-416566.10873655259</v>
      </c>
      <c r="M2120" s="410">
        <v>-424897.43091128365</v>
      </c>
      <c r="N2120" s="410">
        <v>-433395.37952950934</v>
      </c>
      <c r="O2120" s="410">
        <v>-442063.28712009953</v>
      </c>
      <c r="P2120" s="410">
        <v>-450904.55286250153</v>
      </c>
      <c r="Q2120" s="410">
        <v>-459922.64391975157</v>
      </c>
      <c r="R2120" s="410">
        <v>-469121.09679814661</v>
      </c>
      <c r="S2120" s="410">
        <v>-478503.51873410953</v>
      </c>
      <c r="T2120" s="410">
        <v>-488073.58910879173</v>
      </c>
      <c r="U2120" s="410">
        <v>-497835.06089096755</v>
      </c>
      <c r="V2120" s="410">
        <v>-507791.7621087869</v>
      </c>
      <c r="W2120" s="333"/>
    </row>
    <row r="2121" spans="1:23" x14ac:dyDescent="0.2">
      <c r="A2121" s="9"/>
      <c r="B2121" s="315" t="s">
        <v>35</v>
      </c>
      <c r="C2121" s="449">
        <v>0</v>
      </c>
      <c r="D2121" s="410">
        <v>-171612.57929687499</v>
      </c>
      <c r="E2121" s="410">
        <v>-171612.57929687499</v>
      </c>
      <c r="F2121" s="410">
        <v>-171612.57929687499</v>
      </c>
      <c r="G2121" s="410">
        <v>-171612.57929687499</v>
      </c>
      <c r="H2121" s="410">
        <v>-171612.57929687499</v>
      </c>
      <c r="I2121" s="410">
        <v>-171612.57929687499</v>
      </c>
      <c r="J2121" s="410">
        <v>-171612.57929687499</v>
      </c>
      <c r="K2121" s="410">
        <v>-171612.57929687499</v>
      </c>
      <c r="L2121" s="410">
        <v>-171612.57929687499</v>
      </c>
      <c r="M2121" s="410">
        <v>-171612.57929687499</v>
      </c>
      <c r="N2121" s="410">
        <v>-171612.57929687499</v>
      </c>
      <c r="O2121" s="410">
        <v>-171612.57929687499</v>
      </c>
      <c r="P2121" s="410">
        <v>-171612.57929687499</v>
      </c>
      <c r="Q2121" s="410">
        <v>-171612.57929687499</v>
      </c>
      <c r="R2121" s="410">
        <v>-171612.57929687499</v>
      </c>
      <c r="S2121" s="410">
        <v>-171612.57929687499</v>
      </c>
      <c r="T2121" s="410">
        <v>-171612.57929687499</v>
      </c>
      <c r="U2121" s="410">
        <v>-171612.57929687499</v>
      </c>
      <c r="V2121" s="410">
        <v>-171612.57929687499</v>
      </c>
      <c r="W2121" s="333"/>
    </row>
    <row r="2122" spans="1:23" ht="13.5" thickBot="1" x14ac:dyDescent="0.25">
      <c r="A2122" s="9"/>
      <c r="B2122" s="316" t="s">
        <v>36</v>
      </c>
      <c r="C2122" s="450">
        <v>0</v>
      </c>
      <c r="D2122" s="412">
        <v>-34547.1907058574</v>
      </c>
      <c r="E2122" s="412">
        <v>-35276.136429751197</v>
      </c>
      <c r="F2122" s="412">
        <v>-36048.6838175628</v>
      </c>
      <c r="G2122" s="412">
        <v>-36863.384071839399</v>
      </c>
      <c r="H2122" s="412">
        <v>-37740.7326127493</v>
      </c>
      <c r="I2122" s="412">
        <v>-38686.5191661684</v>
      </c>
      <c r="J2122" s="412">
        <v>-39646.052617166402</v>
      </c>
      <c r="K2122" s="412">
        <v>-40649.576140416597</v>
      </c>
      <c r="L2122" s="412">
        <v>-41653.6206710849</v>
      </c>
      <c r="M2122" s="412">
        <v>-42715.787998197498</v>
      </c>
      <c r="N2122" s="412">
        <v>-43749.510067754003</v>
      </c>
      <c r="O2122" s="412">
        <v>-44851.997721461303</v>
      </c>
      <c r="P2122" s="412">
        <v>-45991.238463586298</v>
      </c>
      <c r="Q2122" s="412">
        <v>-47141.019425175997</v>
      </c>
      <c r="R2122" s="412">
        <v>-48324.259012747898</v>
      </c>
      <c r="S2122" s="412">
        <v>-49532.365488066702</v>
      </c>
      <c r="T2122" s="412">
        <v>-50760.768152170604</v>
      </c>
      <c r="U2122" s="412">
        <v>-52034.863432790196</v>
      </c>
      <c r="V2122" s="412">
        <v>-53340.938504953301</v>
      </c>
      <c r="W2122" s="333"/>
    </row>
    <row r="2123" spans="1:23" ht="13.5" thickTop="1" x14ac:dyDescent="0.2">
      <c r="A2123" s="9"/>
      <c r="B2123" s="317" t="s">
        <v>221</v>
      </c>
      <c r="C2123" s="452">
        <v>0</v>
      </c>
      <c r="D2123" s="416">
        <v>4880308.1036164695</v>
      </c>
      <c r="E2123" s="416">
        <v>3378604.8366647926</v>
      </c>
      <c r="F2123" s="416">
        <v>2899740.1033766698</v>
      </c>
      <c r="G2123" s="416">
        <v>2319742.6194434469</v>
      </c>
      <c r="H2123" s="416">
        <v>2229282.5937202703</v>
      </c>
      <c r="I2123" s="416">
        <v>2127506.3871438224</v>
      </c>
      <c r="J2123" s="416">
        <v>2445194.7188003282</v>
      </c>
      <c r="K2123" s="416">
        <v>3375555.5286240443</v>
      </c>
      <c r="L2123" s="416">
        <v>3545917.1993188094</v>
      </c>
      <c r="M2123" s="416">
        <v>3635413.7100499333</v>
      </c>
      <c r="N2123" s="416">
        <v>2799358.3603317947</v>
      </c>
      <c r="O2123" s="416">
        <v>3304869.1349500027</v>
      </c>
      <c r="P2123" s="416">
        <v>3088361.2659179475</v>
      </c>
      <c r="Q2123" s="416">
        <v>3868580.8302197461</v>
      </c>
      <c r="R2123" s="416">
        <v>3339553.8777376851</v>
      </c>
      <c r="S2123" s="416">
        <v>2679873.9025856592</v>
      </c>
      <c r="T2123" s="416">
        <v>2924423.5133499028</v>
      </c>
      <c r="U2123" s="416">
        <v>3404020.1742263772</v>
      </c>
      <c r="V2123" s="416">
        <v>3000836.2063545934</v>
      </c>
      <c r="W2123" s="333"/>
    </row>
    <row r="2124" spans="1:23" x14ac:dyDescent="0.2">
      <c r="A2124" s="9"/>
      <c r="B2124" s="315" t="s">
        <v>37</v>
      </c>
      <c r="C2124" s="449">
        <v>0</v>
      </c>
      <c r="D2124" s="410">
        <v>-2205792.4777916665</v>
      </c>
      <c r="E2124" s="410">
        <v>-2222039.8326947</v>
      </c>
      <c r="F2124" s="410">
        <v>-2218137.6819562335</v>
      </c>
      <c r="G2124" s="410">
        <v>-2220256.6387888333</v>
      </c>
      <c r="H2124" s="410">
        <v>-2219185.1215633</v>
      </c>
      <c r="I2124" s="410">
        <v>-2226619.5543877864</v>
      </c>
      <c r="J2124" s="410">
        <v>-1256543.5727660493</v>
      </c>
      <c r="K2124" s="410">
        <v>-177177.11623212308</v>
      </c>
      <c r="L2124" s="410">
        <v>-58102.652253174434</v>
      </c>
      <c r="M2124" s="410">
        <v>-50933.398863777002</v>
      </c>
      <c r="N2124" s="410">
        <v>-56024.561237648646</v>
      </c>
      <c r="O2124" s="410">
        <v>-61012.248515047766</v>
      </c>
      <c r="P2124" s="410">
        <v>-66107.079919419528</v>
      </c>
      <c r="Q2124" s="410">
        <v>-71231.412932589112</v>
      </c>
      <c r="R2124" s="410">
        <v>-76513.332602820446</v>
      </c>
      <c r="S2124" s="410">
        <v>-82080.228196492069</v>
      </c>
      <c r="T2124" s="410">
        <v>-87814.130657973845</v>
      </c>
      <c r="U2124" s="410">
        <v>-93720.050193300063</v>
      </c>
      <c r="V2124" s="410">
        <v>-99803.147314686066</v>
      </c>
      <c r="W2124" s="333"/>
    </row>
    <row r="2125" spans="1:23" ht="13.5" thickBot="1" x14ac:dyDescent="0.25">
      <c r="A2125" s="9"/>
      <c r="B2125" s="316" t="s">
        <v>222</v>
      </c>
      <c r="C2125" s="450">
        <v>0</v>
      </c>
      <c r="D2125" s="412">
        <v>-1069806.2503299213</v>
      </c>
      <c r="E2125" s="412">
        <v>-462626.00158803706</v>
      </c>
      <c r="F2125" s="412">
        <v>-272640.96856817458</v>
      </c>
      <c r="G2125" s="412">
        <v>-39794.392261845438</v>
      </c>
      <c r="H2125" s="412">
        <v>-4038.9888627881187</v>
      </c>
      <c r="I2125" s="412">
        <v>39645.266897585621</v>
      </c>
      <c r="J2125" s="412">
        <v>-475460.45841371157</v>
      </c>
      <c r="K2125" s="412">
        <v>-1279351.3649567685</v>
      </c>
      <c r="L2125" s="412">
        <v>-1395125.8188262542</v>
      </c>
      <c r="M2125" s="412">
        <v>-1433792.1244744626</v>
      </c>
      <c r="N2125" s="412">
        <v>-1097333.5196376585</v>
      </c>
      <c r="O2125" s="412">
        <v>-1297542.7545739822</v>
      </c>
      <c r="P2125" s="412">
        <v>-1208901.6743994111</v>
      </c>
      <c r="Q2125" s="412">
        <v>-1518939.7669148629</v>
      </c>
      <c r="R2125" s="412">
        <v>-1305216.218053946</v>
      </c>
      <c r="S2125" s="412">
        <v>-1039117.4697556669</v>
      </c>
      <c r="T2125" s="412">
        <v>-1134643.7530767717</v>
      </c>
      <c r="U2125" s="412">
        <v>-1324120.0496132309</v>
      </c>
      <c r="V2125" s="412">
        <v>-1160413.223615963</v>
      </c>
      <c r="W2125" s="333"/>
    </row>
    <row r="2126" spans="1:23" ht="13.5" thickTop="1" x14ac:dyDescent="0.2">
      <c r="A2126" s="9"/>
      <c r="B2126" s="317" t="s">
        <v>183</v>
      </c>
      <c r="C2126" s="452">
        <v>0</v>
      </c>
      <c r="D2126" s="416">
        <v>1604709.3754948818</v>
      </c>
      <c r="E2126" s="416">
        <v>693939.00238205562</v>
      </c>
      <c r="F2126" s="416">
        <v>408961.45285226178</v>
      </c>
      <c r="G2126" s="416">
        <v>59691.588392768143</v>
      </c>
      <c r="H2126" s="416">
        <v>6058.4832941821769</v>
      </c>
      <c r="I2126" s="416">
        <v>-59467.900346378417</v>
      </c>
      <c r="J2126" s="416">
        <v>713190.68762056739</v>
      </c>
      <c r="K2126" s="416">
        <v>1919027.0474351526</v>
      </c>
      <c r="L2126" s="416">
        <v>2092688.728239381</v>
      </c>
      <c r="M2126" s="416">
        <v>2150688.1867116936</v>
      </c>
      <c r="N2126" s="416">
        <v>1646000.2794564876</v>
      </c>
      <c r="O2126" s="416">
        <v>1946314.1318609728</v>
      </c>
      <c r="P2126" s="416">
        <v>1813352.5115991167</v>
      </c>
      <c r="Q2126" s="416">
        <v>2278409.6503722938</v>
      </c>
      <c r="R2126" s="416">
        <v>1957824.3270809187</v>
      </c>
      <c r="S2126" s="416">
        <v>1558676.2046335004</v>
      </c>
      <c r="T2126" s="416">
        <v>1701965.6296151574</v>
      </c>
      <c r="U2126" s="416">
        <v>1986180.0744198463</v>
      </c>
      <c r="V2126" s="416">
        <v>1740619.8354239445</v>
      </c>
      <c r="W2126" s="333"/>
    </row>
    <row r="2127" spans="1:23" x14ac:dyDescent="0.2">
      <c r="A2127" s="9"/>
      <c r="B2127" s="315" t="s">
        <v>37</v>
      </c>
      <c r="C2127" s="449">
        <v>0</v>
      </c>
      <c r="D2127" s="410">
        <v>2205792.4777916665</v>
      </c>
      <c r="E2127" s="410">
        <v>2222039.8326947</v>
      </c>
      <c r="F2127" s="410">
        <v>2218137.6819562335</v>
      </c>
      <c r="G2127" s="410">
        <v>2220256.6387888333</v>
      </c>
      <c r="H2127" s="410">
        <v>2219185.1215633</v>
      </c>
      <c r="I2127" s="410">
        <v>2226619.5543877864</v>
      </c>
      <c r="J2127" s="410">
        <v>1256543.5727660493</v>
      </c>
      <c r="K2127" s="410">
        <v>177177.11623212308</v>
      </c>
      <c r="L2127" s="410">
        <v>58102.652253174434</v>
      </c>
      <c r="M2127" s="410">
        <v>50933.398863777002</v>
      </c>
      <c r="N2127" s="410">
        <v>56024.561237648646</v>
      </c>
      <c r="O2127" s="410">
        <v>61012.248515047766</v>
      </c>
      <c r="P2127" s="410">
        <v>66107.079919419528</v>
      </c>
      <c r="Q2127" s="410">
        <v>71231.412932589112</v>
      </c>
      <c r="R2127" s="410">
        <v>76513.332602820446</v>
      </c>
      <c r="S2127" s="410">
        <v>82080.228196492069</v>
      </c>
      <c r="T2127" s="410">
        <v>87814.130657973845</v>
      </c>
      <c r="U2127" s="410">
        <v>93720.050193300063</v>
      </c>
      <c r="V2127" s="410">
        <v>99803.147314686066</v>
      </c>
      <c r="W2127" s="333"/>
    </row>
    <row r="2128" spans="1:23" x14ac:dyDescent="0.2">
      <c r="A2128" s="9"/>
      <c r="B2128" s="315" t="s">
        <v>39</v>
      </c>
      <c r="C2128" s="449">
        <v>0</v>
      </c>
      <c r="D2128" s="410">
        <v>-368261.63</v>
      </c>
      <c r="E2128" s="410">
        <v>-14707.35</v>
      </c>
      <c r="F2128" s="410">
        <v>-15149.69</v>
      </c>
      <c r="G2128" s="410">
        <v>-15661.04</v>
      </c>
      <c r="H2128" s="410">
        <v>-85748.867999999988</v>
      </c>
      <c r="I2128" s="410">
        <v>-88321.334039999987</v>
      </c>
      <c r="J2128" s="410">
        <v>-90970.974061199988</v>
      </c>
      <c r="K2128" s="410">
        <v>-93700.103283035991</v>
      </c>
      <c r="L2128" s="410">
        <v>-96511.106381527075</v>
      </c>
      <c r="M2128" s="410">
        <v>-99406.439572972886</v>
      </c>
      <c r="N2128" s="410">
        <v>-102388.63276016207</v>
      </c>
      <c r="O2128" s="410">
        <v>-105460.29174296693</v>
      </c>
      <c r="P2128" s="410">
        <v>-108624.10049525595</v>
      </c>
      <c r="Q2128" s="410">
        <v>-111882.82351011362</v>
      </c>
      <c r="R2128" s="410">
        <v>-115239.30821541704</v>
      </c>
      <c r="S2128" s="410">
        <v>-118696.48746187956</v>
      </c>
      <c r="T2128" s="410">
        <v>-122257.38208573595</v>
      </c>
      <c r="U2128" s="410">
        <v>-125925.10354830803</v>
      </c>
      <c r="V2128" s="410">
        <v>-129702.85665475728</v>
      </c>
      <c r="W2128" s="333"/>
    </row>
    <row r="2129" spans="1:23" ht="13.5" thickBot="1" x14ac:dyDescent="0.25">
      <c r="A2129" s="9"/>
      <c r="B2129" s="316" t="s">
        <v>40</v>
      </c>
      <c r="C2129" s="450">
        <v>0</v>
      </c>
      <c r="D2129" s="412">
        <v>0</v>
      </c>
      <c r="E2129" s="412">
        <v>0</v>
      </c>
      <c r="F2129" s="412">
        <v>0</v>
      </c>
      <c r="G2129" s="412">
        <v>0</v>
      </c>
      <c r="H2129" s="412">
        <v>0</v>
      </c>
      <c r="I2129" s="412">
        <v>0</v>
      </c>
      <c r="J2129" s="412">
        <v>0</v>
      </c>
      <c r="K2129" s="412">
        <v>0</v>
      </c>
      <c r="L2129" s="412">
        <v>0</v>
      </c>
      <c r="M2129" s="412">
        <v>0</v>
      </c>
      <c r="N2129" s="412">
        <v>0</v>
      </c>
      <c r="O2129" s="412">
        <v>0</v>
      </c>
      <c r="P2129" s="412">
        <v>0</v>
      </c>
      <c r="Q2129" s="412">
        <v>0</v>
      </c>
      <c r="R2129" s="412">
        <v>0</v>
      </c>
      <c r="S2129" s="412">
        <v>0</v>
      </c>
      <c r="T2129" s="412">
        <v>0</v>
      </c>
      <c r="U2129" s="412">
        <v>0</v>
      </c>
      <c r="V2129" s="412">
        <v>0</v>
      </c>
      <c r="W2129" s="333"/>
    </row>
    <row r="2130" spans="1:23" ht="13.5" thickTop="1" x14ac:dyDescent="0.2">
      <c r="A2130" s="9"/>
      <c r="B2130" s="315"/>
      <c r="C2130" s="453"/>
      <c r="D2130" s="333"/>
      <c r="E2130" s="333"/>
      <c r="F2130" s="333"/>
      <c r="G2130" s="333"/>
      <c r="H2130" s="333"/>
      <c r="I2130" s="333"/>
      <c r="J2130" s="333"/>
      <c r="K2130" s="333"/>
      <c r="L2130" s="333"/>
      <c r="M2130" s="333"/>
      <c r="N2130" s="333"/>
      <c r="O2130" s="333"/>
      <c r="P2130" s="333"/>
      <c r="Q2130" s="333"/>
      <c r="R2130" s="333"/>
      <c r="S2130" s="333"/>
      <c r="T2130" s="333"/>
      <c r="U2130" s="333"/>
      <c r="V2130" s="333"/>
      <c r="W2130" s="333"/>
    </row>
    <row r="2131" spans="1:23" x14ac:dyDescent="0.2">
      <c r="A2131" s="9"/>
      <c r="B2131" s="317" t="s">
        <v>234</v>
      </c>
      <c r="C2131" s="452">
        <v>0</v>
      </c>
      <c r="D2131" s="416">
        <v>3442240.2232865486</v>
      </c>
      <c r="E2131" s="416">
        <v>2901271.4850767558</v>
      </c>
      <c r="F2131" s="416">
        <v>2611949.4448084952</v>
      </c>
      <c r="G2131" s="416">
        <v>2264287.1871816013</v>
      </c>
      <c r="H2131" s="416">
        <v>2139494.7368574822</v>
      </c>
      <c r="I2131" s="416">
        <v>2078830.320001408</v>
      </c>
      <c r="J2131" s="416">
        <v>1878763.2863254168</v>
      </c>
      <c r="K2131" s="416">
        <v>2002504.0603842395</v>
      </c>
      <c r="L2131" s="416">
        <v>2054280.2741110283</v>
      </c>
      <c r="M2131" s="416">
        <v>2102215.146002498</v>
      </c>
      <c r="N2131" s="416">
        <v>1599636.2079339742</v>
      </c>
      <c r="O2131" s="416">
        <v>1901866.0886330537</v>
      </c>
      <c r="P2131" s="416">
        <v>1770835.4910232802</v>
      </c>
      <c r="Q2131" s="416">
        <v>2237758.2397947693</v>
      </c>
      <c r="R2131" s="416">
        <v>1919098.3514683221</v>
      </c>
      <c r="S2131" s="416">
        <v>1522059.9453681128</v>
      </c>
      <c r="T2131" s="416">
        <v>1667522.3781873954</v>
      </c>
      <c r="U2131" s="416">
        <v>1953975.0210648382</v>
      </c>
      <c r="V2131" s="416">
        <v>1710720.1260838732</v>
      </c>
      <c r="W2131" s="414">
        <v>11297208.752870111</v>
      </c>
    </row>
    <row r="2132" spans="1:23" x14ac:dyDescent="0.2">
      <c r="A2132" s="9"/>
      <c r="B2132" s="292"/>
      <c r="C2132" s="9"/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</row>
    <row r="2133" spans="1:23" x14ac:dyDescent="0.2">
      <c r="A2133" s="308" t="s">
        <v>219</v>
      </c>
      <c r="B2133" s="306" t="s">
        <v>170</v>
      </c>
      <c r="C2133" s="439">
        <v>10870323.84408628</v>
      </c>
      <c r="D2133" s="9"/>
      <c r="E2133" s="137" t="s">
        <v>220</v>
      </c>
      <c r="F2133" s="319" t="s">
        <v>170</v>
      </c>
      <c r="G2133" s="443">
        <v>10870323.84408628</v>
      </c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</row>
    <row r="2134" spans="1:23" x14ac:dyDescent="0.2">
      <c r="A2134" s="9"/>
      <c r="B2134" s="306" t="s">
        <v>180</v>
      </c>
      <c r="C2134" s="439">
        <v>9202295.8227309119</v>
      </c>
      <c r="D2134" s="9"/>
      <c r="E2134" s="321"/>
      <c r="F2134" s="319" t="s">
        <v>180</v>
      </c>
      <c r="G2134" s="443">
        <v>9202295.8227309119</v>
      </c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</row>
    <row r="2135" spans="1:23" ht="13.5" thickBot="1" x14ac:dyDescent="0.25">
      <c r="A2135" s="9"/>
      <c r="B2135" s="322" t="s">
        <v>137</v>
      </c>
      <c r="C2135" s="440">
        <v>1761220.7489980296</v>
      </c>
      <c r="D2135" s="323"/>
      <c r="E2135" s="321"/>
      <c r="F2135" s="319" t="s">
        <v>137</v>
      </c>
      <c r="G2135" s="443">
        <v>1761220.7489980296</v>
      </c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</row>
    <row r="2136" spans="1:23" ht="14.25" thickTop="1" thickBot="1" x14ac:dyDescent="0.25">
      <c r="A2136" s="9"/>
      <c r="B2136" s="306" t="s">
        <v>28</v>
      </c>
      <c r="C2136" s="438">
        <v>21833840.415815227</v>
      </c>
      <c r="D2136" s="305"/>
      <c r="E2136" s="321"/>
      <c r="F2136" s="324" t="s">
        <v>204</v>
      </c>
      <c r="G2136" s="325">
        <v>0</v>
      </c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</row>
    <row r="2137" spans="1:23" ht="13.5" thickTop="1" x14ac:dyDescent="0.2">
      <c r="A2137" s="9"/>
      <c r="B2137" s="292"/>
      <c r="C2137" s="326"/>
      <c r="D2137" s="9"/>
      <c r="E2137" s="327"/>
      <c r="F2137" s="319" t="s">
        <v>28</v>
      </c>
      <c r="G2137" s="368">
        <v>21833840.415815227</v>
      </c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</row>
    <row r="2138" spans="1:23" x14ac:dyDescent="0.2">
      <c r="A2138" s="9"/>
      <c r="B2138" s="292"/>
      <c r="C2138" s="326"/>
      <c r="D2138" s="9"/>
      <c r="E2138" s="327"/>
      <c r="F2138" s="319"/>
      <c r="G2138" s="328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</row>
    <row r="2139" spans="1:23" x14ac:dyDescent="0.2">
      <c r="A2139" s="9"/>
      <c r="B2139" s="292"/>
      <c r="C2139" s="326"/>
      <c r="D2139" s="9"/>
      <c r="E2139" s="327"/>
      <c r="F2139" s="319"/>
      <c r="G2139" s="328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</row>
    <row r="2140" spans="1:23" x14ac:dyDescent="0.2">
      <c r="A2140" s="9"/>
      <c r="B2140" s="329" t="s">
        <v>223</v>
      </c>
      <c r="C2140" s="326"/>
      <c r="D2140" s="9"/>
      <c r="E2140" s="327"/>
      <c r="F2140" s="319"/>
      <c r="G2140" s="328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</row>
    <row r="2141" spans="1:23" x14ac:dyDescent="0.2">
      <c r="A2141" s="330" t="s">
        <v>225</v>
      </c>
      <c r="B2141" s="329" t="s">
        <v>224</v>
      </c>
      <c r="C2141" s="331"/>
      <c r="D2141" s="332">
        <v>1604709.3754948818</v>
      </c>
      <c r="E2141" s="332">
        <v>693939.00238205562</v>
      </c>
      <c r="F2141" s="332">
        <v>408961.45285226178</v>
      </c>
      <c r="G2141" s="332">
        <v>59691.588392768143</v>
      </c>
      <c r="H2141" s="332">
        <v>6058.4832941821769</v>
      </c>
      <c r="I2141" s="332">
        <v>-59467.900346378417</v>
      </c>
      <c r="J2141" s="332">
        <v>713190.68762056739</v>
      </c>
      <c r="K2141" s="332">
        <v>1919027.0474351526</v>
      </c>
      <c r="L2141" s="332">
        <v>2092688.728239381</v>
      </c>
      <c r="M2141" s="332">
        <v>2150688.1867116936</v>
      </c>
      <c r="N2141" s="332">
        <v>1646000.2794564876</v>
      </c>
      <c r="O2141" s="332">
        <v>1946314.1318609728</v>
      </c>
      <c r="P2141" s="332">
        <v>1813352.5115991167</v>
      </c>
      <c r="Q2141" s="332">
        <v>2278409.6503722938</v>
      </c>
      <c r="R2141" s="332">
        <v>1957824.3270809187</v>
      </c>
      <c r="S2141" s="332">
        <v>1558676.2046335004</v>
      </c>
      <c r="T2141" s="332">
        <v>1701965.6296151574</v>
      </c>
      <c r="U2141" s="332">
        <v>1986180.0744198463</v>
      </c>
      <c r="V2141" s="332">
        <v>1740619.8354239445</v>
      </c>
      <c r="W2141" s="9"/>
    </row>
    <row r="2142" spans="1:23" x14ac:dyDescent="0.2">
      <c r="A2142" s="9"/>
      <c r="B2142" s="292" t="s">
        <v>226</v>
      </c>
      <c r="C2142" s="326"/>
      <c r="D2142" s="333">
        <v>1069806.2503299213</v>
      </c>
      <c r="E2142" s="333">
        <v>462626.00158803706</v>
      </c>
      <c r="F2142" s="333">
        <v>272640.96856817458</v>
      </c>
      <c r="G2142" s="333">
        <v>39794.392261845438</v>
      </c>
      <c r="H2142" s="333">
        <v>4038.9888627881187</v>
      </c>
      <c r="I2142" s="333">
        <v>-39645.266897585621</v>
      </c>
      <c r="J2142" s="333">
        <v>475460.45841371157</v>
      </c>
      <c r="K2142" s="333">
        <v>1279351.3649567685</v>
      </c>
      <c r="L2142" s="333">
        <v>1395125.8188262542</v>
      </c>
      <c r="M2142" s="333">
        <v>1433792.1244744626</v>
      </c>
      <c r="N2142" s="333">
        <v>1097333.5196376585</v>
      </c>
      <c r="O2142" s="333">
        <v>1297542.7545739822</v>
      </c>
      <c r="P2142" s="333">
        <v>1208901.6743994111</v>
      </c>
      <c r="Q2142" s="333">
        <v>1518939.7669148629</v>
      </c>
      <c r="R2142" s="333">
        <v>1305216.218053946</v>
      </c>
      <c r="S2142" s="333">
        <v>1039117.4697556669</v>
      </c>
      <c r="T2142" s="333">
        <v>1134643.7530767717</v>
      </c>
      <c r="U2142" s="333">
        <v>1324120.0496132309</v>
      </c>
      <c r="V2142" s="333">
        <v>1160413.223615963</v>
      </c>
      <c r="W2142" s="9"/>
    </row>
    <row r="2143" spans="1:23" x14ac:dyDescent="0.2">
      <c r="A2143" s="9"/>
      <c r="B2143" s="334" t="s">
        <v>227</v>
      </c>
      <c r="C2143" s="335"/>
      <c r="D2143" s="333">
        <v>2205792.4777916665</v>
      </c>
      <c r="E2143" s="333">
        <v>2222039.8326947</v>
      </c>
      <c r="F2143" s="333">
        <v>2218137.6819562335</v>
      </c>
      <c r="G2143" s="333">
        <v>2220256.6387888333</v>
      </c>
      <c r="H2143" s="333">
        <v>2219185.1215633</v>
      </c>
      <c r="I2143" s="333">
        <v>2226619.5543877864</v>
      </c>
      <c r="J2143" s="333">
        <v>1256543.5727660493</v>
      </c>
      <c r="K2143" s="333">
        <v>177177.11623212308</v>
      </c>
      <c r="L2143" s="333">
        <v>58102.652253174434</v>
      </c>
      <c r="M2143" s="333">
        <v>50933.398863777002</v>
      </c>
      <c r="N2143" s="333">
        <v>56024.561237648646</v>
      </c>
      <c r="O2143" s="333">
        <v>61012.248515047766</v>
      </c>
      <c r="P2143" s="333">
        <v>66107.079919419528</v>
      </c>
      <c r="Q2143" s="333">
        <v>71231.412932589112</v>
      </c>
      <c r="R2143" s="333">
        <v>76513.332602820446</v>
      </c>
      <c r="S2143" s="333">
        <v>82080.228196492069</v>
      </c>
      <c r="T2143" s="333">
        <v>87814.130657973845</v>
      </c>
      <c r="U2143" s="333">
        <v>93720.050193300063</v>
      </c>
      <c r="V2143" s="333">
        <v>99803.147314686066</v>
      </c>
      <c r="W2143" s="9"/>
    </row>
    <row r="2144" spans="1:23" ht="13.5" thickBot="1" x14ac:dyDescent="0.25">
      <c r="A2144" s="9"/>
      <c r="B2144" s="336" t="s">
        <v>228</v>
      </c>
      <c r="C2144" s="337"/>
      <c r="D2144" s="338">
        <v>4880308.1036164695</v>
      </c>
      <c r="E2144" s="338">
        <v>3378604.8366647926</v>
      </c>
      <c r="F2144" s="338">
        <v>2899740.1033766698</v>
      </c>
      <c r="G2144" s="338">
        <v>2319742.6194434469</v>
      </c>
      <c r="H2144" s="338">
        <v>2229282.5937202703</v>
      </c>
      <c r="I2144" s="338">
        <v>2127506.3871438224</v>
      </c>
      <c r="J2144" s="338">
        <v>2445194.7188003282</v>
      </c>
      <c r="K2144" s="338">
        <v>3375555.5286240443</v>
      </c>
      <c r="L2144" s="338">
        <v>3545917.1993188094</v>
      </c>
      <c r="M2144" s="338">
        <v>3635413.7100499333</v>
      </c>
      <c r="N2144" s="338">
        <v>2799358.3603317947</v>
      </c>
      <c r="O2144" s="338">
        <v>3304869.1349500027</v>
      </c>
      <c r="P2144" s="338">
        <v>3088361.2659179475</v>
      </c>
      <c r="Q2144" s="338">
        <v>3868580.8302197461</v>
      </c>
      <c r="R2144" s="338">
        <v>3339553.8777376851</v>
      </c>
      <c r="S2144" s="338">
        <v>2679873.9025856592</v>
      </c>
      <c r="T2144" s="338">
        <v>2924423.5133499028</v>
      </c>
      <c r="U2144" s="338">
        <v>3404020.1742263772</v>
      </c>
      <c r="V2144" s="338">
        <v>3000836.2063545934</v>
      </c>
      <c r="W2144" s="9"/>
    </row>
    <row r="2145" spans="1:23" ht="13.5" thickTop="1" x14ac:dyDescent="0.2">
      <c r="A2145" s="330" t="s">
        <v>229</v>
      </c>
      <c r="B2145" s="292" t="s">
        <v>230</v>
      </c>
      <c r="C2145" s="326"/>
      <c r="D2145" s="333">
        <v>-1848635.5630308667</v>
      </c>
      <c r="E2145" s="333">
        <v>-1849370.9305308666</v>
      </c>
      <c r="F2145" s="333">
        <v>-1850128.4150308666</v>
      </c>
      <c r="G2145" s="333">
        <v>-1850911.4670308665</v>
      </c>
      <c r="H2145" s="333">
        <v>-1855198.9104308665</v>
      </c>
      <c r="I2145" s="333">
        <v>-1859614.9771328666</v>
      </c>
      <c r="J2145" s="333">
        <v>-1864163.5258359266</v>
      </c>
      <c r="K2145" s="333">
        <v>-1868848.5310000784</v>
      </c>
      <c r="L2145" s="333">
        <v>-1873674.0863191548</v>
      </c>
      <c r="M2145" s="333">
        <v>-1878644.4082978035</v>
      </c>
      <c r="N2145" s="333">
        <v>-1883763.8399358115</v>
      </c>
      <c r="O2145" s="333">
        <v>-1889036.8545229598</v>
      </c>
      <c r="P2145" s="333">
        <v>-1894468.0595477226</v>
      </c>
      <c r="Q2145" s="333">
        <v>-1900062.2007232283</v>
      </c>
      <c r="R2145" s="333">
        <v>-542427.20280067064</v>
      </c>
      <c r="S2145" s="333">
        <v>-159621.1571737598</v>
      </c>
      <c r="T2145" s="333">
        <v>-165734.0262780466</v>
      </c>
      <c r="U2145" s="333">
        <v>-172030.28145546198</v>
      </c>
      <c r="V2145" s="333">
        <v>-178515.42428819987</v>
      </c>
      <c r="W2145" s="9"/>
    </row>
    <row r="2146" spans="1:23" x14ac:dyDescent="0.2">
      <c r="A2146" s="9"/>
      <c r="B2146" s="292" t="s">
        <v>231</v>
      </c>
      <c r="C2146" s="326"/>
      <c r="D2146" s="333">
        <v>0</v>
      </c>
      <c r="E2146" s="333">
        <v>0</v>
      </c>
      <c r="F2146" s="333">
        <v>0</v>
      </c>
      <c r="G2146" s="333">
        <v>0</v>
      </c>
      <c r="H2146" s="333">
        <v>0</v>
      </c>
      <c r="I2146" s="333">
        <v>0</v>
      </c>
      <c r="J2146" s="333">
        <v>0</v>
      </c>
      <c r="K2146" s="333">
        <v>0</v>
      </c>
      <c r="L2146" s="333">
        <v>0</v>
      </c>
      <c r="M2146" s="333">
        <v>0</v>
      </c>
      <c r="N2146" s="333">
        <v>0</v>
      </c>
      <c r="O2146" s="333">
        <v>0</v>
      </c>
      <c r="P2146" s="333">
        <v>0</v>
      </c>
      <c r="Q2146" s="333">
        <v>0</v>
      </c>
      <c r="R2146" s="333">
        <v>0</v>
      </c>
      <c r="S2146" s="333">
        <v>0</v>
      </c>
      <c r="T2146" s="333">
        <v>0</v>
      </c>
      <c r="U2146" s="333">
        <v>0</v>
      </c>
      <c r="V2146" s="333">
        <v>0</v>
      </c>
      <c r="W2146" s="9"/>
    </row>
    <row r="2147" spans="1:23" x14ac:dyDescent="0.2">
      <c r="A2147" s="9"/>
      <c r="B2147" s="329" t="s">
        <v>232</v>
      </c>
      <c r="C2147" s="331"/>
      <c r="D2147" s="332">
        <v>3031672.5405856026</v>
      </c>
      <c r="E2147" s="332">
        <v>1529233.906133926</v>
      </c>
      <c r="F2147" s="332">
        <v>1049611.6883458032</v>
      </c>
      <c r="G2147" s="332">
        <v>468831.15241258033</v>
      </c>
      <c r="H2147" s="332">
        <v>374083.68328940379</v>
      </c>
      <c r="I2147" s="332">
        <v>267891.41001095576</v>
      </c>
      <c r="J2147" s="332">
        <v>581031.19296440156</v>
      </c>
      <c r="K2147" s="332">
        <v>1506706.9976239658</v>
      </c>
      <c r="L2147" s="332">
        <v>1672243.1129996546</v>
      </c>
      <c r="M2147" s="332">
        <v>1756769.3017521298</v>
      </c>
      <c r="N2147" s="332">
        <v>915594.52039598324</v>
      </c>
      <c r="O2147" s="332">
        <v>1415832.2804270429</v>
      </c>
      <c r="P2147" s="332">
        <v>1193893.2063702249</v>
      </c>
      <c r="Q2147" s="332">
        <v>1968518.6294965178</v>
      </c>
      <c r="R2147" s="332">
        <v>2797126.6749370145</v>
      </c>
      <c r="S2147" s="332">
        <v>2520252.7454118994</v>
      </c>
      <c r="T2147" s="332">
        <v>2758689.4870718564</v>
      </c>
      <c r="U2147" s="332">
        <v>3231989.8927709153</v>
      </c>
      <c r="V2147" s="332">
        <v>2822320.7820663936</v>
      </c>
      <c r="W2147" s="9"/>
    </row>
    <row r="2148" spans="1:23" ht="13.5" thickBot="1" x14ac:dyDescent="0.25">
      <c r="A2148" s="9"/>
      <c r="B2148" s="339" t="s">
        <v>238</v>
      </c>
      <c r="C2148" s="340"/>
      <c r="D2148" s="341">
        <v>-1212669.0162342412</v>
      </c>
      <c r="E2148" s="341">
        <v>-611693.56245357043</v>
      </c>
      <c r="F2148" s="341">
        <v>-419844.67533832131</v>
      </c>
      <c r="G2148" s="341">
        <v>-187532.46096503214</v>
      </c>
      <c r="H2148" s="341">
        <v>-149633.47331576151</v>
      </c>
      <c r="I2148" s="341">
        <v>-107156.56400438231</v>
      </c>
      <c r="J2148" s="341">
        <v>-232412.47718576062</v>
      </c>
      <c r="K2148" s="341">
        <v>-602682.79904958641</v>
      </c>
      <c r="L2148" s="341">
        <v>-668897.24519986194</v>
      </c>
      <c r="M2148" s="341">
        <v>-702707.72070085199</v>
      </c>
      <c r="N2148" s="341">
        <v>-366237.80815839331</v>
      </c>
      <c r="O2148" s="341">
        <v>-566332.91217081714</v>
      </c>
      <c r="P2148" s="341">
        <v>-477557.28254808998</v>
      </c>
      <c r="Q2148" s="341">
        <v>-787407.45179860713</v>
      </c>
      <c r="R2148" s="341">
        <v>-1118850.6699748058</v>
      </c>
      <c r="S2148" s="341">
        <v>-1008101.0981647598</v>
      </c>
      <c r="T2148" s="341">
        <v>-1103475.7948287425</v>
      </c>
      <c r="U2148" s="341">
        <v>-1292795.9571083663</v>
      </c>
      <c r="V2148" s="341">
        <v>-1128928.3128265576</v>
      </c>
      <c r="W2148" s="9"/>
    </row>
    <row r="2149" spans="1:23" ht="13.5" thickTop="1" x14ac:dyDescent="0.2">
      <c r="A2149" s="9"/>
      <c r="B2149" s="329" t="s">
        <v>233</v>
      </c>
      <c r="C2149" s="331"/>
      <c r="D2149" s="332">
        <v>1819003.5243513614</v>
      </c>
      <c r="E2149" s="332">
        <v>917540.34368035558</v>
      </c>
      <c r="F2149" s="332">
        <v>629767.01300748182</v>
      </c>
      <c r="G2149" s="332">
        <v>281298.69144754822</v>
      </c>
      <c r="H2149" s="332">
        <v>224450.20997364228</v>
      </c>
      <c r="I2149" s="332">
        <v>160734.84600657347</v>
      </c>
      <c r="J2149" s="332">
        <v>348618.71577864094</v>
      </c>
      <c r="K2149" s="332">
        <v>904024.19857437944</v>
      </c>
      <c r="L2149" s="332">
        <v>1003345.8677997927</v>
      </c>
      <c r="M2149" s="332">
        <v>1054061.5810512779</v>
      </c>
      <c r="N2149" s="332">
        <v>549356.71223758999</v>
      </c>
      <c r="O2149" s="332">
        <v>849499.36825622572</v>
      </c>
      <c r="P2149" s="332">
        <v>716335.92382213497</v>
      </c>
      <c r="Q2149" s="332">
        <v>1181111.1776979107</v>
      </c>
      <c r="R2149" s="332">
        <v>1678276.0049622087</v>
      </c>
      <c r="S2149" s="332">
        <v>1512151.6472471396</v>
      </c>
      <c r="T2149" s="332">
        <v>1655213.6922431139</v>
      </c>
      <c r="U2149" s="332">
        <v>1939193.935662549</v>
      </c>
      <c r="V2149" s="332">
        <v>1693392.4692398361</v>
      </c>
      <c r="W2149" s="9"/>
    </row>
    <row r="2150" spans="1:23" x14ac:dyDescent="0.2">
      <c r="A2150" s="9"/>
      <c r="B2150" s="9"/>
      <c r="C2150" s="326"/>
      <c r="D2150" s="9"/>
      <c r="E2150" s="327"/>
      <c r="F2150" s="319"/>
      <c r="G2150" s="328"/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</row>
    <row r="2151" spans="1:23" ht="15.75" x14ac:dyDescent="0.25">
      <c r="A2151" s="342" t="s">
        <v>206</v>
      </c>
      <c r="B2151" s="343"/>
      <c r="C2151" s="9"/>
      <c r="D2151" s="9"/>
      <c r="E2151" s="9"/>
      <c r="F2151" s="9"/>
      <c r="G2151" s="9"/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</row>
    <row r="2152" spans="1:23" x14ac:dyDescent="0.2">
      <c r="A2152" s="290" t="s">
        <v>191</v>
      </c>
      <c r="B2152" s="309"/>
      <c r="C2152" s="344">
        <v>0</v>
      </c>
      <c r="D2152" s="283"/>
      <c r="E2152" s="283"/>
      <c r="F2152" s="283"/>
      <c r="G2152" s="283"/>
      <c r="H2152" s="283"/>
      <c r="I2152" s="283"/>
      <c r="J2152" s="283"/>
      <c r="K2152" s="283"/>
      <c r="L2152" s="283"/>
      <c r="M2152" s="283"/>
      <c r="N2152" s="283"/>
      <c r="O2152" s="283"/>
      <c r="P2152" s="283"/>
      <c r="Q2152" s="283"/>
      <c r="R2152" s="283"/>
      <c r="S2152" s="283"/>
      <c r="T2152" s="283"/>
      <c r="U2152" s="283"/>
      <c r="V2152" s="283"/>
      <c r="W2152" s="283"/>
    </row>
    <row r="2153" spans="1:23" x14ac:dyDescent="0.2">
      <c r="A2153" s="290" t="s">
        <v>192</v>
      </c>
      <c r="B2153" s="309"/>
      <c r="C2153" s="345">
        <v>0</v>
      </c>
      <c r="D2153" s="283"/>
      <c r="E2153" s="283"/>
      <c r="F2153" s="283"/>
      <c r="G2153" s="283"/>
      <c r="H2153" s="283"/>
      <c r="I2153" s="283"/>
      <c r="J2153" s="283"/>
      <c r="K2153" s="283"/>
      <c r="L2153" s="283"/>
      <c r="M2153" s="283"/>
      <c r="N2153" s="283"/>
      <c r="O2153" s="283"/>
      <c r="P2153" s="283"/>
      <c r="Q2153" s="283"/>
      <c r="R2153" s="283"/>
      <c r="S2153" s="283"/>
      <c r="T2153" s="283"/>
      <c r="U2153" s="283"/>
      <c r="V2153" s="283"/>
      <c r="W2153" s="283"/>
    </row>
    <row r="2154" spans="1:23" x14ac:dyDescent="0.2">
      <c r="A2154" s="290" t="s">
        <v>202</v>
      </c>
      <c r="B2154" s="309"/>
      <c r="C2154" s="290">
        <v>15</v>
      </c>
      <c r="D2154" s="283"/>
      <c r="E2154" s="283"/>
      <c r="F2154" s="283"/>
      <c r="G2154" s="283"/>
      <c r="H2154" s="283"/>
      <c r="I2154" s="283"/>
      <c r="J2154" s="283"/>
      <c r="K2154" s="283"/>
      <c r="L2154" s="283"/>
      <c r="M2154" s="283"/>
      <c r="N2154" s="283"/>
      <c r="O2154" s="283"/>
      <c r="P2154" s="283"/>
      <c r="Q2154" s="283"/>
      <c r="R2154" s="283"/>
      <c r="S2154" s="283"/>
      <c r="T2154" s="283"/>
      <c r="U2154" s="283"/>
      <c r="V2154" s="283"/>
      <c r="W2154" s="283"/>
    </row>
    <row r="2155" spans="1:23" x14ac:dyDescent="0.2">
      <c r="A2155" s="290" t="s">
        <v>193</v>
      </c>
      <c r="B2155" s="309"/>
      <c r="C2155" s="345">
        <v>0</v>
      </c>
      <c r="D2155" s="283"/>
      <c r="E2155" s="283"/>
      <c r="F2155" s="283"/>
      <c r="G2155" s="283"/>
      <c r="H2155" s="283"/>
      <c r="I2155" s="283"/>
      <c r="J2155" s="283"/>
      <c r="K2155" s="283"/>
      <c r="L2155" s="283"/>
      <c r="M2155" s="283"/>
      <c r="N2155" s="283"/>
      <c r="O2155" s="283"/>
      <c r="P2155" s="283"/>
      <c r="Q2155" s="283"/>
      <c r="R2155" s="283"/>
      <c r="S2155" s="283"/>
      <c r="T2155" s="283"/>
      <c r="U2155" s="283"/>
      <c r="V2155" s="283"/>
      <c r="W2155" s="283"/>
    </row>
    <row r="2156" spans="1:23" x14ac:dyDescent="0.2">
      <c r="A2156" s="290" t="s">
        <v>194</v>
      </c>
      <c r="B2156" s="309"/>
      <c r="C2156" s="346">
        <v>8.7499999999999994E-2</v>
      </c>
      <c r="D2156" s="283"/>
      <c r="E2156" s="283"/>
      <c r="F2156" s="283"/>
      <c r="G2156" s="283"/>
      <c r="H2156" s="283"/>
      <c r="I2156" s="283"/>
      <c r="J2156" s="283"/>
      <c r="K2156" s="283"/>
      <c r="L2156" s="283"/>
      <c r="M2156" s="283"/>
      <c r="N2156" s="283"/>
      <c r="O2156" s="283"/>
      <c r="P2156" s="283"/>
      <c r="Q2156" s="283"/>
      <c r="R2156" s="283"/>
      <c r="S2156" s="283"/>
      <c r="T2156" s="283"/>
      <c r="U2156" s="283"/>
      <c r="V2156" s="283"/>
      <c r="W2156" s="283"/>
    </row>
    <row r="2157" spans="1:23" x14ac:dyDescent="0.2">
      <c r="A2157" s="290"/>
      <c r="B2157" s="309"/>
      <c r="C2157" s="283"/>
      <c r="D2157" s="312">
        <v>2001</v>
      </c>
      <c r="E2157" s="312">
        <v>2002</v>
      </c>
      <c r="F2157" s="312">
        <v>2003</v>
      </c>
      <c r="G2157" s="312">
        <v>2004</v>
      </c>
      <c r="H2157" s="312">
        <v>2005</v>
      </c>
      <c r="I2157" s="312">
        <v>2006</v>
      </c>
      <c r="J2157" s="312">
        <v>2007</v>
      </c>
      <c r="K2157" s="312">
        <v>2008</v>
      </c>
      <c r="L2157" s="312">
        <v>2009</v>
      </c>
      <c r="M2157" s="312">
        <v>2010</v>
      </c>
      <c r="N2157" s="312">
        <v>2011</v>
      </c>
      <c r="O2157" s="312">
        <v>2012</v>
      </c>
      <c r="P2157" s="312">
        <v>2013</v>
      </c>
      <c r="Q2157" s="312">
        <v>2014</v>
      </c>
      <c r="R2157" s="312">
        <v>2015</v>
      </c>
      <c r="S2157" s="312">
        <v>2016</v>
      </c>
      <c r="T2157" s="312">
        <v>2017</v>
      </c>
      <c r="U2157" s="312">
        <v>2018</v>
      </c>
      <c r="V2157" s="312">
        <v>2019</v>
      </c>
      <c r="W2157" s="312" t="s">
        <v>154</v>
      </c>
    </row>
    <row r="2158" spans="1:23" x14ac:dyDescent="0.2">
      <c r="A2158" s="290" t="s">
        <v>195</v>
      </c>
      <c r="B2158" s="309"/>
      <c r="C2158" s="283"/>
      <c r="D2158" s="347">
        <v>0</v>
      </c>
      <c r="E2158" s="347">
        <v>0</v>
      </c>
      <c r="F2158" s="347">
        <v>0</v>
      </c>
      <c r="G2158" s="347">
        <v>0</v>
      </c>
      <c r="H2158" s="347">
        <v>0</v>
      </c>
      <c r="I2158" s="347">
        <v>0</v>
      </c>
      <c r="J2158" s="347">
        <v>0</v>
      </c>
      <c r="K2158" s="347">
        <v>0</v>
      </c>
      <c r="L2158" s="347">
        <v>0</v>
      </c>
      <c r="M2158" s="347">
        <v>0</v>
      </c>
      <c r="N2158" s="347">
        <v>0</v>
      </c>
      <c r="O2158" s="347">
        <v>0</v>
      </c>
      <c r="P2158" s="347">
        <v>0</v>
      </c>
      <c r="Q2158" s="347">
        <v>0</v>
      </c>
      <c r="R2158" s="347">
        <v>0</v>
      </c>
      <c r="S2158" s="347">
        <v>0</v>
      </c>
      <c r="T2158" s="347">
        <v>0</v>
      </c>
      <c r="U2158" s="347">
        <v>0</v>
      </c>
      <c r="V2158" s="347">
        <v>0</v>
      </c>
      <c r="W2158" s="347">
        <v>0</v>
      </c>
    </row>
    <row r="2159" spans="1:23" x14ac:dyDescent="0.2">
      <c r="A2159" s="290" t="s">
        <v>196</v>
      </c>
      <c r="B2159" s="309"/>
      <c r="C2159" s="283"/>
      <c r="D2159" s="347">
        <v>0</v>
      </c>
      <c r="E2159" s="347">
        <v>0</v>
      </c>
      <c r="F2159" s="347">
        <v>0</v>
      </c>
      <c r="G2159" s="347">
        <v>0</v>
      </c>
      <c r="H2159" s="347">
        <v>0</v>
      </c>
      <c r="I2159" s="347">
        <v>0</v>
      </c>
      <c r="J2159" s="347">
        <v>0</v>
      </c>
      <c r="K2159" s="347">
        <v>0</v>
      </c>
      <c r="L2159" s="347">
        <v>0</v>
      </c>
      <c r="M2159" s="347">
        <v>0</v>
      </c>
      <c r="N2159" s="347">
        <v>0</v>
      </c>
      <c r="O2159" s="347">
        <v>0</v>
      </c>
      <c r="P2159" s="347">
        <v>0</v>
      </c>
      <c r="Q2159" s="347">
        <v>0</v>
      </c>
      <c r="R2159" s="347">
        <v>0</v>
      </c>
      <c r="S2159" s="347">
        <v>0</v>
      </c>
      <c r="T2159" s="347">
        <v>0</v>
      </c>
      <c r="U2159" s="347">
        <v>0</v>
      </c>
      <c r="V2159" s="347">
        <v>0</v>
      </c>
      <c r="W2159" s="347">
        <v>0</v>
      </c>
    </row>
    <row r="2160" spans="1:23" x14ac:dyDescent="0.2">
      <c r="A2160" s="290" t="s">
        <v>197</v>
      </c>
      <c r="B2160" s="309"/>
      <c r="C2160" s="283"/>
      <c r="D2160" s="347">
        <v>0</v>
      </c>
      <c r="E2160" s="347">
        <v>0</v>
      </c>
      <c r="F2160" s="347">
        <v>0</v>
      </c>
      <c r="G2160" s="347">
        <v>0</v>
      </c>
      <c r="H2160" s="347">
        <v>0</v>
      </c>
      <c r="I2160" s="347">
        <v>0</v>
      </c>
      <c r="J2160" s="347">
        <v>0</v>
      </c>
      <c r="K2160" s="347">
        <v>0</v>
      </c>
      <c r="L2160" s="347">
        <v>0</v>
      </c>
      <c r="M2160" s="347">
        <v>0</v>
      </c>
      <c r="N2160" s="347">
        <v>0</v>
      </c>
      <c r="O2160" s="347">
        <v>0</v>
      </c>
      <c r="P2160" s="347">
        <v>0</v>
      </c>
      <c r="Q2160" s="347">
        <v>0</v>
      </c>
      <c r="R2160" s="347">
        <v>0</v>
      </c>
      <c r="S2160" s="347">
        <v>0</v>
      </c>
      <c r="T2160" s="347">
        <v>0</v>
      </c>
      <c r="U2160" s="347">
        <v>0</v>
      </c>
      <c r="V2160" s="347">
        <v>0</v>
      </c>
      <c r="W2160" s="347">
        <v>0</v>
      </c>
    </row>
    <row r="2161" spans="1:23" x14ac:dyDescent="0.2">
      <c r="A2161" s="290" t="s">
        <v>198</v>
      </c>
      <c r="B2161" s="309"/>
      <c r="C2161" s="283"/>
      <c r="D2161" s="348">
        <v>0</v>
      </c>
      <c r="E2161" s="348">
        <v>0</v>
      </c>
      <c r="F2161" s="348">
        <v>0</v>
      </c>
      <c r="G2161" s="348">
        <v>0</v>
      </c>
      <c r="H2161" s="348">
        <v>0</v>
      </c>
      <c r="I2161" s="348">
        <v>0</v>
      </c>
      <c r="J2161" s="348">
        <v>0</v>
      </c>
      <c r="K2161" s="348">
        <v>0</v>
      </c>
      <c r="L2161" s="348">
        <v>0</v>
      </c>
      <c r="M2161" s="348">
        <v>0</v>
      </c>
      <c r="N2161" s="348">
        <v>0</v>
      </c>
      <c r="O2161" s="348">
        <v>0</v>
      </c>
      <c r="P2161" s="348">
        <v>0</v>
      </c>
      <c r="Q2161" s="348">
        <v>0</v>
      </c>
      <c r="R2161" s="348">
        <v>0</v>
      </c>
      <c r="S2161" s="348">
        <v>0</v>
      </c>
      <c r="T2161" s="348">
        <v>0</v>
      </c>
      <c r="U2161" s="348">
        <v>0</v>
      </c>
      <c r="V2161" s="348">
        <v>0</v>
      </c>
      <c r="W2161" s="348">
        <v>0</v>
      </c>
    </row>
    <row r="2162" spans="1:23" ht="13.5" thickBot="1" x14ac:dyDescent="0.25">
      <c r="A2162" s="290" t="s">
        <v>199</v>
      </c>
      <c r="B2162" s="309"/>
      <c r="C2162" s="283"/>
      <c r="D2162" s="349">
        <v>0</v>
      </c>
      <c r="E2162" s="349">
        <v>0</v>
      </c>
      <c r="F2162" s="349">
        <v>0</v>
      </c>
      <c r="G2162" s="349">
        <v>0</v>
      </c>
      <c r="H2162" s="349">
        <v>0</v>
      </c>
      <c r="I2162" s="349">
        <v>0</v>
      </c>
      <c r="J2162" s="349">
        <v>0</v>
      </c>
      <c r="K2162" s="349">
        <v>0</v>
      </c>
      <c r="L2162" s="349">
        <v>0</v>
      </c>
      <c r="M2162" s="349">
        <v>0</v>
      </c>
      <c r="N2162" s="349">
        <v>0</v>
      </c>
      <c r="O2162" s="349">
        <v>0</v>
      </c>
      <c r="P2162" s="349">
        <v>0</v>
      </c>
      <c r="Q2162" s="349">
        <v>0</v>
      </c>
      <c r="R2162" s="349">
        <v>0</v>
      </c>
      <c r="S2162" s="349">
        <v>0</v>
      </c>
      <c r="T2162" s="349">
        <v>0</v>
      </c>
      <c r="U2162" s="349">
        <v>0</v>
      </c>
      <c r="V2162" s="349">
        <v>0</v>
      </c>
      <c r="W2162" s="349">
        <v>0</v>
      </c>
    </row>
    <row r="2163" spans="1:23" ht="13.5" thickTop="1" x14ac:dyDescent="0.2">
      <c r="A2163" s="290"/>
      <c r="B2163" s="309"/>
      <c r="C2163" s="283"/>
      <c r="D2163" s="347"/>
      <c r="E2163" s="347"/>
      <c r="F2163" s="347"/>
      <c r="G2163" s="347"/>
      <c r="H2163" s="347"/>
      <c r="I2163" s="347"/>
      <c r="J2163" s="347"/>
      <c r="K2163" s="347"/>
      <c r="L2163" s="347"/>
      <c r="M2163" s="347"/>
      <c r="N2163" s="347"/>
      <c r="O2163" s="347"/>
      <c r="P2163" s="347"/>
      <c r="Q2163" s="347"/>
      <c r="R2163" s="347"/>
      <c r="S2163" s="347"/>
      <c r="T2163" s="347"/>
      <c r="U2163" s="347"/>
      <c r="V2163" s="347"/>
      <c r="W2163" s="347"/>
    </row>
    <row r="2164" spans="1:23" x14ac:dyDescent="0.2">
      <c r="A2164" s="290" t="s">
        <v>200</v>
      </c>
      <c r="B2164" s="309"/>
      <c r="C2164" s="283"/>
      <c r="D2164" s="347">
        <v>0</v>
      </c>
      <c r="E2164" s="347">
        <v>0</v>
      </c>
      <c r="F2164" s="347">
        <v>0</v>
      </c>
      <c r="G2164" s="347">
        <v>0</v>
      </c>
      <c r="H2164" s="347">
        <v>0</v>
      </c>
      <c r="I2164" s="347">
        <v>0</v>
      </c>
      <c r="J2164" s="347">
        <v>0</v>
      </c>
      <c r="K2164" s="347">
        <v>0</v>
      </c>
      <c r="L2164" s="347">
        <v>0</v>
      </c>
      <c r="M2164" s="347">
        <v>0</v>
      </c>
      <c r="N2164" s="347">
        <v>0</v>
      </c>
      <c r="O2164" s="347">
        <v>0</v>
      </c>
      <c r="P2164" s="347">
        <v>0</v>
      </c>
      <c r="Q2164" s="347">
        <v>0</v>
      </c>
      <c r="R2164" s="347">
        <v>0</v>
      </c>
      <c r="S2164" s="347">
        <v>0</v>
      </c>
      <c r="T2164" s="347">
        <v>0</v>
      </c>
      <c r="U2164" s="347">
        <v>0</v>
      </c>
      <c r="V2164" s="347">
        <v>0</v>
      </c>
      <c r="W2164" s="347">
        <v>0</v>
      </c>
    </row>
    <row r="2165" spans="1:23" x14ac:dyDescent="0.2">
      <c r="A2165" s="290"/>
      <c r="B2165" s="309"/>
      <c r="C2165" s="283"/>
      <c r="D2165" s="283"/>
      <c r="E2165" s="283"/>
      <c r="F2165" s="283"/>
      <c r="G2165" s="283"/>
      <c r="H2165" s="283"/>
      <c r="I2165" s="283"/>
      <c r="J2165" s="283"/>
      <c r="K2165" s="283"/>
      <c r="L2165" s="283"/>
      <c r="M2165" s="283"/>
      <c r="N2165" s="283"/>
      <c r="O2165" s="283"/>
      <c r="P2165" s="283"/>
      <c r="Q2165" s="283"/>
      <c r="R2165" s="283"/>
      <c r="S2165" s="283"/>
      <c r="T2165" s="283"/>
      <c r="U2165" s="283"/>
      <c r="V2165" s="283"/>
      <c r="W2165" s="283"/>
    </row>
    <row r="2166" spans="1:23" x14ac:dyDescent="0.2">
      <c r="A2166" s="290" t="s">
        <v>201</v>
      </c>
      <c r="B2166" s="309"/>
      <c r="C2166" s="283"/>
      <c r="D2166" s="347">
        <v>0</v>
      </c>
      <c r="E2166" s="347">
        <v>0</v>
      </c>
      <c r="F2166" s="347">
        <v>0</v>
      </c>
      <c r="G2166" s="347">
        <v>0</v>
      </c>
      <c r="H2166" s="347">
        <v>0</v>
      </c>
      <c r="I2166" s="347">
        <v>0</v>
      </c>
      <c r="J2166" s="347">
        <v>0</v>
      </c>
      <c r="K2166" s="347">
        <v>0</v>
      </c>
      <c r="L2166" s="347">
        <v>0</v>
      </c>
      <c r="M2166" s="347">
        <v>0</v>
      </c>
      <c r="N2166" s="347">
        <v>0</v>
      </c>
      <c r="O2166" s="347">
        <v>0</v>
      </c>
      <c r="P2166" s="347">
        <v>0</v>
      </c>
      <c r="Q2166" s="347">
        <v>0</v>
      </c>
      <c r="R2166" s="347">
        <v>0</v>
      </c>
      <c r="S2166" s="347">
        <v>0</v>
      </c>
      <c r="T2166" s="347">
        <v>0</v>
      </c>
      <c r="U2166" s="347">
        <v>0</v>
      </c>
      <c r="V2166" s="347">
        <v>0</v>
      </c>
      <c r="W2166" s="347">
        <v>0</v>
      </c>
    </row>
    <row r="2167" spans="1:23" x14ac:dyDescent="0.2">
      <c r="A2167" s="283"/>
      <c r="B2167" s="309"/>
      <c r="C2167" s="283"/>
      <c r="D2167" s="283"/>
      <c r="E2167" s="283"/>
      <c r="F2167" s="283"/>
      <c r="G2167" s="283"/>
      <c r="H2167" s="283"/>
      <c r="I2167" s="283"/>
      <c r="J2167" s="283"/>
      <c r="K2167" s="283"/>
      <c r="L2167" s="283"/>
      <c r="M2167" s="283"/>
      <c r="N2167" s="283"/>
      <c r="O2167" s="283"/>
      <c r="P2167" s="283"/>
      <c r="Q2167" s="283"/>
      <c r="R2167" s="283"/>
      <c r="S2167" s="283"/>
      <c r="T2167" s="283"/>
      <c r="U2167" s="283"/>
      <c r="V2167" s="283"/>
      <c r="W2167" s="283"/>
    </row>
    <row r="2168" spans="1:23" x14ac:dyDescent="0.2">
      <c r="A2168" s="283"/>
      <c r="B2168" s="309"/>
      <c r="C2168" s="283"/>
      <c r="D2168" s="283"/>
      <c r="E2168" s="283"/>
      <c r="F2168" s="283"/>
      <c r="G2168" s="283"/>
      <c r="H2168" s="283"/>
      <c r="I2168" s="283"/>
      <c r="J2168" s="283"/>
      <c r="K2168" s="283"/>
      <c r="L2168" s="283"/>
      <c r="M2168" s="283"/>
      <c r="N2168" s="283"/>
      <c r="O2168" s="283"/>
      <c r="P2168" s="283"/>
      <c r="Q2168" s="283"/>
      <c r="R2168" s="283"/>
      <c r="S2168" s="283"/>
      <c r="T2168" s="283"/>
      <c r="U2168" s="283"/>
      <c r="V2168" s="283"/>
      <c r="W2168" s="283"/>
    </row>
    <row r="2169" spans="1:23" x14ac:dyDescent="0.2">
      <c r="A2169" s="290" t="s">
        <v>203</v>
      </c>
      <c r="B2169" s="285"/>
      <c r="C2169" s="284"/>
      <c r="D2169" s="441">
        <v>3442240.2232865486</v>
      </c>
      <c r="E2169" s="441">
        <v>2901271.4850767558</v>
      </c>
      <c r="F2169" s="441">
        <v>2611949.4448084952</v>
      </c>
      <c r="G2169" s="441">
        <v>2264287.1871816013</v>
      </c>
      <c r="H2169" s="441">
        <v>2139494.7368574822</v>
      </c>
      <c r="I2169" s="441">
        <v>2078830.320001408</v>
      </c>
      <c r="J2169" s="441">
        <v>1878763.2863254168</v>
      </c>
      <c r="K2169" s="441">
        <v>2002504.0603842395</v>
      </c>
      <c r="L2169" s="441">
        <v>2054280.2741110283</v>
      </c>
      <c r="M2169" s="441">
        <v>2102215.146002498</v>
      </c>
      <c r="N2169" s="441">
        <v>1599636.2079339742</v>
      </c>
      <c r="O2169" s="441">
        <v>1901866.0886330537</v>
      </c>
      <c r="P2169" s="441">
        <v>1770835.4910232802</v>
      </c>
      <c r="Q2169" s="441">
        <v>2237758.2397947693</v>
      </c>
      <c r="R2169" s="441">
        <v>1919098.3514683221</v>
      </c>
      <c r="S2169" s="441">
        <v>1522059.9453681128</v>
      </c>
      <c r="T2169" s="441">
        <v>1667522.3781873954</v>
      </c>
      <c r="U2169" s="441">
        <v>1953975.0210648382</v>
      </c>
      <c r="V2169" s="441">
        <v>1710720.1260838732</v>
      </c>
      <c r="W2169" s="441">
        <v>11297208.752870111</v>
      </c>
    </row>
    <row r="2170" spans="1:23" x14ac:dyDescent="0.2">
      <c r="A2170" s="9"/>
      <c r="B2170" s="69"/>
      <c r="C2170" s="9"/>
      <c r="D2170" s="9"/>
      <c r="E2170" s="9"/>
      <c r="F2170" s="9"/>
      <c r="G2170" s="9"/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</row>
    <row r="2178" spans="1:23" ht="15.75" x14ac:dyDescent="0.25">
      <c r="A2178" s="308" t="s">
        <v>29</v>
      </c>
      <c r="B2178" s="311" t="s">
        <v>181</v>
      </c>
      <c r="C2178" s="312">
        <v>2000</v>
      </c>
      <c r="D2178" s="312">
        <v>2001</v>
      </c>
      <c r="E2178" s="312">
        <v>2002</v>
      </c>
      <c r="F2178" s="312">
        <v>2003</v>
      </c>
      <c r="G2178" s="312">
        <v>2004</v>
      </c>
      <c r="H2178" s="312">
        <v>2005</v>
      </c>
      <c r="I2178" s="312">
        <v>2006</v>
      </c>
      <c r="J2178" s="312">
        <v>2007</v>
      </c>
      <c r="K2178" s="312">
        <v>2008</v>
      </c>
      <c r="L2178" s="312">
        <v>2009</v>
      </c>
      <c r="M2178" s="312">
        <v>2010</v>
      </c>
      <c r="N2178" s="312">
        <v>2011</v>
      </c>
      <c r="O2178" s="312">
        <v>2012</v>
      </c>
      <c r="P2178" s="312">
        <v>2013</v>
      </c>
      <c r="Q2178" s="312">
        <v>2014</v>
      </c>
      <c r="R2178" s="312">
        <v>2015</v>
      </c>
      <c r="S2178" s="312">
        <v>2016</v>
      </c>
      <c r="T2178" s="312">
        <v>2017</v>
      </c>
      <c r="U2178" s="312">
        <v>2018</v>
      </c>
      <c r="V2178" s="312">
        <v>2019</v>
      </c>
      <c r="W2178" s="312" t="s">
        <v>154</v>
      </c>
    </row>
    <row r="2179" spans="1:23" x14ac:dyDescent="0.2">
      <c r="A2179" s="308" t="s">
        <v>26</v>
      </c>
      <c r="B2179" s="309">
        <v>705</v>
      </c>
      <c r="C2179" s="314"/>
      <c r="D2179" s="314"/>
      <c r="E2179" s="314"/>
      <c r="F2179" s="314"/>
      <c r="G2179" s="314"/>
      <c r="H2179" s="314"/>
      <c r="I2179" s="314"/>
      <c r="J2179" s="314"/>
      <c r="K2179" s="314"/>
      <c r="L2179" s="314"/>
      <c r="M2179" s="314"/>
      <c r="N2179" s="314"/>
      <c r="O2179" s="314"/>
      <c r="P2179" s="314"/>
      <c r="Q2179" s="314"/>
      <c r="R2179" s="314"/>
      <c r="S2179" s="314"/>
      <c r="T2179" s="314"/>
      <c r="U2179" s="314"/>
      <c r="V2179" s="314"/>
      <c r="W2179" s="314"/>
    </row>
    <row r="2180" spans="1:23" x14ac:dyDescent="0.2">
      <c r="A2180" s="9"/>
      <c r="B2180" s="315" t="s">
        <v>27</v>
      </c>
      <c r="C2180" s="449">
        <v>0</v>
      </c>
      <c r="D2180" s="410">
        <v>116696769.55890392</v>
      </c>
      <c r="E2180" s="410">
        <v>114128767.00036529</v>
      </c>
      <c r="F2180" s="410">
        <v>124668970.31203689</v>
      </c>
      <c r="G2180" s="410">
        <v>101129760.63446446</v>
      </c>
      <c r="H2180" s="410">
        <v>106166830.73360604</v>
      </c>
      <c r="I2180" s="410">
        <v>122861926.36224185</v>
      </c>
      <c r="J2180" s="410">
        <v>134810026.04541758</v>
      </c>
      <c r="K2180" s="410">
        <v>156171254.60862797</v>
      </c>
      <c r="L2180" s="410">
        <v>153984450.47333476</v>
      </c>
      <c r="M2180" s="410">
        <v>142029450.19111148</v>
      </c>
      <c r="N2180" s="410">
        <v>153519624.91747981</v>
      </c>
      <c r="O2180" s="410">
        <v>145603059.02812558</v>
      </c>
      <c r="P2180" s="410">
        <v>147394867.93602461</v>
      </c>
      <c r="Q2180" s="410">
        <v>161302135.43968594</v>
      </c>
      <c r="R2180" s="410">
        <v>171785879.24219057</v>
      </c>
      <c r="S2180" s="410">
        <v>150009948.99249351</v>
      </c>
      <c r="T2180" s="410">
        <v>146996135.44865844</v>
      </c>
      <c r="U2180" s="410">
        <v>147637489.88829553</v>
      </c>
      <c r="V2180" s="410">
        <v>164310861.17295384</v>
      </c>
      <c r="W2180" s="333"/>
    </row>
    <row r="2181" spans="1:23" x14ac:dyDescent="0.2">
      <c r="A2181" s="9"/>
      <c r="B2181" s="315" t="s">
        <v>20</v>
      </c>
      <c r="C2181" s="449">
        <v>0</v>
      </c>
      <c r="D2181" s="410">
        <v>-56753780.65735615</v>
      </c>
      <c r="E2181" s="410">
        <v>-61895460.472490266</v>
      </c>
      <c r="F2181" s="410">
        <v>-72071715.593124673</v>
      </c>
      <c r="G2181" s="410">
        <v>-57220200.29256206</v>
      </c>
      <c r="H2181" s="410">
        <v>-60959786.06963814</v>
      </c>
      <c r="I2181" s="410">
        <v>-75333063.477119923</v>
      </c>
      <c r="J2181" s="410">
        <v>-81154068.884066612</v>
      </c>
      <c r="K2181" s="410">
        <v>-90367268.162563369</v>
      </c>
      <c r="L2181" s="410">
        <v>-89885398.802861795</v>
      </c>
      <c r="M2181" s="410">
        <v>-80323848.554166064</v>
      </c>
      <c r="N2181" s="410">
        <v>-93909032.875700563</v>
      </c>
      <c r="O2181" s="410">
        <v>-85350575.014772907</v>
      </c>
      <c r="P2181" s="410">
        <v>-87766959.081517279</v>
      </c>
      <c r="Q2181" s="410">
        <v>-94376494.976800039</v>
      </c>
      <c r="R2181" s="410">
        <v>-108998862.77684791</v>
      </c>
      <c r="S2181" s="410">
        <v>-93427428.444566622</v>
      </c>
      <c r="T2181" s="410">
        <v>-88463582.55601126</v>
      </c>
      <c r="U2181" s="410">
        <v>-84365541.098869547</v>
      </c>
      <c r="V2181" s="410">
        <v>-100931674.73991105</v>
      </c>
      <c r="W2181" s="333"/>
    </row>
    <row r="2182" spans="1:23" x14ac:dyDescent="0.2">
      <c r="A2182" s="9"/>
      <c r="B2182" s="315" t="s">
        <v>31</v>
      </c>
      <c r="C2182" s="449">
        <v>0</v>
      </c>
      <c r="D2182" s="410">
        <v>-761026.38295273902</v>
      </c>
      <c r="E2182" s="410">
        <v>-940620.04661977023</v>
      </c>
      <c r="F2182" s="410">
        <v>-1179290.6202034499</v>
      </c>
      <c r="G2182" s="410">
        <v>-945325.15232940274</v>
      </c>
      <c r="H2182" s="410">
        <v>-1017531.9295566685</v>
      </c>
      <c r="I2182" s="410">
        <v>-1270198.2069438624</v>
      </c>
      <c r="J2182" s="410">
        <v>-1386915.4163819149</v>
      </c>
      <c r="K2182" s="410">
        <v>-1674698.9416898522</v>
      </c>
      <c r="L2182" s="410">
        <v>-1651648.7632293678</v>
      </c>
      <c r="M2182" s="410">
        <v>-1434413.4040098353</v>
      </c>
      <c r="N2182" s="410">
        <v>-1699447.8893061683</v>
      </c>
      <c r="O2182" s="410">
        <v>-1573206.6978617681</v>
      </c>
      <c r="P2182" s="410">
        <v>-1563589.3121404683</v>
      </c>
      <c r="Q2182" s="410">
        <v>-1721147.1634139873</v>
      </c>
      <c r="R2182" s="410">
        <v>-1862898.2852847583</v>
      </c>
      <c r="S2182" s="410">
        <v>-1550436.8614476726</v>
      </c>
      <c r="T2182" s="410">
        <v>-1427436.1260436883</v>
      </c>
      <c r="U2182" s="410">
        <v>-1318703.4392344451</v>
      </c>
      <c r="V2182" s="410">
        <v>-1622983.5206961222</v>
      </c>
      <c r="W2182" s="333"/>
    </row>
    <row r="2183" spans="1:23" x14ac:dyDescent="0.2">
      <c r="A2183" s="9"/>
      <c r="B2183" s="315" t="s">
        <v>32</v>
      </c>
      <c r="C2183" s="449">
        <v>0</v>
      </c>
      <c r="D2183" s="410">
        <v>0</v>
      </c>
      <c r="E2183" s="410">
        <v>0</v>
      </c>
      <c r="F2183" s="410">
        <v>0</v>
      </c>
      <c r="G2183" s="410">
        <v>0</v>
      </c>
      <c r="H2183" s="410">
        <v>0</v>
      </c>
      <c r="I2183" s="410">
        <v>0</v>
      </c>
      <c r="J2183" s="410">
        <v>0</v>
      </c>
      <c r="K2183" s="410">
        <v>0</v>
      </c>
      <c r="L2183" s="410">
        <v>0</v>
      </c>
      <c r="M2183" s="410">
        <v>0</v>
      </c>
      <c r="N2183" s="410">
        <v>0</v>
      </c>
      <c r="O2183" s="410">
        <v>0</v>
      </c>
      <c r="P2183" s="410">
        <v>0</v>
      </c>
      <c r="Q2183" s="410">
        <v>0</v>
      </c>
      <c r="R2183" s="410">
        <v>0</v>
      </c>
      <c r="S2183" s="410">
        <v>0</v>
      </c>
      <c r="T2183" s="410">
        <v>0</v>
      </c>
      <c r="U2183" s="410">
        <v>0</v>
      </c>
      <c r="V2183" s="410">
        <v>0</v>
      </c>
      <c r="W2183" s="333"/>
    </row>
    <row r="2184" spans="1:23" ht="13.5" thickBot="1" x14ac:dyDescent="0.25">
      <c r="A2184" s="9"/>
      <c r="B2184" s="316" t="s">
        <v>33</v>
      </c>
      <c r="C2184" s="450">
        <v>0</v>
      </c>
      <c r="D2184" s="412">
        <v>0</v>
      </c>
      <c r="E2184" s="412">
        <v>0</v>
      </c>
      <c r="F2184" s="412">
        <v>0</v>
      </c>
      <c r="G2184" s="412">
        <v>0</v>
      </c>
      <c r="H2184" s="412">
        <v>0</v>
      </c>
      <c r="I2184" s="412">
        <v>0</v>
      </c>
      <c r="J2184" s="412">
        <v>0</v>
      </c>
      <c r="K2184" s="412">
        <v>0</v>
      </c>
      <c r="L2184" s="412">
        <v>0</v>
      </c>
      <c r="M2184" s="412">
        <v>0</v>
      </c>
      <c r="N2184" s="412">
        <v>0</v>
      </c>
      <c r="O2184" s="412">
        <v>0</v>
      </c>
      <c r="P2184" s="412">
        <v>0</v>
      </c>
      <c r="Q2184" s="412">
        <v>0</v>
      </c>
      <c r="R2184" s="412">
        <v>0</v>
      </c>
      <c r="S2184" s="412">
        <v>0</v>
      </c>
      <c r="T2184" s="412">
        <v>0</v>
      </c>
      <c r="U2184" s="412">
        <v>0</v>
      </c>
      <c r="V2184" s="412">
        <v>0</v>
      </c>
      <c r="W2184" s="333"/>
    </row>
    <row r="2185" spans="1:23" ht="13.5" thickTop="1" x14ac:dyDescent="0.2">
      <c r="A2185" s="9"/>
      <c r="B2185" s="317" t="s">
        <v>38</v>
      </c>
      <c r="C2185" s="451">
        <v>0</v>
      </c>
      <c r="D2185" s="414">
        <v>59181962.518595025</v>
      </c>
      <c r="E2185" s="414">
        <v>51292686.481255248</v>
      </c>
      <c r="F2185" s="414">
        <v>51417964.098708764</v>
      </c>
      <c r="G2185" s="414">
        <v>42964235.189572997</v>
      </c>
      <c r="H2185" s="414">
        <v>44189512.734411232</v>
      </c>
      <c r="I2185" s="414">
        <v>46258664.678178065</v>
      </c>
      <c r="J2185" s="414">
        <v>52269041.744969048</v>
      </c>
      <c r="K2185" s="414">
        <v>64129287.504374757</v>
      </c>
      <c r="L2185" s="414">
        <v>62447402.907243595</v>
      </c>
      <c r="M2185" s="414">
        <v>60271188.232935578</v>
      </c>
      <c r="N2185" s="414">
        <v>57911144.152473085</v>
      </c>
      <c r="O2185" s="414">
        <v>58679277.315490909</v>
      </c>
      <c r="P2185" s="414">
        <v>58064319.542366862</v>
      </c>
      <c r="Q2185" s="414">
        <v>65204493.299471915</v>
      </c>
      <c r="R2185" s="414">
        <v>60924118.180057898</v>
      </c>
      <c r="S2185" s="414">
        <v>55032083.686479218</v>
      </c>
      <c r="T2185" s="414">
        <v>57105116.766603492</v>
      </c>
      <c r="U2185" s="414">
        <v>61953245.350191541</v>
      </c>
      <c r="V2185" s="414">
        <v>61756202.912346676</v>
      </c>
      <c r="W2185" s="333"/>
    </row>
    <row r="2186" spans="1:23" x14ac:dyDescent="0.2">
      <c r="A2186" s="9"/>
      <c r="B2186" s="315" t="s">
        <v>34</v>
      </c>
      <c r="C2186" s="449">
        <v>0</v>
      </c>
      <c r="D2186" s="410">
        <v>-3235950</v>
      </c>
      <c r="E2186" s="410">
        <v>-3300669</v>
      </c>
      <c r="F2186" s="410">
        <v>-3366682.38</v>
      </c>
      <c r="G2186" s="410">
        <v>-3434016.0276000001</v>
      </c>
      <c r="H2186" s="410">
        <v>-3502696.348152</v>
      </c>
      <c r="I2186" s="410">
        <v>-3572750.2751150401</v>
      </c>
      <c r="J2186" s="410">
        <v>-3644205.2806173409</v>
      </c>
      <c r="K2186" s="410">
        <v>-3717089.3862296878</v>
      </c>
      <c r="L2186" s="410">
        <v>-3791431.1739542815</v>
      </c>
      <c r="M2186" s="410">
        <v>-3867259.797433367</v>
      </c>
      <c r="N2186" s="410">
        <v>-3944604.9933820344</v>
      </c>
      <c r="O2186" s="410">
        <v>-4023497.0932496749</v>
      </c>
      <c r="P2186" s="410">
        <v>-4103967.0351146683</v>
      </c>
      <c r="Q2186" s="410">
        <v>-4186046.3758169618</v>
      </c>
      <c r="R2186" s="410">
        <v>-4269767.3033333011</v>
      </c>
      <c r="S2186" s="410">
        <v>-4355162.6493999669</v>
      </c>
      <c r="T2186" s="410">
        <v>-4442265.9023879664</v>
      </c>
      <c r="U2186" s="410">
        <v>-4531111.2204357255</v>
      </c>
      <c r="V2186" s="410">
        <v>-4621733.4448444406</v>
      </c>
      <c r="W2186" s="333"/>
    </row>
    <row r="2187" spans="1:23" x14ac:dyDescent="0.2">
      <c r="A2187" s="9"/>
      <c r="B2187" s="315" t="s">
        <v>35</v>
      </c>
      <c r="C2187" s="449">
        <v>0</v>
      </c>
      <c r="D2187" s="410">
        <v>-171612.57929687499</v>
      </c>
      <c r="E2187" s="410">
        <v>-171612.57929687499</v>
      </c>
      <c r="F2187" s="410">
        <v>-171612.57929687499</v>
      </c>
      <c r="G2187" s="410">
        <v>-171612.57929687499</v>
      </c>
      <c r="H2187" s="410">
        <v>-171612.57929687499</v>
      </c>
      <c r="I2187" s="410">
        <v>-171612.57929687499</v>
      </c>
      <c r="J2187" s="410">
        <v>-171612.57929687499</v>
      </c>
      <c r="K2187" s="410">
        <v>-171612.57929687499</v>
      </c>
      <c r="L2187" s="410">
        <v>-171612.57929687499</v>
      </c>
      <c r="M2187" s="410">
        <v>-171612.57929687499</v>
      </c>
      <c r="N2187" s="410">
        <v>-171612.57929687499</v>
      </c>
      <c r="O2187" s="410">
        <v>-171612.57929687499</v>
      </c>
      <c r="P2187" s="410">
        <v>-171612.57929687499</v>
      </c>
      <c r="Q2187" s="410">
        <v>-171612.57929687499</v>
      </c>
      <c r="R2187" s="410">
        <v>-171612.57929687499</v>
      </c>
      <c r="S2187" s="410">
        <v>-171612.57929687499</v>
      </c>
      <c r="T2187" s="410">
        <v>-171612.57929687499</v>
      </c>
      <c r="U2187" s="410">
        <v>-171612.57929687499</v>
      </c>
      <c r="V2187" s="410">
        <v>-171612.57929687499</v>
      </c>
      <c r="W2187" s="333"/>
    </row>
    <row r="2188" spans="1:23" ht="13.5" thickBot="1" x14ac:dyDescent="0.25">
      <c r="A2188" s="9"/>
      <c r="B2188" s="316" t="s">
        <v>36</v>
      </c>
      <c r="C2188" s="450">
        <v>0</v>
      </c>
      <c r="D2188" s="412">
        <v>-374900</v>
      </c>
      <c r="E2188" s="412">
        <v>-383147.8</v>
      </c>
      <c r="F2188" s="412">
        <v>-391577.05160000001</v>
      </c>
      <c r="G2188" s="412">
        <v>-400191.74673519999</v>
      </c>
      <c r="H2188" s="412">
        <v>-408995.96516337403</v>
      </c>
      <c r="I2188" s="412">
        <v>-417993.87639696902</v>
      </c>
      <c r="J2188" s="412">
        <v>-427189.741677702</v>
      </c>
      <c r="K2188" s="412">
        <v>-436587.91599461099</v>
      </c>
      <c r="L2188" s="412">
        <v>-446192.850146493</v>
      </c>
      <c r="M2188" s="412">
        <v>-456009.09284971602</v>
      </c>
      <c r="N2188" s="412">
        <v>-466041.29289240902</v>
      </c>
      <c r="O2188" s="412">
        <v>-476294.20133604301</v>
      </c>
      <c r="P2188" s="412">
        <v>-486772.673765435</v>
      </c>
      <c r="Q2188" s="412">
        <v>-497481.67258827499</v>
      </c>
      <c r="R2188" s="412">
        <v>-508426.26938521699</v>
      </c>
      <c r="S2188" s="412">
        <v>-519611.64731169201</v>
      </c>
      <c r="T2188" s="412">
        <v>-531043.10355254903</v>
      </c>
      <c r="U2188" s="412">
        <v>-542726.05183070502</v>
      </c>
      <c r="V2188" s="412">
        <v>-554666.02497098094</v>
      </c>
      <c r="W2188" s="333"/>
    </row>
    <row r="2189" spans="1:23" ht="13.5" thickTop="1" x14ac:dyDescent="0.2">
      <c r="A2189" s="9"/>
      <c r="B2189" s="317" t="s">
        <v>221</v>
      </c>
      <c r="C2189" s="452">
        <v>0</v>
      </c>
      <c r="D2189" s="416">
        <v>55399499.939298153</v>
      </c>
      <c r="E2189" s="416">
        <v>47437257.101958379</v>
      </c>
      <c r="F2189" s="416">
        <v>47488092.087811887</v>
      </c>
      <c r="G2189" s="416">
        <v>38958414.835940927</v>
      </c>
      <c r="H2189" s="416">
        <v>40106207.841798991</v>
      </c>
      <c r="I2189" s="416">
        <v>42096307.947369181</v>
      </c>
      <c r="J2189" s="416">
        <v>48026034.143377133</v>
      </c>
      <c r="K2189" s="416">
        <v>59803997.622853585</v>
      </c>
      <c r="L2189" s="416">
        <v>58038166.303845949</v>
      </c>
      <c r="M2189" s="416">
        <v>55776306.76335562</v>
      </c>
      <c r="N2189" s="416">
        <v>53328885.286901765</v>
      </c>
      <c r="O2189" s="416">
        <v>54007873.441608325</v>
      </c>
      <c r="P2189" s="416">
        <v>53301967.254189886</v>
      </c>
      <c r="Q2189" s="416">
        <v>60349352.671769805</v>
      </c>
      <c r="R2189" s="416">
        <v>55974312.02804251</v>
      </c>
      <c r="S2189" s="416">
        <v>49985696.810470685</v>
      </c>
      <c r="T2189" s="416">
        <v>51960195.181366101</v>
      </c>
      <c r="U2189" s="416">
        <v>56707795.498628244</v>
      </c>
      <c r="V2189" s="416">
        <v>56408190.863234386</v>
      </c>
      <c r="W2189" s="333"/>
    </row>
    <row r="2190" spans="1:23" x14ac:dyDescent="0.2">
      <c r="A2190" s="9"/>
      <c r="B2190" s="315" t="s">
        <v>37</v>
      </c>
      <c r="C2190" s="449">
        <v>0</v>
      </c>
      <c r="D2190" s="410">
        <v>-32528000</v>
      </c>
      <c r="E2190" s="410">
        <v>-29275200</v>
      </c>
      <c r="F2190" s="410">
        <v>-26364800</v>
      </c>
      <c r="G2190" s="410">
        <v>-23728320</v>
      </c>
      <c r="H2190" s="410">
        <v>-21331520</v>
      </c>
      <c r="I2190" s="410">
        <v>-20201600</v>
      </c>
      <c r="J2190" s="410">
        <v>-20201600</v>
      </c>
      <c r="K2190" s="410">
        <v>-20235840</v>
      </c>
      <c r="L2190" s="410">
        <v>-20201600</v>
      </c>
      <c r="M2190" s="410">
        <v>-20235840</v>
      </c>
      <c r="N2190" s="410">
        <v>-20201600</v>
      </c>
      <c r="O2190" s="410">
        <v>-20235840</v>
      </c>
      <c r="P2190" s="410">
        <v>-20235840</v>
      </c>
      <c r="Q2190" s="410">
        <v>-20235840</v>
      </c>
      <c r="R2190" s="410">
        <v>-10100800</v>
      </c>
      <c r="S2190" s="410">
        <v>-10846000</v>
      </c>
      <c r="T2190" s="410">
        <v>-10846000</v>
      </c>
      <c r="U2190" s="410">
        <v>-10846000</v>
      </c>
      <c r="V2190" s="410">
        <v>-10846000</v>
      </c>
      <c r="W2190" s="333"/>
    </row>
    <row r="2191" spans="1:23" ht="13.5" thickBot="1" x14ac:dyDescent="0.25">
      <c r="A2191" s="9"/>
      <c r="B2191" s="316" t="s">
        <v>222</v>
      </c>
      <c r="C2191" s="450">
        <v>0</v>
      </c>
      <c r="D2191" s="412">
        <v>-9148599.9757192619</v>
      </c>
      <c r="E2191" s="412">
        <v>-7264822.840783352</v>
      </c>
      <c r="F2191" s="412">
        <v>-8449316.8351247553</v>
      </c>
      <c r="G2191" s="412">
        <v>-6092037.9343763711</v>
      </c>
      <c r="H2191" s="412">
        <v>-7509875.1367195966</v>
      </c>
      <c r="I2191" s="412">
        <v>-8757883.1789476722</v>
      </c>
      <c r="J2191" s="412">
        <v>-11129773.657350853</v>
      </c>
      <c r="K2191" s="412">
        <v>-15827263.049141435</v>
      </c>
      <c r="L2191" s="412">
        <v>-15134626.521538381</v>
      </c>
      <c r="M2191" s="412">
        <v>-14216186.705342248</v>
      </c>
      <c r="N2191" s="412">
        <v>-13250914.114760706</v>
      </c>
      <c r="O2191" s="412">
        <v>-13508813.37664333</v>
      </c>
      <c r="P2191" s="412">
        <v>-13226450.901675954</v>
      </c>
      <c r="Q2191" s="412">
        <v>-16045405.068707922</v>
      </c>
      <c r="R2191" s="412">
        <v>-18349404.811217006</v>
      </c>
      <c r="S2191" s="412">
        <v>-15655878.724188276</v>
      </c>
      <c r="T2191" s="412">
        <v>-16445678.072546441</v>
      </c>
      <c r="U2191" s="412">
        <v>-18344718.199451298</v>
      </c>
      <c r="V2191" s="412">
        <v>-18224876.345293757</v>
      </c>
      <c r="W2191" s="333"/>
    </row>
    <row r="2192" spans="1:23" ht="13.5" thickTop="1" x14ac:dyDescent="0.2">
      <c r="A2192" s="9"/>
      <c r="B2192" s="317" t="s">
        <v>183</v>
      </c>
      <c r="C2192" s="452">
        <v>0</v>
      </c>
      <c r="D2192" s="416">
        <v>13722899.963578891</v>
      </c>
      <c r="E2192" s="416">
        <v>10897234.261175027</v>
      </c>
      <c r="F2192" s="416">
        <v>12673975.252687132</v>
      </c>
      <c r="G2192" s="416">
        <v>9138056.9015645571</v>
      </c>
      <c r="H2192" s="416">
        <v>11264812.705079395</v>
      </c>
      <c r="I2192" s="416">
        <v>13136824.768421508</v>
      </c>
      <c r="J2192" s="416">
        <v>16694660.48602628</v>
      </c>
      <c r="K2192" s="416">
        <v>23740894.573712148</v>
      </c>
      <c r="L2192" s="416">
        <v>22701939.782307569</v>
      </c>
      <c r="M2192" s="416">
        <v>21324280.058013372</v>
      </c>
      <c r="N2192" s="416">
        <v>19876371.17214106</v>
      </c>
      <c r="O2192" s="416">
        <v>20263220.064964995</v>
      </c>
      <c r="P2192" s="416">
        <v>19839676.352513932</v>
      </c>
      <c r="Q2192" s="416">
        <v>24068107.603061885</v>
      </c>
      <c r="R2192" s="416">
        <v>27524107.216825504</v>
      </c>
      <c r="S2192" s="416">
        <v>23483818.08628241</v>
      </c>
      <c r="T2192" s="416">
        <v>24668517.10881966</v>
      </c>
      <c r="U2192" s="416">
        <v>27517077.299176946</v>
      </c>
      <c r="V2192" s="416">
        <v>27337314.517940629</v>
      </c>
      <c r="W2192" s="333"/>
    </row>
    <row r="2193" spans="1:23" x14ac:dyDescent="0.2">
      <c r="A2193" s="9"/>
      <c r="B2193" s="315" t="s">
        <v>37</v>
      </c>
      <c r="C2193" s="449">
        <v>0</v>
      </c>
      <c r="D2193" s="410">
        <v>32528000</v>
      </c>
      <c r="E2193" s="410">
        <v>29275200</v>
      </c>
      <c r="F2193" s="410">
        <v>26364800</v>
      </c>
      <c r="G2193" s="410">
        <v>23728320</v>
      </c>
      <c r="H2193" s="410">
        <v>21331520</v>
      </c>
      <c r="I2193" s="410">
        <v>20201600</v>
      </c>
      <c r="J2193" s="410">
        <v>20201600</v>
      </c>
      <c r="K2193" s="410">
        <v>20235840</v>
      </c>
      <c r="L2193" s="410">
        <v>20201600</v>
      </c>
      <c r="M2193" s="410">
        <v>20235840</v>
      </c>
      <c r="N2193" s="410">
        <v>20201600</v>
      </c>
      <c r="O2193" s="410">
        <v>20235840</v>
      </c>
      <c r="P2193" s="410">
        <v>20235840</v>
      </c>
      <c r="Q2193" s="410">
        <v>20235840</v>
      </c>
      <c r="R2193" s="410">
        <v>10100800</v>
      </c>
      <c r="S2193" s="410">
        <v>10846000</v>
      </c>
      <c r="T2193" s="410">
        <v>10846000</v>
      </c>
      <c r="U2193" s="410">
        <v>10846000</v>
      </c>
      <c r="V2193" s="410">
        <v>10846000</v>
      </c>
      <c r="W2193" s="333"/>
    </row>
    <row r="2194" spans="1:23" x14ac:dyDescent="0.2">
      <c r="A2194" s="9"/>
      <c r="B2194" s="315" t="s">
        <v>39</v>
      </c>
      <c r="C2194" s="449">
        <v>0</v>
      </c>
      <c r="D2194" s="410">
        <v>0</v>
      </c>
      <c r="E2194" s="410">
        <v>0</v>
      </c>
      <c r="F2194" s="410">
        <v>0</v>
      </c>
      <c r="G2194" s="410">
        <v>0</v>
      </c>
      <c r="H2194" s="410">
        <v>0</v>
      </c>
      <c r="I2194" s="410">
        <v>0</v>
      </c>
      <c r="J2194" s="410">
        <v>0</v>
      </c>
      <c r="K2194" s="410">
        <v>0</v>
      </c>
      <c r="L2194" s="410">
        <v>0</v>
      </c>
      <c r="M2194" s="410">
        <v>0</v>
      </c>
      <c r="N2194" s="410">
        <v>0</v>
      </c>
      <c r="O2194" s="410">
        <v>0</v>
      </c>
      <c r="P2194" s="410">
        <v>0</v>
      </c>
      <c r="Q2194" s="410">
        <v>0</v>
      </c>
      <c r="R2194" s="410">
        <v>0</v>
      </c>
      <c r="S2194" s="410">
        <v>0</v>
      </c>
      <c r="T2194" s="410">
        <v>0</v>
      </c>
      <c r="U2194" s="410">
        <v>0</v>
      </c>
      <c r="V2194" s="410">
        <v>0</v>
      </c>
      <c r="W2194" s="333"/>
    </row>
    <row r="2195" spans="1:23" ht="13.5" thickBot="1" x14ac:dyDescent="0.25">
      <c r="A2195" s="9"/>
      <c r="B2195" s="316" t="s">
        <v>40</v>
      </c>
      <c r="C2195" s="450">
        <v>0</v>
      </c>
      <c r="D2195" s="412">
        <v>0</v>
      </c>
      <c r="E2195" s="412">
        <v>0</v>
      </c>
      <c r="F2195" s="412">
        <v>0</v>
      </c>
      <c r="G2195" s="412">
        <v>0</v>
      </c>
      <c r="H2195" s="412">
        <v>0</v>
      </c>
      <c r="I2195" s="412">
        <v>0</v>
      </c>
      <c r="J2195" s="412">
        <v>0</v>
      </c>
      <c r="K2195" s="412">
        <v>0</v>
      </c>
      <c r="L2195" s="412">
        <v>0</v>
      </c>
      <c r="M2195" s="412">
        <v>0</v>
      </c>
      <c r="N2195" s="412">
        <v>0</v>
      </c>
      <c r="O2195" s="412">
        <v>0</v>
      </c>
      <c r="P2195" s="412">
        <v>0</v>
      </c>
      <c r="Q2195" s="412">
        <v>0</v>
      </c>
      <c r="R2195" s="412">
        <v>0</v>
      </c>
      <c r="S2195" s="412">
        <v>0</v>
      </c>
      <c r="T2195" s="412">
        <v>0</v>
      </c>
      <c r="U2195" s="412">
        <v>0</v>
      </c>
      <c r="V2195" s="412">
        <v>0</v>
      </c>
      <c r="W2195" s="333"/>
    </row>
    <row r="2196" spans="1:23" ht="13.5" thickTop="1" x14ac:dyDescent="0.2">
      <c r="A2196" s="9"/>
      <c r="B2196" s="315"/>
      <c r="C2196" s="453"/>
      <c r="D2196" s="333"/>
      <c r="E2196" s="333"/>
      <c r="F2196" s="333"/>
      <c r="G2196" s="333"/>
      <c r="H2196" s="333"/>
      <c r="I2196" s="333"/>
      <c r="J2196" s="333"/>
      <c r="K2196" s="333"/>
      <c r="L2196" s="333"/>
      <c r="M2196" s="333"/>
      <c r="N2196" s="333"/>
      <c r="O2196" s="333"/>
      <c r="P2196" s="333"/>
      <c r="Q2196" s="333"/>
      <c r="R2196" s="333"/>
      <c r="S2196" s="333"/>
      <c r="T2196" s="333"/>
      <c r="U2196" s="333"/>
      <c r="V2196" s="333"/>
      <c r="W2196" s="333"/>
    </row>
    <row r="2197" spans="1:23" x14ac:dyDescent="0.2">
      <c r="A2197" s="9"/>
      <c r="B2197" s="317" t="s">
        <v>234</v>
      </c>
      <c r="C2197" s="452">
        <v>0</v>
      </c>
      <c r="D2197" s="416">
        <v>46250899.963578895</v>
      </c>
      <c r="E2197" s="416">
        <v>40172434.261175029</v>
      </c>
      <c r="F2197" s="416">
        <v>39038775.252687134</v>
      </c>
      <c r="G2197" s="416">
        <v>32866376.901564557</v>
      </c>
      <c r="H2197" s="416">
        <v>32596332.705079395</v>
      </c>
      <c r="I2197" s="416">
        <v>33338424.768421508</v>
      </c>
      <c r="J2197" s="416">
        <v>36896260.48602628</v>
      </c>
      <c r="K2197" s="416">
        <v>43976734.573712148</v>
      </c>
      <c r="L2197" s="416">
        <v>42903539.782307565</v>
      </c>
      <c r="M2197" s="416">
        <v>41560120.058013372</v>
      </c>
      <c r="N2197" s="416">
        <v>40077971.17214106</v>
      </c>
      <c r="O2197" s="416">
        <v>40499060.064964995</v>
      </c>
      <c r="P2197" s="416">
        <v>40075516.352513932</v>
      </c>
      <c r="Q2197" s="416">
        <v>44303947.603061885</v>
      </c>
      <c r="R2197" s="416">
        <v>37624907.2168255</v>
      </c>
      <c r="S2197" s="416">
        <v>34329818.08628241</v>
      </c>
      <c r="T2197" s="416">
        <v>35514517.108819664</v>
      </c>
      <c r="U2197" s="416">
        <v>38363077.299176946</v>
      </c>
      <c r="V2197" s="416">
        <v>38183314.517940626</v>
      </c>
      <c r="W2197" s="414">
        <v>239965161.38700688</v>
      </c>
    </row>
    <row r="2198" spans="1:23" x14ac:dyDescent="0.2">
      <c r="A2198" s="9"/>
      <c r="B2198" s="292"/>
      <c r="C2198" s="9"/>
      <c r="D2198" s="9"/>
      <c r="E2198" s="9"/>
      <c r="F2198" s="9"/>
      <c r="G2198" s="9"/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</row>
    <row r="2199" spans="1:23" x14ac:dyDescent="0.2">
      <c r="A2199" s="308" t="s">
        <v>219</v>
      </c>
      <c r="B2199" s="306" t="s">
        <v>170</v>
      </c>
      <c r="C2199" s="439">
        <v>154452810.82670778</v>
      </c>
      <c r="D2199" s="9"/>
      <c r="E2199" s="137" t="s">
        <v>220</v>
      </c>
      <c r="F2199" s="319" t="s">
        <v>170</v>
      </c>
      <c r="G2199" s="443">
        <v>154452810.82670778</v>
      </c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</row>
    <row r="2200" spans="1:23" x14ac:dyDescent="0.2">
      <c r="A2200" s="9"/>
      <c r="B2200" s="306" t="s">
        <v>180</v>
      </c>
      <c r="C2200" s="439">
        <v>188114893.56733167</v>
      </c>
      <c r="D2200" s="9"/>
      <c r="E2200" s="321"/>
      <c r="F2200" s="319" t="s">
        <v>180</v>
      </c>
      <c r="G2200" s="443">
        <v>188114893.56733167</v>
      </c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</row>
    <row r="2201" spans="1:23" ht="13.5" thickBot="1" x14ac:dyDescent="0.25">
      <c r="A2201" s="9"/>
      <c r="B2201" s="322" t="s">
        <v>137</v>
      </c>
      <c r="C2201" s="440">
        <v>37410269.254702918</v>
      </c>
      <c r="D2201" s="323"/>
      <c r="E2201" s="321"/>
      <c r="F2201" s="319" t="s">
        <v>137</v>
      </c>
      <c r="G2201" s="443">
        <v>37410269.254702918</v>
      </c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</row>
    <row r="2202" spans="1:23" ht="14.25" thickTop="1" thickBot="1" x14ac:dyDescent="0.25">
      <c r="A2202" s="9"/>
      <c r="B2202" s="306" t="s">
        <v>28</v>
      </c>
      <c r="C2202" s="438">
        <v>379977973.64874244</v>
      </c>
      <c r="D2202" s="305"/>
      <c r="E2202" s="321"/>
      <c r="F2202" s="324" t="s">
        <v>204</v>
      </c>
      <c r="G2202" s="325">
        <v>0</v>
      </c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</row>
    <row r="2203" spans="1:23" ht="13.5" thickTop="1" x14ac:dyDescent="0.2">
      <c r="A2203" s="9"/>
      <c r="B2203" s="292"/>
      <c r="C2203" s="326"/>
      <c r="D2203" s="9"/>
      <c r="E2203" s="327"/>
      <c r="F2203" s="319" t="s">
        <v>28</v>
      </c>
      <c r="G2203" s="368">
        <v>379977973.64874244</v>
      </c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</row>
    <row r="2204" spans="1:23" x14ac:dyDescent="0.2">
      <c r="A2204" s="9"/>
      <c r="B2204" s="292"/>
      <c r="C2204" s="326"/>
      <c r="D2204" s="9"/>
      <c r="E2204" s="327"/>
      <c r="F2204" s="319"/>
      <c r="G2204" s="328"/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</row>
    <row r="2205" spans="1:23" x14ac:dyDescent="0.2">
      <c r="A2205" s="9"/>
      <c r="B2205" s="292"/>
      <c r="C2205" s="326"/>
      <c r="D2205" s="9"/>
      <c r="E2205" s="327"/>
      <c r="F2205" s="319"/>
      <c r="G2205" s="328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</row>
    <row r="2206" spans="1:23" x14ac:dyDescent="0.2">
      <c r="A2206" s="9"/>
      <c r="B2206" s="329" t="s">
        <v>223</v>
      </c>
      <c r="C2206" s="326"/>
      <c r="D2206" s="9"/>
      <c r="E2206" s="327"/>
      <c r="F2206" s="319"/>
      <c r="G2206" s="328"/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</row>
    <row r="2207" spans="1:23" x14ac:dyDescent="0.2">
      <c r="A2207" s="330" t="s">
        <v>225</v>
      </c>
      <c r="B2207" s="329" t="s">
        <v>224</v>
      </c>
      <c r="C2207" s="331"/>
      <c r="D2207" s="332">
        <v>13722899.963578891</v>
      </c>
      <c r="E2207" s="332">
        <v>10897234.261175027</v>
      </c>
      <c r="F2207" s="332">
        <v>12673975.252687132</v>
      </c>
      <c r="G2207" s="332">
        <v>9138056.9015645571</v>
      </c>
      <c r="H2207" s="332">
        <v>11264812.705079395</v>
      </c>
      <c r="I2207" s="332">
        <v>13136824.768421508</v>
      </c>
      <c r="J2207" s="332">
        <v>16694660.48602628</v>
      </c>
      <c r="K2207" s="332">
        <v>23740894.573712148</v>
      </c>
      <c r="L2207" s="332">
        <v>22701939.782307569</v>
      </c>
      <c r="M2207" s="332">
        <v>21324280.058013372</v>
      </c>
      <c r="N2207" s="332">
        <v>19876371.17214106</v>
      </c>
      <c r="O2207" s="332">
        <v>20263220.064964995</v>
      </c>
      <c r="P2207" s="332">
        <v>19839676.352513932</v>
      </c>
      <c r="Q2207" s="332">
        <v>24068107.603061885</v>
      </c>
      <c r="R2207" s="332">
        <v>27524107.216825504</v>
      </c>
      <c r="S2207" s="332">
        <v>23483818.08628241</v>
      </c>
      <c r="T2207" s="332">
        <v>24668517.10881966</v>
      </c>
      <c r="U2207" s="332">
        <v>27517077.299176946</v>
      </c>
      <c r="V2207" s="332">
        <v>27337314.517940629</v>
      </c>
      <c r="W2207" s="9"/>
    </row>
    <row r="2208" spans="1:23" x14ac:dyDescent="0.2">
      <c r="A2208" s="9"/>
      <c r="B2208" s="292" t="s">
        <v>226</v>
      </c>
      <c r="C2208" s="326"/>
      <c r="D2208" s="333">
        <v>9148599.9757192619</v>
      </c>
      <c r="E2208" s="333">
        <v>7264822.840783352</v>
      </c>
      <c r="F2208" s="333">
        <v>8449316.8351247553</v>
      </c>
      <c r="G2208" s="333">
        <v>6092037.9343763711</v>
      </c>
      <c r="H2208" s="333">
        <v>7509875.1367195966</v>
      </c>
      <c r="I2208" s="333">
        <v>8757883.1789476722</v>
      </c>
      <c r="J2208" s="333">
        <v>11129773.657350853</v>
      </c>
      <c r="K2208" s="333">
        <v>15827263.049141435</v>
      </c>
      <c r="L2208" s="333">
        <v>15134626.521538381</v>
      </c>
      <c r="M2208" s="333">
        <v>14216186.705342248</v>
      </c>
      <c r="N2208" s="333">
        <v>13250914.114760706</v>
      </c>
      <c r="O2208" s="333">
        <v>13508813.37664333</v>
      </c>
      <c r="P2208" s="333">
        <v>13226450.901675954</v>
      </c>
      <c r="Q2208" s="333">
        <v>16045405.068707922</v>
      </c>
      <c r="R2208" s="333">
        <v>18349404.811217006</v>
      </c>
      <c r="S2208" s="333">
        <v>15655878.724188276</v>
      </c>
      <c r="T2208" s="333">
        <v>16445678.072546441</v>
      </c>
      <c r="U2208" s="333">
        <v>18344718.199451298</v>
      </c>
      <c r="V2208" s="333">
        <v>18224876.345293757</v>
      </c>
      <c r="W2208" s="9"/>
    </row>
    <row r="2209" spans="1:23" x14ac:dyDescent="0.2">
      <c r="A2209" s="9"/>
      <c r="B2209" s="334" t="s">
        <v>227</v>
      </c>
      <c r="C2209" s="335"/>
      <c r="D2209" s="333">
        <v>32528000</v>
      </c>
      <c r="E2209" s="333">
        <v>29275200</v>
      </c>
      <c r="F2209" s="333">
        <v>26364800</v>
      </c>
      <c r="G2209" s="333">
        <v>23728320</v>
      </c>
      <c r="H2209" s="333">
        <v>21331520</v>
      </c>
      <c r="I2209" s="333">
        <v>20201600</v>
      </c>
      <c r="J2209" s="333">
        <v>20201600</v>
      </c>
      <c r="K2209" s="333">
        <v>20235840</v>
      </c>
      <c r="L2209" s="333">
        <v>20201600</v>
      </c>
      <c r="M2209" s="333">
        <v>20235840</v>
      </c>
      <c r="N2209" s="333">
        <v>20201600</v>
      </c>
      <c r="O2209" s="333">
        <v>20235840</v>
      </c>
      <c r="P2209" s="333">
        <v>20235840</v>
      </c>
      <c r="Q2209" s="333">
        <v>20235840</v>
      </c>
      <c r="R2209" s="333">
        <v>10100800</v>
      </c>
      <c r="S2209" s="333">
        <v>10846000</v>
      </c>
      <c r="T2209" s="333">
        <v>10846000</v>
      </c>
      <c r="U2209" s="333">
        <v>10846000</v>
      </c>
      <c r="V2209" s="333">
        <v>10846000</v>
      </c>
      <c r="W2209" s="9"/>
    </row>
    <row r="2210" spans="1:23" ht="13.5" thickBot="1" x14ac:dyDescent="0.25">
      <c r="A2210" s="9"/>
      <c r="B2210" s="336" t="s">
        <v>228</v>
      </c>
      <c r="C2210" s="337"/>
      <c r="D2210" s="338">
        <v>55399499.939298153</v>
      </c>
      <c r="E2210" s="338">
        <v>47437257.101958379</v>
      </c>
      <c r="F2210" s="338">
        <v>47488092.087811887</v>
      </c>
      <c r="G2210" s="338">
        <v>38958414.835940927</v>
      </c>
      <c r="H2210" s="338">
        <v>40106207.841798991</v>
      </c>
      <c r="I2210" s="338">
        <v>42096307.947369181</v>
      </c>
      <c r="J2210" s="338">
        <v>48026034.143377133</v>
      </c>
      <c r="K2210" s="338">
        <v>59803997.622853585</v>
      </c>
      <c r="L2210" s="338">
        <v>58038166.303845949</v>
      </c>
      <c r="M2210" s="338">
        <v>55776306.76335562</v>
      </c>
      <c r="N2210" s="338">
        <v>53328885.286901765</v>
      </c>
      <c r="O2210" s="338">
        <v>54007873.441608325</v>
      </c>
      <c r="P2210" s="338">
        <v>53301967.254189886</v>
      </c>
      <c r="Q2210" s="338">
        <v>60349352.671769805</v>
      </c>
      <c r="R2210" s="338">
        <v>55974312.02804251</v>
      </c>
      <c r="S2210" s="338">
        <v>49985696.810470685</v>
      </c>
      <c r="T2210" s="338">
        <v>51960195.181366101</v>
      </c>
      <c r="U2210" s="338">
        <v>56707795.498628244</v>
      </c>
      <c r="V2210" s="338">
        <v>56408190.863234386</v>
      </c>
      <c r="W2210" s="9"/>
    </row>
    <row r="2211" spans="1:23" ht="13.5" thickTop="1" x14ac:dyDescent="0.2">
      <c r="A2211" s="330" t="s">
        <v>229</v>
      </c>
      <c r="B2211" s="292" t="s">
        <v>230</v>
      </c>
      <c r="C2211" s="326"/>
      <c r="D2211" s="333">
        <v>-10846000</v>
      </c>
      <c r="E2211" s="333">
        <v>-10846000</v>
      </c>
      <c r="F2211" s="333">
        <v>-10846000</v>
      </c>
      <c r="G2211" s="333">
        <v>-10846000</v>
      </c>
      <c r="H2211" s="333">
        <v>-10846000</v>
      </c>
      <c r="I2211" s="333">
        <v>-10846000</v>
      </c>
      <c r="J2211" s="333">
        <v>-10846000</v>
      </c>
      <c r="K2211" s="333">
        <v>-10846000</v>
      </c>
      <c r="L2211" s="333">
        <v>-10846000</v>
      </c>
      <c r="M2211" s="333">
        <v>-10846000</v>
      </c>
      <c r="N2211" s="333">
        <v>-10846000</v>
      </c>
      <c r="O2211" s="333">
        <v>-10846000</v>
      </c>
      <c r="P2211" s="333">
        <v>-10846000</v>
      </c>
      <c r="Q2211" s="333">
        <v>-10846000</v>
      </c>
      <c r="R2211" s="333">
        <v>-10846000</v>
      </c>
      <c r="S2211" s="333">
        <v>-10846000</v>
      </c>
      <c r="T2211" s="333">
        <v>-10846000</v>
      </c>
      <c r="U2211" s="333">
        <v>-10846000</v>
      </c>
      <c r="V2211" s="333">
        <v>-10846000</v>
      </c>
      <c r="W2211" s="9"/>
    </row>
    <row r="2212" spans="1:23" x14ac:dyDescent="0.2">
      <c r="A2212" s="9"/>
      <c r="B2212" s="292" t="s">
        <v>231</v>
      </c>
      <c r="C2212" s="326"/>
      <c r="D2212" s="333">
        <v>0</v>
      </c>
      <c r="E2212" s="333">
        <v>0</v>
      </c>
      <c r="F2212" s="333">
        <v>0</v>
      </c>
      <c r="G2212" s="333">
        <v>0</v>
      </c>
      <c r="H2212" s="333">
        <v>0</v>
      </c>
      <c r="I2212" s="333">
        <v>0</v>
      </c>
      <c r="J2212" s="333">
        <v>0</v>
      </c>
      <c r="K2212" s="333">
        <v>0</v>
      </c>
      <c r="L2212" s="333">
        <v>0</v>
      </c>
      <c r="M2212" s="333">
        <v>0</v>
      </c>
      <c r="N2212" s="333">
        <v>0</v>
      </c>
      <c r="O2212" s="333">
        <v>0</v>
      </c>
      <c r="P2212" s="333">
        <v>0</v>
      </c>
      <c r="Q2212" s="333">
        <v>0</v>
      </c>
      <c r="R2212" s="333">
        <v>0</v>
      </c>
      <c r="S2212" s="333">
        <v>0</v>
      </c>
      <c r="T2212" s="333">
        <v>0</v>
      </c>
      <c r="U2212" s="333">
        <v>0</v>
      </c>
      <c r="V2212" s="333">
        <v>0</v>
      </c>
      <c r="W2212" s="9"/>
    </row>
    <row r="2213" spans="1:23" x14ac:dyDescent="0.2">
      <c r="A2213" s="9"/>
      <c r="B2213" s="329" t="s">
        <v>232</v>
      </c>
      <c r="C2213" s="331"/>
      <c r="D2213" s="332">
        <v>44553499.939298153</v>
      </c>
      <c r="E2213" s="332">
        <v>36591257.101958379</v>
      </c>
      <c r="F2213" s="332">
        <v>36642092.087811887</v>
      </c>
      <c r="G2213" s="332">
        <v>28112414.835940927</v>
      </c>
      <c r="H2213" s="332">
        <v>29260207.841798991</v>
      </c>
      <c r="I2213" s="332">
        <v>31250307.947369181</v>
      </c>
      <c r="J2213" s="332">
        <v>37180034.143377133</v>
      </c>
      <c r="K2213" s="332">
        <v>48957997.622853585</v>
      </c>
      <c r="L2213" s="332">
        <v>47192166.303845949</v>
      </c>
      <c r="M2213" s="332">
        <v>44930306.76335562</v>
      </c>
      <c r="N2213" s="332">
        <v>42482885.286901765</v>
      </c>
      <c r="O2213" s="332">
        <v>43161873.441608325</v>
      </c>
      <c r="P2213" s="332">
        <v>42455967.254189886</v>
      </c>
      <c r="Q2213" s="332">
        <v>49503352.671769805</v>
      </c>
      <c r="R2213" s="332">
        <v>45128312.02804251</v>
      </c>
      <c r="S2213" s="332">
        <v>39139696.810470685</v>
      </c>
      <c r="T2213" s="332">
        <v>41114195.181366101</v>
      </c>
      <c r="U2213" s="332">
        <v>45861795.498628244</v>
      </c>
      <c r="V2213" s="332">
        <v>45562190.863234386</v>
      </c>
      <c r="W2213" s="9"/>
    </row>
    <row r="2214" spans="1:23" ht="13.5" thickBot="1" x14ac:dyDescent="0.25">
      <c r="A2214" s="9"/>
      <c r="B2214" s="339" t="s">
        <v>238</v>
      </c>
      <c r="C2214" s="340"/>
      <c r="D2214" s="341">
        <v>-17821399.975719262</v>
      </c>
      <c r="E2214" s="341">
        <v>-14636502.840783352</v>
      </c>
      <c r="F2214" s="341">
        <v>-14656836.835124755</v>
      </c>
      <c r="G2214" s="341">
        <v>-11244965.934376372</v>
      </c>
      <c r="H2214" s="341">
        <v>-11704083.136719598</v>
      </c>
      <c r="I2214" s="341">
        <v>-12500123.178947672</v>
      </c>
      <c r="J2214" s="341">
        <v>-14872013.657350853</v>
      </c>
      <c r="K2214" s="341">
        <v>-19583199.049141433</v>
      </c>
      <c r="L2214" s="341">
        <v>-18876866.521538381</v>
      </c>
      <c r="M2214" s="341">
        <v>-17972122.705342248</v>
      </c>
      <c r="N2214" s="341">
        <v>-16993154.114760708</v>
      </c>
      <c r="O2214" s="341">
        <v>-17264749.37664333</v>
      </c>
      <c r="P2214" s="341">
        <v>-16982386.901675954</v>
      </c>
      <c r="Q2214" s="341">
        <v>-19801341.068707924</v>
      </c>
      <c r="R2214" s="341">
        <v>-18051324.811217006</v>
      </c>
      <c r="S2214" s="341">
        <v>-15655878.724188276</v>
      </c>
      <c r="T2214" s="341">
        <v>-16445678.072546441</v>
      </c>
      <c r="U2214" s="341">
        <v>-18344718.199451298</v>
      </c>
      <c r="V2214" s="341">
        <v>-18224876.345293757</v>
      </c>
      <c r="W2214" s="9"/>
    </row>
    <row r="2215" spans="1:23" ht="13.5" thickTop="1" x14ac:dyDescent="0.2">
      <c r="A2215" s="9"/>
      <c r="B2215" s="329" t="s">
        <v>233</v>
      </c>
      <c r="C2215" s="331"/>
      <c r="D2215" s="332">
        <v>26732099.963578891</v>
      </c>
      <c r="E2215" s="332">
        <v>21954754.261175029</v>
      </c>
      <c r="F2215" s="332">
        <v>21985255.252687134</v>
      </c>
      <c r="G2215" s="332">
        <v>16867448.901564553</v>
      </c>
      <c r="H2215" s="332">
        <v>17556124.705079392</v>
      </c>
      <c r="I2215" s="332">
        <v>18750184.768421508</v>
      </c>
      <c r="J2215" s="332">
        <v>22308020.48602628</v>
      </c>
      <c r="K2215" s="332">
        <v>29374798.573712151</v>
      </c>
      <c r="L2215" s="332">
        <v>28315299.782307569</v>
      </c>
      <c r="M2215" s="332">
        <v>26958184.058013372</v>
      </c>
      <c r="N2215" s="332">
        <v>25489731.172141057</v>
      </c>
      <c r="O2215" s="332">
        <v>25897124.064964995</v>
      </c>
      <c r="P2215" s="332">
        <v>25473580.352513932</v>
      </c>
      <c r="Q2215" s="332">
        <v>29702011.603061881</v>
      </c>
      <c r="R2215" s="332">
        <v>27076987.216825504</v>
      </c>
      <c r="S2215" s="332">
        <v>23483818.08628241</v>
      </c>
      <c r="T2215" s="332">
        <v>24668517.10881966</v>
      </c>
      <c r="U2215" s="332">
        <v>27517077.299176946</v>
      </c>
      <c r="V2215" s="332">
        <v>27337314.517940629</v>
      </c>
      <c r="W2215" s="9"/>
    </row>
    <row r="2216" spans="1:23" x14ac:dyDescent="0.2">
      <c r="A2216" s="9"/>
      <c r="B2216" s="9"/>
      <c r="C2216" s="326"/>
      <c r="D2216" s="9"/>
      <c r="E2216" s="327"/>
      <c r="F2216" s="319"/>
      <c r="G2216" s="328"/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</row>
    <row r="2217" spans="1:23" ht="15.75" x14ac:dyDescent="0.25">
      <c r="A2217" s="342" t="s">
        <v>206</v>
      </c>
      <c r="B2217" s="343"/>
      <c r="C2217" s="9"/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</row>
    <row r="2218" spans="1:23" x14ac:dyDescent="0.2">
      <c r="A2218" s="290" t="s">
        <v>191</v>
      </c>
      <c r="B2218" s="309"/>
      <c r="C2218" s="344">
        <v>0</v>
      </c>
      <c r="D2218" s="283"/>
      <c r="E2218" s="283"/>
      <c r="F2218" s="283"/>
      <c r="G2218" s="283"/>
      <c r="H2218" s="283"/>
      <c r="I2218" s="283"/>
      <c r="J2218" s="283"/>
      <c r="K2218" s="283"/>
      <c r="L2218" s="283"/>
      <c r="M2218" s="283"/>
      <c r="N2218" s="283"/>
      <c r="O2218" s="283"/>
      <c r="P2218" s="283"/>
      <c r="Q2218" s="283"/>
      <c r="R2218" s="283"/>
      <c r="S2218" s="283"/>
      <c r="T2218" s="283"/>
      <c r="U2218" s="283"/>
      <c r="V2218" s="283"/>
      <c r="W2218" s="283"/>
    </row>
    <row r="2219" spans="1:23" x14ac:dyDescent="0.2">
      <c r="A2219" s="290" t="s">
        <v>192</v>
      </c>
      <c r="B2219" s="309"/>
      <c r="C2219" s="345">
        <v>0</v>
      </c>
      <c r="D2219" s="283"/>
      <c r="E2219" s="283"/>
      <c r="F2219" s="283"/>
      <c r="G2219" s="283"/>
      <c r="H2219" s="283"/>
      <c r="I2219" s="283"/>
      <c r="J2219" s="283"/>
      <c r="K2219" s="283"/>
      <c r="L2219" s="283"/>
      <c r="M2219" s="283"/>
      <c r="N2219" s="283"/>
      <c r="O2219" s="283"/>
      <c r="P2219" s="283"/>
      <c r="Q2219" s="283"/>
      <c r="R2219" s="283"/>
      <c r="S2219" s="283"/>
      <c r="T2219" s="283"/>
      <c r="U2219" s="283"/>
      <c r="V2219" s="283"/>
      <c r="W2219" s="283"/>
    </row>
    <row r="2220" spans="1:23" x14ac:dyDescent="0.2">
      <c r="A2220" s="290" t="s">
        <v>202</v>
      </c>
      <c r="B2220" s="309"/>
      <c r="C2220" s="290">
        <v>15</v>
      </c>
      <c r="D2220" s="283"/>
      <c r="E2220" s="283"/>
      <c r="F2220" s="283"/>
      <c r="G2220" s="283"/>
      <c r="H2220" s="283"/>
      <c r="I2220" s="283"/>
      <c r="J2220" s="283"/>
      <c r="K2220" s="283"/>
      <c r="L2220" s="283"/>
      <c r="M2220" s="283"/>
      <c r="N2220" s="283"/>
      <c r="O2220" s="283"/>
      <c r="P2220" s="283"/>
      <c r="Q2220" s="283"/>
      <c r="R2220" s="283"/>
      <c r="S2220" s="283"/>
      <c r="T2220" s="283"/>
      <c r="U2220" s="283"/>
      <c r="V2220" s="283"/>
      <c r="W2220" s="283"/>
    </row>
    <row r="2221" spans="1:23" x14ac:dyDescent="0.2">
      <c r="A2221" s="290" t="s">
        <v>193</v>
      </c>
      <c r="B2221" s="309"/>
      <c r="C2221" s="345">
        <v>0</v>
      </c>
      <c r="D2221" s="283"/>
      <c r="E2221" s="283"/>
      <c r="F2221" s="283"/>
      <c r="G2221" s="283"/>
      <c r="H2221" s="283"/>
      <c r="I2221" s="283"/>
      <c r="J2221" s="283"/>
      <c r="K2221" s="283"/>
      <c r="L2221" s="283"/>
      <c r="M2221" s="283"/>
      <c r="N2221" s="283"/>
      <c r="O2221" s="283"/>
      <c r="P2221" s="283"/>
      <c r="Q2221" s="283"/>
      <c r="R2221" s="283"/>
      <c r="S2221" s="283"/>
      <c r="T2221" s="283"/>
      <c r="U2221" s="283"/>
      <c r="V2221" s="283"/>
      <c r="W2221" s="283"/>
    </row>
    <row r="2222" spans="1:23" x14ac:dyDescent="0.2">
      <c r="A2222" s="290" t="s">
        <v>194</v>
      </c>
      <c r="B2222" s="309"/>
      <c r="C2222" s="346">
        <v>8.7499999999999994E-2</v>
      </c>
      <c r="D2222" s="283"/>
      <c r="E2222" s="283"/>
      <c r="F2222" s="283"/>
      <c r="G2222" s="283"/>
      <c r="H2222" s="283"/>
      <c r="I2222" s="283"/>
      <c r="J2222" s="283"/>
      <c r="K2222" s="283"/>
      <c r="L2222" s="283"/>
      <c r="M2222" s="283"/>
      <c r="N2222" s="283"/>
      <c r="O2222" s="283"/>
      <c r="P2222" s="283"/>
      <c r="Q2222" s="283"/>
      <c r="R2222" s="283"/>
      <c r="S2222" s="283"/>
      <c r="T2222" s="283"/>
      <c r="U2222" s="283"/>
      <c r="V2222" s="283"/>
      <c r="W2222" s="283"/>
    </row>
    <row r="2223" spans="1:23" x14ac:dyDescent="0.2">
      <c r="A2223" s="290"/>
      <c r="B2223" s="309"/>
      <c r="C2223" s="283"/>
      <c r="D2223" s="312">
        <v>2001</v>
      </c>
      <c r="E2223" s="312">
        <v>2002</v>
      </c>
      <c r="F2223" s="312">
        <v>2003</v>
      </c>
      <c r="G2223" s="312">
        <v>2004</v>
      </c>
      <c r="H2223" s="312">
        <v>2005</v>
      </c>
      <c r="I2223" s="312">
        <v>2006</v>
      </c>
      <c r="J2223" s="312">
        <v>2007</v>
      </c>
      <c r="K2223" s="312">
        <v>2008</v>
      </c>
      <c r="L2223" s="312">
        <v>2009</v>
      </c>
      <c r="M2223" s="312">
        <v>2010</v>
      </c>
      <c r="N2223" s="312">
        <v>2011</v>
      </c>
      <c r="O2223" s="312">
        <v>2012</v>
      </c>
      <c r="P2223" s="312">
        <v>2013</v>
      </c>
      <c r="Q2223" s="312">
        <v>2014</v>
      </c>
      <c r="R2223" s="312">
        <v>2015</v>
      </c>
      <c r="S2223" s="312">
        <v>2016</v>
      </c>
      <c r="T2223" s="312">
        <v>2017</v>
      </c>
      <c r="U2223" s="312">
        <v>2018</v>
      </c>
      <c r="V2223" s="312">
        <v>2019</v>
      </c>
      <c r="W2223" s="312" t="s">
        <v>154</v>
      </c>
    </row>
    <row r="2224" spans="1:23" x14ac:dyDescent="0.2">
      <c r="A2224" s="290" t="s">
        <v>195</v>
      </c>
      <c r="B2224" s="309"/>
      <c r="C2224" s="283"/>
      <c r="D2224" s="347">
        <v>0</v>
      </c>
      <c r="E2224" s="347">
        <v>0</v>
      </c>
      <c r="F2224" s="347">
        <v>0</v>
      </c>
      <c r="G2224" s="347">
        <v>0</v>
      </c>
      <c r="H2224" s="347">
        <v>0</v>
      </c>
      <c r="I2224" s="347">
        <v>0</v>
      </c>
      <c r="J2224" s="347">
        <v>0</v>
      </c>
      <c r="K2224" s="347">
        <v>0</v>
      </c>
      <c r="L2224" s="347">
        <v>0</v>
      </c>
      <c r="M2224" s="347">
        <v>0</v>
      </c>
      <c r="N2224" s="347">
        <v>0</v>
      </c>
      <c r="O2224" s="347">
        <v>0</v>
      </c>
      <c r="P2224" s="347">
        <v>0</v>
      </c>
      <c r="Q2224" s="347">
        <v>0</v>
      </c>
      <c r="R2224" s="347">
        <v>0</v>
      </c>
      <c r="S2224" s="347">
        <v>0</v>
      </c>
      <c r="T2224" s="347">
        <v>0</v>
      </c>
      <c r="U2224" s="347">
        <v>0</v>
      </c>
      <c r="V2224" s="347">
        <v>0</v>
      </c>
      <c r="W2224" s="347">
        <v>0</v>
      </c>
    </row>
    <row r="2225" spans="1:23" x14ac:dyDescent="0.2">
      <c r="A2225" s="290" t="s">
        <v>196</v>
      </c>
      <c r="B2225" s="309"/>
      <c r="C2225" s="283"/>
      <c r="D2225" s="347">
        <v>0</v>
      </c>
      <c r="E2225" s="347">
        <v>0</v>
      </c>
      <c r="F2225" s="347">
        <v>0</v>
      </c>
      <c r="G2225" s="347">
        <v>0</v>
      </c>
      <c r="H2225" s="347">
        <v>0</v>
      </c>
      <c r="I2225" s="347">
        <v>0</v>
      </c>
      <c r="J2225" s="347">
        <v>0</v>
      </c>
      <c r="K2225" s="347">
        <v>0</v>
      </c>
      <c r="L2225" s="347">
        <v>0</v>
      </c>
      <c r="M2225" s="347">
        <v>0</v>
      </c>
      <c r="N2225" s="347">
        <v>0</v>
      </c>
      <c r="O2225" s="347">
        <v>0</v>
      </c>
      <c r="P2225" s="347">
        <v>0</v>
      </c>
      <c r="Q2225" s="347">
        <v>0</v>
      </c>
      <c r="R2225" s="347">
        <v>0</v>
      </c>
      <c r="S2225" s="347">
        <v>0</v>
      </c>
      <c r="T2225" s="347">
        <v>0</v>
      </c>
      <c r="U2225" s="347">
        <v>0</v>
      </c>
      <c r="V2225" s="347">
        <v>0</v>
      </c>
      <c r="W2225" s="347">
        <v>0</v>
      </c>
    </row>
    <row r="2226" spans="1:23" x14ac:dyDescent="0.2">
      <c r="A2226" s="290" t="s">
        <v>197</v>
      </c>
      <c r="B2226" s="309"/>
      <c r="C2226" s="283"/>
      <c r="D2226" s="347">
        <v>0</v>
      </c>
      <c r="E2226" s="347">
        <v>0</v>
      </c>
      <c r="F2226" s="347">
        <v>0</v>
      </c>
      <c r="G2226" s="347">
        <v>0</v>
      </c>
      <c r="H2226" s="347">
        <v>0</v>
      </c>
      <c r="I2226" s="347">
        <v>0</v>
      </c>
      <c r="J2226" s="347">
        <v>0</v>
      </c>
      <c r="K2226" s="347">
        <v>0</v>
      </c>
      <c r="L2226" s="347">
        <v>0</v>
      </c>
      <c r="M2226" s="347">
        <v>0</v>
      </c>
      <c r="N2226" s="347">
        <v>0</v>
      </c>
      <c r="O2226" s="347">
        <v>0</v>
      </c>
      <c r="P2226" s="347">
        <v>0</v>
      </c>
      <c r="Q2226" s="347">
        <v>0</v>
      </c>
      <c r="R2226" s="347">
        <v>0</v>
      </c>
      <c r="S2226" s="347">
        <v>0</v>
      </c>
      <c r="T2226" s="347">
        <v>0</v>
      </c>
      <c r="U2226" s="347">
        <v>0</v>
      </c>
      <c r="V2226" s="347">
        <v>0</v>
      </c>
      <c r="W2226" s="347">
        <v>0</v>
      </c>
    </row>
    <row r="2227" spans="1:23" x14ac:dyDescent="0.2">
      <c r="A2227" s="290" t="s">
        <v>198</v>
      </c>
      <c r="B2227" s="309"/>
      <c r="C2227" s="283"/>
      <c r="D2227" s="348">
        <v>0</v>
      </c>
      <c r="E2227" s="348">
        <v>0</v>
      </c>
      <c r="F2227" s="348">
        <v>0</v>
      </c>
      <c r="G2227" s="348">
        <v>0</v>
      </c>
      <c r="H2227" s="348">
        <v>0</v>
      </c>
      <c r="I2227" s="348">
        <v>0</v>
      </c>
      <c r="J2227" s="348">
        <v>0</v>
      </c>
      <c r="K2227" s="348">
        <v>0</v>
      </c>
      <c r="L2227" s="348">
        <v>0</v>
      </c>
      <c r="M2227" s="348">
        <v>0</v>
      </c>
      <c r="N2227" s="348">
        <v>0</v>
      </c>
      <c r="O2227" s="348">
        <v>0</v>
      </c>
      <c r="P2227" s="348">
        <v>0</v>
      </c>
      <c r="Q2227" s="348">
        <v>0</v>
      </c>
      <c r="R2227" s="348">
        <v>0</v>
      </c>
      <c r="S2227" s="348">
        <v>0</v>
      </c>
      <c r="T2227" s="348">
        <v>0</v>
      </c>
      <c r="U2227" s="348">
        <v>0</v>
      </c>
      <c r="V2227" s="348">
        <v>0</v>
      </c>
      <c r="W2227" s="348">
        <v>0</v>
      </c>
    </row>
    <row r="2228" spans="1:23" ht="13.5" thickBot="1" x14ac:dyDescent="0.25">
      <c r="A2228" s="290" t="s">
        <v>199</v>
      </c>
      <c r="B2228" s="309"/>
      <c r="C2228" s="283"/>
      <c r="D2228" s="349">
        <v>0</v>
      </c>
      <c r="E2228" s="349">
        <v>0</v>
      </c>
      <c r="F2228" s="349">
        <v>0</v>
      </c>
      <c r="G2228" s="349">
        <v>0</v>
      </c>
      <c r="H2228" s="349">
        <v>0</v>
      </c>
      <c r="I2228" s="349">
        <v>0</v>
      </c>
      <c r="J2228" s="349">
        <v>0</v>
      </c>
      <c r="K2228" s="349">
        <v>0</v>
      </c>
      <c r="L2228" s="349">
        <v>0</v>
      </c>
      <c r="M2228" s="349">
        <v>0</v>
      </c>
      <c r="N2228" s="349">
        <v>0</v>
      </c>
      <c r="O2228" s="349">
        <v>0</v>
      </c>
      <c r="P2228" s="349">
        <v>0</v>
      </c>
      <c r="Q2228" s="349">
        <v>0</v>
      </c>
      <c r="R2228" s="349">
        <v>0</v>
      </c>
      <c r="S2228" s="349">
        <v>0</v>
      </c>
      <c r="T2228" s="349">
        <v>0</v>
      </c>
      <c r="U2228" s="349">
        <v>0</v>
      </c>
      <c r="V2228" s="349">
        <v>0</v>
      </c>
      <c r="W2228" s="349">
        <v>0</v>
      </c>
    </row>
    <row r="2229" spans="1:23" ht="13.5" thickTop="1" x14ac:dyDescent="0.2">
      <c r="A2229" s="290"/>
      <c r="B2229" s="309"/>
      <c r="C2229" s="283"/>
      <c r="D2229" s="347"/>
      <c r="E2229" s="347"/>
      <c r="F2229" s="347"/>
      <c r="G2229" s="347"/>
      <c r="H2229" s="347"/>
      <c r="I2229" s="347"/>
      <c r="J2229" s="347"/>
      <c r="K2229" s="347"/>
      <c r="L2229" s="347"/>
      <c r="M2229" s="347"/>
      <c r="N2229" s="347"/>
      <c r="O2229" s="347"/>
      <c r="P2229" s="347"/>
      <c r="Q2229" s="347"/>
      <c r="R2229" s="347"/>
      <c r="S2229" s="347"/>
      <c r="T2229" s="347"/>
      <c r="U2229" s="347"/>
      <c r="V2229" s="347"/>
      <c r="W2229" s="347"/>
    </row>
    <row r="2230" spans="1:23" x14ac:dyDescent="0.2">
      <c r="A2230" s="290" t="s">
        <v>200</v>
      </c>
      <c r="B2230" s="309"/>
      <c r="C2230" s="283"/>
      <c r="D2230" s="347">
        <v>0</v>
      </c>
      <c r="E2230" s="347">
        <v>0</v>
      </c>
      <c r="F2230" s="347">
        <v>0</v>
      </c>
      <c r="G2230" s="347">
        <v>0</v>
      </c>
      <c r="H2230" s="347">
        <v>0</v>
      </c>
      <c r="I2230" s="347">
        <v>0</v>
      </c>
      <c r="J2230" s="347">
        <v>0</v>
      </c>
      <c r="K2230" s="347">
        <v>0</v>
      </c>
      <c r="L2230" s="347">
        <v>0</v>
      </c>
      <c r="M2230" s="347">
        <v>0</v>
      </c>
      <c r="N2230" s="347">
        <v>0</v>
      </c>
      <c r="O2230" s="347">
        <v>0</v>
      </c>
      <c r="P2230" s="347">
        <v>0</v>
      </c>
      <c r="Q2230" s="347">
        <v>0</v>
      </c>
      <c r="R2230" s="347">
        <v>0</v>
      </c>
      <c r="S2230" s="347">
        <v>0</v>
      </c>
      <c r="T2230" s="347">
        <v>0</v>
      </c>
      <c r="U2230" s="347">
        <v>0</v>
      </c>
      <c r="V2230" s="347">
        <v>0</v>
      </c>
      <c r="W2230" s="347">
        <v>0</v>
      </c>
    </row>
    <row r="2231" spans="1:23" x14ac:dyDescent="0.2">
      <c r="A2231" s="290"/>
      <c r="B2231" s="309"/>
      <c r="C2231" s="283"/>
      <c r="D2231" s="283"/>
      <c r="E2231" s="283"/>
      <c r="F2231" s="283"/>
      <c r="G2231" s="283"/>
      <c r="H2231" s="283"/>
      <c r="I2231" s="283"/>
      <c r="J2231" s="283"/>
      <c r="K2231" s="283"/>
      <c r="L2231" s="283"/>
      <c r="M2231" s="283"/>
      <c r="N2231" s="283"/>
      <c r="O2231" s="283"/>
      <c r="P2231" s="283"/>
      <c r="Q2231" s="283"/>
      <c r="R2231" s="283"/>
      <c r="S2231" s="283"/>
      <c r="T2231" s="283"/>
      <c r="U2231" s="283"/>
      <c r="V2231" s="283"/>
      <c r="W2231" s="283"/>
    </row>
    <row r="2232" spans="1:23" x14ac:dyDescent="0.2">
      <c r="A2232" s="290" t="s">
        <v>201</v>
      </c>
      <c r="B2232" s="309"/>
      <c r="C2232" s="283"/>
      <c r="D2232" s="347">
        <v>0</v>
      </c>
      <c r="E2232" s="347">
        <v>0</v>
      </c>
      <c r="F2232" s="347">
        <v>0</v>
      </c>
      <c r="G2232" s="347">
        <v>0</v>
      </c>
      <c r="H2232" s="347">
        <v>0</v>
      </c>
      <c r="I2232" s="347">
        <v>0</v>
      </c>
      <c r="J2232" s="347">
        <v>0</v>
      </c>
      <c r="K2232" s="347">
        <v>0</v>
      </c>
      <c r="L2232" s="347">
        <v>0</v>
      </c>
      <c r="M2232" s="347">
        <v>0</v>
      </c>
      <c r="N2232" s="347">
        <v>0</v>
      </c>
      <c r="O2232" s="347">
        <v>0</v>
      </c>
      <c r="P2232" s="347">
        <v>0</v>
      </c>
      <c r="Q2232" s="347">
        <v>0</v>
      </c>
      <c r="R2232" s="347">
        <v>0</v>
      </c>
      <c r="S2232" s="347">
        <v>0</v>
      </c>
      <c r="T2232" s="347">
        <v>0</v>
      </c>
      <c r="U2232" s="347">
        <v>0</v>
      </c>
      <c r="V2232" s="347">
        <v>0</v>
      </c>
      <c r="W2232" s="347">
        <v>0</v>
      </c>
    </row>
    <row r="2233" spans="1:23" x14ac:dyDescent="0.2">
      <c r="A2233" s="283"/>
      <c r="B2233" s="309"/>
      <c r="C2233" s="283"/>
      <c r="D2233" s="283"/>
      <c r="E2233" s="283"/>
      <c r="F2233" s="283"/>
      <c r="G2233" s="283"/>
      <c r="H2233" s="283"/>
      <c r="I2233" s="283"/>
      <c r="J2233" s="283"/>
      <c r="K2233" s="283"/>
      <c r="L2233" s="283"/>
      <c r="M2233" s="283"/>
      <c r="N2233" s="283"/>
      <c r="O2233" s="283"/>
      <c r="P2233" s="283"/>
      <c r="Q2233" s="283"/>
      <c r="R2233" s="283"/>
      <c r="S2233" s="283"/>
      <c r="T2233" s="283"/>
      <c r="U2233" s="283"/>
      <c r="V2233" s="283"/>
      <c r="W2233" s="283"/>
    </row>
    <row r="2234" spans="1:23" x14ac:dyDescent="0.2">
      <c r="A2234" s="283"/>
      <c r="B2234" s="309"/>
      <c r="C2234" s="283"/>
      <c r="D2234" s="283"/>
      <c r="E2234" s="283"/>
      <c r="F2234" s="283"/>
      <c r="G2234" s="283"/>
      <c r="H2234" s="283"/>
      <c r="I2234" s="283"/>
      <c r="J2234" s="283"/>
      <c r="K2234" s="283"/>
      <c r="L2234" s="283"/>
      <c r="M2234" s="283"/>
      <c r="N2234" s="283"/>
      <c r="O2234" s="283"/>
      <c r="P2234" s="283"/>
      <c r="Q2234" s="283"/>
      <c r="R2234" s="283"/>
      <c r="S2234" s="283"/>
      <c r="T2234" s="283"/>
      <c r="U2234" s="283"/>
      <c r="V2234" s="283"/>
      <c r="W2234" s="283"/>
    </row>
    <row r="2235" spans="1:23" x14ac:dyDescent="0.2">
      <c r="A2235" s="290" t="s">
        <v>203</v>
      </c>
      <c r="B2235" s="285"/>
      <c r="C2235" s="284"/>
      <c r="D2235" s="441">
        <v>46250899.963578895</v>
      </c>
      <c r="E2235" s="441">
        <v>40172434.261175029</v>
      </c>
      <c r="F2235" s="441">
        <v>39038775.252687134</v>
      </c>
      <c r="G2235" s="441">
        <v>32866376.901564557</v>
      </c>
      <c r="H2235" s="441">
        <v>32596332.705079395</v>
      </c>
      <c r="I2235" s="441">
        <v>33338424.768421508</v>
      </c>
      <c r="J2235" s="441">
        <v>36896260.48602628</v>
      </c>
      <c r="K2235" s="441">
        <v>43976734.573712148</v>
      </c>
      <c r="L2235" s="441">
        <v>42903539.782307565</v>
      </c>
      <c r="M2235" s="441">
        <v>41560120.058013372</v>
      </c>
      <c r="N2235" s="441">
        <v>40077971.17214106</v>
      </c>
      <c r="O2235" s="441">
        <v>40499060.064964995</v>
      </c>
      <c r="P2235" s="441">
        <v>40075516.352513932</v>
      </c>
      <c r="Q2235" s="441">
        <v>44303947.603061885</v>
      </c>
      <c r="R2235" s="441">
        <v>37624907.2168255</v>
      </c>
      <c r="S2235" s="441">
        <v>34329818.08628241</v>
      </c>
      <c r="T2235" s="441">
        <v>35514517.108819664</v>
      </c>
      <c r="U2235" s="441">
        <v>38363077.299176946</v>
      </c>
      <c r="V2235" s="441">
        <v>38183314.517940626</v>
      </c>
      <c r="W2235" s="441">
        <v>239965161.38700688</v>
      </c>
    </row>
    <row r="2236" spans="1:23" x14ac:dyDescent="0.2">
      <c r="A2236" s="9"/>
      <c r="B2236" s="69"/>
      <c r="C2236" s="9"/>
      <c r="D2236" s="9"/>
      <c r="E2236" s="9"/>
      <c r="F2236" s="9"/>
      <c r="G2236" s="9"/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</row>
    <row r="2237" spans="1:23" x14ac:dyDescent="0.2">
      <c r="B2237" s="303" t="s">
        <v>55</v>
      </c>
      <c r="C2237" s="24">
        <v>2</v>
      </c>
    </row>
    <row r="2238" spans="1:23" x14ac:dyDescent="0.2">
      <c r="B2238" s="303" t="s">
        <v>56</v>
      </c>
    </row>
    <row r="2239" spans="1:23" x14ac:dyDescent="0.2">
      <c r="B2239" s="303" t="s">
        <v>57</v>
      </c>
    </row>
    <row r="2240" spans="1:23" x14ac:dyDescent="0.2">
      <c r="B2240" s="303" t="s">
        <v>58</v>
      </c>
    </row>
    <row r="2241" spans="2:2" x14ac:dyDescent="0.2">
      <c r="B2241" s="303" t="s">
        <v>59</v>
      </c>
    </row>
    <row r="2242" spans="2:2" x14ac:dyDescent="0.2">
      <c r="B2242" s="303" t="s">
        <v>60</v>
      </c>
    </row>
    <row r="2243" spans="2:2" x14ac:dyDescent="0.2">
      <c r="B2243" s="303" t="s">
        <v>61</v>
      </c>
    </row>
    <row r="2244" spans="2:2" x14ac:dyDescent="0.2">
      <c r="B2244" s="303" t="s">
        <v>62</v>
      </c>
    </row>
    <row r="2245" spans="2:2" x14ac:dyDescent="0.2">
      <c r="B2245" s="303" t="s">
        <v>63</v>
      </c>
    </row>
    <row r="2246" spans="2:2" x14ac:dyDescent="0.2">
      <c r="B2246" s="303" t="s">
        <v>64</v>
      </c>
    </row>
    <row r="2247" spans="2:2" x14ac:dyDescent="0.2">
      <c r="B2247" s="303" t="s">
        <v>65</v>
      </c>
    </row>
    <row r="2248" spans="2:2" x14ac:dyDescent="0.2">
      <c r="B2248" s="303" t="s">
        <v>66</v>
      </c>
    </row>
    <row r="2249" spans="2:2" x14ac:dyDescent="0.2">
      <c r="B2249" s="303" t="s">
        <v>67</v>
      </c>
    </row>
    <row r="2250" spans="2:2" x14ac:dyDescent="0.2">
      <c r="B2250" s="303" t="s">
        <v>70</v>
      </c>
    </row>
    <row r="2251" spans="2:2" x14ac:dyDescent="0.2">
      <c r="B2251" s="303" t="s">
        <v>68</v>
      </c>
    </row>
    <row r="2252" spans="2:2" x14ac:dyDescent="0.2">
      <c r="B2252" s="303" t="s">
        <v>69</v>
      </c>
    </row>
    <row r="2253" spans="2:2" x14ac:dyDescent="0.2">
      <c r="B2253" s="303" t="s">
        <v>71</v>
      </c>
    </row>
    <row r="2254" spans="2:2" x14ac:dyDescent="0.2">
      <c r="B2254" s="303" t="s">
        <v>72</v>
      </c>
    </row>
    <row r="2255" spans="2:2" x14ac:dyDescent="0.2">
      <c r="B2255" s="303" t="s">
        <v>73</v>
      </c>
    </row>
    <row r="2256" spans="2:2" x14ac:dyDescent="0.2">
      <c r="B2256" s="303" t="s">
        <v>74</v>
      </c>
    </row>
    <row r="2257" spans="2:2" x14ac:dyDescent="0.2">
      <c r="B2257" s="303" t="s">
        <v>75</v>
      </c>
    </row>
    <row r="2258" spans="2:2" x14ac:dyDescent="0.2">
      <c r="B2258" s="303" t="s">
        <v>86</v>
      </c>
    </row>
    <row r="2259" spans="2:2" x14ac:dyDescent="0.2">
      <c r="B2259" s="303" t="s">
        <v>76</v>
      </c>
    </row>
    <row r="2260" spans="2:2" x14ac:dyDescent="0.2">
      <c r="B2260" s="303" t="s">
        <v>77</v>
      </c>
    </row>
    <row r="2261" spans="2:2" x14ac:dyDescent="0.2">
      <c r="B2261" s="303" t="s">
        <v>78</v>
      </c>
    </row>
    <row r="2262" spans="2:2" x14ac:dyDescent="0.2">
      <c r="B2262" s="303" t="s">
        <v>79</v>
      </c>
    </row>
    <row r="2263" spans="2:2" x14ac:dyDescent="0.2">
      <c r="B2263" s="303" t="s">
        <v>80</v>
      </c>
    </row>
    <row r="2264" spans="2:2" x14ac:dyDescent="0.2">
      <c r="B2264" s="303" t="s">
        <v>81</v>
      </c>
    </row>
    <row r="2265" spans="2:2" x14ac:dyDescent="0.2">
      <c r="B2265" s="303" t="s">
        <v>82</v>
      </c>
    </row>
    <row r="2266" spans="2:2" x14ac:dyDescent="0.2">
      <c r="B2266" s="303" t="s">
        <v>83</v>
      </c>
    </row>
    <row r="2267" spans="2:2" x14ac:dyDescent="0.2">
      <c r="B2267" s="303" t="s">
        <v>84</v>
      </c>
    </row>
    <row r="2268" spans="2:2" x14ac:dyDescent="0.2">
      <c r="B2268" s="303" t="s">
        <v>85</v>
      </c>
    </row>
    <row r="2269" spans="2:2" x14ac:dyDescent="0.2">
      <c r="B2269" s="23" t="s">
        <v>181</v>
      </c>
    </row>
  </sheetData>
  <mergeCells count="1">
    <mergeCell ref="F1:I1"/>
  </mergeCells>
  <conditionalFormatting sqref="D24 D26:D29">
    <cfRule type="cellIs" dxfId="0" priority="1" stopIfTrue="1" operator="notEqual">
      <formula>0</formula>
    </cfRule>
  </conditionalFormatting>
  <pageMargins left="0.17" right="0.17" top="1" bottom="1" header="0.5" footer="0.5"/>
  <pageSetup paperSize="5" scale="42" orientation="landscape" r:id="rId1"/>
  <headerFooter alignWithMargins="0">
    <oddFooter>&amp;L&amp;D&amp;C&amp;F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7" r:id="rId4" name="Button 57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1118</xdr:row>
                    <xdr:rowOff>66675</xdr:rowOff>
                  </from>
                  <to>
                    <xdr:col>0</xdr:col>
                    <xdr:colOff>733425</xdr:colOff>
                    <xdr:row>1119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9" r:id="rId5" name="Button 89">
              <controlPr defaultSize="0" print="0" autoFill="0" autoPict="0" macro="[0]!Home">
                <anchor moveWithCells="1">
                  <from>
                    <xdr:col>0</xdr:col>
                    <xdr:colOff>104775</xdr:colOff>
                    <xdr:row>69</xdr:row>
                    <xdr:rowOff>66675</xdr:rowOff>
                  </from>
                  <to>
                    <xdr:col>0</xdr:col>
                    <xdr:colOff>685800</xdr:colOff>
                    <xdr:row>70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0" r:id="rId6" name="Button 90">
              <controlPr defaultSize="0" print="0" autoFill="0" autoPict="0" macro="[0]!Home">
                <anchor moveWithCells="1">
                  <from>
                    <xdr:col>0</xdr:col>
                    <xdr:colOff>104775</xdr:colOff>
                    <xdr:row>128</xdr:row>
                    <xdr:rowOff>66675</xdr:rowOff>
                  </from>
                  <to>
                    <xdr:col>0</xdr:col>
                    <xdr:colOff>685800</xdr:colOff>
                    <xdr:row>129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1" r:id="rId7" name="Button 91">
              <controlPr defaultSize="0" print="0" autoFill="0" autoPict="0" macro="[0]!Home">
                <anchor moveWithCells="1">
                  <from>
                    <xdr:col>0</xdr:col>
                    <xdr:colOff>76200</xdr:colOff>
                    <xdr:row>194</xdr:row>
                    <xdr:rowOff>9525</xdr:rowOff>
                  </from>
                  <to>
                    <xdr:col>0</xdr:col>
                    <xdr:colOff>657225</xdr:colOff>
                    <xdr:row>195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2" r:id="rId8" name="Button 92">
              <controlPr defaultSize="0" print="0" autoFill="0" autoPict="0" macro="[0]!Home">
                <anchor moveWithCells="1">
                  <from>
                    <xdr:col>0</xdr:col>
                    <xdr:colOff>95250</xdr:colOff>
                    <xdr:row>261</xdr:row>
                    <xdr:rowOff>152400</xdr:rowOff>
                  </from>
                  <to>
                    <xdr:col>0</xdr:col>
                    <xdr:colOff>676275</xdr:colOff>
                    <xdr:row>263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3" r:id="rId9" name="Button 93">
              <controlPr defaultSize="0" print="0" autoFill="0" autoPict="0" macro="[0]!Home">
                <anchor moveWithCells="1">
                  <from>
                    <xdr:col>0</xdr:col>
                    <xdr:colOff>114300</xdr:colOff>
                    <xdr:row>327</xdr:row>
                    <xdr:rowOff>19050</xdr:rowOff>
                  </from>
                  <to>
                    <xdr:col>0</xdr:col>
                    <xdr:colOff>695325</xdr:colOff>
                    <xdr:row>328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4" r:id="rId10" name="Button 94">
              <controlPr defaultSize="0" print="0" autoFill="0" autoPict="0" macro="[0]!Home">
                <anchor moveWithCells="1">
                  <from>
                    <xdr:col>0</xdr:col>
                    <xdr:colOff>190500</xdr:colOff>
                    <xdr:row>393</xdr:row>
                    <xdr:rowOff>19050</xdr:rowOff>
                  </from>
                  <to>
                    <xdr:col>0</xdr:col>
                    <xdr:colOff>771525</xdr:colOff>
                    <xdr:row>394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5" r:id="rId11" name="Button 95">
              <controlPr defaultSize="0" print="0" autoFill="0" autoPict="0" macro="[0]!Home">
                <anchor moveWithCells="1">
                  <from>
                    <xdr:col>0</xdr:col>
                    <xdr:colOff>76200</xdr:colOff>
                    <xdr:row>459</xdr:row>
                    <xdr:rowOff>76200</xdr:rowOff>
                  </from>
                  <to>
                    <xdr:col>0</xdr:col>
                    <xdr:colOff>657225</xdr:colOff>
                    <xdr:row>460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6" r:id="rId12" name="Button 96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525</xdr:row>
                    <xdr:rowOff>142875</xdr:rowOff>
                  </from>
                  <to>
                    <xdr:col>0</xdr:col>
                    <xdr:colOff>733425</xdr:colOff>
                    <xdr:row>527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7" r:id="rId13" name="Button 97">
              <controlPr defaultSize="0" print="0" autoFill="0" autoPict="0" macro="[0]!Home">
                <anchor moveWithCells="1">
                  <from>
                    <xdr:col>0</xdr:col>
                    <xdr:colOff>66675</xdr:colOff>
                    <xdr:row>591</xdr:row>
                    <xdr:rowOff>9525</xdr:rowOff>
                  </from>
                  <to>
                    <xdr:col>0</xdr:col>
                    <xdr:colOff>647700</xdr:colOff>
                    <xdr:row>592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8" r:id="rId14" name="Button 98">
              <controlPr defaultSize="0" print="0" autoFill="0" autoPict="0" macro="[0]!Home">
                <anchor moveWithCells="1">
                  <from>
                    <xdr:col>0</xdr:col>
                    <xdr:colOff>114300</xdr:colOff>
                    <xdr:row>657</xdr:row>
                    <xdr:rowOff>104775</xdr:rowOff>
                  </from>
                  <to>
                    <xdr:col>0</xdr:col>
                    <xdr:colOff>695325</xdr:colOff>
                    <xdr:row>658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9" r:id="rId15" name="Button 99">
              <controlPr defaultSize="0" print="0" autoFill="0" autoPict="0" macro="[0]!Home">
                <anchor moveWithCells="1">
                  <from>
                    <xdr:col>0</xdr:col>
                    <xdr:colOff>123825</xdr:colOff>
                    <xdr:row>723</xdr:row>
                    <xdr:rowOff>28575</xdr:rowOff>
                  </from>
                  <to>
                    <xdr:col>0</xdr:col>
                    <xdr:colOff>714375</xdr:colOff>
                    <xdr:row>724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0" r:id="rId16" name="Button 100">
              <controlPr defaultSize="0" print="0" autoFill="0" autoPict="0" macro="[0]!Home">
                <anchor moveWithCells="1">
                  <from>
                    <xdr:col>0</xdr:col>
                    <xdr:colOff>95250</xdr:colOff>
                    <xdr:row>789</xdr:row>
                    <xdr:rowOff>57150</xdr:rowOff>
                  </from>
                  <to>
                    <xdr:col>0</xdr:col>
                    <xdr:colOff>676275</xdr:colOff>
                    <xdr:row>790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1" r:id="rId17" name="Button 101">
              <controlPr defaultSize="0" print="0" autoFill="0" autoPict="0" macro="[0]!Home">
                <anchor moveWithCells="1">
                  <from>
                    <xdr:col>0</xdr:col>
                    <xdr:colOff>133350</xdr:colOff>
                    <xdr:row>855</xdr:row>
                    <xdr:rowOff>142875</xdr:rowOff>
                  </from>
                  <to>
                    <xdr:col>0</xdr:col>
                    <xdr:colOff>714375</xdr:colOff>
                    <xdr:row>857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2" r:id="rId18" name="Button 102">
              <controlPr defaultSize="0" print="0" autoFill="0" autoPict="0" macro="[0]!Home">
                <anchor moveWithCells="1">
                  <from>
                    <xdr:col>0</xdr:col>
                    <xdr:colOff>209550</xdr:colOff>
                    <xdr:row>921</xdr:row>
                    <xdr:rowOff>28575</xdr:rowOff>
                  </from>
                  <to>
                    <xdr:col>0</xdr:col>
                    <xdr:colOff>790575</xdr:colOff>
                    <xdr:row>922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3" r:id="rId19" name="Button 103">
              <controlPr defaultSize="0" print="0" autoFill="0" autoPict="0" macro="[0]!Home">
                <anchor moveWithCells="1">
                  <from>
                    <xdr:col>0</xdr:col>
                    <xdr:colOff>161925</xdr:colOff>
                    <xdr:row>987</xdr:row>
                    <xdr:rowOff>0</xdr:rowOff>
                  </from>
                  <to>
                    <xdr:col>0</xdr:col>
                    <xdr:colOff>742950</xdr:colOff>
                    <xdr:row>988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4" r:id="rId20" name="Button 104">
              <controlPr defaultSize="0" print="0" autoFill="0" autoPict="0" macro="[0]!Home">
                <anchor moveWithCells="1">
                  <from>
                    <xdr:col>0</xdr:col>
                    <xdr:colOff>142875</xdr:colOff>
                    <xdr:row>1053</xdr:row>
                    <xdr:rowOff>142875</xdr:rowOff>
                  </from>
                  <to>
                    <xdr:col>0</xdr:col>
                    <xdr:colOff>723900</xdr:colOff>
                    <xdr:row>1055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5" r:id="rId21" name="Button 105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1185</xdr:row>
                    <xdr:rowOff>66675</xdr:rowOff>
                  </from>
                  <to>
                    <xdr:col>0</xdr:col>
                    <xdr:colOff>733425</xdr:colOff>
                    <xdr:row>1186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6" r:id="rId22" name="Button 106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1251</xdr:row>
                    <xdr:rowOff>66675</xdr:rowOff>
                  </from>
                  <to>
                    <xdr:col>0</xdr:col>
                    <xdr:colOff>733425</xdr:colOff>
                    <xdr:row>1252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7" r:id="rId23" name="Button 107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1317</xdr:row>
                    <xdr:rowOff>66675</xdr:rowOff>
                  </from>
                  <to>
                    <xdr:col>0</xdr:col>
                    <xdr:colOff>733425</xdr:colOff>
                    <xdr:row>1318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8" r:id="rId24" name="Button 108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1383</xdr:row>
                    <xdr:rowOff>66675</xdr:rowOff>
                  </from>
                  <to>
                    <xdr:col>0</xdr:col>
                    <xdr:colOff>733425</xdr:colOff>
                    <xdr:row>1384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9" r:id="rId25" name="Button 109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1449</xdr:row>
                    <xdr:rowOff>66675</xdr:rowOff>
                  </from>
                  <to>
                    <xdr:col>0</xdr:col>
                    <xdr:colOff>733425</xdr:colOff>
                    <xdr:row>1450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0" r:id="rId26" name="Button 110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1515</xdr:row>
                    <xdr:rowOff>66675</xdr:rowOff>
                  </from>
                  <to>
                    <xdr:col>0</xdr:col>
                    <xdr:colOff>733425</xdr:colOff>
                    <xdr:row>1516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1" r:id="rId27" name="Button 111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1581</xdr:row>
                    <xdr:rowOff>66675</xdr:rowOff>
                  </from>
                  <to>
                    <xdr:col>0</xdr:col>
                    <xdr:colOff>733425</xdr:colOff>
                    <xdr:row>1582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2" r:id="rId28" name="Button 112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1647</xdr:row>
                    <xdr:rowOff>66675</xdr:rowOff>
                  </from>
                  <to>
                    <xdr:col>0</xdr:col>
                    <xdr:colOff>733425</xdr:colOff>
                    <xdr:row>1648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3" r:id="rId29" name="Button 113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1713</xdr:row>
                    <xdr:rowOff>66675</xdr:rowOff>
                  </from>
                  <to>
                    <xdr:col>0</xdr:col>
                    <xdr:colOff>733425</xdr:colOff>
                    <xdr:row>1714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4" r:id="rId30" name="Button 114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1779</xdr:row>
                    <xdr:rowOff>66675</xdr:rowOff>
                  </from>
                  <to>
                    <xdr:col>0</xdr:col>
                    <xdr:colOff>733425</xdr:colOff>
                    <xdr:row>1780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5" r:id="rId31" name="Button 115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1845</xdr:row>
                    <xdr:rowOff>66675</xdr:rowOff>
                  </from>
                  <to>
                    <xdr:col>0</xdr:col>
                    <xdr:colOff>733425</xdr:colOff>
                    <xdr:row>1846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6" r:id="rId32" name="Button 116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1911</xdr:row>
                    <xdr:rowOff>66675</xdr:rowOff>
                  </from>
                  <to>
                    <xdr:col>0</xdr:col>
                    <xdr:colOff>733425</xdr:colOff>
                    <xdr:row>1912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7" r:id="rId33" name="Button 117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1977</xdr:row>
                    <xdr:rowOff>66675</xdr:rowOff>
                  </from>
                  <to>
                    <xdr:col>0</xdr:col>
                    <xdr:colOff>733425</xdr:colOff>
                    <xdr:row>1978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8" r:id="rId34" name="Button 118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2043</xdr:row>
                    <xdr:rowOff>66675</xdr:rowOff>
                  </from>
                  <to>
                    <xdr:col>0</xdr:col>
                    <xdr:colOff>733425</xdr:colOff>
                    <xdr:row>2044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9" r:id="rId35" name="Button 119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2108</xdr:row>
                    <xdr:rowOff>66675</xdr:rowOff>
                  </from>
                  <to>
                    <xdr:col>0</xdr:col>
                    <xdr:colOff>733425</xdr:colOff>
                    <xdr:row>2109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0" r:id="rId36" name="Button 120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2175</xdr:row>
                    <xdr:rowOff>66675</xdr:rowOff>
                  </from>
                  <to>
                    <xdr:col>0</xdr:col>
                    <xdr:colOff>733425</xdr:colOff>
                    <xdr:row>2176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3" r:id="rId37" name="Drop Down 123">
              <controlPr defaultSize="0" print="0" autoLine="0" autoPict="0" macro="[0]!DRPDWN">
                <anchor moveWithCells="1">
                  <from>
                    <xdr:col>2</xdr:col>
                    <xdr:colOff>76200</xdr:colOff>
                    <xdr:row>1</xdr:row>
                    <xdr:rowOff>66675</xdr:rowOff>
                  </from>
                  <to>
                    <xdr:col>3</xdr:col>
                    <xdr:colOff>609600</xdr:colOff>
                    <xdr:row>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D249"/>
  <sheetViews>
    <sheetView workbookViewId="0"/>
  </sheetViews>
  <sheetFormatPr defaultRowHeight="12.75" x14ac:dyDescent="0.2"/>
  <cols>
    <col min="1" max="1" width="8.140625" bestFit="1" customWidth="1"/>
    <col min="2" max="2" width="12.28515625" bestFit="1" customWidth="1"/>
    <col min="3" max="9" width="11.42578125" bestFit="1" customWidth="1"/>
    <col min="10" max="10" width="11.140625" bestFit="1" customWidth="1"/>
    <col min="11" max="11" width="13.85546875" bestFit="1" customWidth="1"/>
    <col min="12" max="21" width="10.7109375" bestFit="1" customWidth="1"/>
    <col min="22" max="22" width="7.85546875" style="13" bestFit="1" customWidth="1"/>
    <col min="23" max="23" width="4.7109375" style="104" bestFit="1" customWidth="1"/>
    <col min="24" max="24" width="6.42578125" style="108" bestFit="1" customWidth="1"/>
    <col min="25" max="25" width="4.7109375" style="104" bestFit="1" customWidth="1"/>
    <col min="26" max="26" width="6.42578125" style="108" bestFit="1" customWidth="1"/>
    <col min="27" max="27" width="4.7109375" style="104" bestFit="1" customWidth="1"/>
    <col min="28" max="28" width="6.42578125" style="104" bestFit="1" customWidth="1"/>
    <col min="29" max="29" width="4.7109375" style="104" bestFit="1" customWidth="1"/>
    <col min="30" max="30" width="6.42578125" style="104" bestFit="1" customWidth="1"/>
  </cols>
  <sheetData>
    <row r="1" spans="1:30" x14ac:dyDescent="0.2">
      <c r="A1" s="13" t="str">
        <f>IS!$C$2</f>
        <v>BL</v>
      </c>
    </row>
    <row r="2" spans="1:30" x14ac:dyDescent="0.2">
      <c r="A2" s="13"/>
    </row>
    <row r="3" spans="1:30" x14ac:dyDescent="0.2">
      <c r="A3" s="13"/>
    </row>
    <row r="4" spans="1:30" x14ac:dyDescent="0.2">
      <c r="A4" s="13"/>
      <c r="K4" s="238"/>
    </row>
    <row r="5" spans="1:30" x14ac:dyDescent="0.2">
      <c r="A5" s="13"/>
    </row>
    <row r="6" spans="1:30" x14ac:dyDescent="0.2">
      <c r="A6" s="13"/>
    </row>
    <row r="7" spans="1:30" x14ac:dyDescent="0.2">
      <c r="V7" s="3" t="s">
        <v>46</v>
      </c>
      <c r="W7" s="105" t="s">
        <v>20</v>
      </c>
      <c r="X7" s="105" t="s">
        <v>46</v>
      </c>
      <c r="Y7" s="105" t="s">
        <v>21</v>
      </c>
      <c r="Z7" s="105" t="s">
        <v>46</v>
      </c>
      <c r="AA7" s="105" t="s">
        <v>22</v>
      </c>
      <c r="AB7" s="105" t="s">
        <v>46</v>
      </c>
      <c r="AC7" s="105" t="s">
        <v>23</v>
      </c>
      <c r="AD7" s="105" t="s">
        <v>46</v>
      </c>
    </row>
    <row r="8" spans="1:30" x14ac:dyDescent="0.2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16</v>
      </c>
      <c r="S8" s="3" t="s">
        <v>17</v>
      </c>
      <c r="T8" s="3" t="s">
        <v>18</v>
      </c>
      <c r="U8" s="3" t="s">
        <v>19</v>
      </c>
      <c r="V8" s="3" t="s">
        <v>27</v>
      </c>
      <c r="W8" s="105" t="s">
        <v>25</v>
      </c>
      <c r="X8" s="105" t="s">
        <v>20</v>
      </c>
      <c r="Y8" s="105" t="s">
        <v>25</v>
      </c>
      <c r="Z8" s="105" t="s">
        <v>21</v>
      </c>
      <c r="AA8" s="105" t="s">
        <v>25</v>
      </c>
      <c r="AB8" s="105" t="s">
        <v>22</v>
      </c>
      <c r="AC8" s="105" t="s">
        <v>25</v>
      </c>
      <c r="AD8" s="105" t="s">
        <v>23</v>
      </c>
    </row>
    <row r="10" spans="1:30" x14ac:dyDescent="0.2">
      <c r="A10" s="1">
        <v>36540</v>
      </c>
      <c r="B10" s="180">
        <f>IF($A$1="BL",0,'Peak Hours'!B10*Peak!H11*IS!$B$2)</f>
        <v>0</v>
      </c>
      <c r="C10" s="181">
        <f>IF($A$1="BL",0,'Peak Hours'!C10*Peak!I11*IS!$B$2)</f>
        <v>0</v>
      </c>
      <c r="D10" s="181">
        <f>IF($A$1="BL",0,'Peak Hours'!D10*Peak!J11*IS!$B$2)</f>
        <v>0</v>
      </c>
      <c r="E10" s="181">
        <f>IF($A$1="BL",0,'Peak Hours'!E10*Peak!K11*IS!$B$2)</f>
        <v>0</v>
      </c>
      <c r="F10" s="181">
        <f>IF($A$1="BL",0,'Peak Hours'!F10*Peak!L11*IS!$B$2)</f>
        <v>0</v>
      </c>
      <c r="G10" s="181">
        <f>IF($A$1="BL",0,'Peak Hours'!G10*Peak!M11*IS!$B$2)</f>
        <v>0</v>
      </c>
      <c r="H10" s="181">
        <f>IF($A$1="BL",0,'Peak Hours'!H10*Peak!N11*IS!$B$2)</f>
        <v>0</v>
      </c>
      <c r="I10" s="181">
        <f>IF($A$1="BL",0,'Peak Hours'!I10*Peak!O11*IS!$B$2)</f>
        <v>0</v>
      </c>
      <c r="J10" s="181">
        <f>IF($A$1="BL",0,'Peak Hours'!J10*Peak!P11*IS!$B$2)</f>
        <v>0</v>
      </c>
      <c r="K10" s="181">
        <f>IF($A$1="BL",0,'Peak Hours'!K10*Peak!Q11*IS!$B$2)</f>
        <v>0</v>
      </c>
      <c r="L10" s="181">
        <f>IF($A$1="BL",0,'Peak Hours'!L10*Peak!R11*IS!$B$2)</f>
        <v>0</v>
      </c>
      <c r="M10" s="181">
        <f>IF($A$1="BL",0,'Peak Hours'!M10*Peak!S11*IS!$B$2)</f>
        <v>0</v>
      </c>
      <c r="N10" s="181">
        <f>IF($A$1="BL",0,'Peak Hours'!N10*Peak!T11*IS!$B$2)</f>
        <v>0</v>
      </c>
      <c r="O10" s="181">
        <f>IF($A$1="BL",0,'Peak Hours'!O10*Peak!U11*IS!$B$2)</f>
        <v>0</v>
      </c>
      <c r="P10" s="181">
        <f>IF($A$1="BL",0,'Peak Hours'!P10*Peak!V11*IS!$B$2)</f>
        <v>0</v>
      </c>
      <c r="Q10" s="181">
        <f>IF($A$1="BL",0,'Peak Hours'!Q10*Peak!W11*IS!$B$2)</f>
        <v>0</v>
      </c>
      <c r="R10" s="181">
        <f>IF($A$1="BL",0,'Peak Hours'!R10*Peak!X11*IS!$B$2)</f>
        <v>0</v>
      </c>
      <c r="S10" s="181">
        <f>IF($A$1="BL",0,'Peak Hours'!S10*Peak!Y11*IS!$B$2)</f>
        <v>0</v>
      </c>
      <c r="T10" s="181">
        <f>IF($A$1="BL",0,'Peak Hours'!T10*Peak!Z11*IS!$B$2)</f>
        <v>0</v>
      </c>
      <c r="U10" s="181">
        <f>IF($A$1="BL",0,'Peak Hours'!U10*Peak!AA11*IS!$B$2)</f>
        <v>0</v>
      </c>
      <c r="V10" s="212"/>
      <c r="W10" s="209">
        <f>(IF($A$1="BL",0,Peak!C11*'Peak Hours'!V10*IS!$B$2))*-1</f>
        <v>0</v>
      </c>
      <c r="X10" s="212"/>
      <c r="Y10" s="209">
        <f>(IF($A$1="bl",0,Peak!D11*'Peak Hours'!V10*IS!$B$2))*-1</f>
        <v>0</v>
      </c>
      <c r="Z10" s="212"/>
      <c r="AA10" s="209">
        <f>(Peak!E11*'Peak Hours'!V10*IS!$B$2)*-1</f>
        <v>0</v>
      </c>
      <c r="AB10" s="208"/>
      <c r="AC10" s="209">
        <f>(Peak!F11*'Peak Hours'!V10*IS!$B$2)*-1</f>
        <v>0</v>
      </c>
      <c r="AD10" s="208"/>
    </row>
    <row r="11" spans="1:30" x14ac:dyDescent="0.2">
      <c r="A11" s="1">
        <f>A10+30.417</f>
        <v>36570.417000000001</v>
      </c>
      <c r="B11" s="182">
        <f>IF($A$1="BL",0,'Peak Hours'!B11*Peak!H12*IS!$B$2)</f>
        <v>0</v>
      </c>
      <c r="C11" s="183">
        <f>IF($A$1="BL",0,'Peak Hours'!C11*Peak!I12*IS!$B$2)</f>
        <v>0</v>
      </c>
      <c r="D11" s="183">
        <f>IF($A$1="BL",0,'Peak Hours'!D11*Peak!J12*IS!$B$2)</f>
        <v>0</v>
      </c>
      <c r="E11" s="183">
        <f>IF($A$1="BL",0,'Peak Hours'!E11*Peak!K12*IS!$B$2)</f>
        <v>0</v>
      </c>
      <c r="F11" s="183">
        <f>IF($A$1="BL",0,'Peak Hours'!F11*Peak!L12*IS!$B$2)</f>
        <v>0</v>
      </c>
      <c r="G11" s="183">
        <f>IF($A$1="BL",0,'Peak Hours'!G11*Peak!M12*IS!$B$2)</f>
        <v>0</v>
      </c>
      <c r="H11" s="183">
        <f>IF($A$1="BL",0,'Peak Hours'!H11*Peak!N12*IS!$B$2)</f>
        <v>0</v>
      </c>
      <c r="I11" s="183">
        <f>IF($A$1="BL",0,'Peak Hours'!I11*Peak!O12*IS!$B$2)</f>
        <v>0</v>
      </c>
      <c r="J11" s="183">
        <f>IF($A$1="BL",0,'Peak Hours'!J11*Peak!P12*IS!$B$2)</f>
        <v>0</v>
      </c>
      <c r="K11" s="183">
        <f>IF($A$1="BL",0,'Peak Hours'!K11*Peak!Q12*IS!$B$2)</f>
        <v>0</v>
      </c>
      <c r="L11" s="183">
        <f>IF($A$1="BL",0,'Peak Hours'!L11*Peak!R12*IS!$B$2)</f>
        <v>0</v>
      </c>
      <c r="M11" s="183">
        <f>IF($A$1="BL",0,'Peak Hours'!M11*Peak!S12*IS!$B$2)</f>
        <v>0</v>
      </c>
      <c r="N11" s="183">
        <f>IF($A$1="BL",0,'Peak Hours'!N11*Peak!T12*IS!$B$2)</f>
        <v>0</v>
      </c>
      <c r="O11" s="183">
        <f>IF($A$1="BL",0,'Peak Hours'!O11*Peak!U12*IS!$B$2)</f>
        <v>0</v>
      </c>
      <c r="P11" s="183">
        <f>IF($A$1="BL",0,'Peak Hours'!P11*Peak!V12*IS!$B$2)</f>
        <v>0</v>
      </c>
      <c r="Q11" s="183">
        <f>IF($A$1="BL",0,'Peak Hours'!Q11*Peak!W12*IS!$B$2)</f>
        <v>0</v>
      </c>
      <c r="R11" s="183">
        <f>IF($A$1="BL",0,'Peak Hours'!R11*Peak!X12*IS!$B$2)</f>
        <v>0</v>
      </c>
      <c r="S11" s="183">
        <f>IF($A$1="BL",0,'Peak Hours'!S11*Peak!Y12*IS!$B$2)</f>
        <v>0</v>
      </c>
      <c r="T11" s="183">
        <f>IF($A$1="BL",0,'Peak Hours'!T11*Peak!Z12*IS!$B$2)</f>
        <v>0</v>
      </c>
      <c r="U11" s="183">
        <f>IF($A$1="BL",0,'Peak Hours'!U11*Peak!AA12*IS!$B$2)</f>
        <v>0</v>
      </c>
      <c r="V11" s="213"/>
      <c r="W11" s="211">
        <f>(IF($A$1="BL",0,Peak!C12*'Peak Hours'!V11*IS!$B$2))*-1</f>
        <v>0</v>
      </c>
      <c r="X11" s="213"/>
      <c r="Y11" s="211">
        <f>(IF($A$1="bl",0,Peak!D12*'Peak Hours'!V11*IS!$B$2))*-1</f>
        <v>0</v>
      </c>
      <c r="Z11" s="213"/>
      <c r="AA11" s="211">
        <f>(Peak!E12*'Peak Hours'!V11*IS!$B$2)*-1</f>
        <v>0</v>
      </c>
      <c r="AB11" s="210"/>
      <c r="AC11" s="211">
        <f>(Peak!F12*'Peak Hours'!V11*IS!$B$2)*-1</f>
        <v>0</v>
      </c>
      <c r="AD11" s="210"/>
    </row>
    <row r="12" spans="1:30" x14ac:dyDescent="0.2">
      <c r="A12" s="1">
        <f t="shared" ref="A12:A75" si="0">A11+30.417</f>
        <v>36600.834000000003</v>
      </c>
      <c r="B12" s="182">
        <f>IF($A$1="BL",0,'Peak Hours'!B12*Peak!H13*IS!$B$2)</f>
        <v>0</v>
      </c>
      <c r="C12" s="183">
        <f>IF($A$1="BL",0,'Peak Hours'!C12*Peak!I13*IS!$B$2)</f>
        <v>0</v>
      </c>
      <c r="D12" s="183">
        <f>IF($A$1="BL",0,'Peak Hours'!D12*Peak!J13*IS!$B$2)</f>
        <v>0</v>
      </c>
      <c r="E12" s="183">
        <f>IF($A$1="BL",0,'Peak Hours'!E12*Peak!K13*IS!$B$2)</f>
        <v>0</v>
      </c>
      <c r="F12" s="183">
        <f>IF($A$1="BL",0,'Peak Hours'!F12*Peak!L13*IS!$B$2)</f>
        <v>0</v>
      </c>
      <c r="G12" s="183">
        <f>IF($A$1="BL",0,'Peak Hours'!G12*Peak!M13*IS!$B$2)</f>
        <v>0</v>
      </c>
      <c r="H12" s="183">
        <f>IF($A$1="BL",0,'Peak Hours'!H12*Peak!N13*IS!$B$2)</f>
        <v>0</v>
      </c>
      <c r="I12" s="183">
        <f>IF($A$1="BL",0,'Peak Hours'!I12*Peak!O13*IS!$B$2)</f>
        <v>0</v>
      </c>
      <c r="J12" s="183">
        <f>IF($A$1="BL",0,'Peak Hours'!J12*Peak!P13*IS!$B$2)</f>
        <v>0</v>
      </c>
      <c r="K12" s="183">
        <f>IF($A$1="BL",0,'Peak Hours'!K12*Peak!Q13*IS!$B$2)</f>
        <v>0</v>
      </c>
      <c r="L12" s="183">
        <f>IF($A$1="BL",0,'Peak Hours'!L12*Peak!R13*IS!$B$2)</f>
        <v>0</v>
      </c>
      <c r="M12" s="183">
        <f>IF($A$1="BL",0,'Peak Hours'!M12*Peak!S13*IS!$B$2)</f>
        <v>0</v>
      </c>
      <c r="N12" s="183">
        <f>IF($A$1="BL",0,'Peak Hours'!N12*Peak!T13*IS!$B$2)</f>
        <v>0</v>
      </c>
      <c r="O12" s="183">
        <f>IF($A$1="BL",0,'Peak Hours'!O12*Peak!U13*IS!$B$2)</f>
        <v>0</v>
      </c>
      <c r="P12" s="183">
        <f>IF($A$1="BL",0,'Peak Hours'!P12*Peak!V13*IS!$B$2)</f>
        <v>0</v>
      </c>
      <c r="Q12" s="183">
        <f>IF($A$1="BL",0,'Peak Hours'!Q12*Peak!W13*IS!$B$2)</f>
        <v>0</v>
      </c>
      <c r="R12" s="183">
        <f>IF($A$1="BL",0,'Peak Hours'!R12*Peak!X13*IS!$B$2)</f>
        <v>0</v>
      </c>
      <c r="S12" s="183">
        <f>IF($A$1="BL",0,'Peak Hours'!S12*Peak!Y13*IS!$B$2)</f>
        <v>0</v>
      </c>
      <c r="T12" s="183">
        <f>IF($A$1="BL",0,'Peak Hours'!T12*Peak!Z13*IS!$B$2)</f>
        <v>0</v>
      </c>
      <c r="U12" s="183">
        <f>IF($A$1="BL",0,'Peak Hours'!U12*Peak!AA13*IS!$B$2)</f>
        <v>0</v>
      </c>
      <c r="V12" s="213"/>
      <c r="W12" s="211">
        <f>(IF($A$1="BL",0,Peak!C13*'Peak Hours'!V12*IS!$B$2))*-1</f>
        <v>0</v>
      </c>
      <c r="X12" s="213"/>
      <c r="Y12" s="211">
        <f>(IF($A$1="bl",0,Peak!D13*'Peak Hours'!V12*IS!$B$2))*-1</f>
        <v>0</v>
      </c>
      <c r="Z12" s="213"/>
      <c r="AA12" s="211">
        <f>(Peak!E13*'Peak Hours'!V12*IS!$B$2)*-1</f>
        <v>0</v>
      </c>
      <c r="AB12" s="210"/>
      <c r="AC12" s="211">
        <f>(Peak!F13*'Peak Hours'!V12*IS!$B$2)*-1</f>
        <v>0</v>
      </c>
      <c r="AD12" s="210"/>
    </row>
    <row r="13" spans="1:30" x14ac:dyDescent="0.2">
      <c r="A13" s="1">
        <f t="shared" si="0"/>
        <v>36631.251000000004</v>
      </c>
      <c r="B13" s="182">
        <f>IF($A$1="BL",0,'Peak Hours'!B13*Peak!H14*IS!$B$2)</f>
        <v>0</v>
      </c>
      <c r="C13" s="183">
        <f>IF($A$1="BL",0,'Peak Hours'!C13*Peak!I14*IS!$B$2)</f>
        <v>0</v>
      </c>
      <c r="D13" s="183">
        <f>IF($A$1="BL",0,'Peak Hours'!D13*Peak!J14*IS!$B$2)</f>
        <v>0</v>
      </c>
      <c r="E13" s="183">
        <f>IF($A$1="BL",0,'Peak Hours'!E13*Peak!K14*IS!$B$2)</f>
        <v>0</v>
      </c>
      <c r="F13" s="183">
        <f>IF($A$1="BL",0,'Peak Hours'!F13*Peak!L14*IS!$B$2)</f>
        <v>0</v>
      </c>
      <c r="G13" s="183">
        <f>IF($A$1="BL",0,'Peak Hours'!G13*Peak!M14*IS!$B$2)</f>
        <v>0</v>
      </c>
      <c r="H13" s="183">
        <f>IF($A$1="BL",0,'Peak Hours'!H13*Peak!N14*IS!$B$2)</f>
        <v>0</v>
      </c>
      <c r="I13" s="183">
        <f>IF($A$1="BL",0,'Peak Hours'!I13*Peak!O14*IS!$B$2)</f>
        <v>0</v>
      </c>
      <c r="J13" s="183">
        <f>IF($A$1="BL",0,'Peak Hours'!J13*Peak!P14*IS!$B$2)</f>
        <v>0</v>
      </c>
      <c r="K13" s="183">
        <f>IF($A$1="BL",0,'Peak Hours'!K13*Peak!Q14*IS!$B$2)</f>
        <v>0</v>
      </c>
      <c r="L13" s="183">
        <f>IF($A$1="BL",0,'Peak Hours'!L13*Peak!R14*IS!$B$2)</f>
        <v>0</v>
      </c>
      <c r="M13" s="183">
        <f>IF($A$1="BL",0,'Peak Hours'!M13*Peak!S14*IS!$B$2)</f>
        <v>0</v>
      </c>
      <c r="N13" s="183">
        <f>IF($A$1="BL",0,'Peak Hours'!N13*Peak!T14*IS!$B$2)</f>
        <v>0</v>
      </c>
      <c r="O13" s="183">
        <f>IF($A$1="BL",0,'Peak Hours'!O13*Peak!U14*IS!$B$2)</f>
        <v>0</v>
      </c>
      <c r="P13" s="183">
        <f>IF($A$1="BL",0,'Peak Hours'!P13*Peak!V14*IS!$B$2)</f>
        <v>0</v>
      </c>
      <c r="Q13" s="183">
        <f>IF($A$1="BL",0,'Peak Hours'!Q13*Peak!W14*IS!$B$2)</f>
        <v>0</v>
      </c>
      <c r="R13" s="183">
        <f>IF($A$1="BL",0,'Peak Hours'!R13*Peak!X14*IS!$B$2)</f>
        <v>0</v>
      </c>
      <c r="S13" s="183">
        <f>IF($A$1="BL",0,'Peak Hours'!S13*Peak!Y14*IS!$B$2)</f>
        <v>0</v>
      </c>
      <c r="T13" s="183">
        <f>IF($A$1="BL",0,'Peak Hours'!T13*Peak!Z14*IS!$B$2)</f>
        <v>0</v>
      </c>
      <c r="U13" s="183">
        <f>IF($A$1="BL",0,'Peak Hours'!U13*Peak!AA14*IS!$B$2)</f>
        <v>0</v>
      </c>
      <c r="V13" s="213"/>
      <c r="W13" s="211">
        <f>(IF($A$1="BL",0,Peak!C14*'Peak Hours'!V13*IS!$B$2))*-1</f>
        <v>0</v>
      </c>
      <c r="X13" s="213"/>
      <c r="Y13" s="211">
        <f>(IF($A$1="bl",0,Peak!D14*'Peak Hours'!V13*IS!$B$2))*-1</f>
        <v>0</v>
      </c>
      <c r="Z13" s="213"/>
      <c r="AA13" s="211">
        <f>(Peak!E14*'Peak Hours'!V13*IS!$B$2)*-1</f>
        <v>0</v>
      </c>
      <c r="AB13" s="210"/>
      <c r="AC13" s="211">
        <f>(Peak!F14*'Peak Hours'!V13*IS!$B$2)*-1</f>
        <v>0</v>
      </c>
      <c r="AD13" s="210"/>
    </row>
    <row r="14" spans="1:30" x14ac:dyDescent="0.2">
      <c r="A14" s="1">
        <f t="shared" si="0"/>
        <v>36661.668000000005</v>
      </c>
      <c r="B14" s="182">
        <f>IF($A$1="BL",0,'Peak Hours'!B14*Peak!H15*IS!$B$2)</f>
        <v>0</v>
      </c>
      <c r="C14" s="183">
        <f>IF($A$1="BL",0,'Peak Hours'!C14*Peak!I15*IS!$B$2)</f>
        <v>0</v>
      </c>
      <c r="D14" s="183">
        <f>IF($A$1="BL",0,'Peak Hours'!D14*Peak!J15*IS!$B$2)</f>
        <v>0</v>
      </c>
      <c r="E14" s="183">
        <f>IF($A$1="BL",0,'Peak Hours'!E14*Peak!K15*IS!$B$2)</f>
        <v>0</v>
      </c>
      <c r="F14" s="183">
        <f>IF($A$1="BL",0,'Peak Hours'!F14*Peak!L15*IS!$B$2)</f>
        <v>0</v>
      </c>
      <c r="G14" s="183">
        <f>IF($A$1="BL",0,'Peak Hours'!G14*Peak!M15*IS!$B$2)</f>
        <v>0</v>
      </c>
      <c r="H14" s="183">
        <f>IF($A$1="BL",0,'Peak Hours'!H14*Peak!N15*IS!$B$2)</f>
        <v>0</v>
      </c>
      <c r="I14" s="183">
        <f>IF($A$1="BL",0,'Peak Hours'!I14*Peak!O15*IS!$B$2)</f>
        <v>0</v>
      </c>
      <c r="J14" s="183">
        <f>IF($A$1="BL",0,'Peak Hours'!J14*Peak!P15*IS!$B$2)</f>
        <v>0</v>
      </c>
      <c r="K14" s="183">
        <f>IF($A$1="BL",0,'Peak Hours'!K14*Peak!Q15*IS!$B$2)</f>
        <v>0</v>
      </c>
      <c r="L14" s="183">
        <f>IF($A$1="BL",0,'Peak Hours'!L14*Peak!R15*IS!$B$2)</f>
        <v>0</v>
      </c>
      <c r="M14" s="183">
        <f>IF($A$1="BL",0,'Peak Hours'!M14*Peak!S15*IS!$B$2)</f>
        <v>0</v>
      </c>
      <c r="N14" s="183">
        <f>IF($A$1="BL",0,'Peak Hours'!N14*Peak!T15*IS!$B$2)</f>
        <v>0</v>
      </c>
      <c r="O14" s="183">
        <f>IF($A$1="BL",0,'Peak Hours'!O14*Peak!U15*IS!$B$2)</f>
        <v>0</v>
      </c>
      <c r="P14" s="183">
        <f>IF($A$1="BL",0,'Peak Hours'!P14*Peak!V15*IS!$B$2)</f>
        <v>0</v>
      </c>
      <c r="Q14" s="183">
        <f>IF($A$1="BL",0,'Peak Hours'!Q14*Peak!W15*IS!$B$2)</f>
        <v>0</v>
      </c>
      <c r="R14" s="183">
        <f>IF($A$1="BL",0,'Peak Hours'!R14*Peak!X15*IS!$B$2)</f>
        <v>0</v>
      </c>
      <c r="S14" s="183">
        <f>IF($A$1="BL",0,'Peak Hours'!S14*Peak!Y15*IS!$B$2)</f>
        <v>0</v>
      </c>
      <c r="T14" s="183">
        <f>IF($A$1="BL",0,'Peak Hours'!T14*Peak!Z15*IS!$B$2)</f>
        <v>0</v>
      </c>
      <c r="U14" s="183">
        <f>IF($A$1="BL",0,'Peak Hours'!U14*Peak!AA15*IS!$B$2)</f>
        <v>0</v>
      </c>
      <c r="V14" s="213"/>
      <c r="W14" s="211">
        <f>(IF($A$1="BL",0,Peak!C15*'Peak Hours'!V14*IS!$B$2))*-1</f>
        <v>0</v>
      </c>
      <c r="X14" s="213"/>
      <c r="Y14" s="211">
        <f>(IF($A$1="bl",0,Peak!D15*'Peak Hours'!V14*IS!$B$2))*-1</f>
        <v>0</v>
      </c>
      <c r="Z14" s="213"/>
      <c r="AA14" s="211">
        <f>(Peak!E15*'Peak Hours'!V14*IS!$B$2)*-1</f>
        <v>0</v>
      </c>
      <c r="AB14" s="210"/>
      <c r="AC14" s="211">
        <f>(Peak!F15*'Peak Hours'!V14*IS!$B$2)*-1</f>
        <v>0</v>
      </c>
      <c r="AD14" s="210"/>
    </row>
    <row r="15" spans="1:30" x14ac:dyDescent="0.2">
      <c r="A15" s="1">
        <f t="shared" si="0"/>
        <v>36692.085000000006</v>
      </c>
      <c r="B15" s="182">
        <f>IF($A$1="BL",0,'Peak Hours'!B15*Peak!H16*IS!$B$2)</f>
        <v>0</v>
      </c>
      <c r="C15" s="183">
        <f>IF($A$1="BL",0,'Peak Hours'!C15*Peak!I16*IS!$B$2)</f>
        <v>0</v>
      </c>
      <c r="D15" s="183">
        <f>IF($A$1="BL",0,'Peak Hours'!D15*Peak!J16*IS!$B$2)</f>
        <v>0</v>
      </c>
      <c r="E15" s="183">
        <f>IF($A$1="BL",0,'Peak Hours'!E15*Peak!K16*IS!$B$2)</f>
        <v>0</v>
      </c>
      <c r="F15" s="183">
        <f>IF($A$1="BL",0,'Peak Hours'!F15*Peak!L16*IS!$B$2)</f>
        <v>0</v>
      </c>
      <c r="G15" s="183">
        <f>IF($A$1="BL",0,'Peak Hours'!G15*Peak!M16*IS!$B$2)</f>
        <v>0</v>
      </c>
      <c r="H15" s="183">
        <f>IF($A$1="BL",0,'Peak Hours'!H15*Peak!N16*IS!$B$2)</f>
        <v>0</v>
      </c>
      <c r="I15" s="183">
        <f>IF($A$1="BL",0,'Peak Hours'!I15*Peak!O16*IS!$B$2)</f>
        <v>0</v>
      </c>
      <c r="J15" s="183">
        <f>IF($A$1="BL",0,'Peak Hours'!J15*Peak!P16*IS!$B$2)</f>
        <v>0</v>
      </c>
      <c r="K15" s="183">
        <f>IF($A$1="BL",0,'Peak Hours'!K15*Peak!Q16*IS!$B$2)</f>
        <v>0</v>
      </c>
      <c r="L15" s="183">
        <f>IF($A$1="BL",0,'Peak Hours'!L15*Peak!R16*IS!$B$2)</f>
        <v>0</v>
      </c>
      <c r="M15" s="183">
        <f>IF($A$1="BL",0,'Peak Hours'!M15*Peak!S16*IS!$B$2)</f>
        <v>0</v>
      </c>
      <c r="N15" s="183">
        <f>IF($A$1="BL",0,'Peak Hours'!N15*Peak!T16*IS!$B$2)</f>
        <v>0</v>
      </c>
      <c r="O15" s="183">
        <f>IF($A$1="BL",0,'Peak Hours'!O15*Peak!U16*IS!$B$2)</f>
        <v>0</v>
      </c>
      <c r="P15" s="183">
        <f>IF($A$1="BL",0,'Peak Hours'!P15*Peak!V16*IS!$B$2)</f>
        <v>0</v>
      </c>
      <c r="Q15" s="183">
        <f>IF($A$1="BL",0,'Peak Hours'!Q15*Peak!W16*IS!$B$2)</f>
        <v>0</v>
      </c>
      <c r="R15" s="183">
        <f>IF($A$1="BL",0,'Peak Hours'!R15*Peak!X16*IS!$B$2)</f>
        <v>0</v>
      </c>
      <c r="S15" s="183">
        <f>IF($A$1="BL",0,'Peak Hours'!S15*Peak!Y16*IS!$B$2)</f>
        <v>0</v>
      </c>
      <c r="T15" s="183">
        <f>IF($A$1="BL",0,'Peak Hours'!T15*Peak!Z16*IS!$B$2)</f>
        <v>0</v>
      </c>
      <c r="U15" s="183">
        <f>IF($A$1="BL",0,'Peak Hours'!U15*Peak!AA16*IS!$B$2)</f>
        <v>0</v>
      </c>
      <c r="V15" s="213"/>
      <c r="W15" s="211">
        <f>(IF($A$1="BL",0,Peak!C16*'Peak Hours'!V15*IS!$B$2))*-1</f>
        <v>0</v>
      </c>
      <c r="X15" s="213"/>
      <c r="Y15" s="211">
        <f>(IF($A$1="bl",0,Peak!D16*'Peak Hours'!V15*IS!$B$2))*-1</f>
        <v>0</v>
      </c>
      <c r="Z15" s="213"/>
      <c r="AA15" s="211">
        <f>(Peak!E16*'Peak Hours'!V15*IS!$B$2)*-1</f>
        <v>0</v>
      </c>
      <c r="AB15" s="210"/>
      <c r="AC15" s="211">
        <f>(Peak!F16*'Peak Hours'!V15*IS!$B$2)*-1</f>
        <v>0</v>
      </c>
      <c r="AD15" s="210"/>
    </row>
    <row r="16" spans="1:30" x14ac:dyDescent="0.2">
      <c r="A16" s="1">
        <f t="shared" si="0"/>
        <v>36722.502000000008</v>
      </c>
      <c r="B16" s="182">
        <f>IF($A$1="BL",0,'Peak Hours'!B16*Peak!H17*IS!$B$2)</f>
        <v>0</v>
      </c>
      <c r="C16" s="183">
        <f>IF($A$1="BL",0,'Peak Hours'!C16*Peak!I17*IS!$B$2)</f>
        <v>0</v>
      </c>
      <c r="D16" s="183">
        <f>IF($A$1="BL",0,'Peak Hours'!D16*Peak!J17*IS!$B$2)</f>
        <v>0</v>
      </c>
      <c r="E16" s="183">
        <f>IF($A$1="BL",0,'Peak Hours'!E16*Peak!K17*IS!$B$2)</f>
        <v>0</v>
      </c>
      <c r="F16" s="183">
        <f>IF($A$1="BL",0,'Peak Hours'!F16*Peak!L17*IS!$B$2)</f>
        <v>0</v>
      </c>
      <c r="G16" s="183">
        <f>IF($A$1="BL",0,'Peak Hours'!G16*Peak!M17*IS!$B$2)</f>
        <v>0</v>
      </c>
      <c r="H16" s="183">
        <f>IF($A$1="BL",0,'Peak Hours'!H16*Peak!N17*IS!$B$2)</f>
        <v>0</v>
      </c>
      <c r="I16" s="183">
        <f>IF($A$1="BL",0,'Peak Hours'!I16*Peak!O17*IS!$B$2)</f>
        <v>0</v>
      </c>
      <c r="J16" s="183">
        <f>IF($A$1="BL",0,'Peak Hours'!J16*Peak!P17*IS!$B$2)</f>
        <v>0</v>
      </c>
      <c r="K16" s="183">
        <f>IF($A$1="BL",0,'Peak Hours'!K16*Peak!Q17*IS!$B$2)</f>
        <v>0</v>
      </c>
      <c r="L16" s="183">
        <f>IF($A$1="BL",0,'Peak Hours'!L16*Peak!R17*IS!$B$2)</f>
        <v>0</v>
      </c>
      <c r="M16" s="183">
        <f>IF($A$1="BL",0,'Peak Hours'!M16*Peak!S17*IS!$B$2)</f>
        <v>0</v>
      </c>
      <c r="N16" s="183">
        <f>IF($A$1="BL",0,'Peak Hours'!N16*Peak!T17*IS!$B$2)</f>
        <v>0</v>
      </c>
      <c r="O16" s="183">
        <f>IF($A$1="BL",0,'Peak Hours'!O16*Peak!U17*IS!$B$2)</f>
        <v>0</v>
      </c>
      <c r="P16" s="183">
        <f>IF($A$1="BL",0,'Peak Hours'!P16*Peak!V17*IS!$B$2)</f>
        <v>0</v>
      </c>
      <c r="Q16" s="183">
        <f>IF($A$1="BL",0,'Peak Hours'!Q16*Peak!W17*IS!$B$2)</f>
        <v>0</v>
      </c>
      <c r="R16" s="183">
        <f>IF($A$1="BL",0,'Peak Hours'!R16*Peak!X17*IS!$B$2)</f>
        <v>0</v>
      </c>
      <c r="S16" s="183">
        <f>IF($A$1="BL",0,'Peak Hours'!S16*Peak!Y17*IS!$B$2)</f>
        <v>0</v>
      </c>
      <c r="T16" s="183">
        <f>IF($A$1="BL",0,'Peak Hours'!T16*Peak!Z17*IS!$B$2)</f>
        <v>0</v>
      </c>
      <c r="U16" s="183">
        <f>IF($A$1="BL",0,'Peak Hours'!U16*Peak!AA17*IS!$B$2)</f>
        <v>0</v>
      </c>
      <c r="V16" s="213"/>
      <c r="W16" s="211">
        <f>(IF($A$1="BL",0,Peak!C17*'Peak Hours'!V16*IS!$B$2))*-1</f>
        <v>0</v>
      </c>
      <c r="X16" s="213"/>
      <c r="Y16" s="211">
        <f>(IF($A$1="bl",0,Peak!D17*'Peak Hours'!V16*IS!$B$2))*-1</f>
        <v>0</v>
      </c>
      <c r="Z16" s="213"/>
      <c r="AA16" s="211">
        <f>(Peak!E17*'Peak Hours'!V16*IS!$B$2)*-1</f>
        <v>0</v>
      </c>
      <c r="AB16" s="210"/>
      <c r="AC16" s="211">
        <f>(Peak!F17*'Peak Hours'!V16*IS!$B$2)*-1</f>
        <v>0</v>
      </c>
      <c r="AD16" s="210"/>
    </row>
    <row r="17" spans="1:30" x14ac:dyDescent="0.2">
      <c r="A17" s="1">
        <f t="shared" si="0"/>
        <v>36752.919000000009</v>
      </c>
      <c r="B17" s="182">
        <f>IF($A$1="BL",0,'Peak Hours'!B17*Peak!H18*IS!$B$2)</f>
        <v>0</v>
      </c>
      <c r="C17" s="183">
        <f>IF($A$1="BL",0,'Peak Hours'!C17*Peak!I18*IS!$B$2)</f>
        <v>0</v>
      </c>
      <c r="D17" s="183">
        <f>IF($A$1="BL",0,'Peak Hours'!D17*Peak!J18*IS!$B$2)</f>
        <v>0</v>
      </c>
      <c r="E17" s="183">
        <f>IF($A$1="BL",0,'Peak Hours'!E17*Peak!K18*IS!$B$2)</f>
        <v>0</v>
      </c>
      <c r="F17" s="183">
        <f>IF($A$1="BL",0,'Peak Hours'!F17*Peak!L18*IS!$B$2)</f>
        <v>0</v>
      </c>
      <c r="G17" s="183">
        <f>IF($A$1="BL",0,'Peak Hours'!G17*Peak!M18*IS!$B$2)</f>
        <v>0</v>
      </c>
      <c r="H17" s="183">
        <f>IF($A$1="BL",0,'Peak Hours'!H17*Peak!N18*IS!$B$2)</f>
        <v>0</v>
      </c>
      <c r="I17" s="183">
        <f>IF($A$1="BL",0,'Peak Hours'!I17*Peak!O18*IS!$B$2)</f>
        <v>0</v>
      </c>
      <c r="J17" s="183">
        <f>IF($A$1="BL",0,'Peak Hours'!J17*Peak!P18*IS!$B$2)</f>
        <v>0</v>
      </c>
      <c r="K17" s="183">
        <f>IF($A$1="BL",0,'Peak Hours'!K17*Peak!Q18*IS!$B$2)</f>
        <v>0</v>
      </c>
      <c r="L17" s="183">
        <f>IF($A$1="BL",0,'Peak Hours'!L17*Peak!R18*IS!$B$2)</f>
        <v>0</v>
      </c>
      <c r="M17" s="183">
        <f>IF($A$1="BL",0,'Peak Hours'!M17*Peak!S18*IS!$B$2)</f>
        <v>0</v>
      </c>
      <c r="N17" s="183">
        <f>IF($A$1="BL",0,'Peak Hours'!N17*Peak!T18*IS!$B$2)</f>
        <v>0</v>
      </c>
      <c r="O17" s="183">
        <f>IF($A$1="BL",0,'Peak Hours'!O17*Peak!U18*IS!$B$2)</f>
        <v>0</v>
      </c>
      <c r="P17" s="183">
        <f>IF($A$1="BL",0,'Peak Hours'!P17*Peak!V18*IS!$B$2)</f>
        <v>0</v>
      </c>
      <c r="Q17" s="183">
        <f>IF($A$1="BL",0,'Peak Hours'!Q17*Peak!W18*IS!$B$2)</f>
        <v>0</v>
      </c>
      <c r="R17" s="183">
        <f>IF($A$1="BL",0,'Peak Hours'!R17*Peak!X18*IS!$B$2)</f>
        <v>0</v>
      </c>
      <c r="S17" s="183">
        <f>IF($A$1="BL",0,'Peak Hours'!S17*Peak!Y18*IS!$B$2)</f>
        <v>0</v>
      </c>
      <c r="T17" s="183">
        <f>IF($A$1="BL",0,'Peak Hours'!T17*Peak!Z18*IS!$B$2)</f>
        <v>0</v>
      </c>
      <c r="U17" s="183">
        <f>IF($A$1="BL",0,'Peak Hours'!U17*Peak!AA18*IS!$B$2)</f>
        <v>0</v>
      </c>
      <c r="V17" s="213"/>
      <c r="W17" s="211">
        <f>(IF($A$1="BL",0,Peak!C18*'Peak Hours'!V17*IS!$B$2))*-1</f>
        <v>0</v>
      </c>
      <c r="X17" s="213"/>
      <c r="Y17" s="211">
        <f>(IF($A$1="bl",0,Peak!D18*'Peak Hours'!V17*IS!$B$2))*-1</f>
        <v>0</v>
      </c>
      <c r="Z17" s="213"/>
      <c r="AA17" s="211">
        <f>(Peak!E18*'Peak Hours'!V17*IS!$B$2)*-1</f>
        <v>0</v>
      </c>
      <c r="AB17" s="210"/>
      <c r="AC17" s="211">
        <f>(Peak!F18*'Peak Hours'!V17*IS!$B$2)*-1</f>
        <v>0</v>
      </c>
      <c r="AD17" s="210"/>
    </row>
    <row r="18" spans="1:30" x14ac:dyDescent="0.2">
      <c r="A18" s="1">
        <f t="shared" si="0"/>
        <v>36783.33600000001</v>
      </c>
      <c r="B18" s="182">
        <f>IF($A$1="BL",0,'Peak Hours'!B18*Peak!H19*IS!$B$2)</f>
        <v>0</v>
      </c>
      <c r="C18" s="183">
        <f>IF($A$1="BL",0,'Peak Hours'!C18*Peak!I19*IS!$B$2)</f>
        <v>0</v>
      </c>
      <c r="D18" s="183">
        <f>IF($A$1="BL",0,'Peak Hours'!D18*Peak!J19*IS!$B$2)</f>
        <v>0</v>
      </c>
      <c r="E18" s="183">
        <f>IF($A$1="BL",0,'Peak Hours'!E18*Peak!K19*IS!$B$2)</f>
        <v>0</v>
      </c>
      <c r="F18" s="183">
        <f>IF($A$1="BL",0,'Peak Hours'!F18*Peak!L19*IS!$B$2)</f>
        <v>0</v>
      </c>
      <c r="G18" s="183">
        <f>IF($A$1="BL",0,'Peak Hours'!G18*Peak!M19*IS!$B$2)</f>
        <v>0</v>
      </c>
      <c r="H18" s="183">
        <f>IF($A$1="BL",0,'Peak Hours'!H18*Peak!N19*IS!$B$2)</f>
        <v>0</v>
      </c>
      <c r="I18" s="183">
        <f>IF($A$1="BL",0,'Peak Hours'!I18*Peak!O19*IS!$B$2)</f>
        <v>0</v>
      </c>
      <c r="J18" s="183">
        <f>IF($A$1="BL",0,'Peak Hours'!J18*Peak!P19*IS!$B$2)</f>
        <v>0</v>
      </c>
      <c r="K18" s="183">
        <f>IF($A$1="BL",0,'Peak Hours'!K18*Peak!Q19*IS!$B$2)</f>
        <v>0</v>
      </c>
      <c r="L18" s="183">
        <f>IF($A$1="BL",0,'Peak Hours'!L18*Peak!R19*IS!$B$2)</f>
        <v>0</v>
      </c>
      <c r="M18" s="183">
        <f>IF($A$1="BL",0,'Peak Hours'!M18*Peak!S19*IS!$B$2)</f>
        <v>0</v>
      </c>
      <c r="N18" s="183">
        <f>IF($A$1="BL",0,'Peak Hours'!N18*Peak!T19*IS!$B$2)</f>
        <v>0</v>
      </c>
      <c r="O18" s="183">
        <f>IF($A$1="BL",0,'Peak Hours'!O18*Peak!U19*IS!$B$2)</f>
        <v>0</v>
      </c>
      <c r="P18" s="183">
        <f>IF($A$1="BL",0,'Peak Hours'!P18*Peak!V19*IS!$B$2)</f>
        <v>0</v>
      </c>
      <c r="Q18" s="183">
        <f>IF($A$1="BL",0,'Peak Hours'!Q18*Peak!W19*IS!$B$2)</f>
        <v>0</v>
      </c>
      <c r="R18" s="183">
        <f>IF($A$1="BL",0,'Peak Hours'!R18*Peak!X19*IS!$B$2)</f>
        <v>0</v>
      </c>
      <c r="S18" s="183">
        <f>IF($A$1="BL",0,'Peak Hours'!S18*Peak!Y19*IS!$B$2)</f>
        <v>0</v>
      </c>
      <c r="T18" s="183">
        <f>IF($A$1="BL",0,'Peak Hours'!T18*Peak!Z19*IS!$B$2)</f>
        <v>0</v>
      </c>
      <c r="U18" s="183">
        <f>IF($A$1="BL",0,'Peak Hours'!U18*Peak!AA19*IS!$B$2)</f>
        <v>0</v>
      </c>
      <c r="V18" s="213"/>
      <c r="W18" s="211">
        <f>(IF($A$1="BL",0,Peak!C19*'Peak Hours'!V18*IS!$B$2))*-1</f>
        <v>0</v>
      </c>
      <c r="X18" s="213"/>
      <c r="Y18" s="211">
        <f>(IF($A$1="bl",0,Peak!D19*'Peak Hours'!V18*IS!$B$2))*-1</f>
        <v>0</v>
      </c>
      <c r="Z18" s="213"/>
      <c r="AA18" s="211">
        <f>(Peak!E19*'Peak Hours'!V18*IS!$B$2)*-1</f>
        <v>0</v>
      </c>
      <c r="AB18" s="210"/>
      <c r="AC18" s="211">
        <f>(Peak!F19*'Peak Hours'!V18*IS!$B$2)*-1</f>
        <v>0</v>
      </c>
      <c r="AD18" s="210"/>
    </row>
    <row r="19" spans="1:30" x14ac:dyDescent="0.2">
      <c r="A19" s="1">
        <f t="shared" si="0"/>
        <v>36813.753000000012</v>
      </c>
      <c r="B19" s="182">
        <f>IF($A$1="BL",0,'Peak Hours'!B19*Peak!H20*IS!$B$2)</f>
        <v>0</v>
      </c>
      <c r="C19" s="183">
        <f>IF($A$1="BL",0,'Peak Hours'!C19*Peak!I20*IS!$B$2)</f>
        <v>0</v>
      </c>
      <c r="D19" s="183">
        <f>IF($A$1="BL",0,'Peak Hours'!D19*Peak!J20*IS!$B$2)</f>
        <v>0</v>
      </c>
      <c r="E19" s="183">
        <f>IF($A$1="BL",0,'Peak Hours'!E19*Peak!K20*IS!$B$2)</f>
        <v>0</v>
      </c>
      <c r="F19" s="183">
        <f>IF($A$1="BL",0,'Peak Hours'!F19*Peak!L20*IS!$B$2)</f>
        <v>0</v>
      </c>
      <c r="G19" s="183">
        <f>IF($A$1="BL",0,'Peak Hours'!G19*Peak!M20*IS!$B$2)</f>
        <v>0</v>
      </c>
      <c r="H19" s="183">
        <f>IF($A$1="BL",0,'Peak Hours'!H19*Peak!N20*IS!$B$2)</f>
        <v>0</v>
      </c>
      <c r="I19" s="183">
        <f>IF($A$1="BL",0,'Peak Hours'!I19*Peak!O20*IS!$B$2)</f>
        <v>0</v>
      </c>
      <c r="J19" s="183">
        <f>IF($A$1="BL",0,'Peak Hours'!J19*Peak!P20*IS!$B$2)</f>
        <v>0</v>
      </c>
      <c r="K19" s="183">
        <f>IF($A$1="BL",0,'Peak Hours'!K19*Peak!Q20*IS!$B$2)</f>
        <v>0</v>
      </c>
      <c r="L19" s="183">
        <f>IF($A$1="BL",0,'Peak Hours'!L19*Peak!R20*IS!$B$2)</f>
        <v>0</v>
      </c>
      <c r="M19" s="183">
        <f>IF($A$1="BL",0,'Peak Hours'!M19*Peak!S20*IS!$B$2)</f>
        <v>0</v>
      </c>
      <c r="N19" s="183">
        <f>IF($A$1="BL",0,'Peak Hours'!N19*Peak!T20*IS!$B$2)</f>
        <v>0</v>
      </c>
      <c r="O19" s="183">
        <f>IF($A$1="BL",0,'Peak Hours'!O19*Peak!U20*IS!$B$2)</f>
        <v>0</v>
      </c>
      <c r="P19" s="183">
        <f>IF($A$1="BL",0,'Peak Hours'!P19*Peak!V20*IS!$B$2)</f>
        <v>0</v>
      </c>
      <c r="Q19" s="183">
        <f>IF($A$1="BL",0,'Peak Hours'!Q19*Peak!W20*IS!$B$2)</f>
        <v>0</v>
      </c>
      <c r="R19" s="183">
        <f>IF($A$1="BL",0,'Peak Hours'!R19*Peak!X20*IS!$B$2)</f>
        <v>0</v>
      </c>
      <c r="S19" s="183">
        <f>IF($A$1="BL",0,'Peak Hours'!S19*Peak!Y20*IS!$B$2)</f>
        <v>0</v>
      </c>
      <c r="T19" s="183">
        <f>IF($A$1="BL",0,'Peak Hours'!T19*Peak!Z20*IS!$B$2)</f>
        <v>0</v>
      </c>
      <c r="U19" s="183">
        <f>IF($A$1="BL",0,'Peak Hours'!U19*Peak!AA20*IS!$B$2)</f>
        <v>0</v>
      </c>
      <c r="V19" s="213"/>
      <c r="W19" s="211">
        <f>(IF($A$1="BL",0,Peak!C20*'Peak Hours'!V19*IS!$B$2))*-1</f>
        <v>0</v>
      </c>
      <c r="X19" s="213"/>
      <c r="Y19" s="211">
        <f>(IF($A$1="bl",0,Peak!D20*'Peak Hours'!V19*IS!$B$2))*-1</f>
        <v>0</v>
      </c>
      <c r="Z19" s="213"/>
      <c r="AA19" s="211">
        <f>(Peak!E20*'Peak Hours'!V19*IS!$B$2)*-1</f>
        <v>0</v>
      </c>
      <c r="AB19" s="210"/>
      <c r="AC19" s="211">
        <f>(Peak!F20*'Peak Hours'!V19*IS!$B$2)*-1</f>
        <v>0</v>
      </c>
      <c r="AD19" s="210"/>
    </row>
    <row r="20" spans="1:30" x14ac:dyDescent="0.2">
      <c r="A20" s="1">
        <f t="shared" si="0"/>
        <v>36844.170000000013</v>
      </c>
      <c r="B20" s="182">
        <f>IF($A$1="BL",0,'Peak Hours'!B20*Peak!H21*IS!$B$2)</f>
        <v>0</v>
      </c>
      <c r="C20" s="183">
        <f>IF($A$1="BL",0,'Peak Hours'!C20*Peak!I21*IS!$B$2)</f>
        <v>0</v>
      </c>
      <c r="D20" s="183">
        <f>IF($A$1="BL",0,'Peak Hours'!D20*Peak!J21*IS!$B$2)</f>
        <v>0</v>
      </c>
      <c r="E20" s="183">
        <f>IF($A$1="BL",0,'Peak Hours'!E20*Peak!K21*IS!$B$2)</f>
        <v>0</v>
      </c>
      <c r="F20" s="183">
        <f>IF($A$1="BL",0,'Peak Hours'!F20*Peak!L21*IS!$B$2)</f>
        <v>0</v>
      </c>
      <c r="G20" s="183">
        <f>IF($A$1="BL",0,'Peak Hours'!G20*Peak!M21*IS!$B$2)</f>
        <v>0</v>
      </c>
      <c r="H20" s="183">
        <f>IF($A$1="BL",0,'Peak Hours'!H20*Peak!N21*IS!$B$2)</f>
        <v>0</v>
      </c>
      <c r="I20" s="183">
        <f>IF($A$1="BL",0,'Peak Hours'!I20*Peak!O21*IS!$B$2)</f>
        <v>0</v>
      </c>
      <c r="J20" s="183">
        <f>IF($A$1="BL",0,'Peak Hours'!J20*Peak!P21*IS!$B$2)</f>
        <v>0</v>
      </c>
      <c r="K20" s="183">
        <f>IF($A$1="BL",0,'Peak Hours'!K20*Peak!Q21*IS!$B$2)</f>
        <v>0</v>
      </c>
      <c r="L20" s="183">
        <f>IF($A$1="BL",0,'Peak Hours'!L20*Peak!R21*IS!$B$2)</f>
        <v>0</v>
      </c>
      <c r="M20" s="183">
        <f>IF($A$1="BL",0,'Peak Hours'!M20*Peak!S21*IS!$B$2)</f>
        <v>0</v>
      </c>
      <c r="N20" s="183">
        <f>IF($A$1="BL",0,'Peak Hours'!N20*Peak!T21*IS!$B$2)</f>
        <v>0</v>
      </c>
      <c r="O20" s="183">
        <f>IF($A$1="BL",0,'Peak Hours'!O20*Peak!U21*IS!$B$2)</f>
        <v>0</v>
      </c>
      <c r="P20" s="183">
        <f>IF($A$1="BL",0,'Peak Hours'!P20*Peak!V21*IS!$B$2)</f>
        <v>0</v>
      </c>
      <c r="Q20" s="183">
        <f>IF($A$1="BL",0,'Peak Hours'!Q20*Peak!W21*IS!$B$2)</f>
        <v>0</v>
      </c>
      <c r="R20" s="183">
        <f>IF($A$1="BL",0,'Peak Hours'!R20*Peak!X21*IS!$B$2)</f>
        <v>0</v>
      </c>
      <c r="S20" s="183">
        <f>IF($A$1="BL",0,'Peak Hours'!S20*Peak!Y21*IS!$B$2)</f>
        <v>0</v>
      </c>
      <c r="T20" s="183">
        <f>IF($A$1="BL",0,'Peak Hours'!T20*Peak!Z21*IS!$B$2)</f>
        <v>0</v>
      </c>
      <c r="U20" s="183">
        <f>IF($A$1="BL",0,'Peak Hours'!U20*Peak!AA21*IS!$B$2)</f>
        <v>0</v>
      </c>
      <c r="V20" s="213"/>
      <c r="W20" s="211">
        <f>(IF($A$1="BL",0,Peak!C21*'Peak Hours'!V20*IS!$B$2))*-1</f>
        <v>0</v>
      </c>
      <c r="X20" s="213"/>
      <c r="Y20" s="211">
        <f>(IF($A$1="bl",0,Peak!D21*'Peak Hours'!V20*IS!$B$2))*-1</f>
        <v>0</v>
      </c>
      <c r="Z20" s="213"/>
      <c r="AA20" s="211">
        <f>(Peak!E21*'Peak Hours'!V20*IS!$B$2)*-1</f>
        <v>0</v>
      </c>
      <c r="AB20" s="210"/>
      <c r="AC20" s="211">
        <f>(Peak!F21*'Peak Hours'!V20*IS!$B$2)*-1</f>
        <v>0</v>
      </c>
      <c r="AD20" s="210"/>
    </row>
    <row r="21" spans="1:30" x14ac:dyDescent="0.2">
      <c r="A21" s="1">
        <f t="shared" si="0"/>
        <v>36874.587000000014</v>
      </c>
      <c r="B21" s="182">
        <f>IF($A$1="BL",0,'Peak Hours'!B21*Peak!H22*IS!$B$2)</f>
        <v>0</v>
      </c>
      <c r="C21" s="183">
        <f>IF($A$1="BL",0,'Peak Hours'!C21*Peak!I22*IS!$B$2)</f>
        <v>0</v>
      </c>
      <c r="D21" s="183">
        <f>IF($A$1="BL",0,'Peak Hours'!D21*Peak!J22*IS!$B$2)</f>
        <v>0</v>
      </c>
      <c r="E21" s="183">
        <f>IF($A$1="BL",0,'Peak Hours'!E21*Peak!K22*IS!$B$2)</f>
        <v>0</v>
      </c>
      <c r="F21" s="183">
        <f>IF($A$1="BL",0,'Peak Hours'!F21*Peak!L22*IS!$B$2)</f>
        <v>0</v>
      </c>
      <c r="G21" s="183">
        <f>IF($A$1="BL",0,'Peak Hours'!G21*Peak!M22*IS!$B$2)</f>
        <v>0</v>
      </c>
      <c r="H21" s="183">
        <f>IF($A$1="BL",0,'Peak Hours'!H21*Peak!N22*IS!$B$2)</f>
        <v>0</v>
      </c>
      <c r="I21" s="183">
        <f>IF($A$1="BL",0,'Peak Hours'!I21*Peak!O22*IS!$B$2)</f>
        <v>0</v>
      </c>
      <c r="J21" s="183">
        <f>IF($A$1="BL",0,'Peak Hours'!J21*Peak!P22*IS!$B$2)</f>
        <v>0</v>
      </c>
      <c r="K21" s="183">
        <f>IF($A$1="BL",0,'Peak Hours'!K21*Peak!Q22*IS!$B$2)</f>
        <v>0</v>
      </c>
      <c r="L21" s="183">
        <f>IF($A$1="BL",0,'Peak Hours'!L21*Peak!R22*IS!$B$2)</f>
        <v>0</v>
      </c>
      <c r="M21" s="183">
        <f>IF($A$1="BL",0,'Peak Hours'!M21*Peak!S22*IS!$B$2)</f>
        <v>0</v>
      </c>
      <c r="N21" s="183">
        <f>IF($A$1="BL",0,'Peak Hours'!N21*Peak!T22*IS!$B$2)</f>
        <v>0</v>
      </c>
      <c r="O21" s="183">
        <f>IF($A$1="BL",0,'Peak Hours'!O21*Peak!U22*IS!$B$2)</f>
        <v>0</v>
      </c>
      <c r="P21" s="183">
        <f>IF($A$1="BL",0,'Peak Hours'!P21*Peak!V22*IS!$B$2)</f>
        <v>0</v>
      </c>
      <c r="Q21" s="183">
        <f>IF($A$1="BL",0,'Peak Hours'!Q21*Peak!W22*IS!$B$2)</f>
        <v>0</v>
      </c>
      <c r="R21" s="183">
        <f>IF($A$1="BL",0,'Peak Hours'!R21*Peak!X22*IS!$B$2)</f>
        <v>0</v>
      </c>
      <c r="S21" s="183">
        <f>IF($A$1="BL",0,'Peak Hours'!S21*Peak!Y22*IS!$B$2)</f>
        <v>0</v>
      </c>
      <c r="T21" s="183">
        <f>IF($A$1="BL",0,'Peak Hours'!T21*Peak!Z22*IS!$B$2)</f>
        <v>0</v>
      </c>
      <c r="U21" s="183">
        <f>IF($A$1="BL",0,'Peak Hours'!U21*Peak!AA22*IS!$B$2)</f>
        <v>0</v>
      </c>
      <c r="V21" s="214">
        <f>SUM(B10:U21)</f>
        <v>0</v>
      </c>
      <c r="W21" s="211">
        <f>(IF($A$1="BL",0,Peak!C22*'Peak Hours'!V21*IS!$B$2))*-1</f>
        <v>0</v>
      </c>
      <c r="X21" s="214">
        <f>SUM(W10:W21)</f>
        <v>0</v>
      </c>
      <c r="Y21" s="211">
        <f>(IF($A$1="bl",0,Peak!D22*'Peak Hours'!V21*IS!$B$2))*-1</f>
        <v>0</v>
      </c>
      <c r="Z21" s="214">
        <f>SUM(Y10:Y21)</f>
        <v>0</v>
      </c>
      <c r="AA21" s="211">
        <f>(Peak!E22*'Peak Hours'!V21*IS!$B$2)*-1</f>
        <v>0</v>
      </c>
      <c r="AB21" s="211">
        <f>SUM(AA10:AA21)</f>
        <v>0</v>
      </c>
      <c r="AC21" s="211">
        <f>(Peak!F22*'Peak Hours'!V21*IS!$B$2)*-1</f>
        <v>0</v>
      </c>
      <c r="AD21" s="211">
        <f>SUM(AC10:AC21)</f>
        <v>0</v>
      </c>
    </row>
    <row r="22" spans="1:30" x14ac:dyDescent="0.2">
      <c r="A22" s="1">
        <f t="shared" si="0"/>
        <v>36905.004000000015</v>
      </c>
      <c r="B22" s="182">
        <f>IF($A$1="BL",0,'Peak Hours'!B22*Peak!H23*IS!$B$2)</f>
        <v>0</v>
      </c>
      <c r="C22" s="183">
        <f>IF($A$1="BL",0,'Peak Hours'!C22*Peak!I23*IS!$B$2)</f>
        <v>0</v>
      </c>
      <c r="D22" s="183">
        <f>IF($A$1="BL",0,'Peak Hours'!D22*Peak!J23*IS!$B$2)</f>
        <v>0</v>
      </c>
      <c r="E22" s="183">
        <f>IF($A$1="BL",0,'Peak Hours'!E22*Peak!K23*IS!$B$2)</f>
        <v>0</v>
      </c>
      <c r="F22" s="183">
        <f>IF($A$1="BL",0,'Peak Hours'!F22*Peak!L23*IS!$B$2)</f>
        <v>0</v>
      </c>
      <c r="G22" s="183">
        <f>IF($A$1="BL",0,'Peak Hours'!G22*Peak!M23*IS!$B$2)</f>
        <v>0</v>
      </c>
      <c r="H22" s="183">
        <f>IF($A$1="BL",0,'Peak Hours'!H22*Peak!N23*IS!$B$2)</f>
        <v>0</v>
      </c>
      <c r="I22" s="183">
        <f>IF($A$1="BL",0,'Peak Hours'!I22*Peak!O23*IS!$B$2)</f>
        <v>0</v>
      </c>
      <c r="J22" s="183">
        <f>IF($A$1="BL",0,'Peak Hours'!J22*Peak!P23*IS!$B$2)</f>
        <v>0</v>
      </c>
      <c r="K22" s="183">
        <f>IF($A$1="BL",0,'Peak Hours'!K22*Peak!Q23*IS!$B$2)</f>
        <v>0</v>
      </c>
      <c r="L22" s="183">
        <f>IF($A$1="BL",0,'Peak Hours'!L22*Peak!R23*IS!$B$2)</f>
        <v>0</v>
      </c>
      <c r="M22" s="183">
        <f>IF($A$1="BL",0,'Peak Hours'!M22*Peak!S23*IS!$B$2)</f>
        <v>0</v>
      </c>
      <c r="N22" s="183">
        <f>IF($A$1="BL",0,'Peak Hours'!N22*Peak!T23*IS!$B$2)</f>
        <v>0</v>
      </c>
      <c r="O22" s="183">
        <f>IF($A$1="BL",0,'Peak Hours'!O22*Peak!U23*IS!$B$2)</f>
        <v>0</v>
      </c>
      <c r="P22" s="183">
        <f>IF($A$1="BL",0,'Peak Hours'!P22*Peak!V23*IS!$B$2)</f>
        <v>0</v>
      </c>
      <c r="Q22" s="183">
        <f>IF($A$1="BL",0,'Peak Hours'!Q22*Peak!W23*IS!$B$2)</f>
        <v>0</v>
      </c>
      <c r="R22" s="183">
        <f>IF($A$1="BL",0,'Peak Hours'!R22*Peak!X23*IS!$B$2)</f>
        <v>0</v>
      </c>
      <c r="S22" s="183">
        <f>IF($A$1="BL",0,'Peak Hours'!S22*Peak!Y23*IS!$B$2)</f>
        <v>0</v>
      </c>
      <c r="T22" s="183">
        <f>IF($A$1="BL",0,'Peak Hours'!T22*Peak!Z23*IS!$B$2)</f>
        <v>0</v>
      </c>
      <c r="U22" s="183">
        <f>IF($A$1="BL",0,'Peak Hours'!U22*Peak!AA23*IS!$B$2)</f>
        <v>0</v>
      </c>
      <c r="V22" s="213"/>
      <c r="W22" s="211">
        <f>(IF($A$1="BL",0,Peak!C23*'Peak Hours'!V22*IS!$B$2))*-1</f>
        <v>0</v>
      </c>
      <c r="X22" s="213"/>
      <c r="Y22" s="211">
        <f>(IF($A$1="bl",0,Peak!D23*'Peak Hours'!V22*IS!$B$2))*-1</f>
        <v>0</v>
      </c>
      <c r="Z22" s="213"/>
      <c r="AA22" s="211">
        <f>(Peak!E23*'Peak Hours'!V22*IS!$B$2)*-1</f>
        <v>0</v>
      </c>
      <c r="AB22" s="210"/>
      <c r="AC22" s="211">
        <f>(Peak!F23*'Peak Hours'!V22*IS!$B$2)*-1</f>
        <v>0</v>
      </c>
      <c r="AD22" s="210"/>
    </row>
    <row r="23" spans="1:30" x14ac:dyDescent="0.2">
      <c r="A23" s="1">
        <f t="shared" si="0"/>
        <v>36935.421000000017</v>
      </c>
      <c r="B23" s="182">
        <f>IF($A$1="BL",0,'Peak Hours'!B23*Peak!H24*IS!$B$2)</f>
        <v>0</v>
      </c>
      <c r="C23" s="183">
        <f>IF($A$1="BL",0,'Peak Hours'!C23*Peak!I24*IS!$B$2)</f>
        <v>0</v>
      </c>
      <c r="D23" s="183">
        <f>IF($A$1="BL",0,'Peak Hours'!D23*Peak!J24*IS!$B$2)</f>
        <v>0</v>
      </c>
      <c r="E23" s="183">
        <f>IF($A$1="BL",0,'Peak Hours'!E23*Peak!K24*IS!$B$2)</f>
        <v>0</v>
      </c>
      <c r="F23" s="183">
        <f>IF($A$1="BL",0,'Peak Hours'!F23*Peak!L24*IS!$B$2)</f>
        <v>0</v>
      </c>
      <c r="G23" s="183">
        <f>IF($A$1="BL",0,'Peak Hours'!G23*Peak!M24*IS!$B$2)</f>
        <v>0</v>
      </c>
      <c r="H23" s="183">
        <f>IF($A$1="BL",0,'Peak Hours'!H23*Peak!N24*IS!$B$2)</f>
        <v>0</v>
      </c>
      <c r="I23" s="183">
        <f>IF($A$1="BL",0,'Peak Hours'!I23*Peak!O24*IS!$B$2)</f>
        <v>0</v>
      </c>
      <c r="J23" s="183">
        <f>IF($A$1="BL",0,'Peak Hours'!J23*Peak!P24*IS!$B$2)</f>
        <v>0</v>
      </c>
      <c r="K23" s="183">
        <f>IF($A$1="BL",0,'Peak Hours'!K23*Peak!Q24*IS!$B$2)</f>
        <v>0</v>
      </c>
      <c r="L23" s="183">
        <f>IF($A$1="BL",0,'Peak Hours'!L23*Peak!R24*IS!$B$2)</f>
        <v>0</v>
      </c>
      <c r="M23" s="183">
        <f>IF($A$1="BL",0,'Peak Hours'!M23*Peak!S24*IS!$B$2)</f>
        <v>0</v>
      </c>
      <c r="N23" s="183">
        <f>IF($A$1="BL",0,'Peak Hours'!N23*Peak!T24*IS!$B$2)</f>
        <v>0</v>
      </c>
      <c r="O23" s="183">
        <f>IF($A$1="BL",0,'Peak Hours'!O23*Peak!U24*IS!$B$2)</f>
        <v>0</v>
      </c>
      <c r="P23" s="183">
        <f>IF($A$1="BL",0,'Peak Hours'!P23*Peak!V24*IS!$B$2)</f>
        <v>0</v>
      </c>
      <c r="Q23" s="183">
        <f>IF($A$1="BL",0,'Peak Hours'!Q23*Peak!W24*IS!$B$2)</f>
        <v>0</v>
      </c>
      <c r="R23" s="183">
        <f>IF($A$1="BL",0,'Peak Hours'!R23*Peak!X24*IS!$B$2)</f>
        <v>0</v>
      </c>
      <c r="S23" s="183">
        <f>IF($A$1="BL",0,'Peak Hours'!S23*Peak!Y24*IS!$B$2)</f>
        <v>0</v>
      </c>
      <c r="T23" s="183">
        <f>IF($A$1="BL",0,'Peak Hours'!T23*Peak!Z24*IS!$B$2)</f>
        <v>0</v>
      </c>
      <c r="U23" s="183">
        <f>IF($A$1="BL",0,'Peak Hours'!U23*Peak!AA24*IS!$B$2)</f>
        <v>0</v>
      </c>
      <c r="V23" s="213"/>
      <c r="W23" s="211">
        <f>(IF($A$1="BL",0,Peak!C24*'Peak Hours'!V23*IS!$B$2))*-1</f>
        <v>0</v>
      </c>
      <c r="X23" s="213"/>
      <c r="Y23" s="211">
        <f>(IF($A$1="bl",0,Peak!D24*'Peak Hours'!V23*IS!$B$2))*-1</f>
        <v>0</v>
      </c>
      <c r="Z23" s="213"/>
      <c r="AA23" s="211">
        <f>(Peak!E24*'Peak Hours'!V23*IS!$B$2)*-1</f>
        <v>0</v>
      </c>
      <c r="AB23" s="210"/>
      <c r="AC23" s="211">
        <f>(Peak!F24*'Peak Hours'!V23*IS!$B$2)*-1</f>
        <v>0</v>
      </c>
      <c r="AD23" s="210"/>
    </row>
    <row r="24" spans="1:30" x14ac:dyDescent="0.2">
      <c r="A24" s="1">
        <f t="shared" si="0"/>
        <v>36965.838000000018</v>
      </c>
      <c r="B24" s="182">
        <f>IF($A$1="BL",0,'Peak Hours'!B24*Peak!H25*IS!$B$2)</f>
        <v>0</v>
      </c>
      <c r="C24" s="183">
        <f>IF($A$1="BL",0,'Peak Hours'!C24*Peak!I25*IS!$B$2)</f>
        <v>0</v>
      </c>
      <c r="D24" s="183">
        <f>IF($A$1="BL",0,'Peak Hours'!D24*Peak!J25*IS!$B$2)</f>
        <v>0</v>
      </c>
      <c r="E24" s="183">
        <f>IF($A$1="BL",0,'Peak Hours'!E24*Peak!K25*IS!$B$2)</f>
        <v>0</v>
      </c>
      <c r="F24" s="183">
        <f>IF($A$1="BL",0,'Peak Hours'!F24*Peak!L25*IS!$B$2)</f>
        <v>0</v>
      </c>
      <c r="G24" s="183">
        <f>IF($A$1="BL",0,'Peak Hours'!G24*Peak!M25*IS!$B$2)</f>
        <v>0</v>
      </c>
      <c r="H24" s="183">
        <f>IF($A$1="BL",0,'Peak Hours'!H24*Peak!N25*IS!$B$2)</f>
        <v>0</v>
      </c>
      <c r="I24" s="183">
        <f>IF($A$1="BL",0,'Peak Hours'!I24*Peak!O25*IS!$B$2)</f>
        <v>0</v>
      </c>
      <c r="J24" s="183">
        <f>IF($A$1="BL",0,'Peak Hours'!J24*Peak!P25*IS!$B$2)</f>
        <v>0</v>
      </c>
      <c r="K24" s="183">
        <f>IF($A$1="BL",0,'Peak Hours'!K24*Peak!Q25*IS!$B$2)</f>
        <v>0</v>
      </c>
      <c r="L24" s="183">
        <f>IF($A$1="BL",0,'Peak Hours'!L24*Peak!R25*IS!$B$2)</f>
        <v>0</v>
      </c>
      <c r="M24" s="183">
        <f>IF($A$1="BL",0,'Peak Hours'!M24*Peak!S25*IS!$B$2)</f>
        <v>0</v>
      </c>
      <c r="N24" s="183">
        <f>IF($A$1="BL",0,'Peak Hours'!N24*Peak!T25*IS!$B$2)</f>
        <v>0</v>
      </c>
      <c r="O24" s="183">
        <f>IF($A$1="BL",0,'Peak Hours'!O24*Peak!U25*IS!$B$2)</f>
        <v>0</v>
      </c>
      <c r="P24" s="183">
        <f>IF($A$1="BL",0,'Peak Hours'!P24*Peak!V25*IS!$B$2)</f>
        <v>0</v>
      </c>
      <c r="Q24" s="183">
        <f>IF($A$1="BL",0,'Peak Hours'!Q24*Peak!W25*IS!$B$2)</f>
        <v>0</v>
      </c>
      <c r="R24" s="183">
        <f>IF($A$1="BL",0,'Peak Hours'!R24*Peak!X25*IS!$B$2)</f>
        <v>0</v>
      </c>
      <c r="S24" s="183">
        <f>IF($A$1="BL",0,'Peak Hours'!S24*Peak!Y25*IS!$B$2)</f>
        <v>0</v>
      </c>
      <c r="T24" s="183">
        <f>IF($A$1="BL",0,'Peak Hours'!T24*Peak!Z25*IS!$B$2)</f>
        <v>0</v>
      </c>
      <c r="U24" s="183">
        <f>IF($A$1="BL",0,'Peak Hours'!U24*Peak!AA25*IS!$B$2)</f>
        <v>0</v>
      </c>
      <c r="V24" s="213"/>
      <c r="W24" s="211">
        <f>(IF($A$1="BL",0,Peak!C25*'Peak Hours'!V24*IS!$B$2))*-1</f>
        <v>0</v>
      </c>
      <c r="X24" s="213"/>
      <c r="Y24" s="211">
        <f>(IF($A$1="bl",0,Peak!D25*'Peak Hours'!V24*IS!$B$2))*-1</f>
        <v>0</v>
      </c>
      <c r="Z24" s="213"/>
      <c r="AA24" s="211">
        <f>(Peak!E25*'Peak Hours'!V24*IS!$B$2)*-1</f>
        <v>0</v>
      </c>
      <c r="AB24" s="210"/>
      <c r="AC24" s="211">
        <f>(Peak!F25*'Peak Hours'!V24*IS!$B$2)*-1</f>
        <v>0</v>
      </c>
      <c r="AD24" s="210"/>
    </row>
    <row r="25" spans="1:30" x14ac:dyDescent="0.2">
      <c r="A25" s="1">
        <f t="shared" si="0"/>
        <v>36996.255000000019</v>
      </c>
      <c r="B25" s="182">
        <f>IF($A$1="BL",0,'Peak Hours'!B25*Peak!H26*IS!$B$2)</f>
        <v>0</v>
      </c>
      <c r="C25" s="183">
        <f>IF($A$1="BL",0,'Peak Hours'!C25*Peak!I26*IS!$B$2)</f>
        <v>0</v>
      </c>
      <c r="D25" s="183">
        <f>IF($A$1="BL",0,'Peak Hours'!D25*Peak!J26*IS!$B$2)</f>
        <v>0</v>
      </c>
      <c r="E25" s="183">
        <f>IF($A$1="BL",0,'Peak Hours'!E25*Peak!K26*IS!$B$2)</f>
        <v>0</v>
      </c>
      <c r="F25" s="183">
        <f>IF($A$1="BL",0,'Peak Hours'!F25*Peak!L26*IS!$B$2)</f>
        <v>0</v>
      </c>
      <c r="G25" s="183">
        <f>IF($A$1="BL",0,'Peak Hours'!G25*Peak!M26*IS!$B$2)</f>
        <v>0</v>
      </c>
      <c r="H25" s="183">
        <f>IF($A$1="BL",0,'Peak Hours'!H25*Peak!N26*IS!$B$2)</f>
        <v>0</v>
      </c>
      <c r="I25" s="183">
        <f>IF($A$1="BL",0,'Peak Hours'!I25*Peak!O26*IS!$B$2)</f>
        <v>0</v>
      </c>
      <c r="J25" s="183">
        <f>IF($A$1="BL",0,'Peak Hours'!J25*Peak!P26*IS!$B$2)</f>
        <v>0</v>
      </c>
      <c r="K25" s="183">
        <f>IF($A$1="BL",0,'Peak Hours'!K25*Peak!Q26*IS!$B$2)</f>
        <v>0</v>
      </c>
      <c r="L25" s="183">
        <f>IF($A$1="BL",0,'Peak Hours'!L25*Peak!R26*IS!$B$2)</f>
        <v>0</v>
      </c>
      <c r="M25" s="183">
        <f>IF($A$1="BL",0,'Peak Hours'!M25*Peak!S26*IS!$B$2)</f>
        <v>0</v>
      </c>
      <c r="N25" s="183">
        <f>IF($A$1="BL",0,'Peak Hours'!N25*Peak!T26*IS!$B$2)</f>
        <v>0</v>
      </c>
      <c r="O25" s="183">
        <f>IF($A$1="BL",0,'Peak Hours'!O25*Peak!U26*IS!$B$2)</f>
        <v>0</v>
      </c>
      <c r="P25" s="183">
        <f>IF($A$1="BL",0,'Peak Hours'!P25*Peak!V26*IS!$B$2)</f>
        <v>0</v>
      </c>
      <c r="Q25" s="183">
        <f>IF($A$1="BL",0,'Peak Hours'!Q25*Peak!W26*IS!$B$2)</f>
        <v>0</v>
      </c>
      <c r="R25" s="183">
        <f>IF($A$1="BL",0,'Peak Hours'!R25*Peak!X26*IS!$B$2)</f>
        <v>0</v>
      </c>
      <c r="S25" s="183">
        <f>IF($A$1="BL",0,'Peak Hours'!S25*Peak!Y26*IS!$B$2)</f>
        <v>0</v>
      </c>
      <c r="T25" s="183">
        <f>IF($A$1="BL",0,'Peak Hours'!T25*Peak!Z26*IS!$B$2)</f>
        <v>0</v>
      </c>
      <c r="U25" s="183">
        <f>IF($A$1="BL",0,'Peak Hours'!U25*Peak!AA26*IS!$B$2)</f>
        <v>0</v>
      </c>
      <c r="V25" s="213"/>
      <c r="W25" s="211">
        <f>(IF($A$1="BL",0,Peak!C26*'Peak Hours'!V25*IS!$B$2))*-1</f>
        <v>0</v>
      </c>
      <c r="X25" s="213"/>
      <c r="Y25" s="211">
        <f>(IF($A$1="bl",0,Peak!D26*'Peak Hours'!V25*IS!$B$2))*-1</f>
        <v>0</v>
      </c>
      <c r="Z25" s="213"/>
      <c r="AA25" s="211">
        <f>(Peak!E26*'Peak Hours'!V25*IS!$B$2)*-1</f>
        <v>0</v>
      </c>
      <c r="AB25" s="210"/>
      <c r="AC25" s="211">
        <f>(Peak!F26*'Peak Hours'!V25*IS!$B$2)*-1</f>
        <v>0</v>
      </c>
      <c r="AD25" s="210"/>
    </row>
    <row r="26" spans="1:30" x14ac:dyDescent="0.2">
      <c r="A26" s="1">
        <f t="shared" si="0"/>
        <v>37026.67200000002</v>
      </c>
      <c r="B26" s="182">
        <f>IF($A$1="BL",0,'Peak Hours'!B26*Peak!H27*IS!$B$2)</f>
        <v>0</v>
      </c>
      <c r="C26" s="183">
        <f>IF($A$1="BL",0,'Peak Hours'!C26*Peak!I27*IS!$B$2)</f>
        <v>0</v>
      </c>
      <c r="D26" s="183">
        <f>IF($A$1="BL",0,'Peak Hours'!D26*Peak!J27*IS!$B$2)</f>
        <v>0</v>
      </c>
      <c r="E26" s="183">
        <f>IF($A$1="BL",0,'Peak Hours'!E26*Peak!K27*IS!$B$2)</f>
        <v>0</v>
      </c>
      <c r="F26" s="183">
        <f>IF($A$1="BL",0,'Peak Hours'!F26*Peak!L27*IS!$B$2)</f>
        <v>0</v>
      </c>
      <c r="G26" s="183">
        <f>IF($A$1="BL",0,'Peak Hours'!G26*Peak!M27*IS!$B$2)</f>
        <v>0</v>
      </c>
      <c r="H26" s="183">
        <f>IF($A$1="BL",0,'Peak Hours'!H26*Peak!N27*IS!$B$2)</f>
        <v>0</v>
      </c>
      <c r="I26" s="183">
        <f>IF($A$1="BL",0,'Peak Hours'!I26*Peak!O27*IS!$B$2)</f>
        <v>0</v>
      </c>
      <c r="J26" s="183">
        <f>IF($A$1="BL",0,'Peak Hours'!J26*Peak!P27*IS!$B$2)</f>
        <v>0</v>
      </c>
      <c r="K26" s="183">
        <f>IF($A$1="BL",0,'Peak Hours'!K26*Peak!Q27*IS!$B$2)</f>
        <v>0</v>
      </c>
      <c r="L26" s="183">
        <f>IF($A$1="BL",0,'Peak Hours'!L26*Peak!R27*IS!$B$2)</f>
        <v>0</v>
      </c>
      <c r="M26" s="183">
        <f>IF($A$1="BL",0,'Peak Hours'!M26*Peak!S27*IS!$B$2)</f>
        <v>0</v>
      </c>
      <c r="N26" s="183">
        <f>IF($A$1="BL",0,'Peak Hours'!N26*Peak!T27*IS!$B$2)</f>
        <v>0</v>
      </c>
      <c r="O26" s="183">
        <f>IF($A$1="BL",0,'Peak Hours'!O26*Peak!U27*IS!$B$2)</f>
        <v>0</v>
      </c>
      <c r="P26" s="183">
        <f>IF($A$1="BL",0,'Peak Hours'!P26*Peak!V27*IS!$B$2)</f>
        <v>0</v>
      </c>
      <c r="Q26" s="183">
        <f>IF($A$1="BL",0,'Peak Hours'!Q26*Peak!W27*IS!$B$2)</f>
        <v>0</v>
      </c>
      <c r="R26" s="183">
        <f>IF($A$1="BL",0,'Peak Hours'!R26*Peak!X27*IS!$B$2)</f>
        <v>0</v>
      </c>
      <c r="S26" s="183">
        <f>IF($A$1="BL",0,'Peak Hours'!S26*Peak!Y27*IS!$B$2)</f>
        <v>0</v>
      </c>
      <c r="T26" s="183">
        <f>IF($A$1="BL",0,'Peak Hours'!T26*Peak!Z27*IS!$B$2)</f>
        <v>0</v>
      </c>
      <c r="U26" s="183">
        <f>IF($A$1="BL",0,'Peak Hours'!U26*Peak!AA27*IS!$B$2)</f>
        <v>0</v>
      </c>
      <c r="V26" s="213"/>
      <c r="W26" s="211">
        <f>(IF($A$1="BL",0,Peak!C27*'Peak Hours'!V26*IS!$B$2))*-1</f>
        <v>0</v>
      </c>
      <c r="X26" s="213"/>
      <c r="Y26" s="211">
        <f>(IF($A$1="bl",0,Peak!D27*'Peak Hours'!V26*IS!$B$2))*-1</f>
        <v>0</v>
      </c>
      <c r="Z26" s="213"/>
      <c r="AA26" s="211">
        <f>(Peak!E27*'Peak Hours'!V26*IS!$B$2)*-1</f>
        <v>0</v>
      </c>
      <c r="AB26" s="210"/>
      <c r="AC26" s="211">
        <f>(Peak!F27*'Peak Hours'!V26*IS!$B$2)*-1</f>
        <v>0</v>
      </c>
      <c r="AD26" s="210"/>
    </row>
    <row r="27" spans="1:30" x14ac:dyDescent="0.2">
      <c r="A27" s="1">
        <f t="shared" si="0"/>
        <v>37057.089000000022</v>
      </c>
      <c r="B27" s="182">
        <f>IF($A$1="BL",0,'Peak Hours'!B27*Peak!H28*IS!$B$2)</f>
        <v>0</v>
      </c>
      <c r="C27" s="183">
        <f>IF($A$1="BL",0,'Peak Hours'!C27*Peak!I28*IS!$B$2)</f>
        <v>0</v>
      </c>
      <c r="D27" s="183">
        <f>IF($A$1="BL",0,'Peak Hours'!D27*Peak!J28*IS!$B$2)</f>
        <v>0</v>
      </c>
      <c r="E27" s="183">
        <f>IF($A$1="BL",0,'Peak Hours'!E27*Peak!K28*IS!$B$2)</f>
        <v>0</v>
      </c>
      <c r="F27" s="183">
        <f>IF($A$1="BL",0,'Peak Hours'!F27*Peak!L28*IS!$B$2)</f>
        <v>0</v>
      </c>
      <c r="G27" s="183">
        <f>IF($A$1="BL",0,'Peak Hours'!G27*Peak!M28*IS!$B$2)</f>
        <v>0</v>
      </c>
      <c r="H27" s="183">
        <f>IF($A$1="BL",0,'Peak Hours'!H27*Peak!N28*IS!$B$2)</f>
        <v>0</v>
      </c>
      <c r="I27" s="183">
        <f>IF($A$1="BL",0,'Peak Hours'!I27*Peak!O28*IS!$B$2)</f>
        <v>0</v>
      </c>
      <c r="J27" s="183">
        <f>IF($A$1="BL",0,'Peak Hours'!J27*Peak!P28*IS!$B$2)</f>
        <v>0</v>
      </c>
      <c r="K27" s="183">
        <f>IF($A$1="BL",0,'Peak Hours'!K27*Peak!Q28*IS!$B$2)</f>
        <v>0</v>
      </c>
      <c r="L27" s="183">
        <f>IF($A$1="BL",0,'Peak Hours'!L27*Peak!R28*IS!$B$2)</f>
        <v>0</v>
      </c>
      <c r="M27" s="183">
        <f>IF($A$1="BL",0,'Peak Hours'!M27*Peak!S28*IS!$B$2)</f>
        <v>0</v>
      </c>
      <c r="N27" s="183">
        <f>IF($A$1="BL",0,'Peak Hours'!N27*Peak!T28*IS!$B$2)</f>
        <v>0</v>
      </c>
      <c r="O27" s="183">
        <f>IF($A$1="BL",0,'Peak Hours'!O27*Peak!U28*IS!$B$2)</f>
        <v>0</v>
      </c>
      <c r="P27" s="183">
        <f>IF($A$1="BL",0,'Peak Hours'!P27*Peak!V28*IS!$B$2)</f>
        <v>0</v>
      </c>
      <c r="Q27" s="183">
        <f>IF($A$1="BL",0,'Peak Hours'!Q27*Peak!W28*IS!$B$2)</f>
        <v>0</v>
      </c>
      <c r="R27" s="183">
        <f>IF($A$1="BL",0,'Peak Hours'!R27*Peak!X28*IS!$B$2)</f>
        <v>0</v>
      </c>
      <c r="S27" s="183">
        <f>IF($A$1="BL",0,'Peak Hours'!S27*Peak!Y28*IS!$B$2)</f>
        <v>0</v>
      </c>
      <c r="T27" s="183">
        <f>IF($A$1="BL",0,'Peak Hours'!T27*Peak!Z28*IS!$B$2)</f>
        <v>0</v>
      </c>
      <c r="U27" s="183">
        <f>IF($A$1="BL",0,'Peak Hours'!U27*Peak!AA28*IS!$B$2)</f>
        <v>0</v>
      </c>
      <c r="V27" s="213"/>
      <c r="W27" s="211">
        <f>(IF($A$1="BL",0,Peak!C28*'Peak Hours'!V27*IS!$B$2))*-1</f>
        <v>0</v>
      </c>
      <c r="X27" s="213"/>
      <c r="Y27" s="211">
        <f>(IF($A$1="bl",0,Peak!D28*'Peak Hours'!V27*IS!$B$2))*-1</f>
        <v>0</v>
      </c>
      <c r="Z27" s="213"/>
      <c r="AA27" s="211">
        <f>(Peak!E28*'Peak Hours'!V27*IS!$B$2)*-1</f>
        <v>0</v>
      </c>
      <c r="AB27" s="210"/>
      <c r="AC27" s="211">
        <f>(Peak!F28*'Peak Hours'!V27*IS!$B$2)*-1</f>
        <v>0</v>
      </c>
      <c r="AD27" s="210"/>
    </row>
    <row r="28" spans="1:30" x14ac:dyDescent="0.2">
      <c r="A28" s="1">
        <f t="shared" si="0"/>
        <v>37087.506000000023</v>
      </c>
      <c r="B28" s="182">
        <f>IF($A$1="BL",0,'Peak Hours'!B28*Peak!H29*IS!$B$2)</f>
        <v>0</v>
      </c>
      <c r="C28" s="183">
        <f>IF($A$1="BL",0,'Peak Hours'!C28*Peak!I29*IS!$B$2)</f>
        <v>0</v>
      </c>
      <c r="D28" s="183">
        <f>IF($A$1="BL",0,'Peak Hours'!D28*Peak!J29*IS!$B$2)</f>
        <v>0</v>
      </c>
      <c r="E28" s="183">
        <f>IF($A$1="BL",0,'Peak Hours'!E28*Peak!K29*IS!$B$2)</f>
        <v>0</v>
      </c>
      <c r="F28" s="183">
        <f>IF($A$1="BL",0,'Peak Hours'!F28*Peak!L29*IS!$B$2)</f>
        <v>0</v>
      </c>
      <c r="G28" s="183">
        <f>IF($A$1="BL",0,'Peak Hours'!G28*Peak!M29*IS!$B$2)</f>
        <v>0</v>
      </c>
      <c r="H28" s="183">
        <f>IF($A$1="BL",0,'Peak Hours'!H28*Peak!N29*IS!$B$2)</f>
        <v>0</v>
      </c>
      <c r="I28" s="183">
        <f>IF($A$1="BL",0,'Peak Hours'!I28*Peak!O29*IS!$B$2)</f>
        <v>0</v>
      </c>
      <c r="J28" s="183">
        <f>IF($A$1="BL",0,'Peak Hours'!J28*Peak!P29*IS!$B$2)</f>
        <v>0</v>
      </c>
      <c r="K28" s="183">
        <f>IF($A$1="BL",0,'Peak Hours'!K28*Peak!Q29*IS!$B$2)</f>
        <v>0</v>
      </c>
      <c r="L28" s="183">
        <f>IF($A$1="BL",0,'Peak Hours'!L28*Peak!R29*IS!$B$2)</f>
        <v>0</v>
      </c>
      <c r="M28" s="183">
        <f>IF($A$1="BL",0,'Peak Hours'!M28*Peak!S29*IS!$B$2)</f>
        <v>0</v>
      </c>
      <c r="N28" s="183">
        <f>IF($A$1="BL",0,'Peak Hours'!N28*Peak!T29*IS!$B$2)</f>
        <v>0</v>
      </c>
      <c r="O28" s="183">
        <f>IF($A$1="BL",0,'Peak Hours'!O28*Peak!U29*IS!$B$2)</f>
        <v>0</v>
      </c>
      <c r="P28" s="183">
        <f>IF($A$1="BL",0,'Peak Hours'!P28*Peak!V29*IS!$B$2)</f>
        <v>0</v>
      </c>
      <c r="Q28" s="183">
        <f>IF($A$1="BL",0,'Peak Hours'!Q28*Peak!W29*IS!$B$2)</f>
        <v>0</v>
      </c>
      <c r="R28" s="183">
        <f>IF($A$1="BL",0,'Peak Hours'!R28*Peak!X29*IS!$B$2)</f>
        <v>0</v>
      </c>
      <c r="S28" s="183">
        <f>IF($A$1="BL",0,'Peak Hours'!S28*Peak!Y29*IS!$B$2)</f>
        <v>0</v>
      </c>
      <c r="T28" s="183">
        <f>IF($A$1="BL",0,'Peak Hours'!T28*Peak!Z29*IS!$B$2)</f>
        <v>0</v>
      </c>
      <c r="U28" s="183">
        <f>IF($A$1="BL",0,'Peak Hours'!U28*Peak!AA29*IS!$B$2)</f>
        <v>0</v>
      </c>
      <c r="V28" s="213"/>
      <c r="W28" s="211">
        <f>(IF($A$1="BL",0,Peak!C29*'Peak Hours'!V28*IS!$B$2))*-1</f>
        <v>0</v>
      </c>
      <c r="X28" s="213"/>
      <c r="Y28" s="211">
        <f>(IF($A$1="bl",0,Peak!D29*'Peak Hours'!V28*IS!$B$2))*-1</f>
        <v>0</v>
      </c>
      <c r="Z28" s="213"/>
      <c r="AA28" s="211">
        <f>(Peak!E29*'Peak Hours'!V28*IS!$B$2)*-1</f>
        <v>0</v>
      </c>
      <c r="AB28" s="210"/>
      <c r="AC28" s="211">
        <f>(Peak!F29*'Peak Hours'!V28*IS!$B$2)*-1</f>
        <v>0</v>
      </c>
      <c r="AD28" s="210"/>
    </row>
    <row r="29" spans="1:30" x14ac:dyDescent="0.2">
      <c r="A29" s="1">
        <f t="shared" si="0"/>
        <v>37117.923000000024</v>
      </c>
      <c r="B29" s="182">
        <f>IF($A$1="BL",0,'Peak Hours'!B29*Peak!H30*IS!$B$2)</f>
        <v>0</v>
      </c>
      <c r="C29" s="183">
        <f>IF($A$1="BL",0,'Peak Hours'!C29*Peak!I30*IS!$B$2)</f>
        <v>0</v>
      </c>
      <c r="D29" s="183">
        <f>IF($A$1="BL",0,'Peak Hours'!D29*Peak!J30*IS!$B$2)</f>
        <v>0</v>
      </c>
      <c r="E29" s="183">
        <f>IF($A$1="BL",0,'Peak Hours'!E29*Peak!K30*IS!$B$2)</f>
        <v>0</v>
      </c>
      <c r="F29" s="183">
        <f>IF($A$1="BL",0,'Peak Hours'!F29*Peak!L30*IS!$B$2)</f>
        <v>0</v>
      </c>
      <c r="G29" s="183">
        <f>IF($A$1="BL",0,'Peak Hours'!G29*Peak!M30*IS!$B$2)</f>
        <v>0</v>
      </c>
      <c r="H29" s="183">
        <f>IF($A$1="BL",0,'Peak Hours'!H29*Peak!N30*IS!$B$2)</f>
        <v>0</v>
      </c>
      <c r="I29" s="183">
        <f>IF($A$1="BL",0,'Peak Hours'!I29*Peak!O30*IS!$B$2)</f>
        <v>0</v>
      </c>
      <c r="J29" s="183">
        <f>IF($A$1="BL",0,'Peak Hours'!J29*Peak!P30*IS!$B$2)</f>
        <v>0</v>
      </c>
      <c r="K29" s="183">
        <f>IF($A$1="BL",0,'Peak Hours'!K29*Peak!Q30*IS!$B$2)</f>
        <v>0</v>
      </c>
      <c r="L29" s="183">
        <f>IF($A$1="BL",0,'Peak Hours'!L29*Peak!R30*IS!$B$2)</f>
        <v>0</v>
      </c>
      <c r="M29" s="183">
        <f>IF($A$1="BL",0,'Peak Hours'!M29*Peak!S30*IS!$B$2)</f>
        <v>0</v>
      </c>
      <c r="N29" s="183">
        <f>IF($A$1="BL",0,'Peak Hours'!N29*Peak!T30*IS!$B$2)</f>
        <v>0</v>
      </c>
      <c r="O29" s="183">
        <f>IF($A$1="BL",0,'Peak Hours'!O29*Peak!U30*IS!$B$2)</f>
        <v>0</v>
      </c>
      <c r="P29" s="183">
        <f>IF($A$1="BL",0,'Peak Hours'!P29*Peak!V30*IS!$B$2)</f>
        <v>0</v>
      </c>
      <c r="Q29" s="183">
        <f>IF($A$1="BL",0,'Peak Hours'!Q29*Peak!W30*IS!$B$2)</f>
        <v>0</v>
      </c>
      <c r="R29" s="183">
        <f>IF($A$1="BL",0,'Peak Hours'!R29*Peak!X30*IS!$B$2)</f>
        <v>0</v>
      </c>
      <c r="S29" s="183">
        <f>IF($A$1="BL",0,'Peak Hours'!S29*Peak!Y30*IS!$B$2)</f>
        <v>0</v>
      </c>
      <c r="T29" s="183">
        <f>IF($A$1="BL",0,'Peak Hours'!T29*Peak!Z30*IS!$B$2)</f>
        <v>0</v>
      </c>
      <c r="U29" s="183">
        <f>IF($A$1="BL",0,'Peak Hours'!U29*Peak!AA30*IS!$B$2)</f>
        <v>0</v>
      </c>
      <c r="V29" s="213"/>
      <c r="W29" s="211">
        <f>(IF($A$1="BL",0,Peak!C30*'Peak Hours'!V29*IS!$B$2))*-1</f>
        <v>0</v>
      </c>
      <c r="X29" s="213"/>
      <c r="Y29" s="211">
        <f>(IF($A$1="bl",0,Peak!D30*'Peak Hours'!V29*IS!$B$2))*-1</f>
        <v>0</v>
      </c>
      <c r="Z29" s="213"/>
      <c r="AA29" s="211">
        <f>(Peak!E30*'Peak Hours'!V29*IS!$B$2)*-1</f>
        <v>0</v>
      </c>
      <c r="AB29" s="210"/>
      <c r="AC29" s="211">
        <f>(Peak!F30*'Peak Hours'!V29*IS!$B$2)*-1</f>
        <v>0</v>
      </c>
      <c r="AD29" s="210"/>
    </row>
    <row r="30" spans="1:30" x14ac:dyDescent="0.2">
      <c r="A30" s="1">
        <f t="shared" si="0"/>
        <v>37148.340000000026</v>
      </c>
      <c r="B30" s="182">
        <f>IF($A$1="BL",0,'Peak Hours'!B30*Peak!H31*IS!$B$2)</f>
        <v>0</v>
      </c>
      <c r="C30" s="183">
        <f>IF($A$1="BL",0,'Peak Hours'!C30*Peak!I31*IS!$B$2)</f>
        <v>0</v>
      </c>
      <c r="D30" s="183">
        <f>IF($A$1="BL",0,'Peak Hours'!D30*Peak!J31*IS!$B$2)</f>
        <v>0</v>
      </c>
      <c r="E30" s="183">
        <f>IF($A$1="BL",0,'Peak Hours'!E30*Peak!K31*IS!$B$2)</f>
        <v>0</v>
      </c>
      <c r="F30" s="183">
        <f>IF($A$1="BL",0,'Peak Hours'!F30*Peak!L31*IS!$B$2)</f>
        <v>0</v>
      </c>
      <c r="G30" s="183">
        <f>IF($A$1="BL",0,'Peak Hours'!G30*Peak!M31*IS!$B$2)</f>
        <v>0</v>
      </c>
      <c r="H30" s="183">
        <f>IF($A$1="BL",0,'Peak Hours'!H30*Peak!N31*IS!$B$2)</f>
        <v>0</v>
      </c>
      <c r="I30" s="183">
        <f>IF($A$1="BL",0,'Peak Hours'!I30*Peak!O31*IS!$B$2)</f>
        <v>0</v>
      </c>
      <c r="J30" s="183">
        <f>IF($A$1="BL",0,'Peak Hours'!J30*Peak!P31*IS!$B$2)</f>
        <v>0</v>
      </c>
      <c r="K30" s="183">
        <f>IF($A$1="BL",0,'Peak Hours'!K30*Peak!Q31*IS!$B$2)</f>
        <v>0</v>
      </c>
      <c r="L30" s="183">
        <f>IF($A$1="BL",0,'Peak Hours'!L30*Peak!R31*IS!$B$2)</f>
        <v>0</v>
      </c>
      <c r="M30" s="183">
        <f>IF($A$1="BL",0,'Peak Hours'!M30*Peak!S31*IS!$B$2)</f>
        <v>0</v>
      </c>
      <c r="N30" s="183">
        <f>IF($A$1="BL",0,'Peak Hours'!N30*Peak!T31*IS!$B$2)</f>
        <v>0</v>
      </c>
      <c r="O30" s="183">
        <f>IF($A$1="BL",0,'Peak Hours'!O30*Peak!U31*IS!$B$2)</f>
        <v>0</v>
      </c>
      <c r="P30" s="183">
        <f>IF($A$1="BL",0,'Peak Hours'!P30*Peak!V31*IS!$B$2)</f>
        <v>0</v>
      </c>
      <c r="Q30" s="183">
        <f>IF($A$1="BL",0,'Peak Hours'!Q30*Peak!W31*IS!$B$2)</f>
        <v>0</v>
      </c>
      <c r="R30" s="183">
        <f>IF($A$1="BL",0,'Peak Hours'!R30*Peak!X31*IS!$B$2)</f>
        <v>0</v>
      </c>
      <c r="S30" s="183">
        <f>IF($A$1="BL",0,'Peak Hours'!S30*Peak!Y31*IS!$B$2)</f>
        <v>0</v>
      </c>
      <c r="T30" s="183">
        <f>IF($A$1="BL",0,'Peak Hours'!T30*Peak!Z31*IS!$B$2)</f>
        <v>0</v>
      </c>
      <c r="U30" s="183">
        <f>IF($A$1="BL",0,'Peak Hours'!U30*Peak!AA31*IS!$B$2)</f>
        <v>0</v>
      </c>
      <c r="V30" s="213"/>
      <c r="W30" s="211">
        <f>(IF($A$1="BL",0,Peak!C31*'Peak Hours'!V30*IS!$B$2))*-1</f>
        <v>0</v>
      </c>
      <c r="X30" s="213"/>
      <c r="Y30" s="211">
        <f>(IF($A$1="bl",0,Peak!D31*'Peak Hours'!V30*IS!$B$2))*-1</f>
        <v>0</v>
      </c>
      <c r="Z30" s="213"/>
      <c r="AA30" s="211">
        <f>(Peak!E31*'Peak Hours'!V30*IS!$B$2)*-1</f>
        <v>0</v>
      </c>
      <c r="AB30" s="210"/>
      <c r="AC30" s="211">
        <f>(Peak!F31*'Peak Hours'!V30*IS!$B$2)*-1</f>
        <v>0</v>
      </c>
      <c r="AD30" s="210"/>
    </row>
    <row r="31" spans="1:30" x14ac:dyDescent="0.2">
      <c r="A31" s="1">
        <f t="shared" si="0"/>
        <v>37178.757000000027</v>
      </c>
      <c r="B31" s="182">
        <f>IF($A$1="BL",0,'Peak Hours'!B31*Peak!H32*IS!$B$2)</f>
        <v>0</v>
      </c>
      <c r="C31" s="183">
        <f>IF($A$1="BL",0,'Peak Hours'!C31*Peak!I32*IS!$B$2)</f>
        <v>0</v>
      </c>
      <c r="D31" s="183">
        <f>IF($A$1="BL",0,'Peak Hours'!D31*Peak!J32*IS!$B$2)</f>
        <v>0</v>
      </c>
      <c r="E31" s="183">
        <f>IF($A$1="BL",0,'Peak Hours'!E31*Peak!K32*IS!$B$2)</f>
        <v>0</v>
      </c>
      <c r="F31" s="183">
        <f>IF($A$1="BL",0,'Peak Hours'!F31*Peak!L32*IS!$B$2)</f>
        <v>0</v>
      </c>
      <c r="G31" s="183">
        <f>IF($A$1="BL",0,'Peak Hours'!G31*Peak!M32*IS!$B$2)</f>
        <v>0</v>
      </c>
      <c r="H31" s="183">
        <f>IF($A$1="BL",0,'Peak Hours'!H31*Peak!N32*IS!$B$2)</f>
        <v>0</v>
      </c>
      <c r="I31" s="183">
        <f>IF($A$1="BL",0,'Peak Hours'!I31*Peak!O32*IS!$B$2)</f>
        <v>0</v>
      </c>
      <c r="J31" s="183">
        <f>IF($A$1="BL",0,'Peak Hours'!J31*Peak!P32*IS!$B$2)</f>
        <v>0</v>
      </c>
      <c r="K31" s="183">
        <f>IF($A$1="BL",0,'Peak Hours'!K31*Peak!Q32*IS!$B$2)</f>
        <v>0</v>
      </c>
      <c r="L31" s="183">
        <f>IF($A$1="BL",0,'Peak Hours'!L31*Peak!R32*IS!$B$2)</f>
        <v>0</v>
      </c>
      <c r="M31" s="183">
        <f>IF($A$1="BL",0,'Peak Hours'!M31*Peak!S32*IS!$B$2)</f>
        <v>0</v>
      </c>
      <c r="N31" s="183">
        <f>IF($A$1="BL",0,'Peak Hours'!N31*Peak!T32*IS!$B$2)</f>
        <v>0</v>
      </c>
      <c r="O31" s="183">
        <f>IF($A$1="BL",0,'Peak Hours'!O31*Peak!U32*IS!$B$2)</f>
        <v>0</v>
      </c>
      <c r="P31" s="183">
        <f>IF($A$1="BL",0,'Peak Hours'!P31*Peak!V32*IS!$B$2)</f>
        <v>0</v>
      </c>
      <c r="Q31" s="183">
        <f>IF($A$1="BL",0,'Peak Hours'!Q31*Peak!W32*IS!$B$2)</f>
        <v>0</v>
      </c>
      <c r="R31" s="183">
        <f>IF($A$1="BL",0,'Peak Hours'!R31*Peak!X32*IS!$B$2)</f>
        <v>0</v>
      </c>
      <c r="S31" s="183">
        <f>IF($A$1="BL",0,'Peak Hours'!S31*Peak!Y32*IS!$B$2)</f>
        <v>0</v>
      </c>
      <c r="T31" s="183">
        <f>IF($A$1="BL",0,'Peak Hours'!T31*Peak!Z32*IS!$B$2)</f>
        <v>0</v>
      </c>
      <c r="U31" s="183">
        <f>IF($A$1="BL",0,'Peak Hours'!U31*Peak!AA32*IS!$B$2)</f>
        <v>0</v>
      </c>
      <c r="V31" s="213"/>
      <c r="W31" s="211">
        <f>(IF($A$1="BL",0,Peak!C32*'Peak Hours'!V31*IS!$B$2))*-1</f>
        <v>0</v>
      </c>
      <c r="X31" s="213"/>
      <c r="Y31" s="211">
        <f>(IF($A$1="bl",0,Peak!D32*'Peak Hours'!V31*IS!$B$2))*-1</f>
        <v>0</v>
      </c>
      <c r="Z31" s="213"/>
      <c r="AA31" s="211">
        <f>(Peak!E32*'Peak Hours'!V31*IS!$B$2)*-1</f>
        <v>0</v>
      </c>
      <c r="AB31" s="210"/>
      <c r="AC31" s="211">
        <f>(Peak!F32*'Peak Hours'!V31*IS!$B$2)*-1</f>
        <v>0</v>
      </c>
      <c r="AD31" s="210"/>
    </row>
    <row r="32" spans="1:30" x14ac:dyDescent="0.2">
      <c r="A32" s="1">
        <f t="shared" si="0"/>
        <v>37209.174000000028</v>
      </c>
      <c r="B32" s="182">
        <f>IF($A$1="BL",0,'Peak Hours'!B32*Peak!H33*IS!$B$2)</f>
        <v>0</v>
      </c>
      <c r="C32" s="183">
        <f>IF($A$1="BL",0,'Peak Hours'!C32*Peak!I33*IS!$B$2)</f>
        <v>0</v>
      </c>
      <c r="D32" s="183">
        <f>IF($A$1="BL",0,'Peak Hours'!D32*Peak!J33*IS!$B$2)</f>
        <v>0</v>
      </c>
      <c r="E32" s="183">
        <f>IF($A$1="BL",0,'Peak Hours'!E32*Peak!K33*IS!$B$2)</f>
        <v>0</v>
      </c>
      <c r="F32" s="183">
        <f>IF($A$1="BL",0,'Peak Hours'!F32*Peak!L33*IS!$B$2)</f>
        <v>0</v>
      </c>
      <c r="G32" s="183">
        <f>IF($A$1="BL",0,'Peak Hours'!G32*Peak!M33*IS!$B$2)</f>
        <v>0</v>
      </c>
      <c r="H32" s="183">
        <f>IF($A$1="BL",0,'Peak Hours'!H32*Peak!N33*IS!$B$2)</f>
        <v>0</v>
      </c>
      <c r="I32" s="183">
        <f>IF($A$1="BL",0,'Peak Hours'!I32*Peak!O33*IS!$B$2)</f>
        <v>0</v>
      </c>
      <c r="J32" s="183">
        <f>IF($A$1="BL",0,'Peak Hours'!J32*Peak!P33*IS!$B$2)</f>
        <v>0</v>
      </c>
      <c r="K32" s="183">
        <f>IF($A$1="BL",0,'Peak Hours'!K32*Peak!Q33*IS!$B$2)</f>
        <v>0</v>
      </c>
      <c r="L32" s="183">
        <f>IF($A$1="BL",0,'Peak Hours'!L32*Peak!R33*IS!$B$2)</f>
        <v>0</v>
      </c>
      <c r="M32" s="183">
        <f>IF($A$1="BL",0,'Peak Hours'!M32*Peak!S33*IS!$B$2)</f>
        <v>0</v>
      </c>
      <c r="N32" s="183">
        <f>IF($A$1="BL",0,'Peak Hours'!N32*Peak!T33*IS!$B$2)</f>
        <v>0</v>
      </c>
      <c r="O32" s="183">
        <f>IF($A$1="BL",0,'Peak Hours'!O32*Peak!U33*IS!$B$2)</f>
        <v>0</v>
      </c>
      <c r="P32" s="183">
        <f>IF($A$1="BL",0,'Peak Hours'!P32*Peak!V33*IS!$B$2)</f>
        <v>0</v>
      </c>
      <c r="Q32" s="183">
        <f>IF($A$1="BL",0,'Peak Hours'!Q32*Peak!W33*IS!$B$2)</f>
        <v>0</v>
      </c>
      <c r="R32" s="183">
        <f>IF($A$1="BL",0,'Peak Hours'!R32*Peak!X33*IS!$B$2)</f>
        <v>0</v>
      </c>
      <c r="S32" s="183">
        <f>IF($A$1="BL",0,'Peak Hours'!S32*Peak!Y33*IS!$B$2)</f>
        <v>0</v>
      </c>
      <c r="T32" s="183">
        <f>IF($A$1="BL",0,'Peak Hours'!T32*Peak!Z33*IS!$B$2)</f>
        <v>0</v>
      </c>
      <c r="U32" s="183">
        <f>IF($A$1="BL",0,'Peak Hours'!U32*Peak!AA33*IS!$B$2)</f>
        <v>0</v>
      </c>
      <c r="V32" s="213"/>
      <c r="W32" s="211">
        <f>(IF($A$1="BL",0,Peak!C33*'Peak Hours'!V32*IS!$B$2))*-1</f>
        <v>0</v>
      </c>
      <c r="X32" s="213"/>
      <c r="Y32" s="211">
        <f>(IF($A$1="bl",0,Peak!D33*'Peak Hours'!V32*IS!$B$2))*-1</f>
        <v>0</v>
      </c>
      <c r="Z32" s="213"/>
      <c r="AA32" s="211">
        <f>(Peak!E33*'Peak Hours'!V32*IS!$B$2)*-1</f>
        <v>0</v>
      </c>
      <c r="AB32" s="210"/>
      <c r="AC32" s="211">
        <f>(Peak!F33*'Peak Hours'!V32*IS!$B$2)*-1</f>
        <v>0</v>
      </c>
      <c r="AD32" s="210"/>
    </row>
    <row r="33" spans="1:30" x14ac:dyDescent="0.2">
      <c r="A33" s="1">
        <f t="shared" si="0"/>
        <v>37239.591000000029</v>
      </c>
      <c r="B33" s="182">
        <f>IF($A$1="BL",0,'Peak Hours'!B33*Peak!H34*IS!$B$2)</f>
        <v>0</v>
      </c>
      <c r="C33" s="183">
        <f>IF($A$1="BL",0,'Peak Hours'!C33*Peak!I34*IS!$B$2)</f>
        <v>0</v>
      </c>
      <c r="D33" s="183">
        <f>IF($A$1="BL",0,'Peak Hours'!D33*Peak!J34*IS!$B$2)</f>
        <v>0</v>
      </c>
      <c r="E33" s="183">
        <f>IF($A$1="BL",0,'Peak Hours'!E33*Peak!K34*IS!$B$2)</f>
        <v>0</v>
      </c>
      <c r="F33" s="183">
        <f>IF($A$1="BL",0,'Peak Hours'!F33*Peak!L34*IS!$B$2)</f>
        <v>0</v>
      </c>
      <c r="G33" s="183">
        <f>IF($A$1="BL",0,'Peak Hours'!G33*Peak!M34*IS!$B$2)</f>
        <v>0</v>
      </c>
      <c r="H33" s="183">
        <f>IF($A$1="BL",0,'Peak Hours'!H33*Peak!N34*IS!$B$2)</f>
        <v>0</v>
      </c>
      <c r="I33" s="183">
        <f>IF($A$1="BL",0,'Peak Hours'!I33*Peak!O34*IS!$B$2)</f>
        <v>0</v>
      </c>
      <c r="J33" s="183">
        <f>IF($A$1="BL",0,'Peak Hours'!J33*Peak!P34*IS!$B$2)</f>
        <v>0</v>
      </c>
      <c r="K33" s="183">
        <f>IF($A$1="BL",0,'Peak Hours'!K33*Peak!Q34*IS!$B$2)</f>
        <v>0</v>
      </c>
      <c r="L33" s="183">
        <f>IF($A$1="BL",0,'Peak Hours'!L33*Peak!R34*IS!$B$2)</f>
        <v>0</v>
      </c>
      <c r="M33" s="183">
        <f>IF($A$1="BL",0,'Peak Hours'!M33*Peak!S34*IS!$B$2)</f>
        <v>0</v>
      </c>
      <c r="N33" s="183">
        <f>IF($A$1="BL",0,'Peak Hours'!N33*Peak!T34*IS!$B$2)</f>
        <v>0</v>
      </c>
      <c r="O33" s="183">
        <f>IF($A$1="BL",0,'Peak Hours'!O33*Peak!U34*IS!$B$2)</f>
        <v>0</v>
      </c>
      <c r="P33" s="183">
        <f>IF($A$1="BL",0,'Peak Hours'!P33*Peak!V34*IS!$B$2)</f>
        <v>0</v>
      </c>
      <c r="Q33" s="183">
        <f>IF($A$1="BL",0,'Peak Hours'!Q33*Peak!W34*IS!$B$2)</f>
        <v>0</v>
      </c>
      <c r="R33" s="183">
        <f>IF($A$1="BL",0,'Peak Hours'!R33*Peak!X34*IS!$B$2)</f>
        <v>0</v>
      </c>
      <c r="S33" s="183">
        <f>IF($A$1="BL",0,'Peak Hours'!S33*Peak!Y34*IS!$B$2)</f>
        <v>0</v>
      </c>
      <c r="T33" s="183">
        <f>IF($A$1="BL",0,'Peak Hours'!T33*Peak!Z34*IS!$B$2)</f>
        <v>0</v>
      </c>
      <c r="U33" s="183">
        <f>IF($A$1="BL",0,'Peak Hours'!U33*Peak!AA34*IS!$B$2)</f>
        <v>0</v>
      </c>
      <c r="V33" s="214">
        <f>SUM(B22:U33)</f>
        <v>0</v>
      </c>
      <c r="W33" s="211">
        <f>(IF($A$1="BL",0,Peak!C34*'Peak Hours'!V33*IS!$B$2))*-1</f>
        <v>0</v>
      </c>
      <c r="X33" s="214">
        <f>SUM(W22:W33)</f>
        <v>0</v>
      </c>
      <c r="Y33" s="211">
        <f>(IF($A$1="bl",0,Peak!D34*'Peak Hours'!V33*IS!$B$2))*-1</f>
        <v>0</v>
      </c>
      <c r="Z33" s="214">
        <f>SUM(Y22:Y33)</f>
        <v>0</v>
      </c>
      <c r="AA33" s="211">
        <f>(Peak!E34*'Peak Hours'!V33*IS!$B$2)*-1</f>
        <v>0</v>
      </c>
      <c r="AB33" s="211">
        <f>SUM(AA22:AA33)</f>
        <v>0</v>
      </c>
      <c r="AC33" s="211">
        <f>(Peak!F34*'Peak Hours'!V33*IS!$B$2)*-1</f>
        <v>0</v>
      </c>
      <c r="AD33" s="211">
        <f>SUM(AC22:AC33)</f>
        <v>0</v>
      </c>
    </row>
    <row r="34" spans="1:30" x14ac:dyDescent="0.2">
      <c r="A34" s="1">
        <f t="shared" si="0"/>
        <v>37270.008000000031</v>
      </c>
      <c r="B34" s="182">
        <f>IF($A$1="BL",0,'Peak Hours'!B34*Peak!H35*IS!$B$2)</f>
        <v>0</v>
      </c>
      <c r="C34" s="183">
        <f>IF($A$1="BL",0,'Peak Hours'!C34*Peak!I35*IS!$B$2)</f>
        <v>0</v>
      </c>
      <c r="D34" s="183">
        <f>IF($A$1="BL",0,'Peak Hours'!D34*Peak!J35*IS!$B$2)</f>
        <v>0</v>
      </c>
      <c r="E34" s="183">
        <f>IF($A$1="BL",0,'Peak Hours'!E34*Peak!K35*IS!$B$2)</f>
        <v>0</v>
      </c>
      <c r="F34" s="183">
        <f>IF($A$1="BL",0,'Peak Hours'!F34*Peak!L35*IS!$B$2)</f>
        <v>0</v>
      </c>
      <c r="G34" s="183">
        <f>IF($A$1="BL",0,'Peak Hours'!G34*Peak!M35*IS!$B$2)</f>
        <v>0</v>
      </c>
      <c r="H34" s="183">
        <f>IF($A$1="BL",0,'Peak Hours'!H34*Peak!N35*IS!$B$2)</f>
        <v>0</v>
      </c>
      <c r="I34" s="183">
        <f>IF($A$1="BL",0,'Peak Hours'!I34*Peak!O35*IS!$B$2)</f>
        <v>0</v>
      </c>
      <c r="J34" s="183">
        <f>IF($A$1="BL",0,'Peak Hours'!J34*Peak!P35*IS!$B$2)</f>
        <v>0</v>
      </c>
      <c r="K34" s="183">
        <f>IF($A$1="BL",0,'Peak Hours'!K34*Peak!Q35*IS!$B$2)</f>
        <v>0</v>
      </c>
      <c r="L34" s="183">
        <f>IF($A$1="BL",0,'Peak Hours'!L34*Peak!R35*IS!$B$2)</f>
        <v>0</v>
      </c>
      <c r="M34" s="183">
        <f>IF($A$1="BL",0,'Peak Hours'!M34*Peak!S35*IS!$B$2)</f>
        <v>0</v>
      </c>
      <c r="N34" s="183">
        <f>IF($A$1="BL",0,'Peak Hours'!N34*Peak!T35*IS!$B$2)</f>
        <v>0</v>
      </c>
      <c r="O34" s="183">
        <f>IF($A$1="BL",0,'Peak Hours'!O34*Peak!U35*IS!$B$2)</f>
        <v>0</v>
      </c>
      <c r="P34" s="183">
        <f>IF($A$1="BL",0,'Peak Hours'!P34*Peak!V35*IS!$B$2)</f>
        <v>0</v>
      </c>
      <c r="Q34" s="183">
        <f>IF($A$1="BL",0,'Peak Hours'!Q34*Peak!W35*IS!$B$2)</f>
        <v>0</v>
      </c>
      <c r="R34" s="183">
        <f>IF($A$1="BL",0,'Peak Hours'!R34*Peak!X35*IS!$B$2)</f>
        <v>0</v>
      </c>
      <c r="S34" s="183">
        <f>IF($A$1="BL",0,'Peak Hours'!S34*Peak!Y35*IS!$B$2)</f>
        <v>0</v>
      </c>
      <c r="T34" s="183">
        <f>IF($A$1="BL",0,'Peak Hours'!T34*Peak!Z35*IS!$B$2)</f>
        <v>0</v>
      </c>
      <c r="U34" s="183">
        <f>IF($A$1="BL",0,'Peak Hours'!U34*Peak!AA35*IS!$B$2)</f>
        <v>0</v>
      </c>
      <c r="V34" s="213"/>
      <c r="W34" s="211">
        <f>(IF($A$1="BL",0,Peak!C35*'Peak Hours'!V34*IS!$B$2))*-1</f>
        <v>0</v>
      </c>
      <c r="X34" s="213"/>
      <c r="Y34" s="211">
        <f>(IF($A$1="bl",0,Peak!D35*'Peak Hours'!V34*IS!$B$2))*-1</f>
        <v>0</v>
      </c>
      <c r="Z34" s="213"/>
      <c r="AA34" s="211">
        <f>(Peak!E35*'Peak Hours'!V34*IS!$B$2)*-1</f>
        <v>0</v>
      </c>
      <c r="AB34" s="210"/>
      <c r="AC34" s="211">
        <f>(Peak!F35*'Peak Hours'!V34*IS!$B$2)*-1</f>
        <v>0</v>
      </c>
      <c r="AD34" s="210"/>
    </row>
    <row r="35" spans="1:30" x14ac:dyDescent="0.2">
      <c r="A35" s="1">
        <f t="shared" si="0"/>
        <v>37300.425000000032</v>
      </c>
      <c r="B35" s="182">
        <f>IF($A$1="BL",0,'Peak Hours'!B35*Peak!H36*IS!$B$2)</f>
        <v>0</v>
      </c>
      <c r="C35" s="183">
        <f>IF($A$1="BL",0,'Peak Hours'!C35*Peak!I36*IS!$B$2)</f>
        <v>0</v>
      </c>
      <c r="D35" s="183">
        <f>IF($A$1="BL",0,'Peak Hours'!D35*Peak!J36*IS!$B$2)</f>
        <v>0</v>
      </c>
      <c r="E35" s="183">
        <f>IF($A$1="BL",0,'Peak Hours'!E35*Peak!K36*IS!$B$2)</f>
        <v>0</v>
      </c>
      <c r="F35" s="183">
        <f>IF($A$1="BL",0,'Peak Hours'!F35*Peak!L36*IS!$B$2)</f>
        <v>0</v>
      </c>
      <c r="G35" s="183">
        <f>IF($A$1="BL",0,'Peak Hours'!G35*Peak!M36*IS!$B$2)</f>
        <v>0</v>
      </c>
      <c r="H35" s="183">
        <f>IF($A$1="BL",0,'Peak Hours'!H35*Peak!N36*IS!$B$2)</f>
        <v>0</v>
      </c>
      <c r="I35" s="183">
        <f>IF($A$1="BL",0,'Peak Hours'!I35*Peak!O36*IS!$B$2)</f>
        <v>0</v>
      </c>
      <c r="J35" s="183">
        <f>IF($A$1="BL",0,'Peak Hours'!J35*Peak!P36*IS!$B$2)</f>
        <v>0</v>
      </c>
      <c r="K35" s="183">
        <f>IF($A$1="BL",0,'Peak Hours'!K35*Peak!Q36*IS!$B$2)</f>
        <v>0</v>
      </c>
      <c r="L35" s="183">
        <f>IF($A$1="BL",0,'Peak Hours'!L35*Peak!R36*IS!$B$2)</f>
        <v>0</v>
      </c>
      <c r="M35" s="183">
        <f>IF($A$1="BL",0,'Peak Hours'!M35*Peak!S36*IS!$B$2)</f>
        <v>0</v>
      </c>
      <c r="N35" s="183">
        <f>IF($A$1="BL",0,'Peak Hours'!N35*Peak!T36*IS!$B$2)</f>
        <v>0</v>
      </c>
      <c r="O35" s="183">
        <f>IF($A$1="BL",0,'Peak Hours'!O35*Peak!U36*IS!$B$2)</f>
        <v>0</v>
      </c>
      <c r="P35" s="183">
        <f>IF($A$1="BL",0,'Peak Hours'!P35*Peak!V36*IS!$B$2)</f>
        <v>0</v>
      </c>
      <c r="Q35" s="183">
        <f>IF($A$1="BL",0,'Peak Hours'!Q35*Peak!W36*IS!$B$2)</f>
        <v>0</v>
      </c>
      <c r="R35" s="183">
        <f>IF($A$1="BL",0,'Peak Hours'!R35*Peak!X36*IS!$B$2)</f>
        <v>0</v>
      </c>
      <c r="S35" s="183">
        <f>IF($A$1="BL",0,'Peak Hours'!S35*Peak!Y36*IS!$B$2)</f>
        <v>0</v>
      </c>
      <c r="T35" s="183">
        <f>IF($A$1="BL",0,'Peak Hours'!T35*Peak!Z36*IS!$B$2)</f>
        <v>0</v>
      </c>
      <c r="U35" s="183">
        <f>IF($A$1="BL",0,'Peak Hours'!U35*Peak!AA36*IS!$B$2)</f>
        <v>0</v>
      </c>
      <c r="V35" s="213"/>
      <c r="W35" s="211">
        <f>(IF($A$1="BL",0,Peak!C36*'Peak Hours'!V35*IS!$B$2))*-1</f>
        <v>0</v>
      </c>
      <c r="X35" s="213"/>
      <c r="Y35" s="211">
        <f>(IF($A$1="bl",0,Peak!D36*'Peak Hours'!V35*IS!$B$2))*-1</f>
        <v>0</v>
      </c>
      <c r="Z35" s="213"/>
      <c r="AA35" s="211">
        <f>(Peak!E36*'Peak Hours'!V35*IS!$B$2)*-1</f>
        <v>0</v>
      </c>
      <c r="AB35" s="210"/>
      <c r="AC35" s="211">
        <f>(Peak!F36*'Peak Hours'!V35*IS!$B$2)*-1</f>
        <v>0</v>
      </c>
      <c r="AD35" s="210"/>
    </row>
    <row r="36" spans="1:30" x14ac:dyDescent="0.2">
      <c r="A36" s="1">
        <f t="shared" si="0"/>
        <v>37330.842000000033</v>
      </c>
      <c r="B36" s="182">
        <f>IF($A$1="BL",0,'Peak Hours'!B36*Peak!H37*IS!$B$2)</f>
        <v>0</v>
      </c>
      <c r="C36" s="183">
        <f>IF($A$1="BL",0,'Peak Hours'!C36*Peak!I37*IS!$B$2)</f>
        <v>0</v>
      </c>
      <c r="D36" s="183">
        <f>IF($A$1="BL",0,'Peak Hours'!D36*Peak!J37*IS!$B$2)</f>
        <v>0</v>
      </c>
      <c r="E36" s="183">
        <f>IF($A$1="BL",0,'Peak Hours'!E36*Peak!K37*IS!$B$2)</f>
        <v>0</v>
      </c>
      <c r="F36" s="183">
        <f>IF($A$1="BL",0,'Peak Hours'!F36*Peak!L37*IS!$B$2)</f>
        <v>0</v>
      </c>
      <c r="G36" s="183">
        <f>IF($A$1="BL",0,'Peak Hours'!G36*Peak!M37*IS!$B$2)</f>
        <v>0</v>
      </c>
      <c r="H36" s="183">
        <f>IF($A$1="BL",0,'Peak Hours'!H36*Peak!N37*IS!$B$2)</f>
        <v>0</v>
      </c>
      <c r="I36" s="183">
        <f>IF($A$1="BL",0,'Peak Hours'!I36*Peak!O37*IS!$B$2)</f>
        <v>0</v>
      </c>
      <c r="J36" s="183">
        <f>IF($A$1="BL",0,'Peak Hours'!J36*Peak!P37*IS!$B$2)</f>
        <v>0</v>
      </c>
      <c r="K36" s="183">
        <f>IF($A$1="BL",0,'Peak Hours'!K36*Peak!Q37*IS!$B$2)</f>
        <v>0</v>
      </c>
      <c r="L36" s="183">
        <f>IF($A$1="BL",0,'Peak Hours'!L36*Peak!R37*IS!$B$2)</f>
        <v>0</v>
      </c>
      <c r="M36" s="183">
        <f>IF($A$1="BL",0,'Peak Hours'!M36*Peak!S37*IS!$B$2)</f>
        <v>0</v>
      </c>
      <c r="N36" s="183">
        <f>IF($A$1="BL",0,'Peak Hours'!N36*Peak!T37*IS!$B$2)</f>
        <v>0</v>
      </c>
      <c r="O36" s="183">
        <f>IF($A$1="BL",0,'Peak Hours'!O36*Peak!U37*IS!$B$2)</f>
        <v>0</v>
      </c>
      <c r="P36" s="183">
        <f>IF($A$1="BL",0,'Peak Hours'!P36*Peak!V37*IS!$B$2)</f>
        <v>0</v>
      </c>
      <c r="Q36" s="183">
        <f>IF($A$1="BL",0,'Peak Hours'!Q36*Peak!W37*IS!$B$2)</f>
        <v>0</v>
      </c>
      <c r="R36" s="183">
        <f>IF($A$1="BL",0,'Peak Hours'!R36*Peak!X37*IS!$B$2)</f>
        <v>0</v>
      </c>
      <c r="S36" s="183">
        <f>IF($A$1="BL",0,'Peak Hours'!S36*Peak!Y37*IS!$B$2)</f>
        <v>0</v>
      </c>
      <c r="T36" s="183">
        <f>IF($A$1="BL",0,'Peak Hours'!T36*Peak!Z37*IS!$B$2)</f>
        <v>0</v>
      </c>
      <c r="U36" s="183">
        <f>IF($A$1="BL",0,'Peak Hours'!U36*Peak!AA37*IS!$B$2)</f>
        <v>0</v>
      </c>
      <c r="V36" s="213"/>
      <c r="W36" s="211">
        <f>(IF($A$1="BL",0,Peak!C37*'Peak Hours'!V36*IS!$B$2))*-1</f>
        <v>0</v>
      </c>
      <c r="X36" s="213"/>
      <c r="Y36" s="211">
        <f>(IF($A$1="bl",0,Peak!D37*'Peak Hours'!V36*IS!$B$2))*-1</f>
        <v>0</v>
      </c>
      <c r="Z36" s="213"/>
      <c r="AA36" s="211">
        <f>(Peak!E37*'Peak Hours'!V36*IS!$B$2)*-1</f>
        <v>0</v>
      </c>
      <c r="AB36" s="210"/>
      <c r="AC36" s="211">
        <f>(Peak!F37*'Peak Hours'!V36*IS!$B$2)*-1</f>
        <v>0</v>
      </c>
      <c r="AD36" s="210"/>
    </row>
    <row r="37" spans="1:30" x14ac:dyDescent="0.2">
      <c r="A37" s="1">
        <f t="shared" si="0"/>
        <v>37361.259000000035</v>
      </c>
      <c r="B37" s="182">
        <f>IF($A$1="BL",0,'Peak Hours'!B37*Peak!H38*IS!$B$2)</f>
        <v>0</v>
      </c>
      <c r="C37" s="183">
        <f>IF($A$1="BL",0,'Peak Hours'!C37*Peak!I38*IS!$B$2)</f>
        <v>0</v>
      </c>
      <c r="D37" s="183">
        <f>IF($A$1="BL",0,'Peak Hours'!D37*Peak!J38*IS!$B$2)</f>
        <v>0</v>
      </c>
      <c r="E37" s="183">
        <f>IF($A$1="BL",0,'Peak Hours'!E37*Peak!K38*IS!$B$2)</f>
        <v>0</v>
      </c>
      <c r="F37" s="183">
        <f>IF($A$1="BL",0,'Peak Hours'!F37*Peak!L38*IS!$B$2)</f>
        <v>0</v>
      </c>
      <c r="G37" s="183">
        <f>IF($A$1="BL",0,'Peak Hours'!G37*Peak!M38*IS!$B$2)</f>
        <v>0</v>
      </c>
      <c r="H37" s="183">
        <f>IF($A$1="BL",0,'Peak Hours'!H37*Peak!N38*IS!$B$2)</f>
        <v>0</v>
      </c>
      <c r="I37" s="183">
        <f>IF($A$1="BL",0,'Peak Hours'!I37*Peak!O38*IS!$B$2)</f>
        <v>0</v>
      </c>
      <c r="J37" s="183">
        <f>IF($A$1="BL",0,'Peak Hours'!J37*Peak!P38*IS!$B$2)</f>
        <v>0</v>
      </c>
      <c r="K37" s="183">
        <f>IF($A$1="BL",0,'Peak Hours'!K37*Peak!Q38*IS!$B$2)</f>
        <v>0</v>
      </c>
      <c r="L37" s="183">
        <f>IF($A$1="BL",0,'Peak Hours'!L37*Peak!R38*IS!$B$2)</f>
        <v>0</v>
      </c>
      <c r="M37" s="183">
        <f>IF($A$1="BL",0,'Peak Hours'!M37*Peak!S38*IS!$B$2)</f>
        <v>0</v>
      </c>
      <c r="N37" s="183">
        <f>IF($A$1="BL",0,'Peak Hours'!N37*Peak!T38*IS!$B$2)</f>
        <v>0</v>
      </c>
      <c r="O37" s="183">
        <f>IF($A$1="BL",0,'Peak Hours'!O37*Peak!U38*IS!$B$2)</f>
        <v>0</v>
      </c>
      <c r="P37" s="183">
        <f>IF($A$1="BL",0,'Peak Hours'!P37*Peak!V38*IS!$B$2)</f>
        <v>0</v>
      </c>
      <c r="Q37" s="183">
        <f>IF($A$1="BL",0,'Peak Hours'!Q37*Peak!W38*IS!$B$2)</f>
        <v>0</v>
      </c>
      <c r="R37" s="183">
        <f>IF($A$1="BL",0,'Peak Hours'!R37*Peak!X38*IS!$B$2)</f>
        <v>0</v>
      </c>
      <c r="S37" s="183">
        <f>IF($A$1="BL",0,'Peak Hours'!S37*Peak!Y38*IS!$B$2)</f>
        <v>0</v>
      </c>
      <c r="T37" s="183">
        <f>IF($A$1="BL",0,'Peak Hours'!T37*Peak!Z38*IS!$B$2)</f>
        <v>0</v>
      </c>
      <c r="U37" s="183">
        <f>IF($A$1="BL",0,'Peak Hours'!U37*Peak!AA38*IS!$B$2)</f>
        <v>0</v>
      </c>
      <c r="V37" s="213"/>
      <c r="W37" s="211">
        <f>(IF($A$1="BL",0,Peak!C38*'Peak Hours'!V37*IS!$B$2))*-1</f>
        <v>0</v>
      </c>
      <c r="X37" s="213"/>
      <c r="Y37" s="211">
        <f>(IF($A$1="bl",0,Peak!D38*'Peak Hours'!V37*IS!$B$2))*-1</f>
        <v>0</v>
      </c>
      <c r="Z37" s="213"/>
      <c r="AA37" s="211">
        <f>(Peak!E38*'Peak Hours'!V37*IS!$B$2)*-1</f>
        <v>0</v>
      </c>
      <c r="AB37" s="210"/>
      <c r="AC37" s="211">
        <f>(Peak!F38*'Peak Hours'!V37*IS!$B$2)*-1</f>
        <v>0</v>
      </c>
      <c r="AD37" s="210"/>
    </row>
    <row r="38" spans="1:30" x14ac:dyDescent="0.2">
      <c r="A38" s="1">
        <f t="shared" si="0"/>
        <v>37391.676000000036</v>
      </c>
      <c r="B38" s="182">
        <f>IF($A$1="BL",0,'Peak Hours'!B38*Peak!H39*IS!$B$2)</f>
        <v>0</v>
      </c>
      <c r="C38" s="183">
        <f>IF($A$1="BL",0,'Peak Hours'!C38*Peak!I39*IS!$B$2)</f>
        <v>0</v>
      </c>
      <c r="D38" s="183">
        <f>IF($A$1="BL",0,'Peak Hours'!D38*Peak!J39*IS!$B$2)</f>
        <v>0</v>
      </c>
      <c r="E38" s="183">
        <f>IF($A$1="BL",0,'Peak Hours'!E38*Peak!K39*IS!$B$2)</f>
        <v>0</v>
      </c>
      <c r="F38" s="183">
        <f>IF($A$1="BL",0,'Peak Hours'!F38*Peak!L39*IS!$B$2)</f>
        <v>0</v>
      </c>
      <c r="G38" s="183">
        <f>IF($A$1="BL",0,'Peak Hours'!G38*Peak!M39*IS!$B$2)</f>
        <v>0</v>
      </c>
      <c r="H38" s="183">
        <f>IF($A$1="BL",0,'Peak Hours'!H38*Peak!N39*IS!$B$2)</f>
        <v>0</v>
      </c>
      <c r="I38" s="183">
        <f>IF($A$1="BL",0,'Peak Hours'!I38*Peak!O39*IS!$B$2)</f>
        <v>0</v>
      </c>
      <c r="J38" s="183">
        <f>IF($A$1="BL",0,'Peak Hours'!J38*Peak!P39*IS!$B$2)</f>
        <v>0</v>
      </c>
      <c r="K38" s="183">
        <f>IF($A$1="BL",0,'Peak Hours'!K38*Peak!Q39*IS!$B$2)</f>
        <v>0</v>
      </c>
      <c r="L38" s="183">
        <f>IF($A$1="BL",0,'Peak Hours'!L38*Peak!R39*IS!$B$2)</f>
        <v>0</v>
      </c>
      <c r="M38" s="183">
        <f>IF($A$1="BL",0,'Peak Hours'!M38*Peak!S39*IS!$B$2)</f>
        <v>0</v>
      </c>
      <c r="N38" s="183">
        <f>IF($A$1="BL",0,'Peak Hours'!N38*Peak!T39*IS!$B$2)</f>
        <v>0</v>
      </c>
      <c r="O38" s="183">
        <f>IF($A$1="BL",0,'Peak Hours'!O38*Peak!U39*IS!$B$2)</f>
        <v>0</v>
      </c>
      <c r="P38" s="183">
        <f>IF($A$1="BL",0,'Peak Hours'!P38*Peak!V39*IS!$B$2)</f>
        <v>0</v>
      </c>
      <c r="Q38" s="183">
        <f>IF($A$1="BL",0,'Peak Hours'!Q38*Peak!W39*IS!$B$2)</f>
        <v>0</v>
      </c>
      <c r="R38" s="183">
        <f>IF($A$1="BL",0,'Peak Hours'!R38*Peak!X39*IS!$B$2)</f>
        <v>0</v>
      </c>
      <c r="S38" s="183">
        <f>IF($A$1="BL",0,'Peak Hours'!S38*Peak!Y39*IS!$B$2)</f>
        <v>0</v>
      </c>
      <c r="T38" s="183">
        <f>IF($A$1="BL",0,'Peak Hours'!T38*Peak!Z39*IS!$B$2)</f>
        <v>0</v>
      </c>
      <c r="U38" s="183">
        <f>IF($A$1="BL",0,'Peak Hours'!U38*Peak!AA39*IS!$B$2)</f>
        <v>0</v>
      </c>
      <c r="V38" s="213"/>
      <c r="W38" s="211">
        <f>(IF($A$1="BL",0,Peak!C39*'Peak Hours'!V38*IS!$B$2))*-1</f>
        <v>0</v>
      </c>
      <c r="X38" s="213"/>
      <c r="Y38" s="211">
        <f>(IF($A$1="bl",0,Peak!D39*'Peak Hours'!V38*IS!$B$2))*-1</f>
        <v>0</v>
      </c>
      <c r="Z38" s="213"/>
      <c r="AA38" s="211">
        <f>(Peak!E39*'Peak Hours'!V38*IS!$B$2)*-1</f>
        <v>0</v>
      </c>
      <c r="AB38" s="210"/>
      <c r="AC38" s="211">
        <f>(Peak!F39*'Peak Hours'!V38*IS!$B$2)*-1</f>
        <v>0</v>
      </c>
      <c r="AD38" s="210"/>
    </row>
    <row r="39" spans="1:30" x14ac:dyDescent="0.2">
      <c r="A39" s="1">
        <f t="shared" si="0"/>
        <v>37422.093000000037</v>
      </c>
      <c r="B39" s="182">
        <f>IF($A$1="BL",0,'Peak Hours'!B39*Peak!H40*IS!$B$2)</f>
        <v>0</v>
      </c>
      <c r="C39" s="183">
        <f>IF($A$1="BL",0,'Peak Hours'!C39*Peak!I40*IS!$B$2)</f>
        <v>0</v>
      </c>
      <c r="D39" s="183">
        <f>IF($A$1="BL",0,'Peak Hours'!D39*Peak!J40*IS!$B$2)</f>
        <v>0</v>
      </c>
      <c r="E39" s="183">
        <f>IF($A$1="BL",0,'Peak Hours'!E39*Peak!K40*IS!$B$2)</f>
        <v>0</v>
      </c>
      <c r="F39" s="183">
        <f>IF($A$1="BL",0,'Peak Hours'!F39*Peak!L40*IS!$B$2)</f>
        <v>0</v>
      </c>
      <c r="G39" s="183">
        <f>IF($A$1="BL",0,'Peak Hours'!G39*Peak!M40*IS!$B$2)</f>
        <v>0</v>
      </c>
      <c r="H39" s="183">
        <f>IF($A$1="BL",0,'Peak Hours'!H39*Peak!N40*IS!$B$2)</f>
        <v>0</v>
      </c>
      <c r="I39" s="183">
        <f>IF($A$1="BL",0,'Peak Hours'!I39*Peak!O40*IS!$B$2)</f>
        <v>0</v>
      </c>
      <c r="J39" s="183">
        <f>IF($A$1="BL",0,'Peak Hours'!J39*Peak!P40*IS!$B$2)</f>
        <v>0</v>
      </c>
      <c r="K39" s="183">
        <f>IF($A$1="BL",0,'Peak Hours'!K39*Peak!Q40*IS!$B$2)</f>
        <v>0</v>
      </c>
      <c r="L39" s="183">
        <f>IF($A$1="BL",0,'Peak Hours'!L39*Peak!R40*IS!$B$2)</f>
        <v>0</v>
      </c>
      <c r="M39" s="183">
        <f>IF($A$1="BL",0,'Peak Hours'!M39*Peak!S40*IS!$B$2)</f>
        <v>0</v>
      </c>
      <c r="N39" s="183">
        <f>IF($A$1="BL",0,'Peak Hours'!N39*Peak!T40*IS!$B$2)</f>
        <v>0</v>
      </c>
      <c r="O39" s="183">
        <f>IF($A$1="BL",0,'Peak Hours'!O39*Peak!U40*IS!$B$2)</f>
        <v>0</v>
      </c>
      <c r="P39" s="183">
        <f>IF($A$1="BL",0,'Peak Hours'!P39*Peak!V40*IS!$B$2)</f>
        <v>0</v>
      </c>
      <c r="Q39" s="183">
        <f>IF($A$1="BL",0,'Peak Hours'!Q39*Peak!W40*IS!$B$2)</f>
        <v>0</v>
      </c>
      <c r="R39" s="183">
        <f>IF($A$1="BL",0,'Peak Hours'!R39*Peak!X40*IS!$B$2)</f>
        <v>0</v>
      </c>
      <c r="S39" s="183">
        <f>IF($A$1="BL",0,'Peak Hours'!S39*Peak!Y40*IS!$B$2)</f>
        <v>0</v>
      </c>
      <c r="T39" s="183">
        <f>IF($A$1="BL",0,'Peak Hours'!T39*Peak!Z40*IS!$B$2)</f>
        <v>0</v>
      </c>
      <c r="U39" s="183">
        <f>IF($A$1="BL",0,'Peak Hours'!U39*Peak!AA40*IS!$B$2)</f>
        <v>0</v>
      </c>
      <c r="V39" s="213"/>
      <c r="W39" s="211">
        <f>(IF($A$1="BL",0,Peak!C40*'Peak Hours'!V39*IS!$B$2))*-1</f>
        <v>0</v>
      </c>
      <c r="X39" s="213"/>
      <c r="Y39" s="211">
        <f>(IF($A$1="bl",0,Peak!D40*'Peak Hours'!V39*IS!$B$2))*-1</f>
        <v>0</v>
      </c>
      <c r="Z39" s="213"/>
      <c r="AA39" s="211">
        <f>(Peak!E40*'Peak Hours'!V39*IS!$B$2)*-1</f>
        <v>0</v>
      </c>
      <c r="AB39" s="210"/>
      <c r="AC39" s="211">
        <f>(Peak!F40*'Peak Hours'!V39*IS!$B$2)*-1</f>
        <v>0</v>
      </c>
      <c r="AD39" s="210"/>
    </row>
    <row r="40" spans="1:30" x14ac:dyDescent="0.2">
      <c r="A40" s="1">
        <f t="shared" si="0"/>
        <v>37452.510000000038</v>
      </c>
      <c r="B40" s="182">
        <f>IF($A$1="BL",0,'Peak Hours'!B40*Peak!H41*IS!$B$2)</f>
        <v>0</v>
      </c>
      <c r="C40" s="183">
        <f>IF($A$1="BL",0,'Peak Hours'!C40*Peak!I41*IS!$B$2)</f>
        <v>0</v>
      </c>
      <c r="D40" s="183">
        <f>IF($A$1="BL",0,'Peak Hours'!D40*Peak!J41*IS!$B$2)</f>
        <v>0</v>
      </c>
      <c r="E40" s="183">
        <f>IF($A$1="BL",0,'Peak Hours'!E40*Peak!K41*IS!$B$2)</f>
        <v>0</v>
      </c>
      <c r="F40" s="183">
        <f>IF($A$1="BL",0,'Peak Hours'!F40*Peak!L41*IS!$B$2)</f>
        <v>0</v>
      </c>
      <c r="G40" s="183">
        <f>IF($A$1="BL",0,'Peak Hours'!G40*Peak!M41*IS!$B$2)</f>
        <v>0</v>
      </c>
      <c r="H40" s="183">
        <f>IF($A$1="BL",0,'Peak Hours'!H40*Peak!N41*IS!$B$2)</f>
        <v>0</v>
      </c>
      <c r="I40" s="183">
        <f>IF($A$1="BL",0,'Peak Hours'!I40*Peak!O41*IS!$B$2)</f>
        <v>0</v>
      </c>
      <c r="J40" s="183">
        <f>IF($A$1="BL",0,'Peak Hours'!J40*Peak!P41*IS!$B$2)</f>
        <v>0</v>
      </c>
      <c r="K40" s="183">
        <f>IF($A$1="BL",0,'Peak Hours'!K40*Peak!Q41*IS!$B$2)</f>
        <v>0</v>
      </c>
      <c r="L40" s="183">
        <f>IF($A$1="BL",0,'Peak Hours'!L40*Peak!R41*IS!$B$2)</f>
        <v>0</v>
      </c>
      <c r="M40" s="183">
        <f>IF($A$1="BL",0,'Peak Hours'!M40*Peak!S41*IS!$B$2)</f>
        <v>0</v>
      </c>
      <c r="N40" s="183">
        <f>IF($A$1="BL",0,'Peak Hours'!N40*Peak!T41*IS!$B$2)</f>
        <v>0</v>
      </c>
      <c r="O40" s="183">
        <f>IF($A$1="BL",0,'Peak Hours'!O40*Peak!U41*IS!$B$2)</f>
        <v>0</v>
      </c>
      <c r="P40" s="183">
        <f>IF($A$1="BL",0,'Peak Hours'!P40*Peak!V41*IS!$B$2)</f>
        <v>0</v>
      </c>
      <c r="Q40" s="183">
        <f>IF($A$1="BL",0,'Peak Hours'!Q40*Peak!W41*IS!$B$2)</f>
        <v>0</v>
      </c>
      <c r="R40" s="183">
        <f>IF($A$1="BL",0,'Peak Hours'!R40*Peak!X41*IS!$B$2)</f>
        <v>0</v>
      </c>
      <c r="S40" s="183">
        <f>IF($A$1="BL",0,'Peak Hours'!S40*Peak!Y41*IS!$B$2)</f>
        <v>0</v>
      </c>
      <c r="T40" s="183">
        <f>IF($A$1="BL",0,'Peak Hours'!T40*Peak!Z41*IS!$B$2)</f>
        <v>0</v>
      </c>
      <c r="U40" s="183">
        <f>IF($A$1="BL",0,'Peak Hours'!U40*Peak!AA41*IS!$B$2)</f>
        <v>0</v>
      </c>
      <c r="V40" s="213"/>
      <c r="W40" s="211">
        <f>(IF($A$1="BL",0,Peak!C41*'Peak Hours'!V40*IS!$B$2))*-1</f>
        <v>0</v>
      </c>
      <c r="X40" s="213"/>
      <c r="Y40" s="211">
        <f>(IF($A$1="bl",0,Peak!D41*'Peak Hours'!V40*IS!$B$2))*-1</f>
        <v>0</v>
      </c>
      <c r="Z40" s="213"/>
      <c r="AA40" s="211">
        <f>(Peak!E41*'Peak Hours'!V40*IS!$B$2)*-1</f>
        <v>0</v>
      </c>
      <c r="AB40" s="210"/>
      <c r="AC40" s="211">
        <f>(Peak!F41*'Peak Hours'!V40*IS!$B$2)*-1</f>
        <v>0</v>
      </c>
      <c r="AD40" s="210"/>
    </row>
    <row r="41" spans="1:30" x14ac:dyDescent="0.2">
      <c r="A41" s="1">
        <f t="shared" si="0"/>
        <v>37482.92700000004</v>
      </c>
      <c r="B41" s="182">
        <f>IF($A$1="BL",0,'Peak Hours'!B41*Peak!H42*IS!$B$2)</f>
        <v>0</v>
      </c>
      <c r="C41" s="183">
        <f>IF($A$1="BL",0,'Peak Hours'!C41*Peak!I42*IS!$B$2)</f>
        <v>0</v>
      </c>
      <c r="D41" s="183">
        <f>IF($A$1="BL",0,'Peak Hours'!D41*Peak!J42*IS!$B$2)</f>
        <v>0</v>
      </c>
      <c r="E41" s="183">
        <f>IF($A$1="BL",0,'Peak Hours'!E41*Peak!K42*IS!$B$2)</f>
        <v>0</v>
      </c>
      <c r="F41" s="183">
        <f>IF($A$1="BL",0,'Peak Hours'!F41*Peak!L42*IS!$B$2)</f>
        <v>0</v>
      </c>
      <c r="G41" s="183">
        <f>IF($A$1="BL",0,'Peak Hours'!G41*Peak!M42*IS!$B$2)</f>
        <v>0</v>
      </c>
      <c r="H41" s="183">
        <f>IF($A$1="BL",0,'Peak Hours'!H41*Peak!N42*IS!$B$2)</f>
        <v>0</v>
      </c>
      <c r="I41" s="183">
        <f>IF($A$1="BL",0,'Peak Hours'!I41*Peak!O42*IS!$B$2)</f>
        <v>0</v>
      </c>
      <c r="J41" s="183">
        <f>IF($A$1="BL",0,'Peak Hours'!J41*Peak!P42*IS!$B$2)</f>
        <v>0</v>
      </c>
      <c r="K41" s="183">
        <f>IF($A$1="BL",0,'Peak Hours'!K41*Peak!Q42*IS!$B$2)</f>
        <v>0</v>
      </c>
      <c r="L41" s="183">
        <f>IF($A$1="BL",0,'Peak Hours'!L41*Peak!R42*IS!$B$2)</f>
        <v>0</v>
      </c>
      <c r="M41" s="183">
        <f>IF($A$1="BL",0,'Peak Hours'!M41*Peak!S42*IS!$B$2)</f>
        <v>0</v>
      </c>
      <c r="N41" s="183">
        <f>IF($A$1="BL",0,'Peak Hours'!N41*Peak!T42*IS!$B$2)</f>
        <v>0</v>
      </c>
      <c r="O41" s="183">
        <f>IF($A$1="BL",0,'Peak Hours'!O41*Peak!U42*IS!$B$2)</f>
        <v>0</v>
      </c>
      <c r="P41" s="183">
        <f>IF($A$1="BL",0,'Peak Hours'!P41*Peak!V42*IS!$B$2)</f>
        <v>0</v>
      </c>
      <c r="Q41" s="183">
        <f>IF($A$1="BL",0,'Peak Hours'!Q41*Peak!W42*IS!$B$2)</f>
        <v>0</v>
      </c>
      <c r="R41" s="183">
        <f>IF($A$1="BL",0,'Peak Hours'!R41*Peak!X42*IS!$B$2)</f>
        <v>0</v>
      </c>
      <c r="S41" s="183">
        <f>IF($A$1="BL",0,'Peak Hours'!S41*Peak!Y42*IS!$B$2)</f>
        <v>0</v>
      </c>
      <c r="T41" s="183">
        <f>IF($A$1="BL",0,'Peak Hours'!T41*Peak!Z42*IS!$B$2)</f>
        <v>0</v>
      </c>
      <c r="U41" s="183">
        <f>IF($A$1="BL",0,'Peak Hours'!U41*Peak!AA42*IS!$B$2)</f>
        <v>0</v>
      </c>
      <c r="V41" s="213"/>
      <c r="W41" s="211">
        <f>(IF($A$1="BL",0,Peak!C42*'Peak Hours'!V41*IS!$B$2))*-1</f>
        <v>0</v>
      </c>
      <c r="X41" s="213"/>
      <c r="Y41" s="211">
        <f>(IF($A$1="bl",0,Peak!D42*'Peak Hours'!V41*IS!$B$2))*-1</f>
        <v>0</v>
      </c>
      <c r="Z41" s="213"/>
      <c r="AA41" s="211">
        <f>(Peak!E42*'Peak Hours'!V41*IS!$B$2)*-1</f>
        <v>0</v>
      </c>
      <c r="AB41" s="210"/>
      <c r="AC41" s="211">
        <f>(Peak!F42*'Peak Hours'!V41*IS!$B$2)*-1</f>
        <v>0</v>
      </c>
      <c r="AD41" s="210"/>
    </row>
    <row r="42" spans="1:30" x14ac:dyDescent="0.2">
      <c r="A42" s="1">
        <f t="shared" si="0"/>
        <v>37513.344000000041</v>
      </c>
      <c r="B42" s="182">
        <f>IF($A$1="BL",0,'Peak Hours'!B42*Peak!H43*IS!$B$2)</f>
        <v>0</v>
      </c>
      <c r="C42" s="183">
        <f>IF($A$1="BL",0,'Peak Hours'!C42*Peak!I43*IS!$B$2)</f>
        <v>0</v>
      </c>
      <c r="D42" s="183">
        <f>IF($A$1="BL",0,'Peak Hours'!D42*Peak!J43*IS!$B$2)</f>
        <v>0</v>
      </c>
      <c r="E42" s="183">
        <f>IF($A$1="BL",0,'Peak Hours'!E42*Peak!K43*IS!$B$2)</f>
        <v>0</v>
      </c>
      <c r="F42" s="183">
        <f>IF($A$1="BL",0,'Peak Hours'!F42*Peak!L43*IS!$B$2)</f>
        <v>0</v>
      </c>
      <c r="G42" s="183">
        <f>IF($A$1="BL",0,'Peak Hours'!G42*Peak!M43*IS!$B$2)</f>
        <v>0</v>
      </c>
      <c r="H42" s="183">
        <f>IF($A$1="BL",0,'Peak Hours'!H42*Peak!N43*IS!$B$2)</f>
        <v>0</v>
      </c>
      <c r="I42" s="183">
        <f>IF($A$1="BL",0,'Peak Hours'!I42*Peak!O43*IS!$B$2)</f>
        <v>0</v>
      </c>
      <c r="J42" s="183">
        <f>IF($A$1="BL",0,'Peak Hours'!J42*Peak!P43*IS!$B$2)</f>
        <v>0</v>
      </c>
      <c r="K42" s="183">
        <f>IF($A$1="BL",0,'Peak Hours'!K42*Peak!Q43*IS!$B$2)</f>
        <v>0</v>
      </c>
      <c r="L42" s="183">
        <f>IF($A$1="BL",0,'Peak Hours'!L42*Peak!R43*IS!$B$2)</f>
        <v>0</v>
      </c>
      <c r="M42" s="183">
        <f>IF($A$1="BL",0,'Peak Hours'!M42*Peak!S43*IS!$B$2)</f>
        <v>0</v>
      </c>
      <c r="N42" s="183">
        <f>IF($A$1="BL",0,'Peak Hours'!N42*Peak!T43*IS!$B$2)</f>
        <v>0</v>
      </c>
      <c r="O42" s="183">
        <f>IF($A$1="BL",0,'Peak Hours'!O42*Peak!U43*IS!$B$2)</f>
        <v>0</v>
      </c>
      <c r="P42" s="183">
        <f>IF($A$1="BL",0,'Peak Hours'!P42*Peak!V43*IS!$B$2)</f>
        <v>0</v>
      </c>
      <c r="Q42" s="183">
        <f>IF($A$1="BL",0,'Peak Hours'!Q42*Peak!W43*IS!$B$2)</f>
        <v>0</v>
      </c>
      <c r="R42" s="183">
        <f>IF($A$1="BL",0,'Peak Hours'!R42*Peak!X43*IS!$B$2)</f>
        <v>0</v>
      </c>
      <c r="S42" s="183">
        <f>IF($A$1="BL",0,'Peak Hours'!S42*Peak!Y43*IS!$B$2)</f>
        <v>0</v>
      </c>
      <c r="T42" s="183">
        <f>IF($A$1="BL",0,'Peak Hours'!T42*Peak!Z43*IS!$B$2)</f>
        <v>0</v>
      </c>
      <c r="U42" s="183">
        <f>IF($A$1="BL",0,'Peak Hours'!U42*Peak!AA43*IS!$B$2)</f>
        <v>0</v>
      </c>
      <c r="V42" s="213"/>
      <c r="W42" s="211">
        <f>(IF($A$1="BL",0,Peak!C43*'Peak Hours'!V42*IS!$B$2))*-1</f>
        <v>0</v>
      </c>
      <c r="X42" s="213"/>
      <c r="Y42" s="211">
        <f>(IF($A$1="bl",0,Peak!D43*'Peak Hours'!V42*IS!$B$2))*-1</f>
        <v>0</v>
      </c>
      <c r="Z42" s="213"/>
      <c r="AA42" s="211">
        <f>(Peak!E43*'Peak Hours'!V42*IS!$B$2)*-1</f>
        <v>0</v>
      </c>
      <c r="AB42" s="210"/>
      <c r="AC42" s="211">
        <f>(Peak!F43*'Peak Hours'!V42*IS!$B$2)*-1</f>
        <v>0</v>
      </c>
      <c r="AD42" s="210"/>
    </row>
    <row r="43" spans="1:30" x14ac:dyDescent="0.2">
      <c r="A43" s="1">
        <f t="shared" si="0"/>
        <v>37543.761000000042</v>
      </c>
      <c r="B43" s="182">
        <f>IF($A$1="BL",0,'Peak Hours'!B43*Peak!H44*IS!$B$2)</f>
        <v>0</v>
      </c>
      <c r="C43" s="183">
        <f>IF($A$1="BL",0,'Peak Hours'!C43*Peak!I44*IS!$B$2)</f>
        <v>0</v>
      </c>
      <c r="D43" s="183">
        <f>IF($A$1="BL",0,'Peak Hours'!D43*Peak!J44*IS!$B$2)</f>
        <v>0</v>
      </c>
      <c r="E43" s="183">
        <f>IF($A$1="BL",0,'Peak Hours'!E43*Peak!K44*IS!$B$2)</f>
        <v>0</v>
      </c>
      <c r="F43" s="183">
        <f>IF($A$1="BL",0,'Peak Hours'!F43*Peak!L44*IS!$B$2)</f>
        <v>0</v>
      </c>
      <c r="G43" s="183">
        <f>IF($A$1="BL",0,'Peak Hours'!G43*Peak!M44*IS!$B$2)</f>
        <v>0</v>
      </c>
      <c r="H43" s="183">
        <f>IF($A$1="BL",0,'Peak Hours'!H43*Peak!N44*IS!$B$2)</f>
        <v>0</v>
      </c>
      <c r="I43" s="183">
        <f>IF($A$1="BL",0,'Peak Hours'!I43*Peak!O44*IS!$B$2)</f>
        <v>0</v>
      </c>
      <c r="J43" s="183">
        <f>IF($A$1="BL",0,'Peak Hours'!J43*Peak!P44*IS!$B$2)</f>
        <v>0</v>
      </c>
      <c r="K43" s="183">
        <f>IF($A$1="BL",0,'Peak Hours'!K43*Peak!Q44*IS!$B$2)</f>
        <v>0</v>
      </c>
      <c r="L43" s="183">
        <f>IF($A$1="BL",0,'Peak Hours'!L43*Peak!R44*IS!$B$2)</f>
        <v>0</v>
      </c>
      <c r="M43" s="183">
        <f>IF($A$1="BL",0,'Peak Hours'!M43*Peak!S44*IS!$B$2)</f>
        <v>0</v>
      </c>
      <c r="N43" s="183">
        <f>IF($A$1="BL",0,'Peak Hours'!N43*Peak!T44*IS!$B$2)</f>
        <v>0</v>
      </c>
      <c r="O43" s="183">
        <f>IF($A$1="BL",0,'Peak Hours'!O43*Peak!U44*IS!$B$2)</f>
        <v>0</v>
      </c>
      <c r="P43" s="183">
        <f>IF($A$1="BL",0,'Peak Hours'!P43*Peak!V44*IS!$B$2)</f>
        <v>0</v>
      </c>
      <c r="Q43" s="183">
        <f>IF($A$1="BL",0,'Peak Hours'!Q43*Peak!W44*IS!$B$2)</f>
        <v>0</v>
      </c>
      <c r="R43" s="183">
        <f>IF($A$1="BL",0,'Peak Hours'!R43*Peak!X44*IS!$B$2)</f>
        <v>0</v>
      </c>
      <c r="S43" s="183">
        <f>IF($A$1="BL",0,'Peak Hours'!S43*Peak!Y44*IS!$B$2)</f>
        <v>0</v>
      </c>
      <c r="T43" s="183">
        <f>IF($A$1="BL",0,'Peak Hours'!T43*Peak!Z44*IS!$B$2)</f>
        <v>0</v>
      </c>
      <c r="U43" s="183">
        <f>IF($A$1="BL",0,'Peak Hours'!U43*Peak!AA44*IS!$B$2)</f>
        <v>0</v>
      </c>
      <c r="V43" s="213"/>
      <c r="W43" s="211">
        <f>(IF($A$1="BL",0,Peak!C44*'Peak Hours'!V43*IS!$B$2))*-1</f>
        <v>0</v>
      </c>
      <c r="X43" s="213"/>
      <c r="Y43" s="211">
        <f>(IF($A$1="bl",0,Peak!D44*'Peak Hours'!V43*IS!$B$2))*-1</f>
        <v>0</v>
      </c>
      <c r="Z43" s="213"/>
      <c r="AA43" s="211">
        <f>(Peak!E44*'Peak Hours'!V43*IS!$B$2)*-1</f>
        <v>0</v>
      </c>
      <c r="AB43" s="210"/>
      <c r="AC43" s="211">
        <f>(Peak!F44*'Peak Hours'!V43*IS!$B$2)*-1</f>
        <v>0</v>
      </c>
      <c r="AD43" s="210"/>
    </row>
    <row r="44" spans="1:30" x14ac:dyDescent="0.2">
      <c r="A44" s="1">
        <f t="shared" si="0"/>
        <v>37574.178000000044</v>
      </c>
      <c r="B44" s="182">
        <f>IF($A$1="BL",0,'Peak Hours'!B44*Peak!H45*IS!$B$2)</f>
        <v>0</v>
      </c>
      <c r="C44" s="183">
        <f>IF($A$1="BL",0,'Peak Hours'!C44*Peak!I45*IS!$B$2)</f>
        <v>0</v>
      </c>
      <c r="D44" s="183">
        <f>IF($A$1="BL",0,'Peak Hours'!D44*Peak!J45*IS!$B$2)</f>
        <v>0</v>
      </c>
      <c r="E44" s="183">
        <f>IF($A$1="BL",0,'Peak Hours'!E44*Peak!K45*IS!$B$2)</f>
        <v>0</v>
      </c>
      <c r="F44" s="183">
        <f>IF($A$1="BL",0,'Peak Hours'!F44*Peak!L45*IS!$B$2)</f>
        <v>0</v>
      </c>
      <c r="G44" s="183">
        <f>IF($A$1="BL",0,'Peak Hours'!G44*Peak!M45*IS!$B$2)</f>
        <v>0</v>
      </c>
      <c r="H44" s="183">
        <f>IF($A$1="BL",0,'Peak Hours'!H44*Peak!N45*IS!$B$2)</f>
        <v>0</v>
      </c>
      <c r="I44" s="183">
        <f>IF($A$1="BL",0,'Peak Hours'!I44*Peak!O45*IS!$B$2)</f>
        <v>0</v>
      </c>
      <c r="J44" s="183">
        <f>IF($A$1="BL",0,'Peak Hours'!J44*Peak!P45*IS!$B$2)</f>
        <v>0</v>
      </c>
      <c r="K44" s="183">
        <f>IF($A$1="BL",0,'Peak Hours'!K44*Peak!Q45*IS!$B$2)</f>
        <v>0</v>
      </c>
      <c r="L44" s="183">
        <f>IF($A$1="BL",0,'Peak Hours'!L44*Peak!R45*IS!$B$2)</f>
        <v>0</v>
      </c>
      <c r="M44" s="183">
        <f>IF($A$1="BL",0,'Peak Hours'!M44*Peak!S45*IS!$B$2)</f>
        <v>0</v>
      </c>
      <c r="N44" s="183">
        <f>IF($A$1="BL",0,'Peak Hours'!N44*Peak!T45*IS!$B$2)</f>
        <v>0</v>
      </c>
      <c r="O44" s="183">
        <f>IF($A$1="BL",0,'Peak Hours'!O44*Peak!U45*IS!$B$2)</f>
        <v>0</v>
      </c>
      <c r="P44" s="183">
        <f>IF($A$1="BL",0,'Peak Hours'!P44*Peak!V45*IS!$B$2)</f>
        <v>0</v>
      </c>
      <c r="Q44" s="183">
        <f>IF($A$1="BL",0,'Peak Hours'!Q44*Peak!W45*IS!$B$2)</f>
        <v>0</v>
      </c>
      <c r="R44" s="183">
        <f>IF($A$1="BL",0,'Peak Hours'!R44*Peak!X45*IS!$B$2)</f>
        <v>0</v>
      </c>
      <c r="S44" s="183">
        <f>IF($A$1="BL",0,'Peak Hours'!S44*Peak!Y45*IS!$B$2)</f>
        <v>0</v>
      </c>
      <c r="T44" s="183">
        <f>IF($A$1="BL",0,'Peak Hours'!T44*Peak!Z45*IS!$B$2)</f>
        <v>0</v>
      </c>
      <c r="U44" s="183">
        <f>IF($A$1="BL",0,'Peak Hours'!U44*Peak!AA45*IS!$B$2)</f>
        <v>0</v>
      </c>
      <c r="V44" s="213"/>
      <c r="W44" s="211">
        <f>(IF($A$1="BL",0,Peak!C45*'Peak Hours'!V44*IS!$B$2))*-1</f>
        <v>0</v>
      </c>
      <c r="X44" s="213"/>
      <c r="Y44" s="211">
        <f>(IF($A$1="bl",0,Peak!D45*'Peak Hours'!V44*IS!$B$2))*-1</f>
        <v>0</v>
      </c>
      <c r="Z44" s="213"/>
      <c r="AA44" s="211">
        <f>(Peak!E45*'Peak Hours'!V44*IS!$B$2)*-1</f>
        <v>0</v>
      </c>
      <c r="AB44" s="210"/>
      <c r="AC44" s="211">
        <f>(Peak!F45*'Peak Hours'!V44*IS!$B$2)*-1</f>
        <v>0</v>
      </c>
      <c r="AD44" s="210"/>
    </row>
    <row r="45" spans="1:30" x14ac:dyDescent="0.2">
      <c r="A45" s="1">
        <f t="shared" si="0"/>
        <v>37604.595000000045</v>
      </c>
      <c r="B45" s="182">
        <f>IF($A$1="BL",0,'Peak Hours'!B45*Peak!H46*IS!$B$2)</f>
        <v>0</v>
      </c>
      <c r="C45" s="183">
        <f>IF($A$1="BL",0,'Peak Hours'!C45*Peak!I46*IS!$B$2)</f>
        <v>0</v>
      </c>
      <c r="D45" s="183">
        <f>IF($A$1="BL",0,'Peak Hours'!D45*Peak!J46*IS!$B$2)</f>
        <v>0</v>
      </c>
      <c r="E45" s="183">
        <f>IF($A$1="BL",0,'Peak Hours'!E45*Peak!K46*IS!$B$2)</f>
        <v>0</v>
      </c>
      <c r="F45" s="183">
        <f>IF($A$1="BL",0,'Peak Hours'!F45*Peak!L46*IS!$B$2)</f>
        <v>0</v>
      </c>
      <c r="G45" s="183">
        <f>IF($A$1="BL",0,'Peak Hours'!G45*Peak!M46*IS!$B$2)</f>
        <v>0</v>
      </c>
      <c r="H45" s="183">
        <f>IF($A$1="BL",0,'Peak Hours'!H45*Peak!N46*IS!$B$2)</f>
        <v>0</v>
      </c>
      <c r="I45" s="183">
        <f>IF($A$1="BL",0,'Peak Hours'!I45*Peak!O46*IS!$B$2)</f>
        <v>0</v>
      </c>
      <c r="J45" s="183">
        <f>IF($A$1="BL",0,'Peak Hours'!J45*Peak!P46*IS!$B$2)</f>
        <v>0</v>
      </c>
      <c r="K45" s="183">
        <f>IF($A$1="BL",0,'Peak Hours'!K45*Peak!Q46*IS!$B$2)</f>
        <v>0</v>
      </c>
      <c r="L45" s="183">
        <f>IF($A$1="BL",0,'Peak Hours'!L45*Peak!R46*IS!$B$2)</f>
        <v>0</v>
      </c>
      <c r="M45" s="183">
        <f>IF($A$1="BL",0,'Peak Hours'!M45*Peak!S46*IS!$B$2)</f>
        <v>0</v>
      </c>
      <c r="N45" s="183">
        <f>IF($A$1="BL",0,'Peak Hours'!N45*Peak!T46*IS!$B$2)</f>
        <v>0</v>
      </c>
      <c r="O45" s="183">
        <f>IF($A$1="BL",0,'Peak Hours'!O45*Peak!U46*IS!$B$2)</f>
        <v>0</v>
      </c>
      <c r="P45" s="183">
        <f>IF($A$1="BL",0,'Peak Hours'!P45*Peak!V46*IS!$B$2)</f>
        <v>0</v>
      </c>
      <c r="Q45" s="183">
        <f>IF($A$1="BL",0,'Peak Hours'!Q45*Peak!W46*IS!$B$2)</f>
        <v>0</v>
      </c>
      <c r="R45" s="183">
        <f>IF($A$1="BL",0,'Peak Hours'!R45*Peak!X46*IS!$B$2)</f>
        <v>0</v>
      </c>
      <c r="S45" s="183">
        <f>IF($A$1="BL",0,'Peak Hours'!S45*Peak!Y46*IS!$B$2)</f>
        <v>0</v>
      </c>
      <c r="T45" s="183">
        <f>IF($A$1="BL",0,'Peak Hours'!T45*Peak!Z46*IS!$B$2)</f>
        <v>0</v>
      </c>
      <c r="U45" s="183">
        <f>IF($A$1="BL",0,'Peak Hours'!U45*Peak!AA46*IS!$B$2)</f>
        <v>0</v>
      </c>
      <c r="V45" s="214">
        <f>SUM(B34:U45)</f>
        <v>0</v>
      </c>
      <c r="W45" s="211">
        <f>(IF($A$1="BL",0,Peak!C46*'Peak Hours'!V45*IS!$B$2))*-1</f>
        <v>0</v>
      </c>
      <c r="X45" s="214">
        <f>SUM(W34:W45)</f>
        <v>0</v>
      </c>
      <c r="Y45" s="211">
        <f>(IF($A$1="bl",0,Peak!D46*'Peak Hours'!V45*IS!$B$2))*-1</f>
        <v>0</v>
      </c>
      <c r="Z45" s="214">
        <f>SUM(Y34:Y45)</f>
        <v>0</v>
      </c>
      <c r="AA45" s="211">
        <f>(Peak!E46*'Peak Hours'!V45*IS!$B$2)*-1</f>
        <v>0</v>
      </c>
      <c r="AB45" s="211">
        <f>SUM(AA34:AA45)</f>
        <v>0</v>
      </c>
      <c r="AC45" s="211">
        <f>(Peak!F46*'Peak Hours'!V45*IS!$B$2)*-1</f>
        <v>0</v>
      </c>
      <c r="AD45" s="211">
        <f>SUM(AC34:AC45)</f>
        <v>0</v>
      </c>
    </row>
    <row r="46" spans="1:30" x14ac:dyDescent="0.2">
      <c r="A46" s="1">
        <f t="shared" si="0"/>
        <v>37635.012000000046</v>
      </c>
      <c r="B46" s="182">
        <f>IF($A$1="BL",0,'Peak Hours'!B46*Peak!H47*IS!$B$2)</f>
        <v>0</v>
      </c>
      <c r="C46" s="183">
        <f>IF($A$1="BL",0,'Peak Hours'!C46*Peak!I47*IS!$B$2)</f>
        <v>0</v>
      </c>
      <c r="D46" s="183">
        <f>IF($A$1="BL",0,'Peak Hours'!D46*Peak!J47*IS!$B$2)</f>
        <v>0</v>
      </c>
      <c r="E46" s="183">
        <f>IF($A$1="BL",0,'Peak Hours'!E46*Peak!K47*IS!$B$2)</f>
        <v>0</v>
      </c>
      <c r="F46" s="183">
        <f>IF($A$1="BL",0,'Peak Hours'!F46*Peak!L47*IS!$B$2)</f>
        <v>0</v>
      </c>
      <c r="G46" s="183">
        <f>IF($A$1="BL",0,'Peak Hours'!G46*Peak!M47*IS!$B$2)</f>
        <v>0</v>
      </c>
      <c r="H46" s="183">
        <f>IF($A$1="BL",0,'Peak Hours'!H46*Peak!N47*IS!$B$2)</f>
        <v>0</v>
      </c>
      <c r="I46" s="183">
        <f>IF($A$1="BL",0,'Peak Hours'!I46*Peak!O47*IS!$B$2)</f>
        <v>0</v>
      </c>
      <c r="J46" s="183">
        <f>IF($A$1="BL",0,'Peak Hours'!J46*Peak!P47*IS!$B$2)</f>
        <v>0</v>
      </c>
      <c r="K46" s="183">
        <f>IF($A$1="BL",0,'Peak Hours'!K46*Peak!Q47*IS!$B$2)</f>
        <v>0</v>
      </c>
      <c r="L46" s="183">
        <f>IF($A$1="BL",0,'Peak Hours'!L46*Peak!R47*IS!$B$2)</f>
        <v>0</v>
      </c>
      <c r="M46" s="183">
        <f>IF($A$1="BL",0,'Peak Hours'!M46*Peak!S47*IS!$B$2)</f>
        <v>0</v>
      </c>
      <c r="N46" s="183">
        <f>IF($A$1="BL",0,'Peak Hours'!N46*Peak!T47*IS!$B$2)</f>
        <v>0</v>
      </c>
      <c r="O46" s="183">
        <f>IF($A$1="BL",0,'Peak Hours'!O46*Peak!U47*IS!$B$2)</f>
        <v>0</v>
      </c>
      <c r="P46" s="183">
        <f>IF($A$1="BL",0,'Peak Hours'!P46*Peak!V47*IS!$B$2)</f>
        <v>0</v>
      </c>
      <c r="Q46" s="183">
        <f>IF($A$1="BL",0,'Peak Hours'!Q46*Peak!W47*IS!$B$2)</f>
        <v>0</v>
      </c>
      <c r="R46" s="183">
        <f>IF($A$1="BL",0,'Peak Hours'!R46*Peak!X47*IS!$B$2)</f>
        <v>0</v>
      </c>
      <c r="S46" s="183">
        <f>IF($A$1="BL",0,'Peak Hours'!S46*Peak!Y47*IS!$B$2)</f>
        <v>0</v>
      </c>
      <c r="T46" s="183">
        <f>IF($A$1="BL",0,'Peak Hours'!T46*Peak!Z47*IS!$B$2)</f>
        <v>0</v>
      </c>
      <c r="U46" s="183">
        <f>IF($A$1="BL",0,'Peak Hours'!U46*Peak!AA47*IS!$B$2)</f>
        <v>0</v>
      </c>
      <c r="V46" s="213"/>
      <c r="W46" s="211">
        <f>(IF($A$1="BL",0,Peak!C47*'Peak Hours'!V46*IS!$B$2))*-1</f>
        <v>0</v>
      </c>
      <c r="X46" s="213"/>
      <c r="Y46" s="211">
        <f>(IF($A$1="bl",0,Peak!D47*'Peak Hours'!V46*IS!$B$2))*-1</f>
        <v>0</v>
      </c>
      <c r="Z46" s="213"/>
      <c r="AA46" s="211">
        <f>(Peak!E47*'Peak Hours'!V46*IS!$B$2)*-1</f>
        <v>0</v>
      </c>
      <c r="AB46" s="210"/>
      <c r="AC46" s="211">
        <f>(Peak!F47*'Peak Hours'!V46*IS!$B$2)*-1</f>
        <v>0</v>
      </c>
      <c r="AD46" s="210"/>
    </row>
    <row r="47" spans="1:30" x14ac:dyDescent="0.2">
      <c r="A47" s="1">
        <f t="shared" si="0"/>
        <v>37665.429000000047</v>
      </c>
      <c r="B47" s="182">
        <f>IF($A$1="BL",0,'Peak Hours'!B47*Peak!H48*IS!$B$2)</f>
        <v>0</v>
      </c>
      <c r="C47" s="183">
        <f>IF($A$1="BL",0,'Peak Hours'!C47*Peak!I48*IS!$B$2)</f>
        <v>0</v>
      </c>
      <c r="D47" s="183">
        <f>IF($A$1="BL",0,'Peak Hours'!D47*Peak!J48*IS!$B$2)</f>
        <v>0</v>
      </c>
      <c r="E47" s="183">
        <f>IF($A$1="BL",0,'Peak Hours'!E47*Peak!K48*IS!$B$2)</f>
        <v>0</v>
      </c>
      <c r="F47" s="183">
        <f>IF($A$1="BL",0,'Peak Hours'!F47*Peak!L48*IS!$B$2)</f>
        <v>0</v>
      </c>
      <c r="G47" s="183">
        <f>IF($A$1="BL",0,'Peak Hours'!G47*Peak!M48*IS!$B$2)</f>
        <v>0</v>
      </c>
      <c r="H47" s="183">
        <f>IF($A$1="BL",0,'Peak Hours'!H47*Peak!N48*IS!$B$2)</f>
        <v>0</v>
      </c>
      <c r="I47" s="183">
        <f>IF($A$1="BL",0,'Peak Hours'!I47*Peak!O48*IS!$B$2)</f>
        <v>0</v>
      </c>
      <c r="J47" s="183">
        <f>IF($A$1="BL",0,'Peak Hours'!J47*Peak!P48*IS!$B$2)</f>
        <v>0</v>
      </c>
      <c r="K47" s="183">
        <f>IF($A$1="BL",0,'Peak Hours'!K47*Peak!Q48*IS!$B$2)</f>
        <v>0</v>
      </c>
      <c r="L47" s="183">
        <f>IF($A$1="BL",0,'Peak Hours'!L47*Peak!R48*IS!$B$2)</f>
        <v>0</v>
      </c>
      <c r="M47" s="183">
        <f>IF($A$1="BL",0,'Peak Hours'!M47*Peak!S48*IS!$B$2)</f>
        <v>0</v>
      </c>
      <c r="N47" s="183">
        <f>IF($A$1="BL",0,'Peak Hours'!N47*Peak!T48*IS!$B$2)</f>
        <v>0</v>
      </c>
      <c r="O47" s="183">
        <f>IF($A$1="BL",0,'Peak Hours'!O47*Peak!U48*IS!$B$2)</f>
        <v>0</v>
      </c>
      <c r="P47" s="183">
        <f>IF($A$1="BL",0,'Peak Hours'!P47*Peak!V48*IS!$B$2)</f>
        <v>0</v>
      </c>
      <c r="Q47" s="183">
        <f>IF($A$1="BL",0,'Peak Hours'!Q47*Peak!W48*IS!$B$2)</f>
        <v>0</v>
      </c>
      <c r="R47" s="183">
        <f>IF($A$1="BL",0,'Peak Hours'!R47*Peak!X48*IS!$B$2)</f>
        <v>0</v>
      </c>
      <c r="S47" s="183">
        <f>IF($A$1="BL",0,'Peak Hours'!S47*Peak!Y48*IS!$B$2)</f>
        <v>0</v>
      </c>
      <c r="T47" s="183">
        <f>IF($A$1="BL",0,'Peak Hours'!T47*Peak!Z48*IS!$B$2)</f>
        <v>0</v>
      </c>
      <c r="U47" s="183">
        <f>IF($A$1="BL",0,'Peak Hours'!U47*Peak!AA48*IS!$B$2)</f>
        <v>0</v>
      </c>
      <c r="V47" s="213"/>
      <c r="W47" s="211">
        <f>(IF($A$1="BL",0,Peak!C48*'Peak Hours'!V47*IS!$B$2))*-1</f>
        <v>0</v>
      </c>
      <c r="X47" s="213"/>
      <c r="Y47" s="211">
        <f>(IF($A$1="bl",0,Peak!D48*'Peak Hours'!V47*IS!$B$2))*-1</f>
        <v>0</v>
      </c>
      <c r="Z47" s="213"/>
      <c r="AA47" s="211">
        <f>(Peak!E48*'Peak Hours'!V47*IS!$B$2)*-1</f>
        <v>0</v>
      </c>
      <c r="AB47" s="210"/>
      <c r="AC47" s="211">
        <f>(Peak!F48*'Peak Hours'!V47*IS!$B$2)*-1</f>
        <v>0</v>
      </c>
      <c r="AD47" s="210"/>
    </row>
    <row r="48" spans="1:30" x14ac:dyDescent="0.2">
      <c r="A48" s="1">
        <f t="shared" si="0"/>
        <v>37695.846000000049</v>
      </c>
      <c r="B48" s="182">
        <f>IF($A$1="BL",0,'Peak Hours'!B48*Peak!H49*IS!$B$2)</f>
        <v>0</v>
      </c>
      <c r="C48" s="183">
        <f>IF($A$1="BL",0,'Peak Hours'!C48*Peak!I49*IS!$B$2)</f>
        <v>0</v>
      </c>
      <c r="D48" s="183">
        <f>IF($A$1="BL",0,'Peak Hours'!D48*Peak!J49*IS!$B$2)</f>
        <v>0</v>
      </c>
      <c r="E48" s="183">
        <f>IF($A$1="BL",0,'Peak Hours'!E48*Peak!K49*IS!$B$2)</f>
        <v>0</v>
      </c>
      <c r="F48" s="183">
        <f>IF($A$1="BL",0,'Peak Hours'!F48*Peak!L49*IS!$B$2)</f>
        <v>0</v>
      </c>
      <c r="G48" s="183">
        <f>IF($A$1="BL",0,'Peak Hours'!G48*Peak!M49*IS!$B$2)</f>
        <v>0</v>
      </c>
      <c r="H48" s="183">
        <f>IF($A$1="BL",0,'Peak Hours'!H48*Peak!N49*IS!$B$2)</f>
        <v>0</v>
      </c>
      <c r="I48" s="183">
        <f>IF($A$1="BL",0,'Peak Hours'!I48*Peak!O49*IS!$B$2)</f>
        <v>0</v>
      </c>
      <c r="J48" s="183">
        <f>IF($A$1="BL",0,'Peak Hours'!J48*Peak!P49*IS!$B$2)</f>
        <v>0</v>
      </c>
      <c r="K48" s="183">
        <f>IF($A$1="BL",0,'Peak Hours'!K48*Peak!Q49*IS!$B$2)</f>
        <v>0</v>
      </c>
      <c r="L48" s="183">
        <f>IF($A$1="BL",0,'Peak Hours'!L48*Peak!R49*IS!$B$2)</f>
        <v>0</v>
      </c>
      <c r="M48" s="183">
        <f>IF($A$1="BL",0,'Peak Hours'!M48*Peak!S49*IS!$B$2)</f>
        <v>0</v>
      </c>
      <c r="N48" s="183">
        <f>IF($A$1="BL",0,'Peak Hours'!N48*Peak!T49*IS!$B$2)</f>
        <v>0</v>
      </c>
      <c r="O48" s="183">
        <f>IF($A$1="BL",0,'Peak Hours'!O48*Peak!U49*IS!$B$2)</f>
        <v>0</v>
      </c>
      <c r="P48" s="183">
        <f>IF($A$1="BL",0,'Peak Hours'!P48*Peak!V49*IS!$B$2)</f>
        <v>0</v>
      </c>
      <c r="Q48" s="183">
        <f>IF($A$1="BL",0,'Peak Hours'!Q48*Peak!W49*IS!$B$2)</f>
        <v>0</v>
      </c>
      <c r="R48" s="183">
        <f>IF($A$1="BL",0,'Peak Hours'!R48*Peak!X49*IS!$B$2)</f>
        <v>0</v>
      </c>
      <c r="S48" s="183">
        <f>IF($A$1="BL",0,'Peak Hours'!S48*Peak!Y49*IS!$B$2)</f>
        <v>0</v>
      </c>
      <c r="T48" s="183">
        <f>IF($A$1="BL",0,'Peak Hours'!T48*Peak!Z49*IS!$B$2)</f>
        <v>0</v>
      </c>
      <c r="U48" s="183">
        <f>IF($A$1="BL",0,'Peak Hours'!U48*Peak!AA49*IS!$B$2)</f>
        <v>0</v>
      </c>
      <c r="V48" s="213"/>
      <c r="W48" s="211">
        <f>(IF($A$1="BL",0,Peak!C49*'Peak Hours'!V48*IS!$B$2))*-1</f>
        <v>0</v>
      </c>
      <c r="X48" s="213"/>
      <c r="Y48" s="211">
        <f>(IF($A$1="bl",0,Peak!D49*'Peak Hours'!V48*IS!$B$2))*-1</f>
        <v>0</v>
      </c>
      <c r="Z48" s="213"/>
      <c r="AA48" s="211">
        <f>(Peak!E49*'Peak Hours'!V48*IS!$B$2)*-1</f>
        <v>0</v>
      </c>
      <c r="AB48" s="210"/>
      <c r="AC48" s="211">
        <f>(Peak!F49*'Peak Hours'!V48*IS!$B$2)*-1</f>
        <v>0</v>
      </c>
      <c r="AD48" s="210"/>
    </row>
    <row r="49" spans="1:30" x14ac:dyDescent="0.2">
      <c r="A49" s="1">
        <f t="shared" si="0"/>
        <v>37726.26300000005</v>
      </c>
      <c r="B49" s="182">
        <f>IF($A$1="BL",0,'Peak Hours'!B49*Peak!H50*IS!$B$2)</f>
        <v>0</v>
      </c>
      <c r="C49" s="183">
        <f>IF($A$1="BL",0,'Peak Hours'!C49*Peak!I50*IS!$B$2)</f>
        <v>0</v>
      </c>
      <c r="D49" s="183">
        <f>IF($A$1="BL",0,'Peak Hours'!D49*Peak!J50*IS!$B$2)</f>
        <v>0</v>
      </c>
      <c r="E49" s="183">
        <f>IF($A$1="BL",0,'Peak Hours'!E49*Peak!K50*IS!$B$2)</f>
        <v>0</v>
      </c>
      <c r="F49" s="183">
        <f>IF($A$1="BL",0,'Peak Hours'!F49*Peak!L50*IS!$B$2)</f>
        <v>0</v>
      </c>
      <c r="G49" s="183">
        <f>IF($A$1="BL",0,'Peak Hours'!G49*Peak!M50*IS!$B$2)</f>
        <v>0</v>
      </c>
      <c r="H49" s="183">
        <f>IF($A$1="BL",0,'Peak Hours'!H49*Peak!N50*IS!$B$2)</f>
        <v>0</v>
      </c>
      <c r="I49" s="183">
        <f>IF($A$1="BL",0,'Peak Hours'!I49*Peak!O50*IS!$B$2)</f>
        <v>0</v>
      </c>
      <c r="J49" s="183">
        <f>IF($A$1="BL",0,'Peak Hours'!J49*Peak!P50*IS!$B$2)</f>
        <v>0</v>
      </c>
      <c r="K49" s="183">
        <f>IF($A$1="BL",0,'Peak Hours'!K49*Peak!Q50*IS!$B$2)</f>
        <v>0</v>
      </c>
      <c r="L49" s="183">
        <f>IF($A$1="BL",0,'Peak Hours'!L49*Peak!R50*IS!$B$2)</f>
        <v>0</v>
      </c>
      <c r="M49" s="183">
        <f>IF($A$1="BL",0,'Peak Hours'!M49*Peak!S50*IS!$B$2)</f>
        <v>0</v>
      </c>
      <c r="N49" s="183">
        <f>IF($A$1="BL",0,'Peak Hours'!N49*Peak!T50*IS!$B$2)</f>
        <v>0</v>
      </c>
      <c r="O49" s="183">
        <f>IF($A$1="BL",0,'Peak Hours'!O49*Peak!U50*IS!$B$2)</f>
        <v>0</v>
      </c>
      <c r="P49" s="183">
        <f>IF($A$1="BL",0,'Peak Hours'!P49*Peak!V50*IS!$B$2)</f>
        <v>0</v>
      </c>
      <c r="Q49" s="183">
        <f>IF($A$1="BL",0,'Peak Hours'!Q49*Peak!W50*IS!$B$2)</f>
        <v>0</v>
      </c>
      <c r="R49" s="183">
        <f>IF($A$1="BL",0,'Peak Hours'!R49*Peak!X50*IS!$B$2)</f>
        <v>0</v>
      </c>
      <c r="S49" s="183">
        <f>IF($A$1="BL",0,'Peak Hours'!S49*Peak!Y50*IS!$B$2)</f>
        <v>0</v>
      </c>
      <c r="T49" s="183">
        <f>IF($A$1="BL",0,'Peak Hours'!T49*Peak!Z50*IS!$B$2)</f>
        <v>0</v>
      </c>
      <c r="U49" s="183">
        <f>IF($A$1="BL",0,'Peak Hours'!U49*Peak!AA50*IS!$B$2)</f>
        <v>0</v>
      </c>
      <c r="V49" s="213"/>
      <c r="W49" s="211">
        <f>(IF($A$1="BL",0,Peak!C50*'Peak Hours'!V49*IS!$B$2))*-1</f>
        <v>0</v>
      </c>
      <c r="X49" s="213"/>
      <c r="Y49" s="211">
        <f>(IF($A$1="bl",0,Peak!D50*'Peak Hours'!V49*IS!$B$2))*-1</f>
        <v>0</v>
      </c>
      <c r="Z49" s="213"/>
      <c r="AA49" s="211">
        <f>(Peak!E50*'Peak Hours'!V49*IS!$B$2)*-1</f>
        <v>0</v>
      </c>
      <c r="AB49" s="210"/>
      <c r="AC49" s="211">
        <f>(Peak!F50*'Peak Hours'!V49*IS!$B$2)*-1</f>
        <v>0</v>
      </c>
      <c r="AD49" s="210"/>
    </row>
    <row r="50" spans="1:30" x14ac:dyDescent="0.2">
      <c r="A50" s="1">
        <f t="shared" si="0"/>
        <v>37756.680000000051</v>
      </c>
      <c r="B50" s="182">
        <f>IF($A$1="BL",0,'Peak Hours'!B50*Peak!H51*IS!$B$2)</f>
        <v>0</v>
      </c>
      <c r="C50" s="183">
        <f>IF($A$1="BL",0,'Peak Hours'!C50*Peak!I51*IS!$B$2)</f>
        <v>0</v>
      </c>
      <c r="D50" s="183">
        <f>IF($A$1="BL",0,'Peak Hours'!D50*Peak!J51*IS!$B$2)</f>
        <v>0</v>
      </c>
      <c r="E50" s="183">
        <f>IF($A$1="BL",0,'Peak Hours'!E50*Peak!K51*IS!$B$2)</f>
        <v>0</v>
      </c>
      <c r="F50" s="183">
        <f>IF($A$1="BL",0,'Peak Hours'!F50*Peak!L51*IS!$B$2)</f>
        <v>0</v>
      </c>
      <c r="G50" s="183">
        <f>IF($A$1="BL",0,'Peak Hours'!G50*Peak!M51*IS!$B$2)</f>
        <v>0</v>
      </c>
      <c r="H50" s="183">
        <f>IF($A$1="BL",0,'Peak Hours'!H50*Peak!N51*IS!$B$2)</f>
        <v>0</v>
      </c>
      <c r="I50" s="183">
        <f>IF($A$1="BL",0,'Peak Hours'!I50*Peak!O51*IS!$B$2)</f>
        <v>0</v>
      </c>
      <c r="J50" s="183">
        <f>IF($A$1="BL",0,'Peak Hours'!J50*Peak!P51*IS!$B$2)</f>
        <v>0</v>
      </c>
      <c r="K50" s="183">
        <f>IF($A$1="BL",0,'Peak Hours'!K50*Peak!Q51*IS!$B$2)</f>
        <v>0</v>
      </c>
      <c r="L50" s="183">
        <f>IF($A$1="BL",0,'Peak Hours'!L50*Peak!R51*IS!$B$2)</f>
        <v>0</v>
      </c>
      <c r="M50" s="183">
        <f>IF($A$1="BL",0,'Peak Hours'!M50*Peak!S51*IS!$B$2)</f>
        <v>0</v>
      </c>
      <c r="N50" s="183">
        <f>IF($A$1="BL",0,'Peak Hours'!N50*Peak!T51*IS!$B$2)</f>
        <v>0</v>
      </c>
      <c r="O50" s="183">
        <f>IF($A$1="BL",0,'Peak Hours'!O50*Peak!U51*IS!$B$2)</f>
        <v>0</v>
      </c>
      <c r="P50" s="183">
        <f>IF($A$1="BL",0,'Peak Hours'!P50*Peak!V51*IS!$B$2)</f>
        <v>0</v>
      </c>
      <c r="Q50" s="183">
        <f>IF($A$1="BL",0,'Peak Hours'!Q50*Peak!W51*IS!$B$2)</f>
        <v>0</v>
      </c>
      <c r="R50" s="183">
        <f>IF($A$1="BL",0,'Peak Hours'!R50*Peak!X51*IS!$B$2)</f>
        <v>0</v>
      </c>
      <c r="S50" s="183">
        <f>IF($A$1="BL",0,'Peak Hours'!S50*Peak!Y51*IS!$B$2)</f>
        <v>0</v>
      </c>
      <c r="T50" s="183">
        <f>IF($A$1="BL",0,'Peak Hours'!T50*Peak!Z51*IS!$B$2)</f>
        <v>0</v>
      </c>
      <c r="U50" s="183">
        <f>IF($A$1="BL",0,'Peak Hours'!U50*Peak!AA51*IS!$B$2)</f>
        <v>0</v>
      </c>
      <c r="V50" s="213"/>
      <c r="W50" s="211">
        <f>(IF($A$1="BL",0,Peak!C51*'Peak Hours'!V50*IS!$B$2))*-1</f>
        <v>0</v>
      </c>
      <c r="X50" s="213"/>
      <c r="Y50" s="211">
        <f>(IF($A$1="bl",0,Peak!D51*'Peak Hours'!V50*IS!$B$2))*-1</f>
        <v>0</v>
      </c>
      <c r="Z50" s="213"/>
      <c r="AA50" s="211">
        <f>(Peak!E51*'Peak Hours'!V50*IS!$B$2)*-1</f>
        <v>0</v>
      </c>
      <c r="AB50" s="210"/>
      <c r="AC50" s="211">
        <f>(Peak!F51*'Peak Hours'!V50*IS!$B$2)*-1</f>
        <v>0</v>
      </c>
      <c r="AD50" s="210"/>
    </row>
    <row r="51" spans="1:30" x14ac:dyDescent="0.2">
      <c r="A51" s="1">
        <f t="shared" si="0"/>
        <v>37787.097000000053</v>
      </c>
      <c r="B51" s="182">
        <f>IF($A$1="BL",0,'Peak Hours'!B51*Peak!H52*IS!$B$2)</f>
        <v>0</v>
      </c>
      <c r="C51" s="183">
        <f>IF($A$1="BL",0,'Peak Hours'!C51*Peak!I52*IS!$B$2)</f>
        <v>0</v>
      </c>
      <c r="D51" s="183">
        <f>IF($A$1="BL",0,'Peak Hours'!D51*Peak!J52*IS!$B$2)</f>
        <v>0</v>
      </c>
      <c r="E51" s="183">
        <f>IF($A$1="BL",0,'Peak Hours'!E51*Peak!K52*IS!$B$2)</f>
        <v>0</v>
      </c>
      <c r="F51" s="183">
        <f>IF($A$1="BL",0,'Peak Hours'!F51*Peak!L52*IS!$B$2)</f>
        <v>0</v>
      </c>
      <c r="G51" s="183">
        <f>IF($A$1="BL",0,'Peak Hours'!G51*Peak!M52*IS!$B$2)</f>
        <v>0</v>
      </c>
      <c r="H51" s="183">
        <f>IF($A$1="BL",0,'Peak Hours'!H51*Peak!N52*IS!$B$2)</f>
        <v>0</v>
      </c>
      <c r="I51" s="183">
        <f>IF($A$1="BL",0,'Peak Hours'!I51*Peak!O52*IS!$B$2)</f>
        <v>0</v>
      </c>
      <c r="J51" s="183">
        <f>IF($A$1="BL",0,'Peak Hours'!J51*Peak!P52*IS!$B$2)</f>
        <v>0</v>
      </c>
      <c r="K51" s="183">
        <f>IF($A$1="BL",0,'Peak Hours'!K51*Peak!Q52*IS!$B$2)</f>
        <v>0</v>
      </c>
      <c r="L51" s="183">
        <f>IF($A$1="BL",0,'Peak Hours'!L51*Peak!R52*IS!$B$2)</f>
        <v>0</v>
      </c>
      <c r="M51" s="183">
        <f>IF($A$1="BL",0,'Peak Hours'!M51*Peak!S52*IS!$B$2)</f>
        <v>0</v>
      </c>
      <c r="N51" s="183">
        <f>IF($A$1="BL",0,'Peak Hours'!N51*Peak!T52*IS!$B$2)</f>
        <v>0</v>
      </c>
      <c r="O51" s="183">
        <f>IF($A$1="BL",0,'Peak Hours'!O51*Peak!U52*IS!$B$2)</f>
        <v>0</v>
      </c>
      <c r="P51" s="183">
        <f>IF($A$1="BL",0,'Peak Hours'!P51*Peak!V52*IS!$B$2)</f>
        <v>0</v>
      </c>
      <c r="Q51" s="183">
        <f>IF($A$1="BL",0,'Peak Hours'!Q51*Peak!W52*IS!$B$2)</f>
        <v>0</v>
      </c>
      <c r="R51" s="183">
        <f>IF($A$1="BL",0,'Peak Hours'!R51*Peak!X52*IS!$B$2)</f>
        <v>0</v>
      </c>
      <c r="S51" s="183">
        <f>IF($A$1="BL",0,'Peak Hours'!S51*Peak!Y52*IS!$B$2)</f>
        <v>0</v>
      </c>
      <c r="T51" s="183">
        <f>IF($A$1="BL",0,'Peak Hours'!T51*Peak!Z52*IS!$B$2)</f>
        <v>0</v>
      </c>
      <c r="U51" s="183">
        <f>IF($A$1="BL",0,'Peak Hours'!U51*Peak!AA52*IS!$B$2)</f>
        <v>0</v>
      </c>
      <c r="V51" s="213"/>
      <c r="W51" s="211">
        <f>(IF($A$1="BL",0,Peak!C52*'Peak Hours'!V51*IS!$B$2))*-1</f>
        <v>0</v>
      </c>
      <c r="X51" s="213"/>
      <c r="Y51" s="211">
        <f>(IF($A$1="bl",0,Peak!D52*'Peak Hours'!V51*IS!$B$2))*-1</f>
        <v>0</v>
      </c>
      <c r="Z51" s="213"/>
      <c r="AA51" s="211">
        <f>(Peak!E52*'Peak Hours'!V51*IS!$B$2)*-1</f>
        <v>0</v>
      </c>
      <c r="AB51" s="210"/>
      <c r="AC51" s="211">
        <f>(Peak!F52*'Peak Hours'!V51*IS!$B$2)*-1</f>
        <v>0</v>
      </c>
      <c r="AD51" s="210"/>
    </row>
    <row r="52" spans="1:30" x14ac:dyDescent="0.2">
      <c r="A52" s="1">
        <f t="shared" si="0"/>
        <v>37817.514000000054</v>
      </c>
      <c r="B52" s="182">
        <f>IF($A$1="BL",0,'Peak Hours'!B52*Peak!H53*IS!$B$2)</f>
        <v>0</v>
      </c>
      <c r="C52" s="183">
        <f>IF($A$1="BL",0,'Peak Hours'!C52*Peak!I53*IS!$B$2)</f>
        <v>0</v>
      </c>
      <c r="D52" s="183">
        <f>IF($A$1="BL",0,'Peak Hours'!D52*Peak!J53*IS!$B$2)</f>
        <v>0</v>
      </c>
      <c r="E52" s="183">
        <f>IF($A$1="BL",0,'Peak Hours'!E52*Peak!K53*IS!$B$2)</f>
        <v>0</v>
      </c>
      <c r="F52" s="183">
        <f>IF($A$1="BL",0,'Peak Hours'!F52*Peak!L53*IS!$B$2)</f>
        <v>0</v>
      </c>
      <c r="G52" s="183">
        <f>IF($A$1="BL",0,'Peak Hours'!G52*Peak!M53*IS!$B$2)</f>
        <v>0</v>
      </c>
      <c r="H52" s="183">
        <f>IF($A$1="BL",0,'Peak Hours'!H52*Peak!N53*IS!$B$2)</f>
        <v>0</v>
      </c>
      <c r="I52" s="183">
        <f>IF($A$1="BL",0,'Peak Hours'!I52*Peak!O53*IS!$B$2)</f>
        <v>0</v>
      </c>
      <c r="J52" s="183">
        <f>IF($A$1="BL",0,'Peak Hours'!J52*Peak!P53*IS!$B$2)</f>
        <v>0</v>
      </c>
      <c r="K52" s="183">
        <f>IF($A$1="BL",0,'Peak Hours'!K52*Peak!Q53*IS!$B$2)</f>
        <v>0</v>
      </c>
      <c r="L52" s="183">
        <f>IF($A$1="BL",0,'Peak Hours'!L52*Peak!R53*IS!$B$2)</f>
        <v>0</v>
      </c>
      <c r="M52" s="183">
        <f>IF($A$1="BL",0,'Peak Hours'!M52*Peak!S53*IS!$B$2)</f>
        <v>0</v>
      </c>
      <c r="N52" s="183">
        <f>IF($A$1="BL",0,'Peak Hours'!N52*Peak!T53*IS!$B$2)</f>
        <v>0</v>
      </c>
      <c r="O52" s="183">
        <f>IF($A$1="BL",0,'Peak Hours'!O52*Peak!U53*IS!$B$2)</f>
        <v>0</v>
      </c>
      <c r="P52" s="183">
        <f>IF($A$1="BL",0,'Peak Hours'!P52*Peak!V53*IS!$B$2)</f>
        <v>0</v>
      </c>
      <c r="Q52" s="183">
        <f>IF($A$1="BL",0,'Peak Hours'!Q52*Peak!W53*IS!$B$2)</f>
        <v>0</v>
      </c>
      <c r="R52" s="183">
        <f>IF($A$1="BL",0,'Peak Hours'!R52*Peak!X53*IS!$B$2)</f>
        <v>0</v>
      </c>
      <c r="S52" s="183">
        <f>IF($A$1="BL",0,'Peak Hours'!S52*Peak!Y53*IS!$B$2)</f>
        <v>0</v>
      </c>
      <c r="T52" s="183">
        <f>IF($A$1="BL",0,'Peak Hours'!T52*Peak!Z53*IS!$B$2)</f>
        <v>0</v>
      </c>
      <c r="U52" s="183">
        <f>IF($A$1="BL",0,'Peak Hours'!U52*Peak!AA53*IS!$B$2)</f>
        <v>0</v>
      </c>
      <c r="V52" s="213"/>
      <c r="W52" s="211">
        <f>(IF($A$1="BL",0,Peak!C53*'Peak Hours'!V52*IS!$B$2))*-1</f>
        <v>0</v>
      </c>
      <c r="X52" s="213"/>
      <c r="Y52" s="211">
        <f>(IF($A$1="bl",0,Peak!D53*'Peak Hours'!V52*IS!$B$2))*-1</f>
        <v>0</v>
      </c>
      <c r="Z52" s="213"/>
      <c r="AA52" s="211">
        <f>(Peak!E53*'Peak Hours'!V52*IS!$B$2)*-1</f>
        <v>0</v>
      </c>
      <c r="AB52" s="210"/>
      <c r="AC52" s="211">
        <f>(Peak!F53*'Peak Hours'!V52*IS!$B$2)*-1</f>
        <v>0</v>
      </c>
      <c r="AD52" s="210"/>
    </row>
    <row r="53" spans="1:30" x14ac:dyDescent="0.2">
      <c r="A53" s="1">
        <f t="shared" si="0"/>
        <v>37847.931000000055</v>
      </c>
      <c r="B53" s="182">
        <f>IF($A$1="BL",0,'Peak Hours'!B53*Peak!H54*IS!$B$2)</f>
        <v>0</v>
      </c>
      <c r="C53" s="183">
        <f>IF($A$1="BL",0,'Peak Hours'!C53*Peak!I54*IS!$B$2)</f>
        <v>0</v>
      </c>
      <c r="D53" s="183">
        <f>IF($A$1="BL",0,'Peak Hours'!D53*Peak!J54*IS!$B$2)</f>
        <v>0</v>
      </c>
      <c r="E53" s="183">
        <f>IF($A$1="BL",0,'Peak Hours'!E53*Peak!K54*IS!$B$2)</f>
        <v>0</v>
      </c>
      <c r="F53" s="183">
        <f>IF($A$1="BL",0,'Peak Hours'!F53*Peak!L54*IS!$B$2)</f>
        <v>0</v>
      </c>
      <c r="G53" s="183">
        <f>IF($A$1="BL",0,'Peak Hours'!G53*Peak!M54*IS!$B$2)</f>
        <v>0</v>
      </c>
      <c r="H53" s="183">
        <f>IF($A$1="BL",0,'Peak Hours'!H53*Peak!N54*IS!$B$2)</f>
        <v>0</v>
      </c>
      <c r="I53" s="183">
        <f>IF($A$1="BL",0,'Peak Hours'!I53*Peak!O54*IS!$B$2)</f>
        <v>0</v>
      </c>
      <c r="J53" s="183">
        <f>IF($A$1="BL",0,'Peak Hours'!J53*Peak!P54*IS!$B$2)</f>
        <v>0</v>
      </c>
      <c r="K53" s="183">
        <f>IF($A$1="BL",0,'Peak Hours'!K53*Peak!Q54*IS!$B$2)</f>
        <v>0</v>
      </c>
      <c r="L53" s="183">
        <f>IF($A$1="BL",0,'Peak Hours'!L53*Peak!R54*IS!$B$2)</f>
        <v>0</v>
      </c>
      <c r="M53" s="183">
        <f>IF($A$1="BL",0,'Peak Hours'!M53*Peak!S54*IS!$B$2)</f>
        <v>0</v>
      </c>
      <c r="N53" s="183">
        <f>IF($A$1="BL",0,'Peak Hours'!N53*Peak!T54*IS!$B$2)</f>
        <v>0</v>
      </c>
      <c r="O53" s="183">
        <f>IF($A$1="BL",0,'Peak Hours'!O53*Peak!U54*IS!$B$2)</f>
        <v>0</v>
      </c>
      <c r="P53" s="183">
        <f>IF($A$1="BL",0,'Peak Hours'!P53*Peak!V54*IS!$B$2)</f>
        <v>0</v>
      </c>
      <c r="Q53" s="183">
        <f>IF($A$1="BL",0,'Peak Hours'!Q53*Peak!W54*IS!$B$2)</f>
        <v>0</v>
      </c>
      <c r="R53" s="183">
        <f>IF($A$1="BL",0,'Peak Hours'!R53*Peak!X54*IS!$B$2)</f>
        <v>0</v>
      </c>
      <c r="S53" s="183">
        <f>IF($A$1="BL",0,'Peak Hours'!S53*Peak!Y54*IS!$B$2)</f>
        <v>0</v>
      </c>
      <c r="T53" s="183">
        <f>IF($A$1="BL",0,'Peak Hours'!T53*Peak!Z54*IS!$B$2)</f>
        <v>0</v>
      </c>
      <c r="U53" s="183">
        <f>IF($A$1="BL",0,'Peak Hours'!U53*Peak!AA54*IS!$B$2)</f>
        <v>0</v>
      </c>
      <c r="V53" s="213"/>
      <c r="W53" s="211">
        <f>(IF($A$1="BL",0,Peak!C54*'Peak Hours'!V53*IS!$B$2))*-1</f>
        <v>0</v>
      </c>
      <c r="X53" s="213"/>
      <c r="Y53" s="211">
        <f>(IF($A$1="bl",0,Peak!D54*'Peak Hours'!V53*IS!$B$2))*-1</f>
        <v>0</v>
      </c>
      <c r="Z53" s="213"/>
      <c r="AA53" s="211">
        <f>(Peak!E54*'Peak Hours'!V53*IS!$B$2)*-1</f>
        <v>0</v>
      </c>
      <c r="AB53" s="210"/>
      <c r="AC53" s="211">
        <f>(Peak!F54*'Peak Hours'!V53*IS!$B$2)*-1</f>
        <v>0</v>
      </c>
      <c r="AD53" s="210"/>
    </row>
    <row r="54" spans="1:30" x14ac:dyDescent="0.2">
      <c r="A54" s="1">
        <f t="shared" si="0"/>
        <v>37878.348000000056</v>
      </c>
      <c r="B54" s="182">
        <f>IF($A$1="BL",0,'Peak Hours'!B54*Peak!H55*IS!$B$2)</f>
        <v>0</v>
      </c>
      <c r="C54" s="183">
        <f>IF($A$1="BL",0,'Peak Hours'!C54*Peak!I55*IS!$B$2)</f>
        <v>0</v>
      </c>
      <c r="D54" s="183">
        <f>IF($A$1="BL",0,'Peak Hours'!D54*Peak!J55*IS!$B$2)</f>
        <v>0</v>
      </c>
      <c r="E54" s="183">
        <f>IF($A$1="BL",0,'Peak Hours'!E54*Peak!K55*IS!$B$2)</f>
        <v>0</v>
      </c>
      <c r="F54" s="183">
        <f>IF($A$1="BL",0,'Peak Hours'!F54*Peak!L55*IS!$B$2)</f>
        <v>0</v>
      </c>
      <c r="G54" s="183">
        <f>IF($A$1="BL",0,'Peak Hours'!G54*Peak!M55*IS!$B$2)</f>
        <v>0</v>
      </c>
      <c r="H54" s="183">
        <f>IF($A$1="BL",0,'Peak Hours'!H54*Peak!N55*IS!$B$2)</f>
        <v>0</v>
      </c>
      <c r="I54" s="183">
        <f>IF($A$1="BL",0,'Peak Hours'!I54*Peak!O55*IS!$B$2)</f>
        <v>0</v>
      </c>
      <c r="J54" s="183">
        <f>IF($A$1="BL",0,'Peak Hours'!J54*Peak!P55*IS!$B$2)</f>
        <v>0</v>
      </c>
      <c r="K54" s="183">
        <f>IF($A$1="BL",0,'Peak Hours'!K54*Peak!Q55*IS!$B$2)</f>
        <v>0</v>
      </c>
      <c r="L54" s="183">
        <f>IF($A$1="BL",0,'Peak Hours'!L54*Peak!R55*IS!$B$2)</f>
        <v>0</v>
      </c>
      <c r="M54" s="183">
        <f>IF($A$1="BL",0,'Peak Hours'!M54*Peak!S55*IS!$B$2)</f>
        <v>0</v>
      </c>
      <c r="N54" s="183">
        <f>IF($A$1="BL",0,'Peak Hours'!N54*Peak!T55*IS!$B$2)</f>
        <v>0</v>
      </c>
      <c r="O54" s="183">
        <f>IF($A$1="BL",0,'Peak Hours'!O54*Peak!U55*IS!$B$2)</f>
        <v>0</v>
      </c>
      <c r="P54" s="183">
        <f>IF($A$1="BL",0,'Peak Hours'!P54*Peak!V55*IS!$B$2)</f>
        <v>0</v>
      </c>
      <c r="Q54" s="183">
        <f>IF($A$1="BL",0,'Peak Hours'!Q54*Peak!W55*IS!$B$2)</f>
        <v>0</v>
      </c>
      <c r="R54" s="183">
        <f>IF($A$1="BL",0,'Peak Hours'!R54*Peak!X55*IS!$B$2)</f>
        <v>0</v>
      </c>
      <c r="S54" s="183">
        <f>IF($A$1="BL",0,'Peak Hours'!S54*Peak!Y55*IS!$B$2)</f>
        <v>0</v>
      </c>
      <c r="T54" s="183">
        <f>IF($A$1="BL",0,'Peak Hours'!T54*Peak!Z55*IS!$B$2)</f>
        <v>0</v>
      </c>
      <c r="U54" s="183">
        <f>IF($A$1="BL",0,'Peak Hours'!U54*Peak!AA55*IS!$B$2)</f>
        <v>0</v>
      </c>
      <c r="V54" s="213"/>
      <c r="W54" s="211">
        <f>(IF($A$1="BL",0,Peak!C55*'Peak Hours'!V54*IS!$B$2))*-1</f>
        <v>0</v>
      </c>
      <c r="X54" s="213"/>
      <c r="Y54" s="211">
        <f>(IF($A$1="bl",0,Peak!D55*'Peak Hours'!V54*IS!$B$2))*-1</f>
        <v>0</v>
      </c>
      <c r="Z54" s="213"/>
      <c r="AA54" s="211">
        <f>(Peak!E55*'Peak Hours'!V54*IS!$B$2)*-1</f>
        <v>0</v>
      </c>
      <c r="AB54" s="210"/>
      <c r="AC54" s="211">
        <f>(Peak!F55*'Peak Hours'!V54*IS!$B$2)*-1</f>
        <v>0</v>
      </c>
      <c r="AD54" s="210"/>
    </row>
    <row r="55" spans="1:30" x14ac:dyDescent="0.2">
      <c r="A55" s="1">
        <f t="shared" si="0"/>
        <v>37908.765000000058</v>
      </c>
      <c r="B55" s="182">
        <f>IF($A$1="BL",0,'Peak Hours'!B55*Peak!H56*IS!$B$2)</f>
        <v>0</v>
      </c>
      <c r="C55" s="183">
        <f>IF($A$1="BL",0,'Peak Hours'!C55*Peak!I56*IS!$B$2)</f>
        <v>0</v>
      </c>
      <c r="D55" s="183">
        <f>IF($A$1="BL",0,'Peak Hours'!D55*Peak!J56*IS!$B$2)</f>
        <v>0</v>
      </c>
      <c r="E55" s="183">
        <f>IF($A$1="BL",0,'Peak Hours'!E55*Peak!K56*IS!$B$2)</f>
        <v>0</v>
      </c>
      <c r="F55" s="183">
        <f>IF($A$1="BL",0,'Peak Hours'!F55*Peak!L56*IS!$B$2)</f>
        <v>0</v>
      </c>
      <c r="G55" s="183">
        <f>IF($A$1="BL",0,'Peak Hours'!G55*Peak!M56*IS!$B$2)</f>
        <v>0</v>
      </c>
      <c r="H55" s="183">
        <f>IF($A$1="BL",0,'Peak Hours'!H55*Peak!N56*IS!$B$2)</f>
        <v>0</v>
      </c>
      <c r="I55" s="183">
        <f>IF($A$1="BL",0,'Peak Hours'!I55*Peak!O56*IS!$B$2)</f>
        <v>0</v>
      </c>
      <c r="J55" s="183">
        <f>IF($A$1="BL",0,'Peak Hours'!J55*Peak!P56*IS!$B$2)</f>
        <v>0</v>
      </c>
      <c r="K55" s="183">
        <f>IF($A$1="BL",0,'Peak Hours'!K55*Peak!Q56*IS!$B$2)</f>
        <v>0</v>
      </c>
      <c r="L55" s="183">
        <f>IF($A$1="BL",0,'Peak Hours'!L55*Peak!R56*IS!$B$2)</f>
        <v>0</v>
      </c>
      <c r="M55" s="183">
        <f>IF($A$1="BL",0,'Peak Hours'!M55*Peak!S56*IS!$B$2)</f>
        <v>0</v>
      </c>
      <c r="N55" s="183">
        <f>IF($A$1="BL",0,'Peak Hours'!N55*Peak!T56*IS!$B$2)</f>
        <v>0</v>
      </c>
      <c r="O55" s="183">
        <f>IF($A$1="BL",0,'Peak Hours'!O55*Peak!U56*IS!$B$2)</f>
        <v>0</v>
      </c>
      <c r="P55" s="183">
        <f>IF($A$1="BL",0,'Peak Hours'!P55*Peak!V56*IS!$B$2)</f>
        <v>0</v>
      </c>
      <c r="Q55" s="183">
        <f>IF($A$1="BL",0,'Peak Hours'!Q55*Peak!W56*IS!$B$2)</f>
        <v>0</v>
      </c>
      <c r="R55" s="183">
        <f>IF($A$1="BL",0,'Peak Hours'!R55*Peak!X56*IS!$B$2)</f>
        <v>0</v>
      </c>
      <c r="S55" s="183">
        <f>IF($A$1="BL",0,'Peak Hours'!S55*Peak!Y56*IS!$B$2)</f>
        <v>0</v>
      </c>
      <c r="T55" s="183">
        <f>IF($A$1="BL",0,'Peak Hours'!T55*Peak!Z56*IS!$B$2)</f>
        <v>0</v>
      </c>
      <c r="U55" s="183">
        <f>IF($A$1="BL",0,'Peak Hours'!U55*Peak!AA56*IS!$B$2)</f>
        <v>0</v>
      </c>
      <c r="V55" s="213"/>
      <c r="W55" s="211">
        <f>(IF($A$1="BL",0,Peak!C56*'Peak Hours'!V55*IS!$B$2))*-1</f>
        <v>0</v>
      </c>
      <c r="X55" s="213"/>
      <c r="Y55" s="211">
        <f>(IF($A$1="bl",0,Peak!D56*'Peak Hours'!V55*IS!$B$2))*-1</f>
        <v>0</v>
      </c>
      <c r="Z55" s="213"/>
      <c r="AA55" s="211">
        <f>(Peak!E56*'Peak Hours'!V55*IS!$B$2)*-1</f>
        <v>0</v>
      </c>
      <c r="AB55" s="210"/>
      <c r="AC55" s="211">
        <f>(Peak!F56*'Peak Hours'!V55*IS!$B$2)*-1</f>
        <v>0</v>
      </c>
      <c r="AD55" s="210"/>
    </row>
    <row r="56" spans="1:30" x14ac:dyDescent="0.2">
      <c r="A56" s="1">
        <f t="shared" si="0"/>
        <v>37939.182000000059</v>
      </c>
      <c r="B56" s="182">
        <f>IF($A$1="BL",0,'Peak Hours'!B56*Peak!H57*IS!$B$2)</f>
        <v>0</v>
      </c>
      <c r="C56" s="183">
        <f>IF($A$1="BL",0,'Peak Hours'!C56*Peak!I57*IS!$B$2)</f>
        <v>0</v>
      </c>
      <c r="D56" s="183">
        <f>IF($A$1="BL",0,'Peak Hours'!D56*Peak!J57*IS!$B$2)</f>
        <v>0</v>
      </c>
      <c r="E56" s="183">
        <f>IF($A$1="BL",0,'Peak Hours'!E56*Peak!K57*IS!$B$2)</f>
        <v>0</v>
      </c>
      <c r="F56" s="183">
        <f>IF($A$1="BL",0,'Peak Hours'!F56*Peak!L57*IS!$B$2)</f>
        <v>0</v>
      </c>
      <c r="G56" s="183">
        <f>IF($A$1="BL",0,'Peak Hours'!G56*Peak!M57*IS!$B$2)</f>
        <v>0</v>
      </c>
      <c r="H56" s="183">
        <f>IF($A$1="BL",0,'Peak Hours'!H56*Peak!N57*IS!$B$2)</f>
        <v>0</v>
      </c>
      <c r="I56" s="183">
        <f>IF($A$1="BL",0,'Peak Hours'!I56*Peak!O57*IS!$B$2)</f>
        <v>0</v>
      </c>
      <c r="J56" s="183">
        <f>IF($A$1="BL",0,'Peak Hours'!J56*Peak!P57*IS!$B$2)</f>
        <v>0</v>
      </c>
      <c r="K56" s="183">
        <f>IF($A$1="BL",0,'Peak Hours'!K56*Peak!Q57*IS!$B$2)</f>
        <v>0</v>
      </c>
      <c r="L56" s="183">
        <f>IF($A$1="BL",0,'Peak Hours'!L56*Peak!R57*IS!$B$2)</f>
        <v>0</v>
      </c>
      <c r="M56" s="183">
        <f>IF($A$1="BL",0,'Peak Hours'!M56*Peak!S57*IS!$B$2)</f>
        <v>0</v>
      </c>
      <c r="N56" s="183">
        <f>IF($A$1="BL",0,'Peak Hours'!N56*Peak!T57*IS!$B$2)</f>
        <v>0</v>
      </c>
      <c r="O56" s="183">
        <f>IF($A$1="BL",0,'Peak Hours'!O56*Peak!U57*IS!$B$2)</f>
        <v>0</v>
      </c>
      <c r="P56" s="183">
        <f>IF($A$1="BL",0,'Peak Hours'!P56*Peak!V57*IS!$B$2)</f>
        <v>0</v>
      </c>
      <c r="Q56" s="183">
        <f>IF($A$1="BL",0,'Peak Hours'!Q56*Peak!W57*IS!$B$2)</f>
        <v>0</v>
      </c>
      <c r="R56" s="183">
        <f>IF($A$1="BL",0,'Peak Hours'!R56*Peak!X57*IS!$B$2)</f>
        <v>0</v>
      </c>
      <c r="S56" s="183">
        <f>IF($A$1="BL",0,'Peak Hours'!S56*Peak!Y57*IS!$B$2)</f>
        <v>0</v>
      </c>
      <c r="T56" s="183">
        <f>IF($A$1="BL",0,'Peak Hours'!T56*Peak!Z57*IS!$B$2)</f>
        <v>0</v>
      </c>
      <c r="U56" s="183">
        <f>IF($A$1="BL",0,'Peak Hours'!U56*Peak!AA57*IS!$B$2)</f>
        <v>0</v>
      </c>
      <c r="V56" s="213"/>
      <c r="W56" s="211">
        <f>(IF($A$1="BL",0,Peak!C57*'Peak Hours'!V56*IS!$B$2))*-1</f>
        <v>0</v>
      </c>
      <c r="X56" s="213"/>
      <c r="Y56" s="211">
        <f>(IF($A$1="bl",0,Peak!D57*'Peak Hours'!V56*IS!$B$2))*-1</f>
        <v>0</v>
      </c>
      <c r="Z56" s="213"/>
      <c r="AA56" s="211">
        <f>(Peak!E57*'Peak Hours'!V56*IS!$B$2)*-1</f>
        <v>0</v>
      </c>
      <c r="AB56" s="210"/>
      <c r="AC56" s="211">
        <f>(Peak!F57*'Peak Hours'!V56*IS!$B$2)*-1</f>
        <v>0</v>
      </c>
      <c r="AD56" s="210"/>
    </row>
    <row r="57" spans="1:30" x14ac:dyDescent="0.2">
      <c r="A57" s="1">
        <f t="shared" si="0"/>
        <v>37969.59900000006</v>
      </c>
      <c r="B57" s="182">
        <f>IF($A$1="BL",0,'Peak Hours'!B57*Peak!H58*IS!$B$2)</f>
        <v>0</v>
      </c>
      <c r="C57" s="183">
        <f>IF($A$1="BL",0,'Peak Hours'!C57*Peak!I58*IS!$B$2)</f>
        <v>0</v>
      </c>
      <c r="D57" s="183">
        <f>IF($A$1="BL",0,'Peak Hours'!D57*Peak!J58*IS!$B$2)</f>
        <v>0</v>
      </c>
      <c r="E57" s="183">
        <f>IF($A$1="BL",0,'Peak Hours'!E57*Peak!K58*IS!$B$2)</f>
        <v>0</v>
      </c>
      <c r="F57" s="183">
        <f>IF($A$1="BL",0,'Peak Hours'!F57*Peak!L58*IS!$B$2)</f>
        <v>0</v>
      </c>
      <c r="G57" s="183">
        <f>IF($A$1="BL",0,'Peak Hours'!G57*Peak!M58*IS!$B$2)</f>
        <v>0</v>
      </c>
      <c r="H57" s="183">
        <f>IF($A$1="BL",0,'Peak Hours'!H57*Peak!N58*IS!$B$2)</f>
        <v>0</v>
      </c>
      <c r="I57" s="183">
        <f>IF($A$1="BL",0,'Peak Hours'!I57*Peak!O58*IS!$B$2)</f>
        <v>0</v>
      </c>
      <c r="J57" s="183">
        <f>IF($A$1="BL",0,'Peak Hours'!J57*Peak!P58*IS!$B$2)</f>
        <v>0</v>
      </c>
      <c r="K57" s="183">
        <f>IF($A$1="BL",0,'Peak Hours'!K57*Peak!Q58*IS!$B$2)</f>
        <v>0</v>
      </c>
      <c r="L57" s="183">
        <f>IF($A$1="BL",0,'Peak Hours'!L57*Peak!R58*IS!$B$2)</f>
        <v>0</v>
      </c>
      <c r="M57" s="183">
        <f>IF($A$1="BL",0,'Peak Hours'!M57*Peak!S58*IS!$B$2)</f>
        <v>0</v>
      </c>
      <c r="N57" s="183">
        <f>IF($A$1="BL",0,'Peak Hours'!N57*Peak!T58*IS!$B$2)</f>
        <v>0</v>
      </c>
      <c r="O57" s="183">
        <f>IF($A$1="BL",0,'Peak Hours'!O57*Peak!U58*IS!$B$2)</f>
        <v>0</v>
      </c>
      <c r="P57" s="183">
        <f>IF($A$1="BL",0,'Peak Hours'!P57*Peak!V58*IS!$B$2)</f>
        <v>0</v>
      </c>
      <c r="Q57" s="183">
        <f>IF($A$1="BL",0,'Peak Hours'!Q57*Peak!W58*IS!$B$2)</f>
        <v>0</v>
      </c>
      <c r="R57" s="183">
        <f>IF($A$1="BL",0,'Peak Hours'!R57*Peak!X58*IS!$B$2)</f>
        <v>0</v>
      </c>
      <c r="S57" s="183">
        <f>IF($A$1="BL",0,'Peak Hours'!S57*Peak!Y58*IS!$B$2)</f>
        <v>0</v>
      </c>
      <c r="T57" s="183">
        <f>IF($A$1="BL",0,'Peak Hours'!T57*Peak!Z58*IS!$B$2)</f>
        <v>0</v>
      </c>
      <c r="U57" s="183">
        <f>IF($A$1="BL",0,'Peak Hours'!U57*Peak!AA58*IS!$B$2)</f>
        <v>0</v>
      </c>
      <c r="V57" s="214">
        <f>SUM(B46:U57)</f>
        <v>0</v>
      </c>
      <c r="W57" s="211">
        <f>(IF($A$1="BL",0,Peak!C58*'Peak Hours'!V57*IS!$B$2))*-1</f>
        <v>0</v>
      </c>
      <c r="X57" s="214">
        <f>SUM(W46:W57)</f>
        <v>0</v>
      </c>
      <c r="Y57" s="211">
        <f>(IF($A$1="bl",0,Peak!D58*'Peak Hours'!V57*IS!$B$2))*-1</f>
        <v>0</v>
      </c>
      <c r="Z57" s="214">
        <f>SUM(Y46:Y57)</f>
        <v>0</v>
      </c>
      <c r="AA57" s="211">
        <f>(Peak!E58*'Peak Hours'!V57*IS!$B$2)*-1</f>
        <v>0</v>
      </c>
      <c r="AB57" s="211">
        <f>SUM(AA46:AA57)</f>
        <v>0</v>
      </c>
      <c r="AC57" s="211">
        <f>(Peak!F58*'Peak Hours'!V57*IS!$B$2)*-1</f>
        <v>0</v>
      </c>
      <c r="AD57" s="211">
        <f>SUM(AC46:AC57)</f>
        <v>0</v>
      </c>
    </row>
    <row r="58" spans="1:30" x14ac:dyDescent="0.2">
      <c r="A58" s="1">
        <f t="shared" si="0"/>
        <v>38000.016000000061</v>
      </c>
      <c r="B58" s="182">
        <f>IF($A$1="BL",0,'Peak Hours'!B58*Peak!H59*IS!$B$2)</f>
        <v>0</v>
      </c>
      <c r="C58" s="183">
        <f>IF($A$1="BL",0,'Peak Hours'!C58*Peak!I59*IS!$B$2)</f>
        <v>0</v>
      </c>
      <c r="D58" s="183">
        <f>IF($A$1="BL",0,'Peak Hours'!D58*Peak!J59*IS!$B$2)</f>
        <v>0</v>
      </c>
      <c r="E58" s="183">
        <f>IF($A$1="BL",0,'Peak Hours'!E58*Peak!K59*IS!$B$2)</f>
        <v>0</v>
      </c>
      <c r="F58" s="183">
        <f>IF($A$1="BL",0,'Peak Hours'!F58*Peak!L59*IS!$B$2)</f>
        <v>0</v>
      </c>
      <c r="G58" s="183">
        <f>IF($A$1="BL",0,'Peak Hours'!G58*Peak!M59*IS!$B$2)</f>
        <v>0</v>
      </c>
      <c r="H58" s="183">
        <f>IF($A$1="BL",0,'Peak Hours'!H58*Peak!N59*IS!$B$2)</f>
        <v>0</v>
      </c>
      <c r="I58" s="183">
        <f>IF($A$1="BL",0,'Peak Hours'!I58*Peak!O59*IS!$B$2)</f>
        <v>0</v>
      </c>
      <c r="J58" s="183">
        <f>IF($A$1="BL",0,'Peak Hours'!J58*Peak!P59*IS!$B$2)</f>
        <v>0</v>
      </c>
      <c r="K58" s="183">
        <f>IF($A$1="BL",0,'Peak Hours'!K58*Peak!Q59*IS!$B$2)</f>
        <v>0</v>
      </c>
      <c r="L58" s="183">
        <f>IF($A$1="BL",0,'Peak Hours'!L58*Peak!R59*IS!$B$2)</f>
        <v>0</v>
      </c>
      <c r="M58" s="183">
        <f>IF($A$1="BL",0,'Peak Hours'!M58*Peak!S59*IS!$B$2)</f>
        <v>0</v>
      </c>
      <c r="N58" s="183">
        <f>IF($A$1="BL",0,'Peak Hours'!N58*Peak!T59*IS!$B$2)</f>
        <v>0</v>
      </c>
      <c r="O58" s="183">
        <f>IF($A$1="BL",0,'Peak Hours'!O58*Peak!U59*IS!$B$2)</f>
        <v>0</v>
      </c>
      <c r="P58" s="183">
        <f>IF($A$1="BL",0,'Peak Hours'!P58*Peak!V59*IS!$B$2)</f>
        <v>0</v>
      </c>
      <c r="Q58" s="183">
        <f>IF($A$1="BL",0,'Peak Hours'!Q58*Peak!W59*IS!$B$2)</f>
        <v>0</v>
      </c>
      <c r="R58" s="183">
        <f>IF($A$1="BL",0,'Peak Hours'!R58*Peak!X59*IS!$B$2)</f>
        <v>0</v>
      </c>
      <c r="S58" s="183">
        <f>IF($A$1="BL",0,'Peak Hours'!S58*Peak!Y59*IS!$B$2)</f>
        <v>0</v>
      </c>
      <c r="T58" s="183">
        <f>IF($A$1="BL",0,'Peak Hours'!T58*Peak!Z59*IS!$B$2)</f>
        <v>0</v>
      </c>
      <c r="U58" s="183">
        <f>IF($A$1="BL",0,'Peak Hours'!U58*Peak!AA59*IS!$B$2)</f>
        <v>0</v>
      </c>
      <c r="V58" s="213"/>
      <c r="W58" s="211">
        <f>(IF($A$1="BL",0,Peak!C59*'Peak Hours'!V58*IS!$B$2))*-1</f>
        <v>0</v>
      </c>
      <c r="X58" s="213"/>
      <c r="Y58" s="211">
        <f>(IF($A$1="bl",0,Peak!D59*'Peak Hours'!V58*IS!$B$2))*-1</f>
        <v>0</v>
      </c>
      <c r="Z58" s="213"/>
      <c r="AA58" s="211">
        <f>(Peak!E59*'Peak Hours'!V58*IS!$B$2)*-1</f>
        <v>0</v>
      </c>
      <c r="AB58" s="210"/>
      <c r="AC58" s="211">
        <f>(Peak!F59*'Peak Hours'!V58*IS!$B$2)*-1</f>
        <v>0</v>
      </c>
      <c r="AD58" s="210"/>
    </row>
    <row r="59" spans="1:30" x14ac:dyDescent="0.2">
      <c r="A59" s="1">
        <f t="shared" si="0"/>
        <v>38030.433000000063</v>
      </c>
      <c r="B59" s="182">
        <f>IF($A$1="BL",0,'Peak Hours'!B59*Peak!H60*IS!$B$2)</f>
        <v>0</v>
      </c>
      <c r="C59" s="183">
        <f>IF($A$1="BL",0,'Peak Hours'!C59*Peak!I60*IS!$B$2)</f>
        <v>0</v>
      </c>
      <c r="D59" s="183">
        <f>IF($A$1="BL",0,'Peak Hours'!D59*Peak!J60*IS!$B$2)</f>
        <v>0</v>
      </c>
      <c r="E59" s="183">
        <f>IF($A$1="BL",0,'Peak Hours'!E59*Peak!K60*IS!$B$2)</f>
        <v>0</v>
      </c>
      <c r="F59" s="183">
        <f>IF($A$1="BL",0,'Peak Hours'!F59*Peak!L60*IS!$B$2)</f>
        <v>0</v>
      </c>
      <c r="G59" s="183">
        <f>IF($A$1="BL",0,'Peak Hours'!G59*Peak!M60*IS!$B$2)</f>
        <v>0</v>
      </c>
      <c r="H59" s="183">
        <f>IF($A$1="BL",0,'Peak Hours'!H59*Peak!N60*IS!$B$2)</f>
        <v>0</v>
      </c>
      <c r="I59" s="183">
        <f>IF($A$1="BL",0,'Peak Hours'!I59*Peak!O60*IS!$B$2)</f>
        <v>0</v>
      </c>
      <c r="J59" s="183">
        <f>IF($A$1="BL",0,'Peak Hours'!J59*Peak!P60*IS!$B$2)</f>
        <v>0</v>
      </c>
      <c r="K59" s="183">
        <f>IF($A$1="BL",0,'Peak Hours'!K59*Peak!Q60*IS!$B$2)</f>
        <v>0</v>
      </c>
      <c r="L59" s="183">
        <f>IF($A$1="BL",0,'Peak Hours'!L59*Peak!R60*IS!$B$2)</f>
        <v>0</v>
      </c>
      <c r="M59" s="183">
        <f>IF($A$1="BL",0,'Peak Hours'!M59*Peak!S60*IS!$B$2)</f>
        <v>0</v>
      </c>
      <c r="N59" s="183">
        <f>IF($A$1="BL",0,'Peak Hours'!N59*Peak!T60*IS!$B$2)</f>
        <v>0</v>
      </c>
      <c r="O59" s="183">
        <f>IF($A$1="BL",0,'Peak Hours'!O59*Peak!U60*IS!$B$2)</f>
        <v>0</v>
      </c>
      <c r="P59" s="183">
        <f>IF($A$1="BL",0,'Peak Hours'!P59*Peak!V60*IS!$B$2)</f>
        <v>0</v>
      </c>
      <c r="Q59" s="183">
        <f>IF($A$1="BL",0,'Peak Hours'!Q59*Peak!W60*IS!$B$2)</f>
        <v>0</v>
      </c>
      <c r="R59" s="183">
        <f>IF($A$1="BL",0,'Peak Hours'!R59*Peak!X60*IS!$B$2)</f>
        <v>0</v>
      </c>
      <c r="S59" s="183">
        <f>IF($A$1="BL",0,'Peak Hours'!S59*Peak!Y60*IS!$B$2)</f>
        <v>0</v>
      </c>
      <c r="T59" s="183">
        <f>IF($A$1="BL",0,'Peak Hours'!T59*Peak!Z60*IS!$B$2)</f>
        <v>0</v>
      </c>
      <c r="U59" s="183">
        <f>IF($A$1="BL",0,'Peak Hours'!U59*Peak!AA60*IS!$B$2)</f>
        <v>0</v>
      </c>
      <c r="V59" s="213"/>
      <c r="W59" s="211">
        <f>(IF($A$1="BL",0,Peak!C60*'Peak Hours'!V59*IS!$B$2))*-1</f>
        <v>0</v>
      </c>
      <c r="X59" s="213"/>
      <c r="Y59" s="211">
        <f>(IF($A$1="bl",0,Peak!D60*'Peak Hours'!V59*IS!$B$2))*-1</f>
        <v>0</v>
      </c>
      <c r="Z59" s="213"/>
      <c r="AA59" s="211">
        <f>(Peak!E60*'Peak Hours'!V59*IS!$B$2)*-1</f>
        <v>0</v>
      </c>
      <c r="AB59" s="210"/>
      <c r="AC59" s="211">
        <f>(Peak!F60*'Peak Hours'!V59*IS!$B$2)*-1</f>
        <v>0</v>
      </c>
      <c r="AD59" s="210"/>
    </row>
    <row r="60" spans="1:30" x14ac:dyDescent="0.2">
      <c r="A60" s="1">
        <f t="shared" si="0"/>
        <v>38060.850000000064</v>
      </c>
      <c r="B60" s="182">
        <f>IF($A$1="BL",0,'Peak Hours'!B60*Peak!H61*IS!$B$2)</f>
        <v>0</v>
      </c>
      <c r="C60" s="183">
        <f>IF($A$1="BL",0,'Peak Hours'!C60*Peak!I61*IS!$B$2)</f>
        <v>0</v>
      </c>
      <c r="D60" s="183">
        <f>IF($A$1="BL",0,'Peak Hours'!D60*Peak!J61*IS!$B$2)</f>
        <v>0</v>
      </c>
      <c r="E60" s="183">
        <f>IF($A$1="BL",0,'Peak Hours'!E60*Peak!K61*IS!$B$2)</f>
        <v>0</v>
      </c>
      <c r="F60" s="183">
        <f>IF($A$1="BL",0,'Peak Hours'!F60*Peak!L61*IS!$B$2)</f>
        <v>0</v>
      </c>
      <c r="G60" s="183">
        <f>IF($A$1="BL",0,'Peak Hours'!G60*Peak!M61*IS!$B$2)</f>
        <v>0</v>
      </c>
      <c r="H60" s="183">
        <f>IF($A$1="BL",0,'Peak Hours'!H60*Peak!N61*IS!$B$2)</f>
        <v>0</v>
      </c>
      <c r="I60" s="183">
        <f>IF($A$1="BL",0,'Peak Hours'!I60*Peak!O61*IS!$B$2)</f>
        <v>0</v>
      </c>
      <c r="J60" s="183">
        <f>IF($A$1="BL",0,'Peak Hours'!J60*Peak!P61*IS!$B$2)</f>
        <v>0</v>
      </c>
      <c r="K60" s="183">
        <f>IF($A$1="BL",0,'Peak Hours'!K60*Peak!Q61*IS!$B$2)</f>
        <v>0</v>
      </c>
      <c r="L60" s="183">
        <f>IF($A$1="BL",0,'Peak Hours'!L60*Peak!R61*IS!$B$2)</f>
        <v>0</v>
      </c>
      <c r="M60" s="183">
        <f>IF($A$1="BL",0,'Peak Hours'!M60*Peak!S61*IS!$B$2)</f>
        <v>0</v>
      </c>
      <c r="N60" s="183">
        <f>IF($A$1="BL",0,'Peak Hours'!N60*Peak!T61*IS!$B$2)</f>
        <v>0</v>
      </c>
      <c r="O60" s="183">
        <f>IF($A$1="BL",0,'Peak Hours'!O60*Peak!U61*IS!$B$2)</f>
        <v>0</v>
      </c>
      <c r="P60" s="183">
        <f>IF($A$1="BL",0,'Peak Hours'!P60*Peak!V61*IS!$B$2)</f>
        <v>0</v>
      </c>
      <c r="Q60" s="183">
        <f>IF($A$1="BL",0,'Peak Hours'!Q60*Peak!W61*IS!$B$2)</f>
        <v>0</v>
      </c>
      <c r="R60" s="183">
        <f>IF($A$1="BL",0,'Peak Hours'!R60*Peak!X61*IS!$B$2)</f>
        <v>0</v>
      </c>
      <c r="S60" s="183">
        <f>IF($A$1="BL",0,'Peak Hours'!S60*Peak!Y61*IS!$B$2)</f>
        <v>0</v>
      </c>
      <c r="T60" s="183">
        <f>IF($A$1="BL",0,'Peak Hours'!T60*Peak!Z61*IS!$B$2)</f>
        <v>0</v>
      </c>
      <c r="U60" s="183">
        <f>IF($A$1="BL",0,'Peak Hours'!U60*Peak!AA61*IS!$B$2)</f>
        <v>0</v>
      </c>
      <c r="V60" s="213"/>
      <c r="W60" s="211">
        <f>(IF($A$1="BL",0,Peak!C61*'Peak Hours'!V60*IS!$B$2))*-1</f>
        <v>0</v>
      </c>
      <c r="X60" s="213"/>
      <c r="Y60" s="211">
        <f>(IF($A$1="bl",0,Peak!D61*'Peak Hours'!V60*IS!$B$2))*-1</f>
        <v>0</v>
      </c>
      <c r="Z60" s="213"/>
      <c r="AA60" s="211">
        <f>(Peak!E61*'Peak Hours'!V60*IS!$B$2)*-1</f>
        <v>0</v>
      </c>
      <c r="AB60" s="210"/>
      <c r="AC60" s="211">
        <f>(Peak!F61*'Peak Hours'!V60*IS!$B$2)*-1</f>
        <v>0</v>
      </c>
      <c r="AD60" s="210"/>
    </row>
    <row r="61" spans="1:30" x14ac:dyDescent="0.2">
      <c r="A61" s="1">
        <f t="shared" si="0"/>
        <v>38091.267000000065</v>
      </c>
      <c r="B61" s="182">
        <f>IF($A$1="BL",0,'Peak Hours'!B61*Peak!H62*IS!$B$2)</f>
        <v>0</v>
      </c>
      <c r="C61" s="183">
        <f>IF($A$1="BL",0,'Peak Hours'!C61*Peak!I62*IS!$B$2)</f>
        <v>0</v>
      </c>
      <c r="D61" s="183">
        <f>IF($A$1="BL",0,'Peak Hours'!D61*Peak!J62*IS!$B$2)</f>
        <v>0</v>
      </c>
      <c r="E61" s="183">
        <f>IF($A$1="BL",0,'Peak Hours'!E61*Peak!K62*IS!$B$2)</f>
        <v>0</v>
      </c>
      <c r="F61" s="183">
        <f>IF($A$1="BL",0,'Peak Hours'!F61*Peak!L62*IS!$B$2)</f>
        <v>0</v>
      </c>
      <c r="G61" s="183">
        <f>IF($A$1="BL",0,'Peak Hours'!G61*Peak!M62*IS!$B$2)</f>
        <v>0</v>
      </c>
      <c r="H61" s="183">
        <f>IF($A$1="BL",0,'Peak Hours'!H61*Peak!N62*IS!$B$2)</f>
        <v>0</v>
      </c>
      <c r="I61" s="183">
        <f>IF($A$1="BL",0,'Peak Hours'!I61*Peak!O62*IS!$B$2)</f>
        <v>0</v>
      </c>
      <c r="J61" s="183">
        <f>IF($A$1="BL",0,'Peak Hours'!J61*Peak!P62*IS!$B$2)</f>
        <v>0</v>
      </c>
      <c r="K61" s="183">
        <f>IF($A$1="BL",0,'Peak Hours'!K61*Peak!Q62*IS!$B$2)</f>
        <v>0</v>
      </c>
      <c r="L61" s="183">
        <f>IF($A$1="BL",0,'Peak Hours'!L61*Peak!R62*IS!$B$2)</f>
        <v>0</v>
      </c>
      <c r="M61" s="183">
        <f>IF($A$1="BL",0,'Peak Hours'!M61*Peak!S62*IS!$B$2)</f>
        <v>0</v>
      </c>
      <c r="N61" s="183">
        <f>IF($A$1="BL",0,'Peak Hours'!N61*Peak!T62*IS!$B$2)</f>
        <v>0</v>
      </c>
      <c r="O61" s="183">
        <f>IF($A$1="BL",0,'Peak Hours'!O61*Peak!U62*IS!$B$2)</f>
        <v>0</v>
      </c>
      <c r="P61" s="183">
        <f>IF($A$1="BL",0,'Peak Hours'!P61*Peak!V62*IS!$B$2)</f>
        <v>0</v>
      </c>
      <c r="Q61" s="183">
        <f>IF($A$1="BL",0,'Peak Hours'!Q61*Peak!W62*IS!$B$2)</f>
        <v>0</v>
      </c>
      <c r="R61" s="183">
        <f>IF($A$1="BL",0,'Peak Hours'!R61*Peak!X62*IS!$B$2)</f>
        <v>0</v>
      </c>
      <c r="S61" s="183">
        <f>IF($A$1="BL",0,'Peak Hours'!S61*Peak!Y62*IS!$B$2)</f>
        <v>0</v>
      </c>
      <c r="T61" s="183">
        <f>IF($A$1="BL",0,'Peak Hours'!T61*Peak!Z62*IS!$B$2)</f>
        <v>0</v>
      </c>
      <c r="U61" s="183">
        <f>IF($A$1="BL",0,'Peak Hours'!U61*Peak!AA62*IS!$B$2)</f>
        <v>0</v>
      </c>
      <c r="V61" s="213"/>
      <c r="W61" s="211">
        <f>(IF($A$1="BL",0,Peak!C62*'Peak Hours'!V61*IS!$B$2))*-1</f>
        <v>0</v>
      </c>
      <c r="X61" s="213"/>
      <c r="Y61" s="211">
        <f>(IF($A$1="bl",0,Peak!D62*'Peak Hours'!V61*IS!$B$2))*-1</f>
        <v>0</v>
      </c>
      <c r="Z61" s="213"/>
      <c r="AA61" s="211">
        <f>(Peak!E62*'Peak Hours'!V61*IS!$B$2)*-1</f>
        <v>0</v>
      </c>
      <c r="AB61" s="210"/>
      <c r="AC61" s="211">
        <f>(Peak!F62*'Peak Hours'!V61*IS!$B$2)*-1</f>
        <v>0</v>
      </c>
      <c r="AD61" s="210"/>
    </row>
    <row r="62" spans="1:30" x14ac:dyDescent="0.2">
      <c r="A62" s="1">
        <f t="shared" si="0"/>
        <v>38121.684000000067</v>
      </c>
      <c r="B62" s="182">
        <f>IF($A$1="BL",0,'Peak Hours'!B62*Peak!H63*IS!$B$2)</f>
        <v>0</v>
      </c>
      <c r="C62" s="183">
        <f>IF($A$1="BL",0,'Peak Hours'!C62*Peak!I63*IS!$B$2)</f>
        <v>0</v>
      </c>
      <c r="D62" s="183">
        <f>IF($A$1="BL",0,'Peak Hours'!D62*Peak!J63*IS!$B$2)</f>
        <v>0</v>
      </c>
      <c r="E62" s="183">
        <f>IF($A$1="BL",0,'Peak Hours'!E62*Peak!K63*IS!$B$2)</f>
        <v>0</v>
      </c>
      <c r="F62" s="183">
        <f>IF($A$1="BL",0,'Peak Hours'!F62*Peak!L63*IS!$B$2)</f>
        <v>0</v>
      </c>
      <c r="G62" s="183">
        <f>IF($A$1="BL",0,'Peak Hours'!G62*Peak!M63*IS!$B$2)</f>
        <v>0</v>
      </c>
      <c r="H62" s="183">
        <f>IF($A$1="BL",0,'Peak Hours'!H62*Peak!N63*IS!$B$2)</f>
        <v>0</v>
      </c>
      <c r="I62" s="183">
        <f>IF($A$1="BL",0,'Peak Hours'!I62*Peak!O63*IS!$B$2)</f>
        <v>0</v>
      </c>
      <c r="J62" s="183">
        <f>IF($A$1="BL",0,'Peak Hours'!J62*Peak!P63*IS!$B$2)</f>
        <v>0</v>
      </c>
      <c r="K62" s="183">
        <f>IF($A$1="BL",0,'Peak Hours'!K62*Peak!Q63*IS!$B$2)</f>
        <v>0</v>
      </c>
      <c r="L62" s="183">
        <f>IF($A$1="BL",0,'Peak Hours'!L62*Peak!R63*IS!$B$2)</f>
        <v>0</v>
      </c>
      <c r="M62" s="183">
        <f>IF($A$1="BL",0,'Peak Hours'!M62*Peak!S63*IS!$B$2)</f>
        <v>0</v>
      </c>
      <c r="N62" s="183">
        <f>IF($A$1="BL",0,'Peak Hours'!N62*Peak!T63*IS!$B$2)</f>
        <v>0</v>
      </c>
      <c r="O62" s="183">
        <f>IF($A$1="BL",0,'Peak Hours'!O62*Peak!U63*IS!$B$2)</f>
        <v>0</v>
      </c>
      <c r="P62" s="183">
        <f>IF($A$1="BL",0,'Peak Hours'!P62*Peak!V63*IS!$B$2)</f>
        <v>0</v>
      </c>
      <c r="Q62" s="183">
        <f>IF($A$1="BL",0,'Peak Hours'!Q62*Peak!W63*IS!$B$2)</f>
        <v>0</v>
      </c>
      <c r="R62" s="183">
        <f>IF($A$1="BL",0,'Peak Hours'!R62*Peak!X63*IS!$B$2)</f>
        <v>0</v>
      </c>
      <c r="S62" s="183">
        <f>IF($A$1="BL",0,'Peak Hours'!S62*Peak!Y63*IS!$B$2)</f>
        <v>0</v>
      </c>
      <c r="T62" s="183">
        <f>IF($A$1="BL",0,'Peak Hours'!T62*Peak!Z63*IS!$B$2)</f>
        <v>0</v>
      </c>
      <c r="U62" s="183">
        <f>IF($A$1="BL",0,'Peak Hours'!U62*Peak!AA63*IS!$B$2)</f>
        <v>0</v>
      </c>
      <c r="V62" s="213"/>
      <c r="W62" s="211">
        <f>(IF($A$1="BL",0,Peak!C63*'Peak Hours'!V62*IS!$B$2))*-1</f>
        <v>0</v>
      </c>
      <c r="X62" s="213"/>
      <c r="Y62" s="211">
        <f>(IF($A$1="bl",0,Peak!D63*'Peak Hours'!V62*IS!$B$2))*-1</f>
        <v>0</v>
      </c>
      <c r="Z62" s="213"/>
      <c r="AA62" s="211">
        <f>(Peak!E63*'Peak Hours'!V62*IS!$B$2)*-1</f>
        <v>0</v>
      </c>
      <c r="AB62" s="210"/>
      <c r="AC62" s="211">
        <f>(Peak!F63*'Peak Hours'!V62*IS!$B$2)*-1</f>
        <v>0</v>
      </c>
      <c r="AD62" s="210"/>
    </row>
    <row r="63" spans="1:30" x14ac:dyDescent="0.2">
      <c r="A63" s="1">
        <f t="shared" si="0"/>
        <v>38152.101000000068</v>
      </c>
      <c r="B63" s="182">
        <f>IF($A$1="BL",0,'Peak Hours'!B63*Peak!H64*IS!$B$2)</f>
        <v>0</v>
      </c>
      <c r="C63" s="183">
        <f>IF($A$1="BL",0,'Peak Hours'!C63*Peak!I64*IS!$B$2)</f>
        <v>0</v>
      </c>
      <c r="D63" s="183">
        <f>IF($A$1="BL",0,'Peak Hours'!D63*Peak!J64*IS!$B$2)</f>
        <v>0</v>
      </c>
      <c r="E63" s="183">
        <f>IF($A$1="BL",0,'Peak Hours'!E63*Peak!K64*IS!$B$2)</f>
        <v>0</v>
      </c>
      <c r="F63" s="183">
        <f>IF($A$1="BL",0,'Peak Hours'!F63*Peak!L64*IS!$B$2)</f>
        <v>0</v>
      </c>
      <c r="G63" s="183">
        <f>IF($A$1="BL",0,'Peak Hours'!G63*Peak!M64*IS!$B$2)</f>
        <v>0</v>
      </c>
      <c r="H63" s="183">
        <f>IF($A$1="BL",0,'Peak Hours'!H63*Peak!N64*IS!$B$2)</f>
        <v>0</v>
      </c>
      <c r="I63" s="183">
        <f>IF($A$1="BL",0,'Peak Hours'!I63*Peak!O64*IS!$B$2)</f>
        <v>0</v>
      </c>
      <c r="J63" s="183">
        <f>IF($A$1="BL",0,'Peak Hours'!J63*Peak!P64*IS!$B$2)</f>
        <v>0</v>
      </c>
      <c r="K63" s="183">
        <f>IF($A$1="BL",0,'Peak Hours'!K63*Peak!Q64*IS!$B$2)</f>
        <v>0</v>
      </c>
      <c r="L63" s="183">
        <f>IF($A$1="BL",0,'Peak Hours'!L63*Peak!R64*IS!$B$2)</f>
        <v>0</v>
      </c>
      <c r="M63" s="183">
        <f>IF($A$1="BL",0,'Peak Hours'!M63*Peak!S64*IS!$B$2)</f>
        <v>0</v>
      </c>
      <c r="N63" s="183">
        <f>IF($A$1="BL",0,'Peak Hours'!N63*Peak!T64*IS!$B$2)</f>
        <v>0</v>
      </c>
      <c r="O63" s="183">
        <f>IF($A$1="BL",0,'Peak Hours'!O63*Peak!U64*IS!$B$2)</f>
        <v>0</v>
      </c>
      <c r="P63" s="183">
        <f>IF($A$1="BL",0,'Peak Hours'!P63*Peak!V64*IS!$B$2)</f>
        <v>0</v>
      </c>
      <c r="Q63" s="183">
        <f>IF($A$1="BL",0,'Peak Hours'!Q63*Peak!W64*IS!$B$2)</f>
        <v>0</v>
      </c>
      <c r="R63" s="183">
        <f>IF($A$1="BL",0,'Peak Hours'!R63*Peak!X64*IS!$B$2)</f>
        <v>0</v>
      </c>
      <c r="S63" s="183">
        <f>IF($A$1="BL",0,'Peak Hours'!S63*Peak!Y64*IS!$B$2)</f>
        <v>0</v>
      </c>
      <c r="T63" s="183">
        <f>IF($A$1="BL",0,'Peak Hours'!T63*Peak!Z64*IS!$B$2)</f>
        <v>0</v>
      </c>
      <c r="U63" s="183">
        <f>IF($A$1="BL",0,'Peak Hours'!U63*Peak!AA64*IS!$B$2)</f>
        <v>0</v>
      </c>
      <c r="V63" s="213"/>
      <c r="W63" s="211">
        <f>(IF($A$1="BL",0,Peak!C64*'Peak Hours'!V63*IS!$B$2))*-1</f>
        <v>0</v>
      </c>
      <c r="X63" s="213"/>
      <c r="Y63" s="211">
        <f>(IF($A$1="bl",0,Peak!D64*'Peak Hours'!V63*IS!$B$2))*-1</f>
        <v>0</v>
      </c>
      <c r="Z63" s="213"/>
      <c r="AA63" s="211">
        <f>(Peak!E64*'Peak Hours'!V63*IS!$B$2)*-1</f>
        <v>0</v>
      </c>
      <c r="AB63" s="210"/>
      <c r="AC63" s="211">
        <f>(Peak!F64*'Peak Hours'!V63*IS!$B$2)*-1</f>
        <v>0</v>
      </c>
      <c r="AD63" s="210"/>
    </row>
    <row r="64" spans="1:30" x14ac:dyDescent="0.2">
      <c r="A64" s="1">
        <f t="shared" si="0"/>
        <v>38182.518000000069</v>
      </c>
      <c r="B64" s="182">
        <f>IF($A$1="BL",0,'Peak Hours'!B64*Peak!H65*IS!$B$2)</f>
        <v>0</v>
      </c>
      <c r="C64" s="183">
        <f>IF($A$1="BL",0,'Peak Hours'!C64*Peak!I65*IS!$B$2)</f>
        <v>0</v>
      </c>
      <c r="D64" s="183">
        <f>IF($A$1="BL",0,'Peak Hours'!D64*Peak!J65*IS!$B$2)</f>
        <v>0</v>
      </c>
      <c r="E64" s="183">
        <f>IF($A$1="BL",0,'Peak Hours'!E64*Peak!K65*IS!$B$2)</f>
        <v>0</v>
      </c>
      <c r="F64" s="183">
        <f>IF($A$1="BL",0,'Peak Hours'!F64*Peak!L65*IS!$B$2)</f>
        <v>0</v>
      </c>
      <c r="G64" s="183">
        <f>IF($A$1="BL",0,'Peak Hours'!G64*Peak!M65*IS!$B$2)</f>
        <v>0</v>
      </c>
      <c r="H64" s="183">
        <f>IF($A$1="BL",0,'Peak Hours'!H64*Peak!N65*IS!$B$2)</f>
        <v>0</v>
      </c>
      <c r="I64" s="183">
        <f>IF($A$1="BL",0,'Peak Hours'!I64*Peak!O65*IS!$B$2)</f>
        <v>0</v>
      </c>
      <c r="J64" s="183">
        <f>IF($A$1="BL",0,'Peak Hours'!J64*Peak!P65*IS!$B$2)</f>
        <v>0</v>
      </c>
      <c r="K64" s="183">
        <f>IF($A$1="BL",0,'Peak Hours'!K64*Peak!Q65*IS!$B$2)</f>
        <v>0</v>
      </c>
      <c r="L64" s="183">
        <f>IF($A$1="BL",0,'Peak Hours'!L64*Peak!R65*IS!$B$2)</f>
        <v>0</v>
      </c>
      <c r="M64" s="183">
        <f>IF($A$1="BL",0,'Peak Hours'!M64*Peak!S65*IS!$B$2)</f>
        <v>0</v>
      </c>
      <c r="N64" s="183">
        <f>IF($A$1="BL",0,'Peak Hours'!N64*Peak!T65*IS!$B$2)</f>
        <v>0</v>
      </c>
      <c r="O64" s="183">
        <f>IF($A$1="BL",0,'Peak Hours'!O64*Peak!U65*IS!$B$2)</f>
        <v>0</v>
      </c>
      <c r="P64" s="183">
        <f>IF($A$1="BL",0,'Peak Hours'!P64*Peak!V65*IS!$B$2)</f>
        <v>0</v>
      </c>
      <c r="Q64" s="183">
        <f>IF($A$1="BL",0,'Peak Hours'!Q64*Peak!W65*IS!$B$2)</f>
        <v>0</v>
      </c>
      <c r="R64" s="183">
        <f>IF($A$1="BL",0,'Peak Hours'!R64*Peak!X65*IS!$B$2)</f>
        <v>0</v>
      </c>
      <c r="S64" s="183">
        <f>IF($A$1="BL",0,'Peak Hours'!S64*Peak!Y65*IS!$B$2)</f>
        <v>0</v>
      </c>
      <c r="T64" s="183">
        <f>IF($A$1="BL",0,'Peak Hours'!T64*Peak!Z65*IS!$B$2)</f>
        <v>0</v>
      </c>
      <c r="U64" s="183">
        <f>IF($A$1="BL",0,'Peak Hours'!U64*Peak!AA65*IS!$B$2)</f>
        <v>0</v>
      </c>
      <c r="V64" s="213"/>
      <c r="W64" s="211">
        <f>(IF($A$1="BL",0,Peak!C65*'Peak Hours'!V64*IS!$B$2))*-1</f>
        <v>0</v>
      </c>
      <c r="X64" s="213"/>
      <c r="Y64" s="211">
        <f>(IF($A$1="bl",0,Peak!D65*'Peak Hours'!V64*IS!$B$2))*-1</f>
        <v>0</v>
      </c>
      <c r="Z64" s="213"/>
      <c r="AA64" s="211">
        <f>(Peak!E65*'Peak Hours'!V64*IS!$B$2)*-1</f>
        <v>0</v>
      </c>
      <c r="AB64" s="210"/>
      <c r="AC64" s="211">
        <f>(Peak!F65*'Peak Hours'!V64*IS!$B$2)*-1</f>
        <v>0</v>
      </c>
      <c r="AD64" s="210"/>
    </row>
    <row r="65" spans="1:30" x14ac:dyDescent="0.2">
      <c r="A65" s="1">
        <f t="shared" si="0"/>
        <v>38212.93500000007</v>
      </c>
      <c r="B65" s="182">
        <f>IF($A$1="BL",0,'Peak Hours'!B65*Peak!H66*IS!$B$2)</f>
        <v>0</v>
      </c>
      <c r="C65" s="183">
        <f>IF($A$1="BL",0,'Peak Hours'!C65*Peak!I66*IS!$B$2)</f>
        <v>0</v>
      </c>
      <c r="D65" s="183">
        <f>IF($A$1="BL",0,'Peak Hours'!D65*Peak!J66*IS!$B$2)</f>
        <v>0</v>
      </c>
      <c r="E65" s="183">
        <f>IF($A$1="BL",0,'Peak Hours'!E65*Peak!K66*IS!$B$2)</f>
        <v>0</v>
      </c>
      <c r="F65" s="183">
        <f>IF($A$1="BL",0,'Peak Hours'!F65*Peak!L66*IS!$B$2)</f>
        <v>0</v>
      </c>
      <c r="G65" s="183">
        <f>IF($A$1="BL",0,'Peak Hours'!G65*Peak!M66*IS!$B$2)</f>
        <v>0</v>
      </c>
      <c r="H65" s="183">
        <f>IF($A$1="BL",0,'Peak Hours'!H65*Peak!N66*IS!$B$2)</f>
        <v>0</v>
      </c>
      <c r="I65" s="183">
        <f>IF($A$1="BL",0,'Peak Hours'!I65*Peak!O66*IS!$B$2)</f>
        <v>0</v>
      </c>
      <c r="J65" s="183">
        <f>IF($A$1="BL",0,'Peak Hours'!J65*Peak!P66*IS!$B$2)</f>
        <v>0</v>
      </c>
      <c r="K65" s="183">
        <f>IF($A$1="BL",0,'Peak Hours'!K65*Peak!Q66*IS!$B$2)</f>
        <v>0</v>
      </c>
      <c r="L65" s="183">
        <f>IF($A$1="BL",0,'Peak Hours'!L65*Peak!R66*IS!$B$2)</f>
        <v>0</v>
      </c>
      <c r="M65" s="183">
        <f>IF($A$1="BL",0,'Peak Hours'!M65*Peak!S66*IS!$B$2)</f>
        <v>0</v>
      </c>
      <c r="N65" s="183">
        <f>IF($A$1="BL",0,'Peak Hours'!N65*Peak!T66*IS!$B$2)</f>
        <v>0</v>
      </c>
      <c r="O65" s="183">
        <f>IF($A$1="BL",0,'Peak Hours'!O65*Peak!U66*IS!$B$2)</f>
        <v>0</v>
      </c>
      <c r="P65" s="183">
        <f>IF($A$1="BL",0,'Peak Hours'!P65*Peak!V66*IS!$B$2)</f>
        <v>0</v>
      </c>
      <c r="Q65" s="183">
        <f>IF($A$1="BL",0,'Peak Hours'!Q65*Peak!W66*IS!$B$2)</f>
        <v>0</v>
      </c>
      <c r="R65" s="183">
        <f>IF($A$1="BL",0,'Peak Hours'!R65*Peak!X66*IS!$B$2)</f>
        <v>0</v>
      </c>
      <c r="S65" s="183">
        <f>IF($A$1="BL",0,'Peak Hours'!S65*Peak!Y66*IS!$B$2)</f>
        <v>0</v>
      </c>
      <c r="T65" s="183">
        <f>IF($A$1="BL",0,'Peak Hours'!T65*Peak!Z66*IS!$B$2)</f>
        <v>0</v>
      </c>
      <c r="U65" s="183">
        <f>IF($A$1="BL",0,'Peak Hours'!U65*Peak!AA66*IS!$B$2)</f>
        <v>0</v>
      </c>
      <c r="V65" s="213"/>
      <c r="W65" s="211">
        <f>(IF($A$1="BL",0,Peak!C66*'Peak Hours'!V65*IS!$B$2))*-1</f>
        <v>0</v>
      </c>
      <c r="X65" s="213"/>
      <c r="Y65" s="211">
        <f>(IF($A$1="bl",0,Peak!D66*'Peak Hours'!V65*IS!$B$2))*-1</f>
        <v>0</v>
      </c>
      <c r="Z65" s="213"/>
      <c r="AA65" s="211">
        <f>(Peak!E66*'Peak Hours'!V65*IS!$B$2)*-1</f>
        <v>0</v>
      </c>
      <c r="AB65" s="210"/>
      <c r="AC65" s="211">
        <f>(Peak!F66*'Peak Hours'!V65*IS!$B$2)*-1</f>
        <v>0</v>
      </c>
      <c r="AD65" s="210"/>
    </row>
    <row r="66" spans="1:30" x14ac:dyDescent="0.2">
      <c r="A66" s="1">
        <f t="shared" si="0"/>
        <v>38243.352000000072</v>
      </c>
      <c r="B66" s="182">
        <f>IF($A$1="BL",0,'Peak Hours'!B66*Peak!H67*IS!$B$2)</f>
        <v>0</v>
      </c>
      <c r="C66" s="183">
        <f>IF($A$1="BL",0,'Peak Hours'!C66*Peak!I67*IS!$B$2)</f>
        <v>0</v>
      </c>
      <c r="D66" s="183">
        <f>IF($A$1="BL",0,'Peak Hours'!D66*Peak!J67*IS!$B$2)</f>
        <v>0</v>
      </c>
      <c r="E66" s="183">
        <f>IF($A$1="BL",0,'Peak Hours'!E66*Peak!K67*IS!$B$2)</f>
        <v>0</v>
      </c>
      <c r="F66" s="183">
        <f>IF($A$1="BL",0,'Peak Hours'!F66*Peak!L67*IS!$B$2)</f>
        <v>0</v>
      </c>
      <c r="G66" s="183">
        <f>IF($A$1="BL",0,'Peak Hours'!G66*Peak!M67*IS!$B$2)</f>
        <v>0</v>
      </c>
      <c r="H66" s="183">
        <f>IF($A$1="BL",0,'Peak Hours'!H66*Peak!N67*IS!$B$2)</f>
        <v>0</v>
      </c>
      <c r="I66" s="183">
        <f>IF($A$1="BL",0,'Peak Hours'!I66*Peak!O67*IS!$B$2)</f>
        <v>0</v>
      </c>
      <c r="J66" s="183">
        <f>IF($A$1="BL",0,'Peak Hours'!J66*Peak!P67*IS!$B$2)</f>
        <v>0</v>
      </c>
      <c r="K66" s="183">
        <f>IF($A$1="BL",0,'Peak Hours'!K66*Peak!Q67*IS!$B$2)</f>
        <v>0</v>
      </c>
      <c r="L66" s="183">
        <f>IF($A$1="BL",0,'Peak Hours'!L66*Peak!R67*IS!$B$2)</f>
        <v>0</v>
      </c>
      <c r="M66" s="183">
        <f>IF($A$1="BL",0,'Peak Hours'!M66*Peak!S67*IS!$B$2)</f>
        <v>0</v>
      </c>
      <c r="N66" s="183">
        <f>IF($A$1="BL",0,'Peak Hours'!N66*Peak!T67*IS!$B$2)</f>
        <v>0</v>
      </c>
      <c r="O66" s="183">
        <f>IF($A$1="BL",0,'Peak Hours'!O66*Peak!U67*IS!$B$2)</f>
        <v>0</v>
      </c>
      <c r="P66" s="183">
        <f>IF($A$1="BL",0,'Peak Hours'!P66*Peak!V67*IS!$B$2)</f>
        <v>0</v>
      </c>
      <c r="Q66" s="183">
        <f>IF($A$1="BL",0,'Peak Hours'!Q66*Peak!W67*IS!$B$2)</f>
        <v>0</v>
      </c>
      <c r="R66" s="183">
        <f>IF($A$1="BL",0,'Peak Hours'!R66*Peak!X67*IS!$B$2)</f>
        <v>0</v>
      </c>
      <c r="S66" s="183">
        <f>IF($A$1="BL",0,'Peak Hours'!S66*Peak!Y67*IS!$B$2)</f>
        <v>0</v>
      </c>
      <c r="T66" s="183">
        <f>IF($A$1="BL",0,'Peak Hours'!T66*Peak!Z67*IS!$B$2)</f>
        <v>0</v>
      </c>
      <c r="U66" s="183">
        <f>IF($A$1="BL",0,'Peak Hours'!U66*Peak!AA67*IS!$B$2)</f>
        <v>0</v>
      </c>
      <c r="V66" s="213"/>
      <c r="W66" s="211">
        <f>(IF($A$1="BL",0,Peak!C67*'Peak Hours'!V66*IS!$B$2))*-1</f>
        <v>0</v>
      </c>
      <c r="X66" s="213"/>
      <c r="Y66" s="211">
        <f>(IF($A$1="bl",0,Peak!D67*'Peak Hours'!V66*IS!$B$2))*-1</f>
        <v>0</v>
      </c>
      <c r="Z66" s="213"/>
      <c r="AA66" s="211">
        <f>(Peak!E67*'Peak Hours'!V66*IS!$B$2)*-1</f>
        <v>0</v>
      </c>
      <c r="AB66" s="210"/>
      <c r="AC66" s="211">
        <f>(Peak!F67*'Peak Hours'!V66*IS!$B$2)*-1</f>
        <v>0</v>
      </c>
      <c r="AD66" s="210"/>
    </row>
    <row r="67" spans="1:30" x14ac:dyDescent="0.2">
      <c r="A67" s="1">
        <f t="shared" si="0"/>
        <v>38273.769000000073</v>
      </c>
      <c r="B67" s="182">
        <f>IF($A$1="BL",0,'Peak Hours'!B67*Peak!H68*IS!$B$2)</f>
        <v>0</v>
      </c>
      <c r="C67" s="183">
        <f>IF($A$1="BL",0,'Peak Hours'!C67*Peak!I68*IS!$B$2)</f>
        <v>0</v>
      </c>
      <c r="D67" s="183">
        <f>IF($A$1="BL",0,'Peak Hours'!D67*Peak!J68*IS!$B$2)</f>
        <v>0</v>
      </c>
      <c r="E67" s="183">
        <f>IF($A$1="BL",0,'Peak Hours'!E67*Peak!K68*IS!$B$2)</f>
        <v>0</v>
      </c>
      <c r="F67" s="183">
        <f>IF($A$1="BL",0,'Peak Hours'!F67*Peak!L68*IS!$B$2)</f>
        <v>0</v>
      </c>
      <c r="G67" s="183">
        <f>IF($A$1="BL",0,'Peak Hours'!G67*Peak!M68*IS!$B$2)</f>
        <v>0</v>
      </c>
      <c r="H67" s="183">
        <f>IF($A$1="BL",0,'Peak Hours'!H67*Peak!N68*IS!$B$2)</f>
        <v>0</v>
      </c>
      <c r="I67" s="183">
        <f>IF($A$1="BL",0,'Peak Hours'!I67*Peak!O68*IS!$B$2)</f>
        <v>0</v>
      </c>
      <c r="J67" s="183">
        <f>IF($A$1="BL",0,'Peak Hours'!J67*Peak!P68*IS!$B$2)</f>
        <v>0</v>
      </c>
      <c r="K67" s="183">
        <f>IF($A$1="BL",0,'Peak Hours'!K67*Peak!Q68*IS!$B$2)</f>
        <v>0</v>
      </c>
      <c r="L67" s="183">
        <f>IF($A$1="BL",0,'Peak Hours'!L67*Peak!R68*IS!$B$2)</f>
        <v>0</v>
      </c>
      <c r="M67" s="183">
        <f>IF($A$1="BL",0,'Peak Hours'!M67*Peak!S68*IS!$B$2)</f>
        <v>0</v>
      </c>
      <c r="N67" s="183">
        <f>IF($A$1="BL",0,'Peak Hours'!N67*Peak!T68*IS!$B$2)</f>
        <v>0</v>
      </c>
      <c r="O67" s="183">
        <f>IF($A$1="BL",0,'Peak Hours'!O67*Peak!U68*IS!$B$2)</f>
        <v>0</v>
      </c>
      <c r="P67" s="183">
        <f>IF($A$1="BL",0,'Peak Hours'!P67*Peak!V68*IS!$B$2)</f>
        <v>0</v>
      </c>
      <c r="Q67" s="183">
        <f>IF($A$1="BL",0,'Peak Hours'!Q67*Peak!W68*IS!$B$2)</f>
        <v>0</v>
      </c>
      <c r="R67" s="183">
        <f>IF($A$1="BL",0,'Peak Hours'!R67*Peak!X68*IS!$B$2)</f>
        <v>0</v>
      </c>
      <c r="S67" s="183">
        <f>IF($A$1="BL",0,'Peak Hours'!S67*Peak!Y68*IS!$B$2)</f>
        <v>0</v>
      </c>
      <c r="T67" s="183">
        <f>IF($A$1="BL",0,'Peak Hours'!T67*Peak!Z68*IS!$B$2)</f>
        <v>0</v>
      </c>
      <c r="U67" s="183">
        <f>IF($A$1="BL",0,'Peak Hours'!U67*Peak!AA68*IS!$B$2)</f>
        <v>0</v>
      </c>
      <c r="V67" s="213"/>
      <c r="W67" s="211">
        <f>(IF($A$1="BL",0,Peak!C68*'Peak Hours'!V67*IS!$B$2))*-1</f>
        <v>0</v>
      </c>
      <c r="X67" s="213"/>
      <c r="Y67" s="211">
        <f>(IF($A$1="bl",0,Peak!D68*'Peak Hours'!V67*IS!$B$2))*-1</f>
        <v>0</v>
      </c>
      <c r="Z67" s="213"/>
      <c r="AA67" s="211">
        <f>(Peak!E68*'Peak Hours'!V67*IS!$B$2)*-1</f>
        <v>0</v>
      </c>
      <c r="AB67" s="210"/>
      <c r="AC67" s="211">
        <f>(Peak!F68*'Peak Hours'!V67*IS!$B$2)*-1</f>
        <v>0</v>
      </c>
      <c r="AD67" s="210"/>
    </row>
    <row r="68" spans="1:30" x14ac:dyDescent="0.2">
      <c r="A68" s="1">
        <f t="shared" si="0"/>
        <v>38304.186000000074</v>
      </c>
      <c r="B68" s="182">
        <f>IF($A$1="BL",0,'Peak Hours'!B68*Peak!H69*IS!$B$2)</f>
        <v>0</v>
      </c>
      <c r="C68" s="183">
        <f>IF($A$1="BL",0,'Peak Hours'!C68*Peak!I69*IS!$B$2)</f>
        <v>0</v>
      </c>
      <c r="D68" s="183">
        <f>IF($A$1="BL",0,'Peak Hours'!D68*Peak!J69*IS!$B$2)</f>
        <v>0</v>
      </c>
      <c r="E68" s="183">
        <f>IF($A$1="BL",0,'Peak Hours'!E68*Peak!K69*IS!$B$2)</f>
        <v>0</v>
      </c>
      <c r="F68" s="183">
        <f>IF($A$1="BL",0,'Peak Hours'!F68*Peak!L69*IS!$B$2)</f>
        <v>0</v>
      </c>
      <c r="G68" s="183">
        <f>IF($A$1="BL",0,'Peak Hours'!G68*Peak!M69*IS!$B$2)</f>
        <v>0</v>
      </c>
      <c r="H68" s="183">
        <f>IF($A$1="BL",0,'Peak Hours'!H68*Peak!N69*IS!$B$2)</f>
        <v>0</v>
      </c>
      <c r="I68" s="183">
        <f>IF($A$1="BL",0,'Peak Hours'!I68*Peak!O69*IS!$B$2)</f>
        <v>0</v>
      </c>
      <c r="J68" s="183">
        <f>IF($A$1="BL",0,'Peak Hours'!J68*Peak!P69*IS!$B$2)</f>
        <v>0</v>
      </c>
      <c r="K68" s="183">
        <f>IF($A$1="BL",0,'Peak Hours'!K68*Peak!Q69*IS!$B$2)</f>
        <v>0</v>
      </c>
      <c r="L68" s="183">
        <f>IF($A$1="BL",0,'Peak Hours'!L68*Peak!R69*IS!$B$2)</f>
        <v>0</v>
      </c>
      <c r="M68" s="183">
        <f>IF($A$1="BL",0,'Peak Hours'!M68*Peak!S69*IS!$B$2)</f>
        <v>0</v>
      </c>
      <c r="N68" s="183">
        <f>IF($A$1="BL",0,'Peak Hours'!N68*Peak!T69*IS!$B$2)</f>
        <v>0</v>
      </c>
      <c r="O68" s="183">
        <f>IF($A$1="BL",0,'Peak Hours'!O68*Peak!U69*IS!$B$2)</f>
        <v>0</v>
      </c>
      <c r="P68" s="183">
        <f>IF($A$1="BL",0,'Peak Hours'!P68*Peak!V69*IS!$B$2)</f>
        <v>0</v>
      </c>
      <c r="Q68" s="183">
        <f>IF($A$1="BL",0,'Peak Hours'!Q68*Peak!W69*IS!$B$2)</f>
        <v>0</v>
      </c>
      <c r="R68" s="183">
        <f>IF($A$1="BL",0,'Peak Hours'!R68*Peak!X69*IS!$B$2)</f>
        <v>0</v>
      </c>
      <c r="S68" s="183">
        <f>IF($A$1="BL",0,'Peak Hours'!S68*Peak!Y69*IS!$B$2)</f>
        <v>0</v>
      </c>
      <c r="T68" s="183">
        <f>IF($A$1="BL",0,'Peak Hours'!T68*Peak!Z69*IS!$B$2)</f>
        <v>0</v>
      </c>
      <c r="U68" s="183">
        <f>IF($A$1="BL",0,'Peak Hours'!U68*Peak!AA69*IS!$B$2)</f>
        <v>0</v>
      </c>
      <c r="V68" s="213"/>
      <c r="W68" s="211">
        <f>(IF($A$1="BL",0,Peak!C69*'Peak Hours'!V68*IS!$B$2))*-1</f>
        <v>0</v>
      </c>
      <c r="X68" s="213"/>
      <c r="Y68" s="211">
        <f>(IF($A$1="bl",0,Peak!D69*'Peak Hours'!V68*IS!$B$2))*-1</f>
        <v>0</v>
      </c>
      <c r="Z68" s="213"/>
      <c r="AA68" s="211">
        <f>(Peak!E69*'Peak Hours'!V68*IS!$B$2)*-1</f>
        <v>0</v>
      </c>
      <c r="AB68" s="210"/>
      <c r="AC68" s="211">
        <f>(Peak!F69*'Peak Hours'!V68*IS!$B$2)*-1</f>
        <v>0</v>
      </c>
      <c r="AD68" s="210"/>
    </row>
    <row r="69" spans="1:30" x14ac:dyDescent="0.2">
      <c r="A69" s="1">
        <f t="shared" si="0"/>
        <v>38334.603000000076</v>
      </c>
      <c r="B69" s="182">
        <f>IF($A$1="BL",0,'Peak Hours'!B69*Peak!H70*IS!$B$2)</f>
        <v>0</v>
      </c>
      <c r="C69" s="183">
        <f>IF($A$1="BL",0,'Peak Hours'!C69*Peak!I70*IS!$B$2)</f>
        <v>0</v>
      </c>
      <c r="D69" s="183">
        <f>IF($A$1="BL",0,'Peak Hours'!D69*Peak!J70*IS!$B$2)</f>
        <v>0</v>
      </c>
      <c r="E69" s="183">
        <f>IF($A$1="BL",0,'Peak Hours'!E69*Peak!K70*IS!$B$2)</f>
        <v>0</v>
      </c>
      <c r="F69" s="183">
        <f>IF($A$1="BL",0,'Peak Hours'!F69*Peak!L70*IS!$B$2)</f>
        <v>0</v>
      </c>
      <c r="G69" s="183">
        <f>IF($A$1="BL",0,'Peak Hours'!G69*Peak!M70*IS!$B$2)</f>
        <v>0</v>
      </c>
      <c r="H69" s="183">
        <f>IF($A$1="BL",0,'Peak Hours'!H69*Peak!N70*IS!$B$2)</f>
        <v>0</v>
      </c>
      <c r="I69" s="183">
        <f>IF($A$1="BL",0,'Peak Hours'!I69*Peak!O70*IS!$B$2)</f>
        <v>0</v>
      </c>
      <c r="J69" s="183">
        <f>IF($A$1="BL",0,'Peak Hours'!J69*Peak!P70*IS!$B$2)</f>
        <v>0</v>
      </c>
      <c r="K69" s="183">
        <f>IF($A$1="BL",0,'Peak Hours'!K69*Peak!Q70*IS!$B$2)</f>
        <v>0</v>
      </c>
      <c r="L69" s="183">
        <f>IF($A$1="BL",0,'Peak Hours'!L69*Peak!R70*IS!$B$2)</f>
        <v>0</v>
      </c>
      <c r="M69" s="183">
        <f>IF($A$1="BL",0,'Peak Hours'!M69*Peak!S70*IS!$B$2)</f>
        <v>0</v>
      </c>
      <c r="N69" s="183">
        <f>IF($A$1="BL",0,'Peak Hours'!N69*Peak!T70*IS!$B$2)</f>
        <v>0</v>
      </c>
      <c r="O69" s="183">
        <f>IF($A$1="BL",0,'Peak Hours'!O69*Peak!U70*IS!$B$2)</f>
        <v>0</v>
      </c>
      <c r="P69" s="183">
        <f>IF($A$1="BL",0,'Peak Hours'!P69*Peak!V70*IS!$B$2)</f>
        <v>0</v>
      </c>
      <c r="Q69" s="183">
        <f>IF($A$1="BL",0,'Peak Hours'!Q69*Peak!W70*IS!$B$2)</f>
        <v>0</v>
      </c>
      <c r="R69" s="183">
        <f>IF($A$1="BL",0,'Peak Hours'!R69*Peak!X70*IS!$B$2)</f>
        <v>0</v>
      </c>
      <c r="S69" s="183">
        <f>IF($A$1="BL",0,'Peak Hours'!S69*Peak!Y70*IS!$B$2)</f>
        <v>0</v>
      </c>
      <c r="T69" s="183">
        <f>IF($A$1="BL",0,'Peak Hours'!T69*Peak!Z70*IS!$B$2)</f>
        <v>0</v>
      </c>
      <c r="U69" s="183">
        <f>IF($A$1="BL",0,'Peak Hours'!U69*Peak!AA70*IS!$B$2)</f>
        <v>0</v>
      </c>
      <c r="V69" s="214">
        <f>SUM(B58:U69)</f>
        <v>0</v>
      </c>
      <c r="W69" s="211">
        <f>(IF($A$1="BL",0,Peak!C70*'Peak Hours'!V69*IS!$B$2))*-1</f>
        <v>0</v>
      </c>
      <c r="X69" s="214">
        <f>SUM(W58:W69)</f>
        <v>0</v>
      </c>
      <c r="Y69" s="211">
        <f>(IF($A$1="bl",0,Peak!D70*'Peak Hours'!V69*IS!$B$2))*-1</f>
        <v>0</v>
      </c>
      <c r="Z69" s="214">
        <f>SUM(Y58:Y69)</f>
        <v>0</v>
      </c>
      <c r="AA69" s="211">
        <f>(Peak!E70*'Peak Hours'!V69*IS!$B$2)*-1</f>
        <v>0</v>
      </c>
      <c r="AB69" s="211">
        <f>SUM(AA58:AA69)</f>
        <v>0</v>
      </c>
      <c r="AC69" s="211">
        <f>(Peak!F70*'Peak Hours'!V69*IS!$B$2)*-1</f>
        <v>0</v>
      </c>
      <c r="AD69" s="211">
        <f>SUM(AC58:AC69)</f>
        <v>0</v>
      </c>
    </row>
    <row r="70" spans="1:30" x14ac:dyDescent="0.2">
      <c r="A70" s="1">
        <f t="shared" si="0"/>
        <v>38365.020000000077</v>
      </c>
      <c r="B70" s="182">
        <f>IF($A$1="BL",0,'Peak Hours'!B70*Peak!H71*IS!$B$2)</f>
        <v>0</v>
      </c>
      <c r="C70" s="183">
        <f>IF($A$1="BL",0,'Peak Hours'!C70*Peak!I71*IS!$B$2)</f>
        <v>0</v>
      </c>
      <c r="D70" s="183">
        <f>IF($A$1="BL",0,'Peak Hours'!D70*Peak!J71*IS!$B$2)</f>
        <v>0</v>
      </c>
      <c r="E70" s="183">
        <f>IF($A$1="BL",0,'Peak Hours'!E70*Peak!K71*IS!$B$2)</f>
        <v>0</v>
      </c>
      <c r="F70" s="183">
        <f>IF($A$1="BL",0,'Peak Hours'!F70*Peak!L71*IS!$B$2)</f>
        <v>0</v>
      </c>
      <c r="G70" s="183">
        <f>IF($A$1="BL",0,'Peak Hours'!G70*Peak!M71*IS!$B$2)</f>
        <v>0</v>
      </c>
      <c r="H70" s="183">
        <f>IF($A$1="BL",0,'Peak Hours'!H70*Peak!N71*IS!$B$2)</f>
        <v>0</v>
      </c>
      <c r="I70" s="183">
        <f>IF($A$1="BL",0,'Peak Hours'!I70*Peak!O71*IS!$B$2)</f>
        <v>0</v>
      </c>
      <c r="J70" s="183">
        <f>IF($A$1="BL",0,'Peak Hours'!J70*Peak!P71*IS!$B$2)</f>
        <v>0</v>
      </c>
      <c r="K70" s="183">
        <f>IF($A$1="BL",0,'Peak Hours'!K70*Peak!Q71*IS!$B$2)</f>
        <v>0</v>
      </c>
      <c r="L70" s="183">
        <f>IF($A$1="BL",0,'Peak Hours'!L70*Peak!R71*IS!$B$2)</f>
        <v>0</v>
      </c>
      <c r="M70" s="183">
        <f>IF($A$1="BL",0,'Peak Hours'!M70*Peak!S71*IS!$B$2)</f>
        <v>0</v>
      </c>
      <c r="N70" s="183">
        <f>IF($A$1="BL",0,'Peak Hours'!N70*Peak!T71*IS!$B$2)</f>
        <v>0</v>
      </c>
      <c r="O70" s="183">
        <f>IF($A$1="BL",0,'Peak Hours'!O70*Peak!U71*IS!$B$2)</f>
        <v>0</v>
      </c>
      <c r="P70" s="183">
        <f>IF($A$1="BL",0,'Peak Hours'!P70*Peak!V71*IS!$B$2)</f>
        <v>0</v>
      </c>
      <c r="Q70" s="183">
        <f>IF($A$1="BL",0,'Peak Hours'!Q70*Peak!W71*IS!$B$2)</f>
        <v>0</v>
      </c>
      <c r="R70" s="183">
        <f>IF($A$1="BL",0,'Peak Hours'!R70*Peak!X71*IS!$B$2)</f>
        <v>0</v>
      </c>
      <c r="S70" s="183">
        <f>IF($A$1="BL",0,'Peak Hours'!S70*Peak!Y71*IS!$B$2)</f>
        <v>0</v>
      </c>
      <c r="T70" s="183">
        <f>IF($A$1="BL",0,'Peak Hours'!T70*Peak!Z71*IS!$B$2)</f>
        <v>0</v>
      </c>
      <c r="U70" s="183">
        <f>IF($A$1="BL",0,'Peak Hours'!U70*Peak!AA71*IS!$B$2)</f>
        <v>0</v>
      </c>
      <c r="V70" s="213"/>
      <c r="W70" s="211">
        <f>(IF($A$1="BL",0,Peak!C71*'Peak Hours'!V70*IS!$B$2))*-1</f>
        <v>0</v>
      </c>
      <c r="X70" s="213"/>
      <c r="Y70" s="211">
        <f>(IF($A$1="bl",0,Peak!D71*'Peak Hours'!V70*IS!$B$2))*-1</f>
        <v>0</v>
      </c>
      <c r="Z70" s="213"/>
      <c r="AA70" s="211">
        <f>(Peak!E71*'Peak Hours'!V70*IS!$B$2)*-1</f>
        <v>0</v>
      </c>
      <c r="AB70" s="210"/>
      <c r="AC70" s="211">
        <f>(Peak!F71*'Peak Hours'!V70*IS!$B$2)*-1</f>
        <v>0</v>
      </c>
      <c r="AD70" s="210"/>
    </row>
    <row r="71" spans="1:30" x14ac:dyDescent="0.2">
      <c r="A71" s="1">
        <f t="shared" si="0"/>
        <v>38395.437000000078</v>
      </c>
      <c r="B71" s="182">
        <f>IF($A$1="BL",0,'Peak Hours'!B71*Peak!H72*IS!$B$2)</f>
        <v>0</v>
      </c>
      <c r="C71" s="183">
        <f>IF($A$1="BL",0,'Peak Hours'!C71*Peak!I72*IS!$B$2)</f>
        <v>0</v>
      </c>
      <c r="D71" s="183">
        <f>IF($A$1="BL",0,'Peak Hours'!D71*Peak!J72*IS!$B$2)</f>
        <v>0</v>
      </c>
      <c r="E71" s="183">
        <f>IF($A$1="BL",0,'Peak Hours'!E71*Peak!K72*IS!$B$2)</f>
        <v>0</v>
      </c>
      <c r="F71" s="183">
        <f>IF($A$1="BL",0,'Peak Hours'!F71*Peak!L72*IS!$B$2)</f>
        <v>0</v>
      </c>
      <c r="G71" s="183">
        <f>IF($A$1="BL",0,'Peak Hours'!G71*Peak!M72*IS!$B$2)</f>
        <v>0</v>
      </c>
      <c r="H71" s="183">
        <f>IF($A$1="BL",0,'Peak Hours'!H71*Peak!N72*IS!$B$2)</f>
        <v>0</v>
      </c>
      <c r="I71" s="183">
        <f>IF($A$1="BL",0,'Peak Hours'!I71*Peak!O72*IS!$B$2)</f>
        <v>0</v>
      </c>
      <c r="J71" s="183">
        <f>IF($A$1="BL",0,'Peak Hours'!J71*Peak!P72*IS!$B$2)</f>
        <v>0</v>
      </c>
      <c r="K71" s="183">
        <f>IF($A$1="BL",0,'Peak Hours'!K71*Peak!Q72*IS!$B$2)</f>
        <v>0</v>
      </c>
      <c r="L71" s="183">
        <f>IF($A$1="BL",0,'Peak Hours'!L71*Peak!R72*IS!$B$2)</f>
        <v>0</v>
      </c>
      <c r="M71" s="183">
        <f>IF($A$1="BL",0,'Peak Hours'!M71*Peak!S72*IS!$B$2)</f>
        <v>0</v>
      </c>
      <c r="N71" s="183">
        <f>IF($A$1="BL",0,'Peak Hours'!N71*Peak!T72*IS!$B$2)</f>
        <v>0</v>
      </c>
      <c r="O71" s="183">
        <f>IF($A$1="BL",0,'Peak Hours'!O71*Peak!U72*IS!$B$2)</f>
        <v>0</v>
      </c>
      <c r="P71" s="183">
        <f>IF($A$1="BL",0,'Peak Hours'!P71*Peak!V72*IS!$B$2)</f>
        <v>0</v>
      </c>
      <c r="Q71" s="183">
        <f>IF($A$1="BL",0,'Peak Hours'!Q71*Peak!W72*IS!$B$2)</f>
        <v>0</v>
      </c>
      <c r="R71" s="183">
        <f>IF($A$1="BL",0,'Peak Hours'!R71*Peak!X72*IS!$B$2)</f>
        <v>0</v>
      </c>
      <c r="S71" s="183">
        <f>IF($A$1="BL",0,'Peak Hours'!S71*Peak!Y72*IS!$B$2)</f>
        <v>0</v>
      </c>
      <c r="T71" s="183">
        <f>IF($A$1="BL",0,'Peak Hours'!T71*Peak!Z72*IS!$B$2)</f>
        <v>0</v>
      </c>
      <c r="U71" s="183">
        <f>IF($A$1="BL",0,'Peak Hours'!U71*Peak!AA72*IS!$B$2)</f>
        <v>0</v>
      </c>
      <c r="V71" s="213"/>
      <c r="W71" s="211">
        <f>(IF($A$1="BL",0,Peak!C72*'Peak Hours'!V71*IS!$B$2))*-1</f>
        <v>0</v>
      </c>
      <c r="X71" s="213"/>
      <c r="Y71" s="211">
        <f>(IF($A$1="bl",0,Peak!D72*'Peak Hours'!V71*IS!$B$2))*-1</f>
        <v>0</v>
      </c>
      <c r="Z71" s="213"/>
      <c r="AA71" s="211">
        <f>(Peak!E72*'Peak Hours'!V71*IS!$B$2)*-1</f>
        <v>0</v>
      </c>
      <c r="AB71" s="210"/>
      <c r="AC71" s="211">
        <f>(Peak!F72*'Peak Hours'!V71*IS!$B$2)*-1</f>
        <v>0</v>
      </c>
      <c r="AD71" s="210"/>
    </row>
    <row r="72" spans="1:30" x14ac:dyDescent="0.2">
      <c r="A72" s="1">
        <f t="shared" si="0"/>
        <v>38425.854000000079</v>
      </c>
      <c r="B72" s="182">
        <f>IF($A$1="BL",0,'Peak Hours'!B72*Peak!H73*IS!$B$2)</f>
        <v>0</v>
      </c>
      <c r="C72" s="183">
        <f>IF($A$1="BL",0,'Peak Hours'!C72*Peak!I73*IS!$B$2)</f>
        <v>0</v>
      </c>
      <c r="D72" s="183">
        <f>IF($A$1="BL",0,'Peak Hours'!D72*Peak!J73*IS!$B$2)</f>
        <v>0</v>
      </c>
      <c r="E72" s="183">
        <f>IF($A$1="BL",0,'Peak Hours'!E72*Peak!K73*IS!$B$2)</f>
        <v>0</v>
      </c>
      <c r="F72" s="183">
        <f>IF($A$1="BL",0,'Peak Hours'!F72*Peak!L73*IS!$B$2)</f>
        <v>0</v>
      </c>
      <c r="G72" s="183">
        <f>IF($A$1="BL",0,'Peak Hours'!G72*Peak!M73*IS!$B$2)</f>
        <v>0</v>
      </c>
      <c r="H72" s="183">
        <f>IF($A$1="BL",0,'Peak Hours'!H72*Peak!N73*IS!$B$2)</f>
        <v>0</v>
      </c>
      <c r="I72" s="183">
        <f>IF($A$1="BL",0,'Peak Hours'!I72*Peak!O73*IS!$B$2)</f>
        <v>0</v>
      </c>
      <c r="J72" s="183">
        <f>IF($A$1="BL",0,'Peak Hours'!J72*Peak!P73*IS!$B$2)</f>
        <v>0</v>
      </c>
      <c r="K72" s="183">
        <f>IF($A$1="BL",0,'Peak Hours'!K72*Peak!Q73*IS!$B$2)</f>
        <v>0</v>
      </c>
      <c r="L72" s="183">
        <f>IF($A$1="BL",0,'Peak Hours'!L72*Peak!R73*IS!$B$2)</f>
        <v>0</v>
      </c>
      <c r="M72" s="183">
        <f>IF($A$1="BL",0,'Peak Hours'!M72*Peak!S73*IS!$B$2)</f>
        <v>0</v>
      </c>
      <c r="N72" s="183">
        <f>IF($A$1="BL",0,'Peak Hours'!N72*Peak!T73*IS!$B$2)</f>
        <v>0</v>
      </c>
      <c r="O72" s="183">
        <f>IF($A$1="BL",0,'Peak Hours'!O72*Peak!U73*IS!$B$2)</f>
        <v>0</v>
      </c>
      <c r="P72" s="183">
        <f>IF($A$1="BL",0,'Peak Hours'!P72*Peak!V73*IS!$B$2)</f>
        <v>0</v>
      </c>
      <c r="Q72" s="183">
        <f>IF($A$1="BL",0,'Peak Hours'!Q72*Peak!W73*IS!$B$2)</f>
        <v>0</v>
      </c>
      <c r="R72" s="183">
        <f>IF($A$1="BL",0,'Peak Hours'!R72*Peak!X73*IS!$B$2)</f>
        <v>0</v>
      </c>
      <c r="S72" s="183">
        <f>IF($A$1="BL",0,'Peak Hours'!S72*Peak!Y73*IS!$B$2)</f>
        <v>0</v>
      </c>
      <c r="T72" s="183">
        <f>IF($A$1="BL",0,'Peak Hours'!T72*Peak!Z73*IS!$B$2)</f>
        <v>0</v>
      </c>
      <c r="U72" s="183">
        <f>IF($A$1="BL",0,'Peak Hours'!U72*Peak!AA73*IS!$B$2)</f>
        <v>0</v>
      </c>
      <c r="V72" s="213"/>
      <c r="W72" s="211">
        <f>(IF($A$1="BL",0,Peak!C73*'Peak Hours'!V72*IS!$B$2))*-1</f>
        <v>0</v>
      </c>
      <c r="X72" s="213"/>
      <c r="Y72" s="211">
        <f>(IF($A$1="bl",0,Peak!D73*'Peak Hours'!V72*IS!$B$2))*-1</f>
        <v>0</v>
      </c>
      <c r="Z72" s="213"/>
      <c r="AA72" s="211">
        <f>(Peak!E73*'Peak Hours'!V72*IS!$B$2)*-1</f>
        <v>0</v>
      </c>
      <c r="AB72" s="210"/>
      <c r="AC72" s="211">
        <f>(Peak!F73*'Peak Hours'!V72*IS!$B$2)*-1</f>
        <v>0</v>
      </c>
      <c r="AD72" s="210"/>
    </row>
    <row r="73" spans="1:30" x14ac:dyDescent="0.2">
      <c r="A73" s="1">
        <f t="shared" si="0"/>
        <v>38456.271000000081</v>
      </c>
      <c r="B73" s="182">
        <f>IF($A$1="BL",0,'Peak Hours'!B73*Peak!H74*IS!$B$2)</f>
        <v>0</v>
      </c>
      <c r="C73" s="183">
        <f>IF($A$1="BL",0,'Peak Hours'!C73*Peak!I74*IS!$B$2)</f>
        <v>0</v>
      </c>
      <c r="D73" s="183">
        <f>IF($A$1="BL",0,'Peak Hours'!D73*Peak!J74*IS!$B$2)</f>
        <v>0</v>
      </c>
      <c r="E73" s="183">
        <f>IF($A$1="BL",0,'Peak Hours'!E73*Peak!K74*IS!$B$2)</f>
        <v>0</v>
      </c>
      <c r="F73" s="183">
        <f>IF($A$1="BL",0,'Peak Hours'!F73*Peak!L74*IS!$B$2)</f>
        <v>0</v>
      </c>
      <c r="G73" s="183">
        <f>IF($A$1="BL",0,'Peak Hours'!G73*Peak!M74*IS!$B$2)</f>
        <v>0</v>
      </c>
      <c r="H73" s="183">
        <f>IF($A$1="BL",0,'Peak Hours'!H73*Peak!N74*IS!$B$2)</f>
        <v>0</v>
      </c>
      <c r="I73" s="183">
        <f>IF($A$1="BL",0,'Peak Hours'!I73*Peak!O74*IS!$B$2)</f>
        <v>0</v>
      </c>
      <c r="J73" s="183">
        <f>IF($A$1="BL",0,'Peak Hours'!J73*Peak!P74*IS!$B$2)</f>
        <v>0</v>
      </c>
      <c r="K73" s="183">
        <f>IF($A$1="BL",0,'Peak Hours'!K73*Peak!Q74*IS!$B$2)</f>
        <v>0</v>
      </c>
      <c r="L73" s="183">
        <f>IF($A$1="BL",0,'Peak Hours'!L73*Peak!R74*IS!$B$2)</f>
        <v>0</v>
      </c>
      <c r="M73" s="183">
        <f>IF($A$1="BL",0,'Peak Hours'!M73*Peak!S74*IS!$B$2)</f>
        <v>0</v>
      </c>
      <c r="N73" s="183">
        <f>IF($A$1="BL",0,'Peak Hours'!N73*Peak!T74*IS!$B$2)</f>
        <v>0</v>
      </c>
      <c r="O73" s="183">
        <f>IF($A$1="BL",0,'Peak Hours'!O73*Peak!U74*IS!$B$2)</f>
        <v>0</v>
      </c>
      <c r="P73" s="183">
        <f>IF($A$1="BL",0,'Peak Hours'!P73*Peak!V74*IS!$B$2)</f>
        <v>0</v>
      </c>
      <c r="Q73" s="183">
        <f>IF($A$1="BL",0,'Peak Hours'!Q73*Peak!W74*IS!$B$2)</f>
        <v>0</v>
      </c>
      <c r="R73" s="183">
        <f>IF($A$1="BL",0,'Peak Hours'!R73*Peak!X74*IS!$B$2)</f>
        <v>0</v>
      </c>
      <c r="S73" s="183">
        <f>IF($A$1="BL",0,'Peak Hours'!S73*Peak!Y74*IS!$B$2)</f>
        <v>0</v>
      </c>
      <c r="T73" s="183">
        <f>IF($A$1="BL",0,'Peak Hours'!T73*Peak!Z74*IS!$B$2)</f>
        <v>0</v>
      </c>
      <c r="U73" s="183">
        <f>IF($A$1="BL",0,'Peak Hours'!U73*Peak!AA74*IS!$B$2)</f>
        <v>0</v>
      </c>
      <c r="V73" s="213"/>
      <c r="W73" s="211">
        <f>(IF($A$1="BL",0,Peak!C74*'Peak Hours'!V73*IS!$B$2))*-1</f>
        <v>0</v>
      </c>
      <c r="X73" s="213"/>
      <c r="Y73" s="211">
        <f>(IF($A$1="bl",0,Peak!D74*'Peak Hours'!V73*IS!$B$2))*-1</f>
        <v>0</v>
      </c>
      <c r="Z73" s="213"/>
      <c r="AA73" s="211">
        <f>(Peak!E74*'Peak Hours'!V73*IS!$B$2)*-1</f>
        <v>0</v>
      </c>
      <c r="AB73" s="210"/>
      <c r="AC73" s="211">
        <f>(Peak!F74*'Peak Hours'!V73*IS!$B$2)*-1</f>
        <v>0</v>
      </c>
      <c r="AD73" s="210"/>
    </row>
    <row r="74" spans="1:30" x14ac:dyDescent="0.2">
      <c r="A74" s="1">
        <f t="shared" si="0"/>
        <v>38486.688000000082</v>
      </c>
      <c r="B74" s="182">
        <f>IF($A$1="BL",0,'Peak Hours'!B74*Peak!H75*IS!$B$2)</f>
        <v>0</v>
      </c>
      <c r="C74" s="183">
        <f>IF($A$1="BL",0,'Peak Hours'!C74*Peak!I75*IS!$B$2)</f>
        <v>0</v>
      </c>
      <c r="D74" s="183">
        <f>IF($A$1="BL",0,'Peak Hours'!D74*Peak!J75*IS!$B$2)</f>
        <v>0</v>
      </c>
      <c r="E74" s="183">
        <f>IF($A$1="BL",0,'Peak Hours'!E74*Peak!K75*IS!$B$2)</f>
        <v>0</v>
      </c>
      <c r="F74" s="183">
        <f>IF($A$1="BL",0,'Peak Hours'!F74*Peak!L75*IS!$B$2)</f>
        <v>0</v>
      </c>
      <c r="G74" s="183">
        <f>IF($A$1="BL",0,'Peak Hours'!G74*Peak!M75*IS!$B$2)</f>
        <v>0</v>
      </c>
      <c r="H74" s="183">
        <f>IF($A$1="BL",0,'Peak Hours'!H74*Peak!N75*IS!$B$2)</f>
        <v>0</v>
      </c>
      <c r="I74" s="183">
        <f>IF($A$1="BL",0,'Peak Hours'!I74*Peak!O75*IS!$B$2)</f>
        <v>0</v>
      </c>
      <c r="J74" s="183">
        <f>IF($A$1="BL",0,'Peak Hours'!J74*Peak!P75*IS!$B$2)</f>
        <v>0</v>
      </c>
      <c r="K74" s="183">
        <f>IF($A$1="BL",0,'Peak Hours'!K74*Peak!Q75*IS!$B$2)</f>
        <v>0</v>
      </c>
      <c r="L74" s="183">
        <f>IF($A$1="BL",0,'Peak Hours'!L74*Peak!R75*IS!$B$2)</f>
        <v>0</v>
      </c>
      <c r="M74" s="183">
        <f>IF($A$1="BL",0,'Peak Hours'!M74*Peak!S75*IS!$B$2)</f>
        <v>0</v>
      </c>
      <c r="N74" s="183">
        <f>IF($A$1="BL",0,'Peak Hours'!N74*Peak!T75*IS!$B$2)</f>
        <v>0</v>
      </c>
      <c r="O74" s="183">
        <f>IF($A$1="BL",0,'Peak Hours'!O74*Peak!U75*IS!$B$2)</f>
        <v>0</v>
      </c>
      <c r="P74" s="183">
        <f>IF($A$1="BL",0,'Peak Hours'!P74*Peak!V75*IS!$B$2)</f>
        <v>0</v>
      </c>
      <c r="Q74" s="183">
        <f>IF($A$1="BL",0,'Peak Hours'!Q74*Peak!W75*IS!$B$2)</f>
        <v>0</v>
      </c>
      <c r="R74" s="183">
        <f>IF($A$1="BL",0,'Peak Hours'!R74*Peak!X75*IS!$B$2)</f>
        <v>0</v>
      </c>
      <c r="S74" s="183">
        <f>IF($A$1="BL",0,'Peak Hours'!S74*Peak!Y75*IS!$B$2)</f>
        <v>0</v>
      </c>
      <c r="T74" s="183">
        <f>IF($A$1="BL",0,'Peak Hours'!T74*Peak!Z75*IS!$B$2)</f>
        <v>0</v>
      </c>
      <c r="U74" s="183">
        <f>IF($A$1="BL",0,'Peak Hours'!U74*Peak!AA75*IS!$B$2)</f>
        <v>0</v>
      </c>
      <c r="V74" s="213"/>
      <c r="W74" s="211">
        <f>(IF($A$1="BL",0,Peak!C75*'Peak Hours'!V74*IS!$B$2))*-1</f>
        <v>0</v>
      </c>
      <c r="X74" s="213"/>
      <c r="Y74" s="211">
        <f>(IF($A$1="bl",0,Peak!D75*'Peak Hours'!V74*IS!$B$2))*-1</f>
        <v>0</v>
      </c>
      <c r="Z74" s="213"/>
      <c r="AA74" s="211">
        <f>(Peak!E75*'Peak Hours'!V74*IS!$B$2)*-1</f>
        <v>0</v>
      </c>
      <c r="AB74" s="210"/>
      <c r="AC74" s="211">
        <f>(Peak!F75*'Peak Hours'!V74*IS!$B$2)*-1</f>
        <v>0</v>
      </c>
      <c r="AD74" s="210"/>
    </row>
    <row r="75" spans="1:30" x14ac:dyDescent="0.2">
      <c r="A75" s="1">
        <f t="shared" si="0"/>
        <v>38517.105000000083</v>
      </c>
      <c r="B75" s="182">
        <f>IF($A$1="BL",0,'Peak Hours'!B75*Peak!H76*IS!$B$2)</f>
        <v>0</v>
      </c>
      <c r="C75" s="183">
        <f>IF($A$1="BL",0,'Peak Hours'!C75*Peak!I76*IS!$B$2)</f>
        <v>0</v>
      </c>
      <c r="D75" s="183">
        <f>IF($A$1="BL",0,'Peak Hours'!D75*Peak!J76*IS!$B$2)</f>
        <v>0</v>
      </c>
      <c r="E75" s="183">
        <f>IF($A$1="BL",0,'Peak Hours'!E75*Peak!K76*IS!$B$2)</f>
        <v>0</v>
      </c>
      <c r="F75" s="183">
        <f>IF($A$1="BL",0,'Peak Hours'!F75*Peak!L76*IS!$B$2)</f>
        <v>0</v>
      </c>
      <c r="G75" s="183">
        <f>IF($A$1="BL",0,'Peak Hours'!G75*Peak!M76*IS!$B$2)</f>
        <v>0</v>
      </c>
      <c r="H75" s="183">
        <f>IF($A$1="BL",0,'Peak Hours'!H75*Peak!N76*IS!$B$2)</f>
        <v>0</v>
      </c>
      <c r="I75" s="183">
        <f>IF($A$1="BL",0,'Peak Hours'!I75*Peak!O76*IS!$B$2)</f>
        <v>0</v>
      </c>
      <c r="J75" s="183">
        <f>IF($A$1="BL",0,'Peak Hours'!J75*Peak!P76*IS!$B$2)</f>
        <v>0</v>
      </c>
      <c r="K75" s="183">
        <f>IF($A$1="BL",0,'Peak Hours'!K75*Peak!Q76*IS!$B$2)</f>
        <v>0</v>
      </c>
      <c r="L75" s="183">
        <f>IF($A$1="BL",0,'Peak Hours'!L75*Peak!R76*IS!$B$2)</f>
        <v>0</v>
      </c>
      <c r="M75" s="183">
        <f>IF($A$1="BL",0,'Peak Hours'!M75*Peak!S76*IS!$B$2)</f>
        <v>0</v>
      </c>
      <c r="N75" s="183">
        <f>IF($A$1="BL",0,'Peak Hours'!N75*Peak!T76*IS!$B$2)</f>
        <v>0</v>
      </c>
      <c r="O75" s="183">
        <f>IF($A$1="BL",0,'Peak Hours'!O75*Peak!U76*IS!$B$2)</f>
        <v>0</v>
      </c>
      <c r="P75" s="183">
        <f>IF($A$1="BL",0,'Peak Hours'!P75*Peak!V76*IS!$B$2)</f>
        <v>0</v>
      </c>
      <c r="Q75" s="183">
        <f>IF($A$1="BL",0,'Peak Hours'!Q75*Peak!W76*IS!$B$2)</f>
        <v>0</v>
      </c>
      <c r="R75" s="183">
        <f>IF($A$1="BL",0,'Peak Hours'!R75*Peak!X76*IS!$B$2)</f>
        <v>0</v>
      </c>
      <c r="S75" s="183">
        <f>IF($A$1="BL",0,'Peak Hours'!S75*Peak!Y76*IS!$B$2)</f>
        <v>0</v>
      </c>
      <c r="T75" s="183">
        <f>IF($A$1="BL",0,'Peak Hours'!T75*Peak!Z76*IS!$B$2)</f>
        <v>0</v>
      </c>
      <c r="U75" s="183">
        <f>IF($A$1="BL",0,'Peak Hours'!U75*Peak!AA76*IS!$B$2)</f>
        <v>0</v>
      </c>
      <c r="V75" s="213"/>
      <c r="W75" s="211">
        <f>(IF($A$1="BL",0,Peak!C76*'Peak Hours'!V75*IS!$B$2))*-1</f>
        <v>0</v>
      </c>
      <c r="X75" s="213"/>
      <c r="Y75" s="211">
        <f>(IF($A$1="bl",0,Peak!D76*'Peak Hours'!V75*IS!$B$2))*-1</f>
        <v>0</v>
      </c>
      <c r="Z75" s="213"/>
      <c r="AA75" s="211">
        <f>(Peak!E76*'Peak Hours'!V75*IS!$B$2)*-1</f>
        <v>0</v>
      </c>
      <c r="AB75" s="210"/>
      <c r="AC75" s="211">
        <f>(Peak!F76*'Peak Hours'!V75*IS!$B$2)*-1</f>
        <v>0</v>
      </c>
      <c r="AD75" s="210"/>
    </row>
    <row r="76" spans="1:30" x14ac:dyDescent="0.2">
      <c r="A76" s="1">
        <f t="shared" ref="A76:A139" si="1">A75+30.417</f>
        <v>38547.522000000085</v>
      </c>
      <c r="B76" s="182">
        <f>IF($A$1="BL",0,'Peak Hours'!B76*Peak!H77*IS!$B$2)</f>
        <v>0</v>
      </c>
      <c r="C76" s="183">
        <f>IF($A$1="BL",0,'Peak Hours'!C76*Peak!I77*IS!$B$2)</f>
        <v>0</v>
      </c>
      <c r="D76" s="183">
        <f>IF($A$1="BL",0,'Peak Hours'!D76*Peak!J77*IS!$B$2)</f>
        <v>0</v>
      </c>
      <c r="E76" s="183">
        <f>IF($A$1="BL",0,'Peak Hours'!E76*Peak!K77*IS!$B$2)</f>
        <v>0</v>
      </c>
      <c r="F76" s="183">
        <f>IF($A$1="BL",0,'Peak Hours'!F76*Peak!L77*IS!$B$2)</f>
        <v>0</v>
      </c>
      <c r="G76" s="183">
        <f>IF($A$1="BL",0,'Peak Hours'!G76*Peak!M77*IS!$B$2)</f>
        <v>0</v>
      </c>
      <c r="H76" s="183">
        <f>IF($A$1="BL",0,'Peak Hours'!H76*Peak!N77*IS!$B$2)</f>
        <v>0</v>
      </c>
      <c r="I76" s="183">
        <f>IF($A$1="BL",0,'Peak Hours'!I76*Peak!O77*IS!$B$2)</f>
        <v>0</v>
      </c>
      <c r="J76" s="183">
        <f>IF($A$1="BL",0,'Peak Hours'!J76*Peak!P77*IS!$B$2)</f>
        <v>0</v>
      </c>
      <c r="K76" s="183">
        <f>IF($A$1="BL",0,'Peak Hours'!K76*Peak!Q77*IS!$B$2)</f>
        <v>0</v>
      </c>
      <c r="L76" s="183">
        <f>IF($A$1="BL",0,'Peak Hours'!L76*Peak!R77*IS!$B$2)</f>
        <v>0</v>
      </c>
      <c r="M76" s="183">
        <f>IF($A$1="BL",0,'Peak Hours'!M76*Peak!S77*IS!$B$2)</f>
        <v>0</v>
      </c>
      <c r="N76" s="183">
        <f>IF($A$1="BL",0,'Peak Hours'!N76*Peak!T77*IS!$B$2)</f>
        <v>0</v>
      </c>
      <c r="O76" s="183">
        <f>IF($A$1="BL",0,'Peak Hours'!O76*Peak!U77*IS!$B$2)</f>
        <v>0</v>
      </c>
      <c r="P76" s="183">
        <f>IF($A$1="BL",0,'Peak Hours'!P76*Peak!V77*IS!$B$2)</f>
        <v>0</v>
      </c>
      <c r="Q76" s="183">
        <f>IF($A$1="BL",0,'Peak Hours'!Q76*Peak!W77*IS!$B$2)</f>
        <v>0</v>
      </c>
      <c r="R76" s="183">
        <f>IF($A$1="BL",0,'Peak Hours'!R76*Peak!X77*IS!$B$2)</f>
        <v>0</v>
      </c>
      <c r="S76" s="183">
        <f>IF($A$1="BL",0,'Peak Hours'!S76*Peak!Y77*IS!$B$2)</f>
        <v>0</v>
      </c>
      <c r="T76" s="183">
        <f>IF($A$1="BL",0,'Peak Hours'!T76*Peak!Z77*IS!$B$2)</f>
        <v>0</v>
      </c>
      <c r="U76" s="183">
        <f>IF($A$1="BL",0,'Peak Hours'!U76*Peak!AA77*IS!$B$2)</f>
        <v>0</v>
      </c>
      <c r="V76" s="213"/>
      <c r="W76" s="211">
        <f>(IF($A$1="BL",0,Peak!C77*'Peak Hours'!V76*IS!$B$2))*-1</f>
        <v>0</v>
      </c>
      <c r="X76" s="213"/>
      <c r="Y76" s="211">
        <f>(IF($A$1="bl",0,Peak!D77*'Peak Hours'!V76*IS!$B$2))*-1</f>
        <v>0</v>
      </c>
      <c r="Z76" s="213"/>
      <c r="AA76" s="211">
        <f>(Peak!E77*'Peak Hours'!V76*IS!$B$2)*-1</f>
        <v>0</v>
      </c>
      <c r="AB76" s="210"/>
      <c r="AC76" s="211">
        <f>(Peak!F77*'Peak Hours'!V76*IS!$B$2)*-1</f>
        <v>0</v>
      </c>
      <c r="AD76" s="210"/>
    </row>
    <row r="77" spans="1:30" x14ac:dyDescent="0.2">
      <c r="A77" s="1">
        <f t="shared" si="1"/>
        <v>38577.939000000086</v>
      </c>
      <c r="B77" s="182">
        <f>IF($A$1="BL",0,'Peak Hours'!B77*Peak!H78*IS!$B$2)</f>
        <v>0</v>
      </c>
      <c r="C77" s="183">
        <f>IF($A$1="BL",0,'Peak Hours'!C77*Peak!I78*IS!$B$2)</f>
        <v>0</v>
      </c>
      <c r="D77" s="183">
        <f>IF($A$1="BL",0,'Peak Hours'!D77*Peak!J78*IS!$B$2)</f>
        <v>0</v>
      </c>
      <c r="E77" s="183">
        <f>IF($A$1="BL",0,'Peak Hours'!E77*Peak!K78*IS!$B$2)</f>
        <v>0</v>
      </c>
      <c r="F77" s="183">
        <f>IF($A$1="BL",0,'Peak Hours'!F77*Peak!L78*IS!$B$2)</f>
        <v>0</v>
      </c>
      <c r="G77" s="183">
        <f>IF($A$1="BL",0,'Peak Hours'!G77*Peak!M78*IS!$B$2)</f>
        <v>0</v>
      </c>
      <c r="H77" s="183">
        <f>IF($A$1="BL",0,'Peak Hours'!H77*Peak!N78*IS!$B$2)</f>
        <v>0</v>
      </c>
      <c r="I77" s="183">
        <f>IF($A$1="BL",0,'Peak Hours'!I77*Peak!O78*IS!$B$2)</f>
        <v>0</v>
      </c>
      <c r="J77" s="183">
        <f>IF($A$1="BL",0,'Peak Hours'!J77*Peak!P78*IS!$B$2)</f>
        <v>0</v>
      </c>
      <c r="K77" s="183">
        <f>IF($A$1="BL",0,'Peak Hours'!K77*Peak!Q78*IS!$B$2)</f>
        <v>0</v>
      </c>
      <c r="L77" s="183">
        <f>IF($A$1="BL",0,'Peak Hours'!L77*Peak!R78*IS!$B$2)</f>
        <v>0</v>
      </c>
      <c r="M77" s="183">
        <f>IF($A$1="BL",0,'Peak Hours'!M77*Peak!S78*IS!$B$2)</f>
        <v>0</v>
      </c>
      <c r="N77" s="183">
        <f>IF($A$1="BL",0,'Peak Hours'!N77*Peak!T78*IS!$B$2)</f>
        <v>0</v>
      </c>
      <c r="O77" s="183">
        <f>IF($A$1="BL",0,'Peak Hours'!O77*Peak!U78*IS!$B$2)</f>
        <v>0</v>
      </c>
      <c r="P77" s="183">
        <f>IF($A$1="BL",0,'Peak Hours'!P77*Peak!V78*IS!$B$2)</f>
        <v>0</v>
      </c>
      <c r="Q77" s="183">
        <f>IF($A$1="BL",0,'Peak Hours'!Q77*Peak!W78*IS!$B$2)</f>
        <v>0</v>
      </c>
      <c r="R77" s="183">
        <f>IF($A$1="BL",0,'Peak Hours'!R77*Peak!X78*IS!$B$2)</f>
        <v>0</v>
      </c>
      <c r="S77" s="183">
        <f>IF($A$1="BL",0,'Peak Hours'!S77*Peak!Y78*IS!$B$2)</f>
        <v>0</v>
      </c>
      <c r="T77" s="183">
        <f>IF($A$1="BL",0,'Peak Hours'!T77*Peak!Z78*IS!$B$2)</f>
        <v>0</v>
      </c>
      <c r="U77" s="183">
        <f>IF($A$1="BL",0,'Peak Hours'!U77*Peak!AA78*IS!$B$2)</f>
        <v>0</v>
      </c>
      <c r="V77" s="213"/>
      <c r="W77" s="211">
        <f>(IF($A$1="BL",0,Peak!C78*'Peak Hours'!V77*IS!$B$2))*-1</f>
        <v>0</v>
      </c>
      <c r="X77" s="213"/>
      <c r="Y77" s="211">
        <f>(IF($A$1="bl",0,Peak!D78*'Peak Hours'!V77*IS!$B$2))*-1</f>
        <v>0</v>
      </c>
      <c r="Z77" s="213"/>
      <c r="AA77" s="211">
        <f>(Peak!E78*'Peak Hours'!V77*IS!$B$2)*-1</f>
        <v>0</v>
      </c>
      <c r="AB77" s="210"/>
      <c r="AC77" s="211">
        <f>(Peak!F78*'Peak Hours'!V77*IS!$B$2)*-1</f>
        <v>0</v>
      </c>
      <c r="AD77" s="210"/>
    </row>
    <row r="78" spans="1:30" x14ac:dyDescent="0.2">
      <c r="A78" s="1">
        <f t="shared" si="1"/>
        <v>38608.356000000087</v>
      </c>
      <c r="B78" s="182">
        <f>IF($A$1="BL",0,'Peak Hours'!B78*Peak!H79*IS!$B$2)</f>
        <v>0</v>
      </c>
      <c r="C78" s="183">
        <f>IF($A$1="BL",0,'Peak Hours'!C78*Peak!I79*IS!$B$2)</f>
        <v>0</v>
      </c>
      <c r="D78" s="183">
        <f>IF($A$1="BL",0,'Peak Hours'!D78*Peak!J79*IS!$B$2)</f>
        <v>0</v>
      </c>
      <c r="E78" s="183">
        <f>IF($A$1="BL",0,'Peak Hours'!E78*Peak!K79*IS!$B$2)</f>
        <v>0</v>
      </c>
      <c r="F78" s="183">
        <f>IF($A$1="BL",0,'Peak Hours'!F78*Peak!L79*IS!$B$2)</f>
        <v>0</v>
      </c>
      <c r="G78" s="183">
        <f>IF($A$1="BL",0,'Peak Hours'!G78*Peak!M79*IS!$B$2)</f>
        <v>0</v>
      </c>
      <c r="H78" s="183">
        <f>IF($A$1="BL",0,'Peak Hours'!H78*Peak!N79*IS!$B$2)</f>
        <v>0</v>
      </c>
      <c r="I78" s="183">
        <f>IF($A$1="BL",0,'Peak Hours'!I78*Peak!O79*IS!$B$2)</f>
        <v>0</v>
      </c>
      <c r="J78" s="183">
        <f>IF($A$1="BL",0,'Peak Hours'!J78*Peak!P79*IS!$B$2)</f>
        <v>0</v>
      </c>
      <c r="K78" s="183">
        <f>IF($A$1="BL",0,'Peak Hours'!K78*Peak!Q79*IS!$B$2)</f>
        <v>0</v>
      </c>
      <c r="L78" s="183">
        <f>IF($A$1="BL",0,'Peak Hours'!L78*Peak!R79*IS!$B$2)</f>
        <v>0</v>
      </c>
      <c r="M78" s="183">
        <f>IF($A$1="BL",0,'Peak Hours'!M78*Peak!S79*IS!$B$2)</f>
        <v>0</v>
      </c>
      <c r="N78" s="183">
        <f>IF($A$1="BL",0,'Peak Hours'!N78*Peak!T79*IS!$B$2)</f>
        <v>0</v>
      </c>
      <c r="O78" s="183">
        <f>IF($A$1="BL",0,'Peak Hours'!O78*Peak!U79*IS!$B$2)</f>
        <v>0</v>
      </c>
      <c r="P78" s="183">
        <f>IF($A$1="BL",0,'Peak Hours'!P78*Peak!V79*IS!$B$2)</f>
        <v>0</v>
      </c>
      <c r="Q78" s="183">
        <f>IF($A$1="BL",0,'Peak Hours'!Q78*Peak!W79*IS!$B$2)</f>
        <v>0</v>
      </c>
      <c r="R78" s="183">
        <f>IF($A$1="BL",0,'Peak Hours'!R78*Peak!X79*IS!$B$2)</f>
        <v>0</v>
      </c>
      <c r="S78" s="183">
        <f>IF($A$1="BL",0,'Peak Hours'!S78*Peak!Y79*IS!$B$2)</f>
        <v>0</v>
      </c>
      <c r="T78" s="183">
        <f>IF($A$1="BL",0,'Peak Hours'!T78*Peak!Z79*IS!$B$2)</f>
        <v>0</v>
      </c>
      <c r="U78" s="183">
        <f>IF($A$1="BL",0,'Peak Hours'!U78*Peak!AA79*IS!$B$2)</f>
        <v>0</v>
      </c>
      <c r="V78" s="213"/>
      <c r="W78" s="211">
        <f>(IF($A$1="BL",0,Peak!C79*'Peak Hours'!V78*IS!$B$2))*-1</f>
        <v>0</v>
      </c>
      <c r="X78" s="213"/>
      <c r="Y78" s="211">
        <f>(IF($A$1="bl",0,Peak!D79*'Peak Hours'!V78*IS!$B$2))*-1</f>
        <v>0</v>
      </c>
      <c r="Z78" s="213"/>
      <c r="AA78" s="211">
        <f>(Peak!E79*'Peak Hours'!V78*IS!$B$2)*-1</f>
        <v>0</v>
      </c>
      <c r="AB78" s="210"/>
      <c r="AC78" s="211">
        <f>(Peak!F79*'Peak Hours'!V78*IS!$B$2)*-1</f>
        <v>0</v>
      </c>
      <c r="AD78" s="210"/>
    </row>
    <row r="79" spans="1:30" x14ac:dyDescent="0.2">
      <c r="A79" s="1">
        <f t="shared" si="1"/>
        <v>38638.773000000088</v>
      </c>
      <c r="B79" s="182">
        <f>IF($A$1="BL",0,'Peak Hours'!B79*Peak!H80*IS!$B$2)</f>
        <v>0</v>
      </c>
      <c r="C79" s="183">
        <f>IF($A$1="BL",0,'Peak Hours'!C79*Peak!I80*IS!$B$2)</f>
        <v>0</v>
      </c>
      <c r="D79" s="183">
        <f>IF($A$1="BL",0,'Peak Hours'!D79*Peak!J80*IS!$B$2)</f>
        <v>0</v>
      </c>
      <c r="E79" s="183">
        <f>IF($A$1="BL",0,'Peak Hours'!E79*Peak!K80*IS!$B$2)</f>
        <v>0</v>
      </c>
      <c r="F79" s="183">
        <f>IF($A$1="BL",0,'Peak Hours'!F79*Peak!L80*IS!$B$2)</f>
        <v>0</v>
      </c>
      <c r="G79" s="183">
        <f>IF($A$1="BL",0,'Peak Hours'!G79*Peak!M80*IS!$B$2)</f>
        <v>0</v>
      </c>
      <c r="H79" s="183">
        <f>IF($A$1="BL",0,'Peak Hours'!H79*Peak!N80*IS!$B$2)</f>
        <v>0</v>
      </c>
      <c r="I79" s="183">
        <f>IF($A$1="BL",0,'Peak Hours'!I79*Peak!O80*IS!$B$2)</f>
        <v>0</v>
      </c>
      <c r="J79" s="183">
        <f>IF($A$1="BL",0,'Peak Hours'!J79*Peak!P80*IS!$B$2)</f>
        <v>0</v>
      </c>
      <c r="K79" s="183">
        <f>IF($A$1="BL",0,'Peak Hours'!K79*Peak!Q80*IS!$B$2)</f>
        <v>0</v>
      </c>
      <c r="L79" s="183">
        <f>IF($A$1="BL",0,'Peak Hours'!L79*Peak!R80*IS!$B$2)</f>
        <v>0</v>
      </c>
      <c r="M79" s="183">
        <f>IF($A$1="BL",0,'Peak Hours'!M79*Peak!S80*IS!$B$2)</f>
        <v>0</v>
      </c>
      <c r="N79" s="183">
        <f>IF($A$1="BL",0,'Peak Hours'!N79*Peak!T80*IS!$B$2)</f>
        <v>0</v>
      </c>
      <c r="O79" s="183">
        <f>IF($A$1="BL",0,'Peak Hours'!O79*Peak!U80*IS!$B$2)</f>
        <v>0</v>
      </c>
      <c r="P79" s="183">
        <f>IF($A$1="BL",0,'Peak Hours'!P79*Peak!V80*IS!$B$2)</f>
        <v>0</v>
      </c>
      <c r="Q79" s="183">
        <f>IF($A$1="BL",0,'Peak Hours'!Q79*Peak!W80*IS!$B$2)</f>
        <v>0</v>
      </c>
      <c r="R79" s="183">
        <f>IF($A$1="BL",0,'Peak Hours'!R79*Peak!X80*IS!$B$2)</f>
        <v>0</v>
      </c>
      <c r="S79" s="183">
        <f>IF($A$1="BL",0,'Peak Hours'!S79*Peak!Y80*IS!$B$2)</f>
        <v>0</v>
      </c>
      <c r="T79" s="183">
        <f>IF($A$1="BL",0,'Peak Hours'!T79*Peak!Z80*IS!$B$2)</f>
        <v>0</v>
      </c>
      <c r="U79" s="183">
        <f>IF($A$1="BL",0,'Peak Hours'!U79*Peak!AA80*IS!$B$2)</f>
        <v>0</v>
      </c>
      <c r="V79" s="213"/>
      <c r="W79" s="211">
        <f>(IF($A$1="BL",0,Peak!C80*'Peak Hours'!V79*IS!$B$2))*-1</f>
        <v>0</v>
      </c>
      <c r="X79" s="213"/>
      <c r="Y79" s="211">
        <f>(IF($A$1="bl",0,Peak!D80*'Peak Hours'!V79*IS!$B$2))*-1</f>
        <v>0</v>
      </c>
      <c r="Z79" s="213"/>
      <c r="AA79" s="211">
        <f>(Peak!E80*'Peak Hours'!V79*IS!$B$2)*-1</f>
        <v>0</v>
      </c>
      <c r="AB79" s="210"/>
      <c r="AC79" s="211">
        <f>(Peak!F80*'Peak Hours'!V79*IS!$B$2)*-1</f>
        <v>0</v>
      </c>
      <c r="AD79" s="210"/>
    </row>
    <row r="80" spans="1:30" x14ac:dyDescent="0.2">
      <c r="A80" s="1">
        <f t="shared" si="1"/>
        <v>38669.19000000009</v>
      </c>
      <c r="B80" s="182">
        <f>IF($A$1="BL",0,'Peak Hours'!B80*Peak!H81*IS!$B$2)</f>
        <v>0</v>
      </c>
      <c r="C80" s="183">
        <f>IF($A$1="BL",0,'Peak Hours'!C80*Peak!I81*IS!$B$2)</f>
        <v>0</v>
      </c>
      <c r="D80" s="183">
        <f>IF($A$1="BL",0,'Peak Hours'!D80*Peak!J81*IS!$B$2)</f>
        <v>0</v>
      </c>
      <c r="E80" s="183">
        <f>IF($A$1="BL",0,'Peak Hours'!E80*Peak!K81*IS!$B$2)</f>
        <v>0</v>
      </c>
      <c r="F80" s="183">
        <f>IF($A$1="BL",0,'Peak Hours'!F80*Peak!L81*IS!$B$2)</f>
        <v>0</v>
      </c>
      <c r="G80" s="183">
        <f>IF($A$1="BL",0,'Peak Hours'!G80*Peak!M81*IS!$B$2)</f>
        <v>0</v>
      </c>
      <c r="H80" s="183">
        <f>IF($A$1="BL",0,'Peak Hours'!H80*Peak!N81*IS!$B$2)</f>
        <v>0</v>
      </c>
      <c r="I80" s="183">
        <f>IF($A$1="BL",0,'Peak Hours'!I80*Peak!O81*IS!$B$2)</f>
        <v>0</v>
      </c>
      <c r="J80" s="183">
        <f>IF($A$1="BL",0,'Peak Hours'!J80*Peak!P81*IS!$B$2)</f>
        <v>0</v>
      </c>
      <c r="K80" s="183">
        <f>IF($A$1="BL",0,'Peak Hours'!K80*Peak!Q81*IS!$B$2)</f>
        <v>0</v>
      </c>
      <c r="L80" s="183">
        <f>IF($A$1="BL",0,'Peak Hours'!L80*Peak!R81*IS!$B$2)</f>
        <v>0</v>
      </c>
      <c r="M80" s="183">
        <f>IF($A$1="BL",0,'Peak Hours'!M80*Peak!S81*IS!$B$2)</f>
        <v>0</v>
      </c>
      <c r="N80" s="183">
        <f>IF($A$1="BL",0,'Peak Hours'!N80*Peak!T81*IS!$B$2)</f>
        <v>0</v>
      </c>
      <c r="O80" s="183">
        <f>IF($A$1="BL",0,'Peak Hours'!O80*Peak!U81*IS!$B$2)</f>
        <v>0</v>
      </c>
      <c r="P80" s="183">
        <f>IF($A$1="BL",0,'Peak Hours'!P80*Peak!V81*IS!$B$2)</f>
        <v>0</v>
      </c>
      <c r="Q80" s="183">
        <f>IF($A$1="BL",0,'Peak Hours'!Q80*Peak!W81*IS!$B$2)</f>
        <v>0</v>
      </c>
      <c r="R80" s="183">
        <f>IF($A$1="BL",0,'Peak Hours'!R80*Peak!X81*IS!$B$2)</f>
        <v>0</v>
      </c>
      <c r="S80" s="183">
        <f>IF($A$1="BL",0,'Peak Hours'!S80*Peak!Y81*IS!$B$2)</f>
        <v>0</v>
      </c>
      <c r="T80" s="183">
        <f>IF($A$1="BL",0,'Peak Hours'!T80*Peak!Z81*IS!$B$2)</f>
        <v>0</v>
      </c>
      <c r="U80" s="183">
        <f>IF($A$1="BL",0,'Peak Hours'!U80*Peak!AA81*IS!$B$2)</f>
        <v>0</v>
      </c>
      <c r="V80" s="213"/>
      <c r="W80" s="211">
        <f>(IF($A$1="BL",0,Peak!C81*'Peak Hours'!V80*IS!$B$2))*-1</f>
        <v>0</v>
      </c>
      <c r="X80" s="213"/>
      <c r="Y80" s="211">
        <f>(IF($A$1="bl",0,Peak!D81*'Peak Hours'!V80*IS!$B$2))*-1</f>
        <v>0</v>
      </c>
      <c r="Z80" s="213"/>
      <c r="AA80" s="211">
        <f>(Peak!E81*'Peak Hours'!V80*IS!$B$2)*-1</f>
        <v>0</v>
      </c>
      <c r="AB80" s="210"/>
      <c r="AC80" s="211">
        <f>(Peak!F81*'Peak Hours'!V80*IS!$B$2)*-1</f>
        <v>0</v>
      </c>
      <c r="AD80" s="210"/>
    </row>
    <row r="81" spans="1:30" x14ac:dyDescent="0.2">
      <c r="A81" s="1">
        <f t="shared" si="1"/>
        <v>38699.607000000091</v>
      </c>
      <c r="B81" s="182">
        <f>IF($A$1="BL",0,'Peak Hours'!B81*Peak!H82*IS!$B$2)</f>
        <v>0</v>
      </c>
      <c r="C81" s="183">
        <f>IF($A$1="BL",0,'Peak Hours'!C81*Peak!I82*IS!$B$2)</f>
        <v>0</v>
      </c>
      <c r="D81" s="183">
        <f>IF($A$1="BL",0,'Peak Hours'!D81*Peak!J82*IS!$B$2)</f>
        <v>0</v>
      </c>
      <c r="E81" s="183">
        <f>IF($A$1="BL",0,'Peak Hours'!E81*Peak!K82*IS!$B$2)</f>
        <v>0</v>
      </c>
      <c r="F81" s="183">
        <f>IF($A$1="BL",0,'Peak Hours'!F81*Peak!L82*IS!$B$2)</f>
        <v>0</v>
      </c>
      <c r="G81" s="183">
        <f>IF($A$1="BL",0,'Peak Hours'!G81*Peak!M82*IS!$B$2)</f>
        <v>0</v>
      </c>
      <c r="H81" s="183">
        <f>IF($A$1="BL",0,'Peak Hours'!H81*Peak!N82*IS!$B$2)</f>
        <v>0</v>
      </c>
      <c r="I81" s="183">
        <f>IF($A$1="BL",0,'Peak Hours'!I81*Peak!O82*IS!$B$2)</f>
        <v>0</v>
      </c>
      <c r="J81" s="183">
        <f>IF($A$1="BL",0,'Peak Hours'!J81*Peak!P82*IS!$B$2)</f>
        <v>0</v>
      </c>
      <c r="K81" s="183">
        <f>IF($A$1="BL",0,'Peak Hours'!K81*Peak!Q82*IS!$B$2)</f>
        <v>0</v>
      </c>
      <c r="L81" s="183">
        <f>IF($A$1="BL",0,'Peak Hours'!L81*Peak!R82*IS!$B$2)</f>
        <v>0</v>
      </c>
      <c r="M81" s="183">
        <f>IF($A$1="BL",0,'Peak Hours'!M81*Peak!S82*IS!$B$2)</f>
        <v>0</v>
      </c>
      <c r="N81" s="183">
        <f>IF($A$1="BL",0,'Peak Hours'!N81*Peak!T82*IS!$B$2)</f>
        <v>0</v>
      </c>
      <c r="O81" s="183">
        <f>IF($A$1="BL",0,'Peak Hours'!O81*Peak!U82*IS!$B$2)</f>
        <v>0</v>
      </c>
      <c r="P81" s="183">
        <f>IF($A$1="BL",0,'Peak Hours'!P81*Peak!V82*IS!$B$2)</f>
        <v>0</v>
      </c>
      <c r="Q81" s="183">
        <f>IF($A$1="BL",0,'Peak Hours'!Q81*Peak!W82*IS!$B$2)</f>
        <v>0</v>
      </c>
      <c r="R81" s="183">
        <f>IF($A$1="BL",0,'Peak Hours'!R81*Peak!X82*IS!$B$2)</f>
        <v>0</v>
      </c>
      <c r="S81" s="183">
        <f>IF($A$1="BL",0,'Peak Hours'!S81*Peak!Y82*IS!$B$2)</f>
        <v>0</v>
      </c>
      <c r="T81" s="183">
        <f>IF($A$1="BL",0,'Peak Hours'!T81*Peak!Z82*IS!$B$2)</f>
        <v>0</v>
      </c>
      <c r="U81" s="183">
        <f>IF($A$1="BL",0,'Peak Hours'!U81*Peak!AA82*IS!$B$2)</f>
        <v>0</v>
      </c>
      <c r="V81" s="214">
        <f>SUM(B70:U81)</f>
        <v>0</v>
      </c>
      <c r="W81" s="211">
        <f>(IF($A$1="BL",0,Peak!C82*'Peak Hours'!V81*IS!$B$2))*-1</f>
        <v>0</v>
      </c>
      <c r="X81" s="214">
        <f>SUM(W70:W81)</f>
        <v>0</v>
      </c>
      <c r="Y81" s="211">
        <f>(IF($A$1="bl",0,Peak!D82*'Peak Hours'!V81*IS!$B$2))*-1</f>
        <v>0</v>
      </c>
      <c r="Z81" s="214">
        <f>SUM(Y70:Y81)</f>
        <v>0</v>
      </c>
      <c r="AA81" s="211">
        <f>(Peak!E82*'Peak Hours'!V81*IS!$B$2)*-1</f>
        <v>0</v>
      </c>
      <c r="AB81" s="211">
        <f>SUM(AA70:AA81)</f>
        <v>0</v>
      </c>
      <c r="AC81" s="211">
        <f>(Peak!F82*'Peak Hours'!V81*IS!$B$2)*-1</f>
        <v>0</v>
      </c>
      <c r="AD81" s="211">
        <f>SUM(AC70:AC81)</f>
        <v>0</v>
      </c>
    </row>
    <row r="82" spans="1:30" x14ac:dyDescent="0.2">
      <c r="A82" s="1">
        <f t="shared" si="1"/>
        <v>38730.024000000092</v>
      </c>
      <c r="B82" s="182">
        <f>IF($A$1="BL",0,'Peak Hours'!B82*Peak!H83*IS!$B$2)</f>
        <v>0</v>
      </c>
      <c r="C82" s="183">
        <f>IF($A$1="BL",0,'Peak Hours'!C82*Peak!I83*IS!$B$2)</f>
        <v>0</v>
      </c>
      <c r="D82" s="183">
        <f>IF($A$1="BL",0,'Peak Hours'!D82*Peak!J83*IS!$B$2)</f>
        <v>0</v>
      </c>
      <c r="E82" s="183">
        <f>IF($A$1="BL",0,'Peak Hours'!E82*Peak!K83*IS!$B$2)</f>
        <v>0</v>
      </c>
      <c r="F82" s="183">
        <f>IF($A$1="BL",0,'Peak Hours'!F82*Peak!L83*IS!$B$2)</f>
        <v>0</v>
      </c>
      <c r="G82" s="183">
        <f>IF($A$1="BL",0,'Peak Hours'!G82*Peak!M83*IS!$B$2)</f>
        <v>0</v>
      </c>
      <c r="H82" s="183">
        <f>IF($A$1="BL",0,'Peak Hours'!H82*Peak!N83*IS!$B$2)</f>
        <v>0</v>
      </c>
      <c r="I82" s="183">
        <f>IF($A$1="BL",0,'Peak Hours'!I82*Peak!O83*IS!$B$2)</f>
        <v>0</v>
      </c>
      <c r="J82" s="183">
        <f>IF($A$1="BL",0,'Peak Hours'!J82*Peak!P83*IS!$B$2)</f>
        <v>0</v>
      </c>
      <c r="K82" s="183">
        <f>IF($A$1="BL",0,'Peak Hours'!K82*Peak!Q83*IS!$B$2)</f>
        <v>0</v>
      </c>
      <c r="L82" s="183">
        <f>IF($A$1="BL",0,'Peak Hours'!L82*Peak!R83*IS!$B$2)</f>
        <v>0</v>
      </c>
      <c r="M82" s="183">
        <f>IF($A$1="BL",0,'Peak Hours'!M82*Peak!S83*IS!$B$2)</f>
        <v>0</v>
      </c>
      <c r="N82" s="183">
        <f>IF($A$1="BL",0,'Peak Hours'!N82*Peak!T83*IS!$B$2)</f>
        <v>0</v>
      </c>
      <c r="O82" s="183">
        <f>IF($A$1="BL",0,'Peak Hours'!O82*Peak!U83*IS!$B$2)</f>
        <v>0</v>
      </c>
      <c r="P82" s="183">
        <f>IF($A$1="BL",0,'Peak Hours'!P82*Peak!V83*IS!$B$2)</f>
        <v>0</v>
      </c>
      <c r="Q82" s="183">
        <f>IF($A$1="BL",0,'Peak Hours'!Q82*Peak!W83*IS!$B$2)</f>
        <v>0</v>
      </c>
      <c r="R82" s="183">
        <f>IF($A$1="BL",0,'Peak Hours'!R82*Peak!X83*IS!$B$2)</f>
        <v>0</v>
      </c>
      <c r="S82" s="183">
        <f>IF($A$1="BL",0,'Peak Hours'!S82*Peak!Y83*IS!$B$2)</f>
        <v>0</v>
      </c>
      <c r="T82" s="183">
        <f>IF($A$1="BL",0,'Peak Hours'!T82*Peak!Z83*IS!$B$2)</f>
        <v>0</v>
      </c>
      <c r="U82" s="183">
        <f>IF($A$1="BL",0,'Peak Hours'!U82*Peak!AA83*IS!$B$2)</f>
        <v>0</v>
      </c>
      <c r="V82" s="213"/>
      <c r="W82" s="211">
        <f>(IF($A$1="BL",0,Peak!C83*'Peak Hours'!V82*IS!$B$2))*-1</f>
        <v>0</v>
      </c>
      <c r="X82" s="213"/>
      <c r="Y82" s="211">
        <f>(IF($A$1="bl",0,Peak!D83*'Peak Hours'!V82*IS!$B$2))*-1</f>
        <v>0</v>
      </c>
      <c r="Z82" s="213"/>
      <c r="AA82" s="211">
        <f>(Peak!E83*'Peak Hours'!V82*IS!$B$2)*-1</f>
        <v>0</v>
      </c>
      <c r="AB82" s="210"/>
      <c r="AC82" s="211">
        <f>(Peak!F83*'Peak Hours'!V82*IS!$B$2)*-1</f>
        <v>0</v>
      </c>
      <c r="AD82" s="210"/>
    </row>
    <row r="83" spans="1:30" x14ac:dyDescent="0.2">
      <c r="A83" s="1">
        <f t="shared" si="1"/>
        <v>38760.441000000093</v>
      </c>
      <c r="B83" s="182">
        <f>IF($A$1="BL",0,'Peak Hours'!B83*Peak!H84*IS!$B$2)</f>
        <v>0</v>
      </c>
      <c r="C83" s="183">
        <f>IF($A$1="BL",0,'Peak Hours'!C83*Peak!I84*IS!$B$2)</f>
        <v>0</v>
      </c>
      <c r="D83" s="183">
        <f>IF($A$1="BL",0,'Peak Hours'!D83*Peak!J84*IS!$B$2)</f>
        <v>0</v>
      </c>
      <c r="E83" s="183">
        <f>IF($A$1="BL",0,'Peak Hours'!E83*Peak!K84*IS!$B$2)</f>
        <v>0</v>
      </c>
      <c r="F83" s="183">
        <f>IF($A$1="BL",0,'Peak Hours'!F83*Peak!L84*IS!$B$2)</f>
        <v>0</v>
      </c>
      <c r="G83" s="183">
        <f>IF($A$1="BL",0,'Peak Hours'!G83*Peak!M84*IS!$B$2)</f>
        <v>0</v>
      </c>
      <c r="H83" s="183">
        <f>IF($A$1="BL",0,'Peak Hours'!H83*Peak!N84*IS!$B$2)</f>
        <v>0</v>
      </c>
      <c r="I83" s="183">
        <f>IF($A$1="BL",0,'Peak Hours'!I83*Peak!O84*IS!$B$2)</f>
        <v>0</v>
      </c>
      <c r="J83" s="183">
        <f>IF($A$1="BL",0,'Peak Hours'!J83*Peak!P84*IS!$B$2)</f>
        <v>0</v>
      </c>
      <c r="K83" s="183">
        <f>IF($A$1="BL",0,'Peak Hours'!K83*Peak!Q84*IS!$B$2)</f>
        <v>0</v>
      </c>
      <c r="L83" s="183">
        <f>IF($A$1="BL",0,'Peak Hours'!L83*Peak!R84*IS!$B$2)</f>
        <v>0</v>
      </c>
      <c r="M83" s="183">
        <f>IF($A$1="BL",0,'Peak Hours'!M83*Peak!S84*IS!$B$2)</f>
        <v>0</v>
      </c>
      <c r="N83" s="183">
        <f>IF($A$1="BL",0,'Peak Hours'!N83*Peak!T84*IS!$B$2)</f>
        <v>0</v>
      </c>
      <c r="O83" s="183">
        <f>IF($A$1="BL",0,'Peak Hours'!O83*Peak!U84*IS!$B$2)</f>
        <v>0</v>
      </c>
      <c r="P83" s="183">
        <f>IF($A$1="BL",0,'Peak Hours'!P83*Peak!V84*IS!$B$2)</f>
        <v>0</v>
      </c>
      <c r="Q83" s="183">
        <f>IF($A$1="BL",0,'Peak Hours'!Q83*Peak!W84*IS!$B$2)</f>
        <v>0</v>
      </c>
      <c r="R83" s="183">
        <f>IF($A$1="BL",0,'Peak Hours'!R83*Peak!X84*IS!$B$2)</f>
        <v>0</v>
      </c>
      <c r="S83" s="183">
        <f>IF($A$1="BL",0,'Peak Hours'!S83*Peak!Y84*IS!$B$2)</f>
        <v>0</v>
      </c>
      <c r="T83" s="183">
        <f>IF($A$1="BL",0,'Peak Hours'!T83*Peak!Z84*IS!$B$2)</f>
        <v>0</v>
      </c>
      <c r="U83" s="183">
        <f>IF($A$1="BL",0,'Peak Hours'!U83*Peak!AA84*IS!$B$2)</f>
        <v>0</v>
      </c>
      <c r="V83" s="213"/>
      <c r="W83" s="211">
        <f>(IF($A$1="BL",0,Peak!C84*'Peak Hours'!V83*IS!$B$2))*-1</f>
        <v>0</v>
      </c>
      <c r="X83" s="213"/>
      <c r="Y83" s="211">
        <f>(IF($A$1="bl",0,Peak!D84*'Peak Hours'!V83*IS!$B$2))*-1</f>
        <v>0</v>
      </c>
      <c r="Z83" s="213"/>
      <c r="AA83" s="211">
        <f>(Peak!E84*'Peak Hours'!V83*IS!$B$2)*-1</f>
        <v>0</v>
      </c>
      <c r="AB83" s="210"/>
      <c r="AC83" s="211">
        <f>(Peak!F84*'Peak Hours'!V83*IS!$B$2)*-1</f>
        <v>0</v>
      </c>
      <c r="AD83" s="210"/>
    </row>
    <row r="84" spans="1:30" x14ac:dyDescent="0.2">
      <c r="A84" s="1">
        <f t="shared" si="1"/>
        <v>38790.858000000095</v>
      </c>
      <c r="B84" s="182">
        <f>IF($A$1="BL",0,'Peak Hours'!B84*Peak!H85*IS!$B$2)</f>
        <v>0</v>
      </c>
      <c r="C84" s="183">
        <f>IF($A$1="BL",0,'Peak Hours'!C84*Peak!I85*IS!$B$2)</f>
        <v>0</v>
      </c>
      <c r="D84" s="183">
        <f>IF($A$1="BL",0,'Peak Hours'!D84*Peak!J85*IS!$B$2)</f>
        <v>0</v>
      </c>
      <c r="E84" s="183">
        <f>IF($A$1="BL",0,'Peak Hours'!E84*Peak!K85*IS!$B$2)</f>
        <v>0</v>
      </c>
      <c r="F84" s="183">
        <f>IF($A$1="BL",0,'Peak Hours'!F84*Peak!L85*IS!$B$2)</f>
        <v>0</v>
      </c>
      <c r="G84" s="183">
        <f>IF($A$1="BL",0,'Peak Hours'!G84*Peak!M85*IS!$B$2)</f>
        <v>0</v>
      </c>
      <c r="H84" s="183">
        <f>IF($A$1="BL",0,'Peak Hours'!H84*Peak!N85*IS!$B$2)</f>
        <v>0</v>
      </c>
      <c r="I84" s="183">
        <f>IF($A$1="BL",0,'Peak Hours'!I84*Peak!O85*IS!$B$2)</f>
        <v>0</v>
      </c>
      <c r="J84" s="183">
        <f>IF($A$1="BL",0,'Peak Hours'!J84*Peak!P85*IS!$B$2)</f>
        <v>0</v>
      </c>
      <c r="K84" s="183">
        <f>IF($A$1="BL",0,'Peak Hours'!K84*Peak!Q85*IS!$B$2)</f>
        <v>0</v>
      </c>
      <c r="L84" s="183">
        <f>IF($A$1="BL",0,'Peak Hours'!L84*Peak!R85*IS!$B$2)</f>
        <v>0</v>
      </c>
      <c r="M84" s="183">
        <f>IF($A$1="BL",0,'Peak Hours'!M84*Peak!S85*IS!$B$2)</f>
        <v>0</v>
      </c>
      <c r="N84" s="183">
        <f>IF($A$1="BL",0,'Peak Hours'!N84*Peak!T85*IS!$B$2)</f>
        <v>0</v>
      </c>
      <c r="O84" s="183">
        <f>IF($A$1="BL",0,'Peak Hours'!O84*Peak!U85*IS!$B$2)</f>
        <v>0</v>
      </c>
      <c r="P84" s="183">
        <f>IF($A$1="BL",0,'Peak Hours'!P84*Peak!V85*IS!$B$2)</f>
        <v>0</v>
      </c>
      <c r="Q84" s="183">
        <f>IF($A$1="BL",0,'Peak Hours'!Q84*Peak!W85*IS!$B$2)</f>
        <v>0</v>
      </c>
      <c r="R84" s="183">
        <f>IF($A$1="BL",0,'Peak Hours'!R84*Peak!X85*IS!$B$2)</f>
        <v>0</v>
      </c>
      <c r="S84" s="183">
        <f>IF($A$1="BL",0,'Peak Hours'!S84*Peak!Y85*IS!$B$2)</f>
        <v>0</v>
      </c>
      <c r="T84" s="183">
        <f>IF($A$1="BL",0,'Peak Hours'!T84*Peak!Z85*IS!$B$2)</f>
        <v>0</v>
      </c>
      <c r="U84" s="183">
        <f>IF($A$1="BL",0,'Peak Hours'!U84*Peak!AA85*IS!$B$2)</f>
        <v>0</v>
      </c>
      <c r="V84" s="213"/>
      <c r="W84" s="211">
        <f>(IF($A$1="BL",0,Peak!C85*'Peak Hours'!V84*IS!$B$2))*-1</f>
        <v>0</v>
      </c>
      <c r="X84" s="213"/>
      <c r="Y84" s="211">
        <f>(IF($A$1="bl",0,Peak!D85*'Peak Hours'!V84*IS!$B$2))*-1</f>
        <v>0</v>
      </c>
      <c r="Z84" s="213"/>
      <c r="AA84" s="211">
        <f>(Peak!E85*'Peak Hours'!V84*IS!$B$2)*-1</f>
        <v>0</v>
      </c>
      <c r="AB84" s="210"/>
      <c r="AC84" s="211">
        <f>(Peak!F85*'Peak Hours'!V84*IS!$B$2)*-1</f>
        <v>0</v>
      </c>
      <c r="AD84" s="210"/>
    </row>
    <row r="85" spans="1:30" x14ac:dyDescent="0.2">
      <c r="A85" s="1">
        <f t="shared" si="1"/>
        <v>38821.275000000096</v>
      </c>
      <c r="B85" s="182">
        <f>IF($A$1="BL",0,'Peak Hours'!B85*Peak!H86*IS!$B$2)</f>
        <v>0</v>
      </c>
      <c r="C85" s="183">
        <f>IF($A$1="BL",0,'Peak Hours'!C85*Peak!I86*IS!$B$2)</f>
        <v>0</v>
      </c>
      <c r="D85" s="183">
        <f>IF($A$1="BL",0,'Peak Hours'!D85*Peak!J86*IS!$B$2)</f>
        <v>0</v>
      </c>
      <c r="E85" s="183">
        <f>IF($A$1="BL",0,'Peak Hours'!E85*Peak!K86*IS!$B$2)</f>
        <v>0</v>
      </c>
      <c r="F85" s="183">
        <f>IF($A$1="BL",0,'Peak Hours'!F85*Peak!L86*IS!$B$2)</f>
        <v>0</v>
      </c>
      <c r="G85" s="183">
        <f>IF($A$1="BL",0,'Peak Hours'!G85*Peak!M86*IS!$B$2)</f>
        <v>0</v>
      </c>
      <c r="H85" s="183">
        <f>IF($A$1="BL",0,'Peak Hours'!H85*Peak!N86*IS!$B$2)</f>
        <v>0</v>
      </c>
      <c r="I85" s="183">
        <f>IF($A$1="BL",0,'Peak Hours'!I85*Peak!O86*IS!$B$2)</f>
        <v>0</v>
      </c>
      <c r="J85" s="183">
        <f>IF($A$1="BL",0,'Peak Hours'!J85*Peak!P86*IS!$B$2)</f>
        <v>0</v>
      </c>
      <c r="K85" s="183">
        <f>IF($A$1="BL",0,'Peak Hours'!K85*Peak!Q86*IS!$B$2)</f>
        <v>0</v>
      </c>
      <c r="L85" s="183">
        <f>IF($A$1="BL",0,'Peak Hours'!L85*Peak!R86*IS!$B$2)</f>
        <v>0</v>
      </c>
      <c r="M85" s="183">
        <f>IF($A$1="BL",0,'Peak Hours'!M85*Peak!S86*IS!$B$2)</f>
        <v>0</v>
      </c>
      <c r="N85" s="183">
        <f>IF($A$1="BL",0,'Peak Hours'!N85*Peak!T86*IS!$B$2)</f>
        <v>0</v>
      </c>
      <c r="O85" s="183">
        <f>IF($A$1="BL",0,'Peak Hours'!O85*Peak!U86*IS!$B$2)</f>
        <v>0</v>
      </c>
      <c r="P85" s="183">
        <f>IF($A$1="BL",0,'Peak Hours'!P85*Peak!V86*IS!$B$2)</f>
        <v>0</v>
      </c>
      <c r="Q85" s="183">
        <f>IF($A$1="BL",0,'Peak Hours'!Q85*Peak!W86*IS!$B$2)</f>
        <v>0</v>
      </c>
      <c r="R85" s="183">
        <f>IF($A$1="BL",0,'Peak Hours'!R85*Peak!X86*IS!$B$2)</f>
        <v>0</v>
      </c>
      <c r="S85" s="183">
        <f>IF($A$1="BL",0,'Peak Hours'!S85*Peak!Y86*IS!$B$2)</f>
        <v>0</v>
      </c>
      <c r="T85" s="183">
        <f>IF($A$1="BL",0,'Peak Hours'!T85*Peak!Z86*IS!$B$2)</f>
        <v>0</v>
      </c>
      <c r="U85" s="183">
        <f>IF($A$1="BL",0,'Peak Hours'!U85*Peak!AA86*IS!$B$2)</f>
        <v>0</v>
      </c>
      <c r="V85" s="213"/>
      <c r="W85" s="211">
        <f>(IF($A$1="BL",0,Peak!C86*'Peak Hours'!V85*IS!$B$2))*-1</f>
        <v>0</v>
      </c>
      <c r="X85" s="213"/>
      <c r="Y85" s="211">
        <f>(IF($A$1="bl",0,Peak!D86*'Peak Hours'!V85*IS!$B$2))*-1</f>
        <v>0</v>
      </c>
      <c r="Z85" s="213"/>
      <c r="AA85" s="211">
        <f>(Peak!E86*'Peak Hours'!V85*IS!$B$2)*-1</f>
        <v>0</v>
      </c>
      <c r="AB85" s="210"/>
      <c r="AC85" s="211">
        <f>(Peak!F86*'Peak Hours'!V85*IS!$B$2)*-1</f>
        <v>0</v>
      </c>
      <c r="AD85" s="210"/>
    </row>
    <row r="86" spans="1:30" x14ac:dyDescent="0.2">
      <c r="A86" s="1">
        <f t="shared" si="1"/>
        <v>38851.692000000097</v>
      </c>
      <c r="B86" s="182">
        <f>IF($A$1="BL",0,'Peak Hours'!B86*Peak!H87*IS!$B$2)</f>
        <v>0</v>
      </c>
      <c r="C86" s="183">
        <f>IF($A$1="BL",0,'Peak Hours'!C86*Peak!I87*IS!$B$2)</f>
        <v>0</v>
      </c>
      <c r="D86" s="183">
        <f>IF($A$1="BL",0,'Peak Hours'!D86*Peak!J87*IS!$B$2)</f>
        <v>0</v>
      </c>
      <c r="E86" s="183">
        <f>IF($A$1="BL",0,'Peak Hours'!E86*Peak!K87*IS!$B$2)</f>
        <v>0</v>
      </c>
      <c r="F86" s="183">
        <f>IF($A$1="BL",0,'Peak Hours'!F86*Peak!L87*IS!$B$2)</f>
        <v>0</v>
      </c>
      <c r="G86" s="183">
        <f>IF($A$1="BL",0,'Peak Hours'!G86*Peak!M87*IS!$B$2)</f>
        <v>0</v>
      </c>
      <c r="H86" s="183">
        <f>IF($A$1="BL",0,'Peak Hours'!H86*Peak!N87*IS!$B$2)</f>
        <v>0</v>
      </c>
      <c r="I86" s="183">
        <f>IF($A$1="BL",0,'Peak Hours'!I86*Peak!O87*IS!$B$2)</f>
        <v>0</v>
      </c>
      <c r="J86" s="183">
        <f>IF($A$1="BL",0,'Peak Hours'!J86*Peak!P87*IS!$B$2)</f>
        <v>0</v>
      </c>
      <c r="K86" s="183">
        <f>IF($A$1="BL",0,'Peak Hours'!K86*Peak!Q87*IS!$B$2)</f>
        <v>0</v>
      </c>
      <c r="L86" s="183">
        <f>IF($A$1="BL",0,'Peak Hours'!L86*Peak!R87*IS!$B$2)</f>
        <v>0</v>
      </c>
      <c r="M86" s="183">
        <f>IF($A$1="BL",0,'Peak Hours'!M86*Peak!S87*IS!$B$2)</f>
        <v>0</v>
      </c>
      <c r="N86" s="183">
        <f>IF($A$1="BL",0,'Peak Hours'!N86*Peak!T87*IS!$B$2)</f>
        <v>0</v>
      </c>
      <c r="O86" s="183">
        <f>IF($A$1="BL",0,'Peak Hours'!O86*Peak!U87*IS!$B$2)</f>
        <v>0</v>
      </c>
      <c r="P86" s="183">
        <f>IF($A$1="BL",0,'Peak Hours'!P86*Peak!V87*IS!$B$2)</f>
        <v>0</v>
      </c>
      <c r="Q86" s="183">
        <f>IF($A$1="BL",0,'Peak Hours'!Q86*Peak!W87*IS!$B$2)</f>
        <v>0</v>
      </c>
      <c r="R86" s="183">
        <f>IF($A$1="BL",0,'Peak Hours'!R86*Peak!X87*IS!$B$2)</f>
        <v>0</v>
      </c>
      <c r="S86" s="183">
        <f>IF($A$1="BL",0,'Peak Hours'!S86*Peak!Y87*IS!$B$2)</f>
        <v>0</v>
      </c>
      <c r="T86" s="183">
        <f>IF($A$1="BL",0,'Peak Hours'!T86*Peak!Z87*IS!$B$2)</f>
        <v>0</v>
      </c>
      <c r="U86" s="183">
        <f>IF($A$1="BL",0,'Peak Hours'!U86*Peak!AA87*IS!$B$2)</f>
        <v>0</v>
      </c>
      <c r="V86" s="213"/>
      <c r="W86" s="211">
        <f>(IF($A$1="BL",0,Peak!C87*'Peak Hours'!V86*IS!$B$2))*-1</f>
        <v>0</v>
      </c>
      <c r="X86" s="213"/>
      <c r="Y86" s="211">
        <f>(IF($A$1="bl",0,Peak!D87*'Peak Hours'!V86*IS!$B$2))*-1</f>
        <v>0</v>
      </c>
      <c r="Z86" s="213"/>
      <c r="AA86" s="211">
        <f>(Peak!E87*'Peak Hours'!V86*IS!$B$2)*-1</f>
        <v>0</v>
      </c>
      <c r="AB86" s="210"/>
      <c r="AC86" s="211">
        <f>(Peak!F87*'Peak Hours'!V86*IS!$B$2)*-1</f>
        <v>0</v>
      </c>
      <c r="AD86" s="210"/>
    </row>
    <row r="87" spans="1:30" x14ac:dyDescent="0.2">
      <c r="A87" s="1">
        <f t="shared" si="1"/>
        <v>38882.109000000099</v>
      </c>
      <c r="B87" s="182">
        <f>IF($A$1="BL",0,'Peak Hours'!B87*Peak!H88*IS!$B$2)</f>
        <v>0</v>
      </c>
      <c r="C87" s="183">
        <f>IF($A$1="BL",0,'Peak Hours'!C87*Peak!I88*IS!$B$2)</f>
        <v>0</v>
      </c>
      <c r="D87" s="183">
        <f>IF($A$1="BL",0,'Peak Hours'!D87*Peak!J88*IS!$B$2)</f>
        <v>0</v>
      </c>
      <c r="E87" s="183">
        <f>IF($A$1="BL",0,'Peak Hours'!E87*Peak!K88*IS!$B$2)</f>
        <v>0</v>
      </c>
      <c r="F87" s="183">
        <f>IF($A$1="BL",0,'Peak Hours'!F87*Peak!L88*IS!$B$2)</f>
        <v>0</v>
      </c>
      <c r="G87" s="183">
        <f>IF($A$1="BL",0,'Peak Hours'!G87*Peak!M88*IS!$B$2)</f>
        <v>0</v>
      </c>
      <c r="H87" s="183">
        <f>IF($A$1="BL",0,'Peak Hours'!H87*Peak!N88*IS!$B$2)</f>
        <v>0</v>
      </c>
      <c r="I87" s="183">
        <f>IF($A$1="BL",0,'Peak Hours'!I87*Peak!O88*IS!$B$2)</f>
        <v>0</v>
      </c>
      <c r="J87" s="183">
        <f>IF($A$1="BL",0,'Peak Hours'!J87*Peak!P88*IS!$B$2)</f>
        <v>0</v>
      </c>
      <c r="K87" s="183">
        <f>IF($A$1="BL",0,'Peak Hours'!K87*Peak!Q88*IS!$B$2)</f>
        <v>0</v>
      </c>
      <c r="L87" s="183">
        <f>IF($A$1="BL",0,'Peak Hours'!L87*Peak!R88*IS!$B$2)</f>
        <v>0</v>
      </c>
      <c r="M87" s="183">
        <f>IF($A$1="BL",0,'Peak Hours'!M87*Peak!S88*IS!$B$2)</f>
        <v>0</v>
      </c>
      <c r="N87" s="183">
        <f>IF($A$1="BL",0,'Peak Hours'!N87*Peak!T88*IS!$B$2)</f>
        <v>0</v>
      </c>
      <c r="O87" s="183">
        <f>IF($A$1="BL",0,'Peak Hours'!O87*Peak!U88*IS!$B$2)</f>
        <v>0</v>
      </c>
      <c r="P87" s="183">
        <f>IF($A$1="BL",0,'Peak Hours'!P87*Peak!V88*IS!$B$2)</f>
        <v>0</v>
      </c>
      <c r="Q87" s="183">
        <f>IF($A$1="BL",0,'Peak Hours'!Q87*Peak!W88*IS!$B$2)</f>
        <v>0</v>
      </c>
      <c r="R87" s="183">
        <f>IF($A$1="BL",0,'Peak Hours'!R87*Peak!X88*IS!$B$2)</f>
        <v>0</v>
      </c>
      <c r="S87" s="183">
        <f>IF($A$1="BL",0,'Peak Hours'!S87*Peak!Y88*IS!$B$2)</f>
        <v>0</v>
      </c>
      <c r="T87" s="183">
        <f>IF($A$1="BL",0,'Peak Hours'!T87*Peak!Z88*IS!$B$2)</f>
        <v>0</v>
      </c>
      <c r="U87" s="183">
        <f>IF($A$1="BL",0,'Peak Hours'!U87*Peak!AA88*IS!$B$2)</f>
        <v>0</v>
      </c>
      <c r="V87" s="213"/>
      <c r="W87" s="211">
        <f>(IF($A$1="BL",0,Peak!C88*'Peak Hours'!V87*IS!$B$2))*-1</f>
        <v>0</v>
      </c>
      <c r="X87" s="213"/>
      <c r="Y87" s="211">
        <f>(IF($A$1="bl",0,Peak!D88*'Peak Hours'!V87*IS!$B$2))*-1</f>
        <v>0</v>
      </c>
      <c r="Z87" s="213"/>
      <c r="AA87" s="211">
        <f>(Peak!E88*'Peak Hours'!V87*IS!$B$2)*-1</f>
        <v>0</v>
      </c>
      <c r="AB87" s="210"/>
      <c r="AC87" s="211">
        <f>(Peak!F88*'Peak Hours'!V87*IS!$B$2)*-1</f>
        <v>0</v>
      </c>
      <c r="AD87" s="210"/>
    </row>
    <row r="88" spans="1:30" x14ac:dyDescent="0.2">
      <c r="A88" s="1">
        <f t="shared" si="1"/>
        <v>38912.5260000001</v>
      </c>
      <c r="B88" s="182">
        <f>IF($A$1="BL",0,'Peak Hours'!B88*Peak!H89*IS!$B$2)</f>
        <v>0</v>
      </c>
      <c r="C88" s="183">
        <f>IF($A$1="BL",0,'Peak Hours'!C88*Peak!I89*IS!$B$2)</f>
        <v>0</v>
      </c>
      <c r="D88" s="183">
        <f>IF($A$1="BL",0,'Peak Hours'!D88*Peak!J89*IS!$B$2)</f>
        <v>0</v>
      </c>
      <c r="E88" s="183">
        <f>IF($A$1="BL",0,'Peak Hours'!E88*Peak!K89*IS!$B$2)</f>
        <v>0</v>
      </c>
      <c r="F88" s="183">
        <f>IF($A$1="BL",0,'Peak Hours'!F88*Peak!L89*IS!$B$2)</f>
        <v>0</v>
      </c>
      <c r="G88" s="183">
        <f>IF($A$1="BL",0,'Peak Hours'!G88*Peak!M89*IS!$B$2)</f>
        <v>0</v>
      </c>
      <c r="H88" s="183">
        <f>IF($A$1="BL",0,'Peak Hours'!H88*Peak!N89*IS!$B$2)</f>
        <v>0</v>
      </c>
      <c r="I88" s="183">
        <f>IF($A$1="BL",0,'Peak Hours'!I88*Peak!O89*IS!$B$2)</f>
        <v>0</v>
      </c>
      <c r="J88" s="183">
        <f>IF($A$1="BL",0,'Peak Hours'!J88*Peak!P89*IS!$B$2)</f>
        <v>0</v>
      </c>
      <c r="K88" s="183">
        <f>IF($A$1="BL",0,'Peak Hours'!K88*Peak!Q89*IS!$B$2)</f>
        <v>0</v>
      </c>
      <c r="L88" s="183">
        <f>IF($A$1="BL",0,'Peak Hours'!L88*Peak!R89*IS!$B$2)</f>
        <v>0</v>
      </c>
      <c r="M88" s="183">
        <f>IF($A$1="BL",0,'Peak Hours'!M88*Peak!S89*IS!$B$2)</f>
        <v>0</v>
      </c>
      <c r="N88" s="183">
        <f>IF($A$1="BL",0,'Peak Hours'!N88*Peak!T89*IS!$B$2)</f>
        <v>0</v>
      </c>
      <c r="O88" s="183">
        <f>IF($A$1="BL",0,'Peak Hours'!O88*Peak!U89*IS!$B$2)</f>
        <v>0</v>
      </c>
      <c r="P88" s="183">
        <f>IF($A$1="BL",0,'Peak Hours'!P88*Peak!V89*IS!$B$2)</f>
        <v>0</v>
      </c>
      <c r="Q88" s="183">
        <f>IF($A$1="BL",0,'Peak Hours'!Q88*Peak!W89*IS!$B$2)</f>
        <v>0</v>
      </c>
      <c r="R88" s="183">
        <f>IF($A$1="BL",0,'Peak Hours'!R88*Peak!X89*IS!$B$2)</f>
        <v>0</v>
      </c>
      <c r="S88" s="183">
        <f>IF($A$1="BL",0,'Peak Hours'!S88*Peak!Y89*IS!$B$2)</f>
        <v>0</v>
      </c>
      <c r="T88" s="183">
        <f>IF($A$1="BL",0,'Peak Hours'!T88*Peak!Z89*IS!$B$2)</f>
        <v>0</v>
      </c>
      <c r="U88" s="183">
        <f>IF($A$1="BL",0,'Peak Hours'!U88*Peak!AA89*IS!$B$2)</f>
        <v>0</v>
      </c>
      <c r="V88" s="213"/>
      <c r="W88" s="211">
        <f>(IF($A$1="BL",0,Peak!C89*'Peak Hours'!V88*IS!$B$2))*-1</f>
        <v>0</v>
      </c>
      <c r="X88" s="213"/>
      <c r="Y88" s="211">
        <f>(IF($A$1="bl",0,Peak!D89*'Peak Hours'!V88*IS!$B$2))*-1</f>
        <v>0</v>
      </c>
      <c r="Z88" s="213"/>
      <c r="AA88" s="211">
        <f>(Peak!E89*'Peak Hours'!V88*IS!$B$2)*-1</f>
        <v>0</v>
      </c>
      <c r="AB88" s="210"/>
      <c r="AC88" s="211">
        <f>(Peak!F89*'Peak Hours'!V88*IS!$B$2)*-1</f>
        <v>0</v>
      </c>
      <c r="AD88" s="210"/>
    </row>
    <row r="89" spans="1:30" x14ac:dyDescent="0.2">
      <c r="A89" s="1">
        <f t="shared" si="1"/>
        <v>38942.943000000101</v>
      </c>
      <c r="B89" s="182">
        <f>IF($A$1="BL",0,'Peak Hours'!B89*Peak!H90*IS!$B$2)</f>
        <v>0</v>
      </c>
      <c r="C89" s="183">
        <f>IF($A$1="BL",0,'Peak Hours'!C89*Peak!I90*IS!$B$2)</f>
        <v>0</v>
      </c>
      <c r="D89" s="183">
        <f>IF($A$1="BL",0,'Peak Hours'!D89*Peak!J90*IS!$B$2)</f>
        <v>0</v>
      </c>
      <c r="E89" s="183">
        <f>IF($A$1="BL",0,'Peak Hours'!E89*Peak!K90*IS!$B$2)</f>
        <v>0</v>
      </c>
      <c r="F89" s="183">
        <f>IF($A$1="BL",0,'Peak Hours'!F89*Peak!L90*IS!$B$2)</f>
        <v>0</v>
      </c>
      <c r="G89" s="183">
        <f>IF($A$1="BL",0,'Peak Hours'!G89*Peak!M90*IS!$B$2)</f>
        <v>0</v>
      </c>
      <c r="H89" s="183">
        <f>IF($A$1="BL",0,'Peak Hours'!H89*Peak!N90*IS!$B$2)</f>
        <v>0</v>
      </c>
      <c r="I89" s="183">
        <f>IF($A$1="BL",0,'Peak Hours'!I89*Peak!O90*IS!$B$2)</f>
        <v>0</v>
      </c>
      <c r="J89" s="183">
        <f>IF($A$1="BL",0,'Peak Hours'!J89*Peak!P90*IS!$B$2)</f>
        <v>0</v>
      </c>
      <c r="K89" s="183">
        <f>IF($A$1="BL",0,'Peak Hours'!K89*Peak!Q90*IS!$B$2)</f>
        <v>0</v>
      </c>
      <c r="L89" s="183">
        <f>IF($A$1="BL",0,'Peak Hours'!L89*Peak!R90*IS!$B$2)</f>
        <v>0</v>
      </c>
      <c r="M89" s="183">
        <f>IF($A$1="BL",0,'Peak Hours'!M89*Peak!S90*IS!$B$2)</f>
        <v>0</v>
      </c>
      <c r="N89" s="183">
        <f>IF($A$1="BL",0,'Peak Hours'!N89*Peak!T90*IS!$B$2)</f>
        <v>0</v>
      </c>
      <c r="O89" s="183">
        <f>IF($A$1="BL",0,'Peak Hours'!O89*Peak!U90*IS!$B$2)</f>
        <v>0</v>
      </c>
      <c r="P89" s="183">
        <f>IF($A$1="BL",0,'Peak Hours'!P89*Peak!V90*IS!$B$2)</f>
        <v>0</v>
      </c>
      <c r="Q89" s="183">
        <f>IF($A$1="BL",0,'Peak Hours'!Q89*Peak!W90*IS!$B$2)</f>
        <v>0</v>
      </c>
      <c r="R89" s="183">
        <f>IF($A$1="BL",0,'Peak Hours'!R89*Peak!X90*IS!$B$2)</f>
        <v>0</v>
      </c>
      <c r="S89" s="183">
        <f>IF($A$1="BL",0,'Peak Hours'!S89*Peak!Y90*IS!$B$2)</f>
        <v>0</v>
      </c>
      <c r="T89" s="183">
        <f>IF($A$1="BL",0,'Peak Hours'!T89*Peak!Z90*IS!$B$2)</f>
        <v>0</v>
      </c>
      <c r="U89" s="183">
        <f>IF($A$1="BL",0,'Peak Hours'!U89*Peak!AA90*IS!$B$2)</f>
        <v>0</v>
      </c>
      <c r="V89" s="213"/>
      <c r="W89" s="211">
        <f>(IF($A$1="BL",0,Peak!C90*'Peak Hours'!V89*IS!$B$2))*-1</f>
        <v>0</v>
      </c>
      <c r="X89" s="213"/>
      <c r="Y89" s="211">
        <f>(IF($A$1="bl",0,Peak!D90*'Peak Hours'!V89*IS!$B$2))*-1</f>
        <v>0</v>
      </c>
      <c r="Z89" s="213"/>
      <c r="AA89" s="211">
        <f>(Peak!E90*'Peak Hours'!V89*IS!$B$2)*-1</f>
        <v>0</v>
      </c>
      <c r="AB89" s="210"/>
      <c r="AC89" s="211">
        <f>(Peak!F90*'Peak Hours'!V89*IS!$B$2)*-1</f>
        <v>0</v>
      </c>
      <c r="AD89" s="210"/>
    </row>
    <row r="90" spans="1:30" x14ac:dyDescent="0.2">
      <c r="A90" s="1">
        <f t="shared" si="1"/>
        <v>38973.360000000102</v>
      </c>
      <c r="B90" s="182">
        <f>IF($A$1="BL",0,'Peak Hours'!B90*Peak!H91*IS!$B$2)</f>
        <v>0</v>
      </c>
      <c r="C90" s="183">
        <f>IF($A$1="BL",0,'Peak Hours'!C90*Peak!I91*IS!$B$2)</f>
        <v>0</v>
      </c>
      <c r="D90" s="183">
        <f>IF($A$1="BL",0,'Peak Hours'!D90*Peak!J91*IS!$B$2)</f>
        <v>0</v>
      </c>
      <c r="E90" s="183">
        <f>IF($A$1="BL",0,'Peak Hours'!E90*Peak!K91*IS!$B$2)</f>
        <v>0</v>
      </c>
      <c r="F90" s="183">
        <f>IF($A$1="BL",0,'Peak Hours'!F90*Peak!L91*IS!$B$2)</f>
        <v>0</v>
      </c>
      <c r="G90" s="183">
        <f>IF($A$1="BL",0,'Peak Hours'!G90*Peak!M91*IS!$B$2)</f>
        <v>0</v>
      </c>
      <c r="H90" s="183">
        <f>IF($A$1="BL",0,'Peak Hours'!H90*Peak!N91*IS!$B$2)</f>
        <v>0</v>
      </c>
      <c r="I90" s="183">
        <f>IF($A$1="BL",0,'Peak Hours'!I90*Peak!O91*IS!$B$2)</f>
        <v>0</v>
      </c>
      <c r="J90" s="183">
        <f>IF($A$1="BL",0,'Peak Hours'!J90*Peak!P91*IS!$B$2)</f>
        <v>0</v>
      </c>
      <c r="K90" s="183">
        <f>IF($A$1="BL",0,'Peak Hours'!K90*Peak!Q91*IS!$B$2)</f>
        <v>0</v>
      </c>
      <c r="L90" s="183">
        <f>IF($A$1="BL",0,'Peak Hours'!L90*Peak!R91*IS!$B$2)</f>
        <v>0</v>
      </c>
      <c r="M90" s="183">
        <f>IF($A$1="BL",0,'Peak Hours'!M90*Peak!S91*IS!$B$2)</f>
        <v>0</v>
      </c>
      <c r="N90" s="183">
        <f>IF($A$1="BL",0,'Peak Hours'!N90*Peak!T91*IS!$B$2)</f>
        <v>0</v>
      </c>
      <c r="O90" s="183">
        <f>IF($A$1="BL",0,'Peak Hours'!O90*Peak!U91*IS!$B$2)</f>
        <v>0</v>
      </c>
      <c r="P90" s="183">
        <f>IF($A$1="BL",0,'Peak Hours'!P90*Peak!V91*IS!$B$2)</f>
        <v>0</v>
      </c>
      <c r="Q90" s="183">
        <f>IF($A$1="BL",0,'Peak Hours'!Q90*Peak!W91*IS!$B$2)</f>
        <v>0</v>
      </c>
      <c r="R90" s="183">
        <f>IF($A$1="BL",0,'Peak Hours'!R90*Peak!X91*IS!$B$2)</f>
        <v>0</v>
      </c>
      <c r="S90" s="183">
        <f>IF($A$1="BL",0,'Peak Hours'!S90*Peak!Y91*IS!$B$2)</f>
        <v>0</v>
      </c>
      <c r="T90" s="183">
        <f>IF($A$1="BL",0,'Peak Hours'!T90*Peak!Z91*IS!$B$2)</f>
        <v>0</v>
      </c>
      <c r="U90" s="183">
        <f>IF($A$1="BL",0,'Peak Hours'!U90*Peak!AA91*IS!$B$2)</f>
        <v>0</v>
      </c>
      <c r="V90" s="213"/>
      <c r="W90" s="211">
        <f>(IF($A$1="BL",0,Peak!C91*'Peak Hours'!V90*IS!$B$2))*-1</f>
        <v>0</v>
      </c>
      <c r="X90" s="213"/>
      <c r="Y90" s="211">
        <f>(IF($A$1="bl",0,Peak!D91*'Peak Hours'!V90*IS!$B$2))*-1</f>
        <v>0</v>
      </c>
      <c r="Z90" s="213"/>
      <c r="AA90" s="211">
        <f>(Peak!E91*'Peak Hours'!V90*IS!$B$2)*-1</f>
        <v>0</v>
      </c>
      <c r="AB90" s="210"/>
      <c r="AC90" s="211">
        <f>(Peak!F91*'Peak Hours'!V90*IS!$B$2)*-1</f>
        <v>0</v>
      </c>
      <c r="AD90" s="210"/>
    </row>
    <row r="91" spans="1:30" x14ac:dyDescent="0.2">
      <c r="A91" s="1">
        <f t="shared" si="1"/>
        <v>39003.777000000104</v>
      </c>
      <c r="B91" s="182">
        <f>IF($A$1="BL",0,'Peak Hours'!B91*Peak!H92*IS!$B$2)</f>
        <v>0</v>
      </c>
      <c r="C91" s="183">
        <f>IF($A$1="BL",0,'Peak Hours'!C91*Peak!I92*IS!$B$2)</f>
        <v>0</v>
      </c>
      <c r="D91" s="183">
        <f>IF($A$1="BL",0,'Peak Hours'!D91*Peak!J92*IS!$B$2)</f>
        <v>0</v>
      </c>
      <c r="E91" s="183">
        <f>IF($A$1="BL",0,'Peak Hours'!E91*Peak!K92*IS!$B$2)</f>
        <v>0</v>
      </c>
      <c r="F91" s="183">
        <f>IF($A$1="BL",0,'Peak Hours'!F91*Peak!L92*IS!$B$2)</f>
        <v>0</v>
      </c>
      <c r="G91" s="183">
        <f>IF($A$1="BL",0,'Peak Hours'!G91*Peak!M92*IS!$B$2)</f>
        <v>0</v>
      </c>
      <c r="H91" s="183">
        <f>IF($A$1="BL",0,'Peak Hours'!H91*Peak!N92*IS!$B$2)</f>
        <v>0</v>
      </c>
      <c r="I91" s="183">
        <f>IF($A$1="BL",0,'Peak Hours'!I91*Peak!O92*IS!$B$2)</f>
        <v>0</v>
      </c>
      <c r="J91" s="183">
        <f>IF($A$1="BL",0,'Peak Hours'!J91*Peak!P92*IS!$B$2)</f>
        <v>0</v>
      </c>
      <c r="K91" s="183">
        <f>IF($A$1="BL",0,'Peak Hours'!K91*Peak!Q92*IS!$B$2)</f>
        <v>0</v>
      </c>
      <c r="L91" s="183">
        <f>IF($A$1="BL",0,'Peak Hours'!L91*Peak!R92*IS!$B$2)</f>
        <v>0</v>
      </c>
      <c r="M91" s="183">
        <f>IF($A$1="BL",0,'Peak Hours'!M91*Peak!S92*IS!$B$2)</f>
        <v>0</v>
      </c>
      <c r="N91" s="183">
        <f>IF($A$1="BL",0,'Peak Hours'!N91*Peak!T92*IS!$B$2)</f>
        <v>0</v>
      </c>
      <c r="O91" s="183">
        <f>IF($A$1="BL",0,'Peak Hours'!O91*Peak!U92*IS!$B$2)</f>
        <v>0</v>
      </c>
      <c r="P91" s="183">
        <f>IF($A$1="BL",0,'Peak Hours'!P91*Peak!V92*IS!$B$2)</f>
        <v>0</v>
      </c>
      <c r="Q91" s="183">
        <f>IF($A$1="BL",0,'Peak Hours'!Q91*Peak!W92*IS!$B$2)</f>
        <v>0</v>
      </c>
      <c r="R91" s="183">
        <f>IF($A$1="BL",0,'Peak Hours'!R91*Peak!X92*IS!$B$2)</f>
        <v>0</v>
      </c>
      <c r="S91" s="183">
        <f>IF($A$1="BL",0,'Peak Hours'!S91*Peak!Y92*IS!$B$2)</f>
        <v>0</v>
      </c>
      <c r="T91" s="183">
        <f>IF($A$1="BL",0,'Peak Hours'!T91*Peak!Z92*IS!$B$2)</f>
        <v>0</v>
      </c>
      <c r="U91" s="183">
        <f>IF($A$1="BL",0,'Peak Hours'!U91*Peak!AA92*IS!$B$2)</f>
        <v>0</v>
      </c>
      <c r="V91" s="213"/>
      <c r="W91" s="211">
        <f>(IF($A$1="BL",0,Peak!C92*'Peak Hours'!V91*IS!$B$2))*-1</f>
        <v>0</v>
      </c>
      <c r="X91" s="213"/>
      <c r="Y91" s="211">
        <f>(IF($A$1="bl",0,Peak!D92*'Peak Hours'!V91*IS!$B$2))*-1</f>
        <v>0</v>
      </c>
      <c r="Z91" s="213"/>
      <c r="AA91" s="211">
        <f>(Peak!E92*'Peak Hours'!V91*IS!$B$2)*-1</f>
        <v>0</v>
      </c>
      <c r="AB91" s="210"/>
      <c r="AC91" s="211">
        <f>(Peak!F92*'Peak Hours'!V91*IS!$B$2)*-1</f>
        <v>0</v>
      </c>
      <c r="AD91" s="210"/>
    </row>
    <row r="92" spans="1:30" x14ac:dyDescent="0.2">
      <c r="A92" s="1">
        <f t="shared" si="1"/>
        <v>39034.194000000105</v>
      </c>
      <c r="B92" s="182">
        <f>IF($A$1="BL",0,'Peak Hours'!B92*Peak!H93*IS!$B$2)</f>
        <v>0</v>
      </c>
      <c r="C92" s="183">
        <f>IF($A$1="BL",0,'Peak Hours'!C92*Peak!I93*IS!$B$2)</f>
        <v>0</v>
      </c>
      <c r="D92" s="183">
        <f>IF($A$1="BL",0,'Peak Hours'!D92*Peak!J93*IS!$B$2)</f>
        <v>0</v>
      </c>
      <c r="E92" s="183">
        <f>IF($A$1="BL",0,'Peak Hours'!E92*Peak!K93*IS!$B$2)</f>
        <v>0</v>
      </c>
      <c r="F92" s="183">
        <f>IF($A$1="BL",0,'Peak Hours'!F92*Peak!L93*IS!$B$2)</f>
        <v>0</v>
      </c>
      <c r="G92" s="183">
        <f>IF($A$1="BL",0,'Peak Hours'!G92*Peak!M93*IS!$B$2)</f>
        <v>0</v>
      </c>
      <c r="H92" s="183">
        <f>IF($A$1="BL",0,'Peak Hours'!H92*Peak!N93*IS!$B$2)</f>
        <v>0</v>
      </c>
      <c r="I92" s="183">
        <f>IF($A$1="BL",0,'Peak Hours'!I92*Peak!O93*IS!$B$2)</f>
        <v>0</v>
      </c>
      <c r="J92" s="183">
        <f>IF($A$1="BL",0,'Peak Hours'!J92*Peak!P93*IS!$B$2)</f>
        <v>0</v>
      </c>
      <c r="K92" s="183">
        <f>IF($A$1="BL",0,'Peak Hours'!K92*Peak!Q93*IS!$B$2)</f>
        <v>0</v>
      </c>
      <c r="L92" s="183">
        <f>IF($A$1="BL",0,'Peak Hours'!L92*Peak!R93*IS!$B$2)</f>
        <v>0</v>
      </c>
      <c r="M92" s="183">
        <f>IF($A$1="BL",0,'Peak Hours'!M92*Peak!S93*IS!$B$2)</f>
        <v>0</v>
      </c>
      <c r="N92" s="183">
        <f>IF($A$1="BL",0,'Peak Hours'!N92*Peak!T93*IS!$B$2)</f>
        <v>0</v>
      </c>
      <c r="O92" s="183">
        <f>IF($A$1="BL",0,'Peak Hours'!O92*Peak!U93*IS!$B$2)</f>
        <v>0</v>
      </c>
      <c r="P92" s="183">
        <f>IF($A$1="BL",0,'Peak Hours'!P92*Peak!V93*IS!$B$2)</f>
        <v>0</v>
      </c>
      <c r="Q92" s="183">
        <f>IF($A$1="BL",0,'Peak Hours'!Q92*Peak!W93*IS!$B$2)</f>
        <v>0</v>
      </c>
      <c r="R92" s="183">
        <f>IF($A$1="BL",0,'Peak Hours'!R92*Peak!X93*IS!$B$2)</f>
        <v>0</v>
      </c>
      <c r="S92" s="183">
        <f>IF($A$1="BL",0,'Peak Hours'!S92*Peak!Y93*IS!$B$2)</f>
        <v>0</v>
      </c>
      <c r="T92" s="183">
        <f>IF($A$1="BL",0,'Peak Hours'!T92*Peak!Z93*IS!$B$2)</f>
        <v>0</v>
      </c>
      <c r="U92" s="183">
        <f>IF($A$1="BL",0,'Peak Hours'!U92*Peak!AA93*IS!$B$2)</f>
        <v>0</v>
      </c>
      <c r="V92" s="213"/>
      <c r="W92" s="211">
        <f>(IF($A$1="BL",0,Peak!C93*'Peak Hours'!V92*IS!$B$2))*-1</f>
        <v>0</v>
      </c>
      <c r="X92" s="213"/>
      <c r="Y92" s="211">
        <f>(IF($A$1="bl",0,Peak!D93*'Peak Hours'!V92*IS!$B$2))*-1</f>
        <v>0</v>
      </c>
      <c r="Z92" s="213"/>
      <c r="AA92" s="211">
        <f>(Peak!E93*'Peak Hours'!V92*IS!$B$2)*-1</f>
        <v>0</v>
      </c>
      <c r="AB92" s="210"/>
      <c r="AC92" s="211">
        <f>(Peak!F93*'Peak Hours'!V92*IS!$B$2)*-1</f>
        <v>0</v>
      </c>
      <c r="AD92" s="210"/>
    </row>
    <row r="93" spans="1:30" x14ac:dyDescent="0.2">
      <c r="A93" s="1">
        <f t="shared" si="1"/>
        <v>39064.611000000106</v>
      </c>
      <c r="B93" s="182">
        <f>IF($A$1="BL",0,'Peak Hours'!B93*Peak!H94*IS!$B$2)</f>
        <v>0</v>
      </c>
      <c r="C93" s="183">
        <f>IF($A$1="BL",0,'Peak Hours'!C93*Peak!I94*IS!$B$2)</f>
        <v>0</v>
      </c>
      <c r="D93" s="183">
        <f>IF($A$1="BL",0,'Peak Hours'!D93*Peak!J94*IS!$B$2)</f>
        <v>0</v>
      </c>
      <c r="E93" s="183">
        <f>IF($A$1="BL",0,'Peak Hours'!E93*Peak!K94*IS!$B$2)</f>
        <v>0</v>
      </c>
      <c r="F93" s="183">
        <f>IF($A$1="BL",0,'Peak Hours'!F93*Peak!L94*IS!$B$2)</f>
        <v>0</v>
      </c>
      <c r="G93" s="183">
        <f>IF($A$1="BL",0,'Peak Hours'!G93*Peak!M94*IS!$B$2)</f>
        <v>0</v>
      </c>
      <c r="H93" s="183">
        <f>IF($A$1="BL",0,'Peak Hours'!H93*Peak!N94*IS!$B$2)</f>
        <v>0</v>
      </c>
      <c r="I93" s="183">
        <f>IF($A$1="BL",0,'Peak Hours'!I93*Peak!O94*IS!$B$2)</f>
        <v>0</v>
      </c>
      <c r="J93" s="183">
        <f>IF($A$1="BL",0,'Peak Hours'!J93*Peak!P94*IS!$B$2)</f>
        <v>0</v>
      </c>
      <c r="K93" s="183">
        <f>IF($A$1="BL",0,'Peak Hours'!K93*Peak!Q94*IS!$B$2)</f>
        <v>0</v>
      </c>
      <c r="L93" s="183">
        <f>IF($A$1="BL",0,'Peak Hours'!L93*Peak!R94*IS!$B$2)</f>
        <v>0</v>
      </c>
      <c r="M93" s="183">
        <f>IF($A$1="BL",0,'Peak Hours'!M93*Peak!S94*IS!$B$2)</f>
        <v>0</v>
      </c>
      <c r="N93" s="183">
        <f>IF($A$1="BL",0,'Peak Hours'!N93*Peak!T94*IS!$B$2)</f>
        <v>0</v>
      </c>
      <c r="O93" s="183">
        <f>IF($A$1="BL",0,'Peak Hours'!O93*Peak!U94*IS!$B$2)</f>
        <v>0</v>
      </c>
      <c r="P93" s="183">
        <f>IF($A$1="BL",0,'Peak Hours'!P93*Peak!V94*IS!$B$2)</f>
        <v>0</v>
      </c>
      <c r="Q93" s="183">
        <f>IF($A$1="BL",0,'Peak Hours'!Q93*Peak!W94*IS!$B$2)</f>
        <v>0</v>
      </c>
      <c r="R93" s="183">
        <f>IF($A$1="BL",0,'Peak Hours'!R93*Peak!X94*IS!$B$2)</f>
        <v>0</v>
      </c>
      <c r="S93" s="183">
        <f>IF($A$1="BL",0,'Peak Hours'!S93*Peak!Y94*IS!$B$2)</f>
        <v>0</v>
      </c>
      <c r="T93" s="183">
        <f>IF($A$1="BL",0,'Peak Hours'!T93*Peak!Z94*IS!$B$2)</f>
        <v>0</v>
      </c>
      <c r="U93" s="183">
        <f>IF($A$1="BL",0,'Peak Hours'!U93*Peak!AA94*IS!$B$2)</f>
        <v>0</v>
      </c>
      <c r="V93" s="214">
        <f>SUM(B82:U93)</f>
        <v>0</v>
      </c>
      <c r="W93" s="211">
        <f>(IF($A$1="BL",0,Peak!C94*'Peak Hours'!V93*IS!$B$2))*-1</f>
        <v>0</v>
      </c>
      <c r="X93" s="214">
        <f>SUM(W82:W93)</f>
        <v>0</v>
      </c>
      <c r="Y93" s="211">
        <f>(IF($A$1="bl",0,Peak!D94*'Peak Hours'!V93*IS!$B$2))*-1</f>
        <v>0</v>
      </c>
      <c r="Z93" s="214">
        <f>SUM(Y82:Y93)</f>
        <v>0</v>
      </c>
      <c r="AA93" s="211">
        <f>(Peak!E94*'Peak Hours'!V93*IS!$B$2)*-1</f>
        <v>0</v>
      </c>
      <c r="AB93" s="211">
        <f>SUM(AA82:AA93)</f>
        <v>0</v>
      </c>
      <c r="AC93" s="211">
        <f>(Peak!F94*'Peak Hours'!V93*IS!$B$2)*-1</f>
        <v>0</v>
      </c>
      <c r="AD93" s="211">
        <f>SUM(AC82:AC93)</f>
        <v>0</v>
      </c>
    </row>
    <row r="94" spans="1:30" x14ac:dyDescent="0.2">
      <c r="A94" s="1">
        <f t="shared" si="1"/>
        <v>39095.028000000108</v>
      </c>
      <c r="B94" s="182">
        <f>IF($A$1="BL",0,'Peak Hours'!B94*Peak!H95*IS!$B$2)</f>
        <v>0</v>
      </c>
      <c r="C94" s="183">
        <f>IF($A$1="BL",0,'Peak Hours'!C94*Peak!I95*IS!$B$2)</f>
        <v>0</v>
      </c>
      <c r="D94" s="183">
        <f>IF($A$1="BL",0,'Peak Hours'!D94*Peak!J95*IS!$B$2)</f>
        <v>0</v>
      </c>
      <c r="E94" s="183">
        <f>IF($A$1="BL",0,'Peak Hours'!E94*Peak!K95*IS!$B$2)</f>
        <v>0</v>
      </c>
      <c r="F94" s="183">
        <f>IF($A$1="BL",0,'Peak Hours'!F94*Peak!L95*IS!$B$2)</f>
        <v>0</v>
      </c>
      <c r="G94" s="183">
        <f>IF($A$1="BL",0,'Peak Hours'!G94*Peak!M95*IS!$B$2)</f>
        <v>0</v>
      </c>
      <c r="H94" s="183">
        <f>IF($A$1="BL",0,'Peak Hours'!H94*Peak!N95*IS!$B$2)</f>
        <v>0</v>
      </c>
      <c r="I94" s="183">
        <f>IF($A$1="BL",0,'Peak Hours'!I94*Peak!O95*IS!$B$2)</f>
        <v>0</v>
      </c>
      <c r="J94" s="183">
        <f>IF($A$1="BL",0,'Peak Hours'!J94*Peak!P95*IS!$B$2)</f>
        <v>0</v>
      </c>
      <c r="K94" s="183">
        <f>IF($A$1="BL",0,'Peak Hours'!K94*Peak!Q95*IS!$B$2)</f>
        <v>0</v>
      </c>
      <c r="L94" s="183">
        <f>IF($A$1="BL",0,'Peak Hours'!L94*Peak!R95*IS!$B$2)</f>
        <v>0</v>
      </c>
      <c r="M94" s="183">
        <f>IF($A$1="BL",0,'Peak Hours'!M94*Peak!S95*IS!$B$2)</f>
        <v>0</v>
      </c>
      <c r="N94" s="183">
        <f>IF($A$1="BL",0,'Peak Hours'!N94*Peak!T95*IS!$B$2)</f>
        <v>0</v>
      </c>
      <c r="O94" s="183">
        <f>IF($A$1="BL",0,'Peak Hours'!O94*Peak!U95*IS!$B$2)</f>
        <v>0</v>
      </c>
      <c r="P94" s="183">
        <f>IF($A$1="BL",0,'Peak Hours'!P94*Peak!V95*IS!$B$2)</f>
        <v>0</v>
      </c>
      <c r="Q94" s="183">
        <f>IF($A$1="BL",0,'Peak Hours'!Q94*Peak!W95*IS!$B$2)</f>
        <v>0</v>
      </c>
      <c r="R94" s="183">
        <f>IF($A$1="BL",0,'Peak Hours'!R94*Peak!X95*IS!$B$2)</f>
        <v>0</v>
      </c>
      <c r="S94" s="183">
        <f>IF($A$1="BL",0,'Peak Hours'!S94*Peak!Y95*IS!$B$2)</f>
        <v>0</v>
      </c>
      <c r="T94" s="183">
        <f>IF($A$1="BL",0,'Peak Hours'!T94*Peak!Z95*IS!$B$2)</f>
        <v>0</v>
      </c>
      <c r="U94" s="183">
        <f>IF($A$1="BL",0,'Peak Hours'!U94*Peak!AA95*IS!$B$2)</f>
        <v>0</v>
      </c>
      <c r="V94" s="213"/>
      <c r="W94" s="211">
        <f>(IF($A$1="BL",0,Peak!C95*'Peak Hours'!V94*IS!$B$2))*-1</f>
        <v>0</v>
      </c>
      <c r="X94" s="213"/>
      <c r="Y94" s="211">
        <f>(IF($A$1="bl",0,Peak!D95*'Peak Hours'!V94*IS!$B$2))*-1</f>
        <v>0</v>
      </c>
      <c r="Z94" s="213"/>
      <c r="AA94" s="211">
        <f>(Peak!E95*'Peak Hours'!V94*IS!$B$2)*-1</f>
        <v>0</v>
      </c>
      <c r="AB94" s="210"/>
      <c r="AC94" s="211">
        <f>(Peak!F95*'Peak Hours'!V94*IS!$B$2)*-1</f>
        <v>0</v>
      </c>
      <c r="AD94" s="210"/>
    </row>
    <row r="95" spans="1:30" x14ac:dyDescent="0.2">
      <c r="A95" s="1">
        <f t="shared" si="1"/>
        <v>39125.445000000109</v>
      </c>
      <c r="B95" s="182">
        <f>IF($A$1="BL",0,'Peak Hours'!B95*Peak!H96*IS!$B$2)</f>
        <v>0</v>
      </c>
      <c r="C95" s="183">
        <f>IF($A$1="BL",0,'Peak Hours'!C95*Peak!I96*IS!$B$2)</f>
        <v>0</v>
      </c>
      <c r="D95" s="183">
        <f>IF($A$1="BL",0,'Peak Hours'!D95*Peak!J96*IS!$B$2)</f>
        <v>0</v>
      </c>
      <c r="E95" s="183">
        <f>IF($A$1="BL",0,'Peak Hours'!E95*Peak!K96*IS!$B$2)</f>
        <v>0</v>
      </c>
      <c r="F95" s="183">
        <f>IF($A$1="BL",0,'Peak Hours'!F95*Peak!L96*IS!$B$2)</f>
        <v>0</v>
      </c>
      <c r="G95" s="183">
        <f>IF($A$1="BL",0,'Peak Hours'!G95*Peak!M96*IS!$B$2)</f>
        <v>0</v>
      </c>
      <c r="H95" s="183">
        <f>IF($A$1="BL",0,'Peak Hours'!H95*Peak!N96*IS!$B$2)</f>
        <v>0</v>
      </c>
      <c r="I95" s="183">
        <f>IF($A$1="BL",0,'Peak Hours'!I95*Peak!O96*IS!$B$2)</f>
        <v>0</v>
      </c>
      <c r="J95" s="183">
        <f>IF($A$1="BL",0,'Peak Hours'!J95*Peak!P96*IS!$B$2)</f>
        <v>0</v>
      </c>
      <c r="K95" s="183">
        <f>IF($A$1="BL",0,'Peak Hours'!K95*Peak!Q96*IS!$B$2)</f>
        <v>0</v>
      </c>
      <c r="L95" s="183">
        <f>IF($A$1="BL",0,'Peak Hours'!L95*Peak!R96*IS!$B$2)</f>
        <v>0</v>
      </c>
      <c r="M95" s="183">
        <f>IF($A$1="BL",0,'Peak Hours'!M95*Peak!S96*IS!$B$2)</f>
        <v>0</v>
      </c>
      <c r="N95" s="183">
        <f>IF($A$1="BL",0,'Peak Hours'!N95*Peak!T96*IS!$B$2)</f>
        <v>0</v>
      </c>
      <c r="O95" s="183">
        <f>IF($A$1="BL",0,'Peak Hours'!O95*Peak!U96*IS!$B$2)</f>
        <v>0</v>
      </c>
      <c r="P95" s="183">
        <f>IF($A$1="BL",0,'Peak Hours'!P95*Peak!V96*IS!$B$2)</f>
        <v>0</v>
      </c>
      <c r="Q95" s="183">
        <f>IF($A$1="BL",0,'Peak Hours'!Q95*Peak!W96*IS!$B$2)</f>
        <v>0</v>
      </c>
      <c r="R95" s="183">
        <f>IF($A$1="BL",0,'Peak Hours'!R95*Peak!X96*IS!$B$2)</f>
        <v>0</v>
      </c>
      <c r="S95" s="183">
        <f>IF($A$1="BL",0,'Peak Hours'!S95*Peak!Y96*IS!$B$2)</f>
        <v>0</v>
      </c>
      <c r="T95" s="183">
        <f>IF($A$1="BL",0,'Peak Hours'!T95*Peak!Z96*IS!$B$2)</f>
        <v>0</v>
      </c>
      <c r="U95" s="183">
        <f>IF($A$1="BL",0,'Peak Hours'!U95*Peak!AA96*IS!$B$2)</f>
        <v>0</v>
      </c>
      <c r="V95" s="213"/>
      <c r="W95" s="211">
        <f>(IF($A$1="BL",0,Peak!C96*'Peak Hours'!V95*IS!$B$2))*-1</f>
        <v>0</v>
      </c>
      <c r="X95" s="213"/>
      <c r="Y95" s="211">
        <f>(IF($A$1="bl",0,Peak!D96*'Peak Hours'!V95*IS!$B$2))*-1</f>
        <v>0</v>
      </c>
      <c r="Z95" s="213"/>
      <c r="AA95" s="211">
        <f>(Peak!E96*'Peak Hours'!V95*IS!$B$2)*-1</f>
        <v>0</v>
      </c>
      <c r="AB95" s="210"/>
      <c r="AC95" s="211">
        <f>(Peak!F96*'Peak Hours'!V95*IS!$B$2)*-1</f>
        <v>0</v>
      </c>
      <c r="AD95" s="210"/>
    </row>
    <row r="96" spans="1:30" x14ac:dyDescent="0.2">
      <c r="A96" s="1">
        <f t="shared" si="1"/>
        <v>39155.86200000011</v>
      </c>
      <c r="B96" s="182">
        <f>IF($A$1="BL",0,'Peak Hours'!B96*Peak!H97*IS!$B$2)</f>
        <v>0</v>
      </c>
      <c r="C96" s="183">
        <f>IF($A$1="BL",0,'Peak Hours'!C96*Peak!I97*IS!$B$2)</f>
        <v>0</v>
      </c>
      <c r="D96" s="183">
        <f>IF($A$1="BL",0,'Peak Hours'!D96*Peak!J97*IS!$B$2)</f>
        <v>0</v>
      </c>
      <c r="E96" s="183">
        <f>IF($A$1="BL",0,'Peak Hours'!E96*Peak!K97*IS!$B$2)</f>
        <v>0</v>
      </c>
      <c r="F96" s="183">
        <f>IF($A$1="BL",0,'Peak Hours'!F96*Peak!L97*IS!$B$2)</f>
        <v>0</v>
      </c>
      <c r="G96" s="183">
        <f>IF($A$1="BL",0,'Peak Hours'!G96*Peak!M97*IS!$B$2)</f>
        <v>0</v>
      </c>
      <c r="H96" s="183">
        <f>IF($A$1="BL",0,'Peak Hours'!H96*Peak!N97*IS!$B$2)</f>
        <v>0</v>
      </c>
      <c r="I96" s="183">
        <f>IF($A$1="BL",0,'Peak Hours'!I96*Peak!O97*IS!$B$2)</f>
        <v>0</v>
      </c>
      <c r="J96" s="183">
        <f>IF($A$1="BL",0,'Peak Hours'!J96*Peak!P97*IS!$B$2)</f>
        <v>0</v>
      </c>
      <c r="K96" s="183">
        <f>IF($A$1="BL",0,'Peak Hours'!K96*Peak!Q97*IS!$B$2)</f>
        <v>0</v>
      </c>
      <c r="L96" s="183">
        <f>IF($A$1="BL",0,'Peak Hours'!L96*Peak!R97*IS!$B$2)</f>
        <v>0</v>
      </c>
      <c r="M96" s="183">
        <f>IF($A$1="BL",0,'Peak Hours'!M96*Peak!S97*IS!$B$2)</f>
        <v>0</v>
      </c>
      <c r="N96" s="183">
        <f>IF($A$1="BL",0,'Peak Hours'!N96*Peak!T97*IS!$B$2)</f>
        <v>0</v>
      </c>
      <c r="O96" s="183">
        <f>IF($A$1="BL",0,'Peak Hours'!O96*Peak!U97*IS!$B$2)</f>
        <v>0</v>
      </c>
      <c r="P96" s="183">
        <f>IF($A$1="BL",0,'Peak Hours'!P96*Peak!V97*IS!$B$2)</f>
        <v>0</v>
      </c>
      <c r="Q96" s="183">
        <f>IF($A$1="BL",0,'Peak Hours'!Q96*Peak!W97*IS!$B$2)</f>
        <v>0</v>
      </c>
      <c r="R96" s="183">
        <f>IF($A$1="BL",0,'Peak Hours'!R96*Peak!X97*IS!$B$2)</f>
        <v>0</v>
      </c>
      <c r="S96" s="183">
        <f>IF($A$1="BL",0,'Peak Hours'!S96*Peak!Y97*IS!$B$2)</f>
        <v>0</v>
      </c>
      <c r="T96" s="183">
        <f>IF($A$1="BL",0,'Peak Hours'!T96*Peak!Z97*IS!$B$2)</f>
        <v>0</v>
      </c>
      <c r="U96" s="183">
        <f>IF($A$1="BL",0,'Peak Hours'!U96*Peak!AA97*IS!$B$2)</f>
        <v>0</v>
      </c>
      <c r="V96" s="213"/>
      <c r="W96" s="211">
        <f>(IF($A$1="BL",0,Peak!C97*'Peak Hours'!V96*IS!$B$2))*-1</f>
        <v>0</v>
      </c>
      <c r="X96" s="213"/>
      <c r="Y96" s="211">
        <f>(IF($A$1="bl",0,Peak!D97*'Peak Hours'!V96*IS!$B$2))*-1</f>
        <v>0</v>
      </c>
      <c r="Z96" s="213"/>
      <c r="AA96" s="211">
        <f>(Peak!E97*'Peak Hours'!V96*IS!$B$2)*-1</f>
        <v>0</v>
      </c>
      <c r="AB96" s="210"/>
      <c r="AC96" s="211">
        <f>(Peak!F97*'Peak Hours'!V96*IS!$B$2)*-1</f>
        <v>0</v>
      </c>
      <c r="AD96" s="210"/>
    </row>
    <row r="97" spans="1:30" x14ac:dyDescent="0.2">
      <c r="A97" s="1">
        <f t="shared" si="1"/>
        <v>39186.279000000111</v>
      </c>
      <c r="B97" s="182">
        <f>IF($A$1="BL",0,'Peak Hours'!B97*Peak!H98*IS!$B$2)</f>
        <v>0</v>
      </c>
      <c r="C97" s="183">
        <f>IF($A$1="BL",0,'Peak Hours'!C97*Peak!I98*IS!$B$2)</f>
        <v>0</v>
      </c>
      <c r="D97" s="183">
        <f>IF($A$1="BL",0,'Peak Hours'!D97*Peak!J98*IS!$B$2)</f>
        <v>0</v>
      </c>
      <c r="E97" s="183">
        <f>IF($A$1="BL",0,'Peak Hours'!E97*Peak!K98*IS!$B$2)</f>
        <v>0</v>
      </c>
      <c r="F97" s="183">
        <f>IF($A$1="BL",0,'Peak Hours'!F97*Peak!L98*IS!$B$2)</f>
        <v>0</v>
      </c>
      <c r="G97" s="183">
        <f>IF($A$1="BL",0,'Peak Hours'!G97*Peak!M98*IS!$B$2)</f>
        <v>0</v>
      </c>
      <c r="H97" s="183">
        <f>IF($A$1="BL",0,'Peak Hours'!H97*Peak!N98*IS!$B$2)</f>
        <v>0</v>
      </c>
      <c r="I97" s="183">
        <f>IF($A$1="BL",0,'Peak Hours'!I97*Peak!O98*IS!$B$2)</f>
        <v>0</v>
      </c>
      <c r="J97" s="183">
        <f>IF($A$1="BL",0,'Peak Hours'!J97*Peak!P98*IS!$B$2)</f>
        <v>0</v>
      </c>
      <c r="K97" s="183">
        <f>IF($A$1="BL",0,'Peak Hours'!K97*Peak!Q98*IS!$B$2)</f>
        <v>0</v>
      </c>
      <c r="L97" s="183">
        <f>IF($A$1="BL",0,'Peak Hours'!L97*Peak!R98*IS!$B$2)</f>
        <v>0</v>
      </c>
      <c r="M97" s="183">
        <f>IF($A$1="BL",0,'Peak Hours'!M97*Peak!S98*IS!$B$2)</f>
        <v>0</v>
      </c>
      <c r="N97" s="183">
        <f>IF($A$1="BL",0,'Peak Hours'!N97*Peak!T98*IS!$B$2)</f>
        <v>0</v>
      </c>
      <c r="O97" s="183">
        <f>IF($A$1="BL",0,'Peak Hours'!O97*Peak!U98*IS!$B$2)</f>
        <v>0</v>
      </c>
      <c r="P97" s="183">
        <f>IF($A$1="BL",0,'Peak Hours'!P97*Peak!V98*IS!$B$2)</f>
        <v>0</v>
      </c>
      <c r="Q97" s="183">
        <f>IF($A$1="BL",0,'Peak Hours'!Q97*Peak!W98*IS!$B$2)</f>
        <v>0</v>
      </c>
      <c r="R97" s="183">
        <f>IF($A$1="BL",0,'Peak Hours'!R97*Peak!X98*IS!$B$2)</f>
        <v>0</v>
      </c>
      <c r="S97" s="183">
        <f>IF($A$1="BL",0,'Peak Hours'!S97*Peak!Y98*IS!$B$2)</f>
        <v>0</v>
      </c>
      <c r="T97" s="183">
        <f>IF($A$1="BL",0,'Peak Hours'!T97*Peak!Z98*IS!$B$2)</f>
        <v>0</v>
      </c>
      <c r="U97" s="183">
        <f>IF($A$1="BL",0,'Peak Hours'!U97*Peak!AA98*IS!$B$2)</f>
        <v>0</v>
      </c>
      <c r="V97" s="213"/>
      <c r="W97" s="211">
        <f>(IF($A$1="BL",0,Peak!C98*'Peak Hours'!V97*IS!$B$2))*-1</f>
        <v>0</v>
      </c>
      <c r="X97" s="213"/>
      <c r="Y97" s="211">
        <f>(IF($A$1="bl",0,Peak!D98*'Peak Hours'!V97*IS!$B$2))*-1</f>
        <v>0</v>
      </c>
      <c r="Z97" s="213"/>
      <c r="AA97" s="211">
        <f>(Peak!E98*'Peak Hours'!V97*IS!$B$2)*-1</f>
        <v>0</v>
      </c>
      <c r="AB97" s="210"/>
      <c r="AC97" s="211">
        <f>(Peak!F98*'Peak Hours'!V97*IS!$B$2)*-1</f>
        <v>0</v>
      </c>
      <c r="AD97" s="210"/>
    </row>
    <row r="98" spans="1:30" x14ac:dyDescent="0.2">
      <c r="A98" s="1">
        <f t="shared" si="1"/>
        <v>39216.696000000113</v>
      </c>
      <c r="B98" s="182">
        <f>IF($A$1="BL",0,'Peak Hours'!B98*Peak!H99*IS!$B$2)</f>
        <v>0</v>
      </c>
      <c r="C98" s="183">
        <f>IF($A$1="BL",0,'Peak Hours'!C98*Peak!I99*IS!$B$2)</f>
        <v>0</v>
      </c>
      <c r="D98" s="183">
        <f>IF($A$1="BL",0,'Peak Hours'!D98*Peak!J99*IS!$B$2)</f>
        <v>0</v>
      </c>
      <c r="E98" s="183">
        <f>IF($A$1="BL",0,'Peak Hours'!E98*Peak!K99*IS!$B$2)</f>
        <v>0</v>
      </c>
      <c r="F98" s="183">
        <f>IF($A$1="BL",0,'Peak Hours'!F98*Peak!L99*IS!$B$2)</f>
        <v>0</v>
      </c>
      <c r="G98" s="183">
        <f>IF($A$1="BL",0,'Peak Hours'!G98*Peak!M99*IS!$B$2)</f>
        <v>0</v>
      </c>
      <c r="H98" s="183">
        <f>IF($A$1="BL",0,'Peak Hours'!H98*Peak!N99*IS!$B$2)</f>
        <v>0</v>
      </c>
      <c r="I98" s="183">
        <f>IF($A$1="BL",0,'Peak Hours'!I98*Peak!O99*IS!$B$2)</f>
        <v>0</v>
      </c>
      <c r="J98" s="183">
        <f>IF($A$1="BL",0,'Peak Hours'!J98*Peak!P99*IS!$B$2)</f>
        <v>0</v>
      </c>
      <c r="K98" s="183">
        <f>IF($A$1="BL",0,'Peak Hours'!K98*Peak!Q99*IS!$B$2)</f>
        <v>0</v>
      </c>
      <c r="L98" s="183">
        <f>IF($A$1="BL",0,'Peak Hours'!L98*Peak!R99*IS!$B$2)</f>
        <v>0</v>
      </c>
      <c r="M98" s="183">
        <f>IF($A$1="BL",0,'Peak Hours'!M98*Peak!S99*IS!$B$2)</f>
        <v>0</v>
      </c>
      <c r="N98" s="183">
        <f>IF($A$1="BL",0,'Peak Hours'!N98*Peak!T99*IS!$B$2)</f>
        <v>0</v>
      </c>
      <c r="O98" s="183">
        <f>IF($A$1="BL",0,'Peak Hours'!O98*Peak!U99*IS!$B$2)</f>
        <v>0</v>
      </c>
      <c r="P98" s="183">
        <f>IF($A$1="BL",0,'Peak Hours'!P98*Peak!V99*IS!$B$2)</f>
        <v>0</v>
      </c>
      <c r="Q98" s="183">
        <f>IF($A$1="BL",0,'Peak Hours'!Q98*Peak!W99*IS!$B$2)</f>
        <v>0</v>
      </c>
      <c r="R98" s="183">
        <f>IF($A$1="BL",0,'Peak Hours'!R98*Peak!X99*IS!$B$2)</f>
        <v>0</v>
      </c>
      <c r="S98" s="183">
        <f>IF($A$1="BL",0,'Peak Hours'!S98*Peak!Y99*IS!$B$2)</f>
        <v>0</v>
      </c>
      <c r="T98" s="183">
        <f>IF($A$1="BL",0,'Peak Hours'!T98*Peak!Z99*IS!$B$2)</f>
        <v>0</v>
      </c>
      <c r="U98" s="183">
        <f>IF($A$1="BL",0,'Peak Hours'!U98*Peak!AA99*IS!$B$2)</f>
        <v>0</v>
      </c>
      <c r="V98" s="213"/>
      <c r="W98" s="211">
        <f>(IF($A$1="BL",0,Peak!C99*'Peak Hours'!V98*IS!$B$2))*-1</f>
        <v>0</v>
      </c>
      <c r="X98" s="213"/>
      <c r="Y98" s="211">
        <f>(IF($A$1="bl",0,Peak!D99*'Peak Hours'!V98*IS!$B$2))*-1</f>
        <v>0</v>
      </c>
      <c r="Z98" s="213"/>
      <c r="AA98" s="211">
        <f>(Peak!E99*'Peak Hours'!V98*IS!$B$2)*-1</f>
        <v>0</v>
      </c>
      <c r="AB98" s="210"/>
      <c r="AC98" s="211">
        <f>(Peak!F99*'Peak Hours'!V98*IS!$B$2)*-1</f>
        <v>0</v>
      </c>
      <c r="AD98" s="210"/>
    </row>
    <row r="99" spans="1:30" x14ac:dyDescent="0.2">
      <c r="A99" s="1">
        <f t="shared" si="1"/>
        <v>39247.113000000114</v>
      </c>
      <c r="B99" s="182">
        <f>IF($A$1="BL",0,'Peak Hours'!B99*Peak!H100*IS!$B$2)</f>
        <v>0</v>
      </c>
      <c r="C99" s="183">
        <f>IF($A$1="BL",0,'Peak Hours'!C99*Peak!I100*IS!$B$2)</f>
        <v>0</v>
      </c>
      <c r="D99" s="183">
        <f>IF($A$1="BL",0,'Peak Hours'!D99*Peak!J100*IS!$B$2)</f>
        <v>0</v>
      </c>
      <c r="E99" s="183">
        <f>IF($A$1="BL",0,'Peak Hours'!E99*Peak!K100*IS!$B$2)</f>
        <v>0</v>
      </c>
      <c r="F99" s="183">
        <f>IF($A$1="BL",0,'Peak Hours'!F99*Peak!L100*IS!$B$2)</f>
        <v>0</v>
      </c>
      <c r="G99" s="183">
        <f>IF($A$1="BL",0,'Peak Hours'!G99*Peak!M100*IS!$B$2)</f>
        <v>0</v>
      </c>
      <c r="H99" s="183">
        <f>IF($A$1="BL",0,'Peak Hours'!H99*Peak!N100*IS!$B$2)</f>
        <v>0</v>
      </c>
      <c r="I99" s="183">
        <f>IF($A$1="BL",0,'Peak Hours'!I99*Peak!O100*IS!$B$2)</f>
        <v>0</v>
      </c>
      <c r="J99" s="183">
        <f>IF($A$1="BL",0,'Peak Hours'!J99*Peak!P100*IS!$B$2)</f>
        <v>0</v>
      </c>
      <c r="K99" s="183">
        <f>IF($A$1="BL",0,'Peak Hours'!K99*Peak!Q100*IS!$B$2)</f>
        <v>0</v>
      </c>
      <c r="L99" s="183">
        <f>IF($A$1="BL",0,'Peak Hours'!L99*Peak!R100*IS!$B$2)</f>
        <v>0</v>
      </c>
      <c r="M99" s="183">
        <f>IF($A$1="BL",0,'Peak Hours'!M99*Peak!S100*IS!$B$2)</f>
        <v>0</v>
      </c>
      <c r="N99" s="183">
        <f>IF($A$1="BL",0,'Peak Hours'!N99*Peak!T100*IS!$B$2)</f>
        <v>0</v>
      </c>
      <c r="O99" s="183">
        <f>IF($A$1="BL",0,'Peak Hours'!O99*Peak!U100*IS!$B$2)</f>
        <v>0</v>
      </c>
      <c r="P99" s="183">
        <f>IF($A$1="BL",0,'Peak Hours'!P99*Peak!V100*IS!$B$2)</f>
        <v>0</v>
      </c>
      <c r="Q99" s="183">
        <f>IF($A$1="BL",0,'Peak Hours'!Q99*Peak!W100*IS!$B$2)</f>
        <v>0</v>
      </c>
      <c r="R99" s="183">
        <f>IF($A$1="BL",0,'Peak Hours'!R99*Peak!X100*IS!$B$2)</f>
        <v>0</v>
      </c>
      <c r="S99" s="183">
        <f>IF($A$1="BL",0,'Peak Hours'!S99*Peak!Y100*IS!$B$2)</f>
        <v>0</v>
      </c>
      <c r="T99" s="183">
        <f>IF($A$1="BL",0,'Peak Hours'!T99*Peak!Z100*IS!$B$2)</f>
        <v>0</v>
      </c>
      <c r="U99" s="183">
        <f>IF($A$1="BL",0,'Peak Hours'!U99*Peak!AA100*IS!$B$2)</f>
        <v>0</v>
      </c>
      <c r="V99" s="213"/>
      <c r="W99" s="211">
        <f>(IF($A$1="BL",0,Peak!C100*'Peak Hours'!V99*IS!$B$2))*-1</f>
        <v>0</v>
      </c>
      <c r="X99" s="213"/>
      <c r="Y99" s="211">
        <f>(IF($A$1="bl",0,Peak!D100*'Peak Hours'!V99*IS!$B$2))*-1</f>
        <v>0</v>
      </c>
      <c r="Z99" s="213"/>
      <c r="AA99" s="211">
        <f>(Peak!E100*'Peak Hours'!V99*IS!$B$2)*-1</f>
        <v>0</v>
      </c>
      <c r="AB99" s="210"/>
      <c r="AC99" s="211">
        <f>(Peak!F100*'Peak Hours'!V99*IS!$B$2)*-1</f>
        <v>0</v>
      </c>
      <c r="AD99" s="210"/>
    </row>
    <row r="100" spans="1:30" x14ac:dyDescent="0.2">
      <c r="A100" s="1">
        <f t="shared" si="1"/>
        <v>39277.530000000115</v>
      </c>
      <c r="B100" s="182">
        <f>IF($A$1="BL",0,'Peak Hours'!B100*Peak!H101*IS!$B$2)</f>
        <v>0</v>
      </c>
      <c r="C100" s="183">
        <f>IF($A$1="BL",0,'Peak Hours'!C100*Peak!I101*IS!$B$2)</f>
        <v>0</v>
      </c>
      <c r="D100" s="183">
        <f>IF($A$1="BL",0,'Peak Hours'!D100*Peak!J101*IS!$B$2)</f>
        <v>0</v>
      </c>
      <c r="E100" s="183">
        <f>IF($A$1="BL",0,'Peak Hours'!E100*Peak!K101*IS!$B$2)</f>
        <v>0</v>
      </c>
      <c r="F100" s="183">
        <f>IF($A$1="BL",0,'Peak Hours'!F100*Peak!L101*IS!$B$2)</f>
        <v>0</v>
      </c>
      <c r="G100" s="183">
        <f>IF($A$1="BL",0,'Peak Hours'!G100*Peak!M101*IS!$B$2)</f>
        <v>0</v>
      </c>
      <c r="H100" s="183">
        <f>IF($A$1="BL",0,'Peak Hours'!H100*Peak!N101*IS!$B$2)</f>
        <v>0</v>
      </c>
      <c r="I100" s="183">
        <f>IF($A$1="BL",0,'Peak Hours'!I100*Peak!O101*IS!$B$2)</f>
        <v>0</v>
      </c>
      <c r="J100" s="183">
        <f>IF($A$1="BL",0,'Peak Hours'!J100*Peak!P101*IS!$B$2)</f>
        <v>0</v>
      </c>
      <c r="K100" s="183">
        <f>IF($A$1="BL",0,'Peak Hours'!K100*Peak!Q101*IS!$B$2)</f>
        <v>0</v>
      </c>
      <c r="L100" s="183">
        <f>IF($A$1="BL",0,'Peak Hours'!L100*Peak!R101*IS!$B$2)</f>
        <v>0</v>
      </c>
      <c r="M100" s="183">
        <f>IF($A$1="BL",0,'Peak Hours'!M100*Peak!S101*IS!$B$2)</f>
        <v>0</v>
      </c>
      <c r="N100" s="183">
        <f>IF($A$1="BL",0,'Peak Hours'!N100*Peak!T101*IS!$B$2)</f>
        <v>0</v>
      </c>
      <c r="O100" s="183">
        <f>IF($A$1="BL",0,'Peak Hours'!O100*Peak!U101*IS!$B$2)</f>
        <v>0</v>
      </c>
      <c r="P100" s="183">
        <f>IF($A$1="BL",0,'Peak Hours'!P100*Peak!V101*IS!$B$2)</f>
        <v>0</v>
      </c>
      <c r="Q100" s="183">
        <f>IF($A$1="BL",0,'Peak Hours'!Q100*Peak!W101*IS!$B$2)</f>
        <v>0</v>
      </c>
      <c r="R100" s="183">
        <f>IF($A$1="BL",0,'Peak Hours'!R100*Peak!X101*IS!$B$2)</f>
        <v>0</v>
      </c>
      <c r="S100" s="183">
        <f>IF($A$1="BL",0,'Peak Hours'!S100*Peak!Y101*IS!$B$2)</f>
        <v>0</v>
      </c>
      <c r="T100" s="183">
        <f>IF($A$1="BL",0,'Peak Hours'!T100*Peak!Z101*IS!$B$2)</f>
        <v>0</v>
      </c>
      <c r="U100" s="183">
        <f>IF($A$1="BL",0,'Peak Hours'!U100*Peak!AA101*IS!$B$2)</f>
        <v>0</v>
      </c>
      <c r="V100" s="213"/>
      <c r="W100" s="211">
        <f>(IF($A$1="BL",0,Peak!C101*'Peak Hours'!V100*IS!$B$2))*-1</f>
        <v>0</v>
      </c>
      <c r="X100" s="213"/>
      <c r="Y100" s="211">
        <f>(IF($A$1="bl",0,Peak!D101*'Peak Hours'!V100*IS!$B$2))*-1</f>
        <v>0</v>
      </c>
      <c r="Z100" s="213"/>
      <c r="AA100" s="211">
        <f>(Peak!E101*'Peak Hours'!V100*IS!$B$2)*-1</f>
        <v>0</v>
      </c>
      <c r="AB100" s="210"/>
      <c r="AC100" s="211">
        <f>(Peak!F101*'Peak Hours'!V100*IS!$B$2)*-1</f>
        <v>0</v>
      </c>
      <c r="AD100" s="210"/>
    </row>
    <row r="101" spans="1:30" x14ac:dyDescent="0.2">
      <c r="A101" s="1">
        <f t="shared" si="1"/>
        <v>39307.947000000117</v>
      </c>
      <c r="B101" s="182">
        <f>IF($A$1="BL",0,'Peak Hours'!B101*Peak!H102*IS!$B$2)</f>
        <v>0</v>
      </c>
      <c r="C101" s="183">
        <f>IF($A$1="BL",0,'Peak Hours'!C101*Peak!I102*IS!$B$2)</f>
        <v>0</v>
      </c>
      <c r="D101" s="183">
        <f>IF($A$1="BL",0,'Peak Hours'!D101*Peak!J102*IS!$B$2)</f>
        <v>0</v>
      </c>
      <c r="E101" s="183">
        <f>IF($A$1="BL",0,'Peak Hours'!E101*Peak!K102*IS!$B$2)</f>
        <v>0</v>
      </c>
      <c r="F101" s="183">
        <f>IF($A$1="BL",0,'Peak Hours'!F101*Peak!L102*IS!$B$2)</f>
        <v>0</v>
      </c>
      <c r="G101" s="183">
        <f>IF($A$1="BL",0,'Peak Hours'!G101*Peak!M102*IS!$B$2)</f>
        <v>0</v>
      </c>
      <c r="H101" s="183">
        <f>IF($A$1="BL",0,'Peak Hours'!H101*Peak!N102*IS!$B$2)</f>
        <v>0</v>
      </c>
      <c r="I101" s="183">
        <f>IF($A$1="BL",0,'Peak Hours'!I101*Peak!O102*IS!$B$2)</f>
        <v>0</v>
      </c>
      <c r="J101" s="183">
        <f>IF($A$1="BL",0,'Peak Hours'!J101*Peak!P102*IS!$B$2)</f>
        <v>0</v>
      </c>
      <c r="K101" s="183">
        <f>IF($A$1="BL",0,'Peak Hours'!K101*Peak!Q102*IS!$B$2)</f>
        <v>0</v>
      </c>
      <c r="L101" s="183">
        <f>IF($A$1="BL",0,'Peak Hours'!L101*Peak!R102*IS!$B$2)</f>
        <v>0</v>
      </c>
      <c r="M101" s="183">
        <f>IF($A$1="BL",0,'Peak Hours'!M101*Peak!S102*IS!$B$2)</f>
        <v>0</v>
      </c>
      <c r="N101" s="183">
        <f>IF($A$1="BL",0,'Peak Hours'!N101*Peak!T102*IS!$B$2)</f>
        <v>0</v>
      </c>
      <c r="O101" s="183">
        <f>IF($A$1="BL",0,'Peak Hours'!O101*Peak!U102*IS!$B$2)</f>
        <v>0</v>
      </c>
      <c r="P101" s="183">
        <f>IF($A$1="BL",0,'Peak Hours'!P101*Peak!V102*IS!$B$2)</f>
        <v>0</v>
      </c>
      <c r="Q101" s="183">
        <f>IF($A$1="BL",0,'Peak Hours'!Q101*Peak!W102*IS!$B$2)</f>
        <v>0</v>
      </c>
      <c r="R101" s="183">
        <f>IF($A$1="BL",0,'Peak Hours'!R101*Peak!X102*IS!$B$2)</f>
        <v>0</v>
      </c>
      <c r="S101" s="183">
        <f>IF($A$1="BL",0,'Peak Hours'!S101*Peak!Y102*IS!$B$2)</f>
        <v>0</v>
      </c>
      <c r="T101" s="183">
        <f>IF($A$1="BL",0,'Peak Hours'!T101*Peak!Z102*IS!$B$2)</f>
        <v>0</v>
      </c>
      <c r="U101" s="183">
        <f>IF($A$1="BL",0,'Peak Hours'!U101*Peak!AA102*IS!$B$2)</f>
        <v>0</v>
      </c>
      <c r="V101" s="213"/>
      <c r="W101" s="211">
        <f>(IF($A$1="BL",0,Peak!C102*'Peak Hours'!V101*IS!$B$2))*-1</f>
        <v>0</v>
      </c>
      <c r="X101" s="213"/>
      <c r="Y101" s="211">
        <f>(IF($A$1="bl",0,Peak!D102*'Peak Hours'!V101*IS!$B$2))*-1</f>
        <v>0</v>
      </c>
      <c r="Z101" s="213"/>
      <c r="AA101" s="211">
        <f>(Peak!E102*'Peak Hours'!V101*IS!$B$2)*-1</f>
        <v>0</v>
      </c>
      <c r="AB101" s="210"/>
      <c r="AC101" s="211">
        <f>(Peak!F102*'Peak Hours'!V101*IS!$B$2)*-1</f>
        <v>0</v>
      </c>
      <c r="AD101" s="210"/>
    </row>
    <row r="102" spans="1:30" x14ac:dyDescent="0.2">
      <c r="A102" s="1">
        <f t="shared" si="1"/>
        <v>39338.364000000118</v>
      </c>
      <c r="B102" s="182">
        <f>IF($A$1="BL",0,'Peak Hours'!B102*Peak!H103*IS!$B$2)</f>
        <v>0</v>
      </c>
      <c r="C102" s="183">
        <f>IF($A$1="BL",0,'Peak Hours'!C102*Peak!I103*IS!$B$2)</f>
        <v>0</v>
      </c>
      <c r="D102" s="183">
        <f>IF($A$1="BL",0,'Peak Hours'!D102*Peak!J103*IS!$B$2)</f>
        <v>0</v>
      </c>
      <c r="E102" s="183">
        <f>IF($A$1="BL",0,'Peak Hours'!E102*Peak!K103*IS!$B$2)</f>
        <v>0</v>
      </c>
      <c r="F102" s="183">
        <f>IF($A$1="BL",0,'Peak Hours'!F102*Peak!L103*IS!$B$2)</f>
        <v>0</v>
      </c>
      <c r="G102" s="183">
        <f>IF($A$1="BL",0,'Peak Hours'!G102*Peak!M103*IS!$B$2)</f>
        <v>0</v>
      </c>
      <c r="H102" s="183">
        <f>IF($A$1="BL",0,'Peak Hours'!H102*Peak!N103*IS!$B$2)</f>
        <v>0</v>
      </c>
      <c r="I102" s="183">
        <f>IF($A$1="BL",0,'Peak Hours'!I102*Peak!O103*IS!$B$2)</f>
        <v>0</v>
      </c>
      <c r="J102" s="183">
        <f>IF($A$1="BL",0,'Peak Hours'!J102*Peak!P103*IS!$B$2)</f>
        <v>0</v>
      </c>
      <c r="K102" s="183">
        <f>IF($A$1="BL",0,'Peak Hours'!K102*Peak!Q103*IS!$B$2)</f>
        <v>0</v>
      </c>
      <c r="L102" s="183">
        <f>IF($A$1="BL",0,'Peak Hours'!L102*Peak!R103*IS!$B$2)</f>
        <v>0</v>
      </c>
      <c r="M102" s="183">
        <f>IF($A$1="BL",0,'Peak Hours'!M102*Peak!S103*IS!$B$2)</f>
        <v>0</v>
      </c>
      <c r="N102" s="183">
        <f>IF($A$1="BL",0,'Peak Hours'!N102*Peak!T103*IS!$B$2)</f>
        <v>0</v>
      </c>
      <c r="O102" s="183">
        <f>IF($A$1="BL",0,'Peak Hours'!O102*Peak!U103*IS!$B$2)</f>
        <v>0</v>
      </c>
      <c r="P102" s="183">
        <f>IF($A$1="BL",0,'Peak Hours'!P102*Peak!V103*IS!$B$2)</f>
        <v>0</v>
      </c>
      <c r="Q102" s="183">
        <f>IF($A$1="BL",0,'Peak Hours'!Q102*Peak!W103*IS!$B$2)</f>
        <v>0</v>
      </c>
      <c r="R102" s="183">
        <f>IF($A$1="BL",0,'Peak Hours'!R102*Peak!X103*IS!$B$2)</f>
        <v>0</v>
      </c>
      <c r="S102" s="183">
        <f>IF($A$1="BL",0,'Peak Hours'!S102*Peak!Y103*IS!$B$2)</f>
        <v>0</v>
      </c>
      <c r="T102" s="183">
        <f>IF($A$1="BL",0,'Peak Hours'!T102*Peak!Z103*IS!$B$2)</f>
        <v>0</v>
      </c>
      <c r="U102" s="183">
        <f>IF($A$1="BL",0,'Peak Hours'!U102*Peak!AA103*IS!$B$2)</f>
        <v>0</v>
      </c>
      <c r="V102" s="213"/>
      <c r="W102" s="211">
        <f>(IF($A$1="BL",0,Peak!C103*'Peak Hours'!V102*IS!$B$2))*-1</f>
        <v>0</v>
      </c>
      <c r="X102" s="213"/>
      <c r="Y102" s="211">
        <f>(IF($A$1="bl",0,Peak!D103*'Peak Hours'!V102*IS!$B$2))*-1</f>
        <v>0</v>
      </c>
      <c r="Z102" s="213"/>
      <c r="AA102" s="211">
        <f>(Peak!E103*'Peak Hours'!V102*IS!$B$2)*-1</f>
        <v>0</v>
      </c>
      <c r="AB102" s="210"/>
      <c r="AC102" s="211">
        <f>(Peak!F103*'Peak Hours'!V102*IS!$B$2)*-1</f>
        <v>0</v>
      </c>
      <c r="AD102" s="210"/>
    </row>
    <row r="103" spans="1:30" x14ac:dyDescent="0.2">
      <c r="A103" s="1">
        <f t="shared" si="1"/>
        <v>39368.781000000119</v>
      </c>
      <c r="B103" s="182">
        <f>IF($A$1="BL",0,'Peak Hours'!B103*Peak!H104*IS!$B$2)</f>
        <v>0</v>
      </c>
      <c r="C103" s="183">
        <f>IF($A$1="BL",0,'Peak Hours'!C103*Peak!I104*IS!$B$2)</f>
        <v>0</v>
      </c>
      <c r="D103" s="183">
        <f>IF($A$1="BL",0,'Peak Hours'!D103*Peak!J104*IS!$B$2)</f>
        <v>0</v>
      </c>
      <c r="E103" s="183">
        <f>IF($A$1="BL",0,'Peak Hours'!E103*Peak!K104*IS!$B$2)</f>
        <v>0</v>
      </c>
      <c r="F103" s="183">
        <f>IF($A$1="BL",0,'Peak Hours'!F103*Peak!L104*IS!$B$2)</f>
        <v>0</v>
      </c>
      <c r="G103" s="183">
        <f>IF($A$1="BL",0,'Peak Hours'!G103*Peak!M104*IS!$B$2)</f>
        <v>0</v>
      </c>
      <c r="H103" s="183">
        <f>IF($A$1="BL",0,'Peak Hours'!H103*Peak!N104*IS!$B$2)</f>
        <v>0</v>
      </c>
      <c r="I103" s="183">
        <f>IF($A$1="BL",0,'Peak Hours'!I103*Peak!O104*IS!$B$2)</f>
        <v>0</v>
      </c>
      <c r="J103" s="183">
        <f>IF($A$1="BL",0,'Peak Hours'!J103*Peak!P104*IS!$B$2)</f>
        <v>0</v>
      </c>
      <c r="K103" s="183">
        <f>IF($A$1="BL",0,'Peak Hours'!K103*Peak!Q104*IS!$B$2)</f>
        <v>0</v>
      </c>
      <c r="L103" s="183">
        <f>IF($A$1="BL",0,'Peak Hours'!L103*Peak!R104*IS!$B$2)</f>
        <v>0</v>
      </c>
      <c r="M103" s="183">
        <f>IF($A$1="BL",0,'Peak Hours'!M103*Peak!S104*IS!$B$2)</f>
        <v>0</v>
      </c>
      <c r="N103" s="183">
        <f>IF($A$1="BL",0,'Peak Hours'!N103*Peak!T104*IS!$B$2)</f>
        <v>0</v>
      </c>
      <c r="O103" s="183">
        <f>IF($A$1="BL",0,'Peak Hours'!O103*Peak!U104*IS!$B$2)</f>
        <v>0</v>
      </c>
      <c r="P103" s="183">
        <f>IF($A$1="BL",0,'Peak Hours'!P103*Peak!V104*IS!$B$2)</f>
        <v>0</v>
      </c>
      <c r="Q103" s="183">
        <f>IF($A$1="BL",0,'Peak Hours'!Q103*Peak!W104*IS!$B$2)</f>
        <v>0</v>
      </c>
      <c r="R103" s="183">
        <f>IF($A$1="BL",0,'Peak Hours'!R103*Peak!X104*IS!$B$2)</f>
        <v>0</v>
      </c>
      <c r="S103" s="183">
        <f>IF($A$1="BL",0,'Peak Hours'!S103*Peak!Y104*IS!$B$2)</f>
        <v>0</v>
      </c>
      <c r="T103" s="183">
        <f>IF($A$1="BL",0,'Peak Hours'!T103*Peak!Z104*IS!$B$2)</f>
        <v>0</v>
      </c>
      <c r="U103" s="183">
        <f>IF($A$1="BL",0,'Peak Hours'!U103*Peak!AA104*IS!$B$2)</f>
        <v>0</v>
      </c>
      <c r="V103" s="213"/>
      <c r="W103" s="211">
        <f>(IF($A$1="BL",0,Peak!C104*'Peak Hours'!V103*IS!$B$2))*-1</f>
        <v>0</v>
      </c>
      <c r="X103" s="213"/>
      <c r="Y103" s="211">
        <f>(IF($A$1="bl",0,Peak!D104*'Peak Hours'!V103*IS!$B$2))*-1</f>
        <v>0</v>
      </c>
      <c r="Z103" s="213"/>
      <c r="AA103" s="211">
        <f>(Peak!E104*'Peak Hours'!V103*IS!$B$2)*-1</f>
        <v>0</v>
      </c>
      <c r="AB103" s="210"/>
      <c r="AC103" s="211">
        <f>(Peak!F104*'Peak Hours'!V103*IS!$B$2)*-1</f>
        <v>0</v>
      </c>
      <c r="AD103" s="210"/>
    </row>
    <row r="104" spans="1:30" x14ac:dyDescent="0.2">
      <c r="A104" s="1">
        <f t="shared" si="1"/>
        <v>39399.19800000012</v>
      </c>
      <c r="B104" s="182">
        <f>IF($A$1="BL",0,'Peak Hours'!B104*Peak!H105*IS!$B$2)</f>
        <v>0</v>
      </c>
      <c r="C104" s="183">
        <f>IF($A$1="BL",0,'Peak Hours'!C104*Peak!I105*IS!$B$2)</f>
        <v>0</v>
      </c>
      <c r="D104" s="183">
        <f>IF($A$1="BL",0,'Peak Hours'!D104*Peak!J105*IS!$B$2)</f>
        <v>0</v>
      </c>
      <c r="E104" s="183">
        <f>IF($A$1="BL",0,'Peak Hours'!E104*Peak!K105*IS!$B$2)</f>
        <v>0</v>
      </c>
      <c r="F104" s="183">
        <f>IF($A$1="BL",0,'Peak Hours'!F104*Peak!L105*IS!$B$2)</f>
        <v>0</v>
      </c>
      <c r="G104" s="183">
        <f>IF($A$1="BL",0,'Peak Hours'!G104*Peak!M105*IS!$B$2)</f>
        <v>0</v>
      </c>
      <c r="H104" s="183">
        <f>IF($A$1="BL",0,'Peak Hours'!H104*Peak!N105*IS!$B$2)</f>
        <v>0</v>
      </c>
      <c r="I104" s="183">
        <f>IF($A$1="BL",0,'Peak Hours'!I104*Peak!O105*IS!$B$2)</f>
        <v>0</v>
      </c>
      <c r="J104" s="183">
        <f>IF($A$1="BL",0,'Peak Hours'!J104*Peak!P105*IS!$B$2)</f>
        <v>0</v>
      </c>
      <c r="K104" s="183">
        <f>IF($A$1="BL",0,'Peak Hours'!K104*Peak!Q105*IS!$B$2)</f>
        <v>0</v>
      </c>
      <c r="L104" s="183">
        <f>IF($A$1="BL",0,'Peak Hours'!L104*Peak!R105*IS!$B$2)</f>
        <v>0</v>
      </c>
      <c r="M104" s="183">
        <f>IF($A$1="BL",0,'Peak Hours'!M104*Peak!S105*IS!$B$2)</f>
        <v>0</v>
      </c>
      <c r="N104" s="183">
        <f>IF($A$1="BL",0,'Peak Hours'!N104*Peak!T105*IS!$B$2)</f>
        <v>0</v>
      </c>
      <c r="O104" s="183">
        <f>IF($A$1="BL",0,'Peak Hours'!O104*Peak!U105*IS!$B$2)</f>
        <v>0</v>
      </c>
      <c r="P104" s="183">
        <f>IF($A$1="BL",0,'Peak Hours'!P104*Peak!V105*IS!$B$2)</f>
        <v>0</v>
      </c>
      <c r="Q104" s="183">
        <f>IF($A$1="BL",0,'Peak Hours'!Q104*Peak!W105*IS!$B$2)</f>
        <v>0</v>
      </c>
      <c r="R104" s="183">
        <f>IF($A$1="BL",0,'Peak Hours'!R104*Peak!X105*IS!$B$2)</f>
        <v>0</v>
      </c>
      <c r="S104" s="183">
        <f>IF($A$1="BL",0,'Peak Hours'!S104*Peak!Y105*IS!$B$2)</f>
        <v>0</v>
      </c>
      <c r="T104" s="183">
        <f>IF($A$1="BL",0,'Peak Hours'!T104*Peak!Z105*IS!$B$2)</f>
        <v>0</v>
      </c>
      <c r="U104" s="183">
        <f>IF($A$1="BL",0,'Peak Hours'!U104*Peak!AA105*IS!$B$2)</f>
        <v>0</v>
      </c>
      <c r="V104" s="213"/>
      <c r="W104" s="211">
        <f>(IF($A$1="BL",0,Peak!C105*'Peak Hours'!V104*IS!$B$2))*-1</f>
        <v>0</v>
      </c>
      <c r="X104" s="213"/>
      <c r="Y104" s="211">
        <f>(IF($A$1="bl",0,Peak!D105*'Peak Hours'!V104*IS!$B$2))*-1</f>
        <v>0</v>
      </c>
      <c r="Z104" s="213"/>
      <c r="AA104" s="211">
        <f>(Peak!E105*'Peak Hours'!V104*IS!$B$2)*-1</f>
        <v>0</v>
      </c>
      <c r="AB104" s="210"/>
      <c r="AC104" s="211">
        <f>(Peak!F105*'Peak Hours'!V104*IS!$B$2)*-1</f>
        <v>0</v>
      </c>
      <c r="AD104" s="210"/>
    </row>
    <row r="105" spans="1:30" x14ac:dyDescent="0.2">
      <c r="A105" s="1">
        <f t="shared" si="1"/>
        <v>39429.615000000122</v>
      </c>
      <c r="B105" s="182">
        <f>IF($A$1="BL",0,'Peak Hours'!B105*Peak!H106*IS!$B$2)</f>
        <v>0</v>
      </c>
      <c r="C105" s="183">
        <f>IF($A$1="BL",0,'Peak Hours'!C105*Peak!I106*IS!$B$2)</f>
        <v>0</v>
      </c>
      <c r="D105" s="183">
        <f>IF($A$1="BL",0,'Peak Hours'!D105*Peak!J106*IS!$B$2)</f>
        <v>0</v>
      </c>
      <c r="E105" s="183">
        <f>IF($A$1="BL",0,'Peak Hours'!E105*Peak!K106*IS!$B$2)</f>
        <v>0</v>
      </c>
      <c r="F105" s="183">
        <f>IF($A$1="BL",0,'Peak Hours'!F105*Peak!L106*IS!$B$2)</f>
        <v>0</v>
      </c>
      <c r="G105" s="183">
        <f>IF($A$1="BL",0,'Peak Hours'!G105*Peak!M106*IS!$B$2)</f>
        <v>0</v>
      </c>
      <c r="H105" s="183">
        <f>IF($A$1="BL",0,'Peak Hours'!H105*Peak!N106*IS!$B$2)</f>
        <v>0</v>
      </c>
      <c r="I105" s="183">
        <f>IF($A$1="BL",0,'Peak Hours'!I105*Peak!O106*IS!$B$2)</f>
        <v>0</v>
      </c>
      <c r="J105" s="183">
        <f>IF($A$1="BL",0,'Peak Hours'!J105*Peak!P106*IS!$B$2)</f>
        <v>0</v>
      </c>
      <c r="K105" s="183">
        <f>IF($A$1="BL",0,'Peak Hours'!K105*Peak!Q106*IS!$B$2)</f>
        <v>0</v>
      </c>
      <c r="L105" s="183">
        <f>IF($A$1="BL",0,'Peak Hours'!L105*Peak!R106*IS!$B$2)</f>
        <v>0</v>
      </c>
      <c r="M105" s="183">
        <f>IF($A$1="BL",0,'Peak Hours'!M105*Peak!S106*IS!$B$2)</f>
        <v>0</v>
      </c>
      <c r="N105" s="183">
        <f>IF($A$1="BL",0,'Peak Hours'!N105*Peak!T106*IS!$B$2)</f>
        <v>0</v>
      </c>
      <c r="O105" s="183">
        <f>IF($A$1="BL",0,'Peak Hours'!O105*Peak!U106*IS!$B$2)</f>
        <v>0</v>
      </c>
      <c r="P105" s="183">
        <f>IF($A$1="BL",0,'Peak Hours'!P105*Peak!V106*IS!$B$2)</f>
        <v>0</v>
      </c>
      <c r="Q105" s="183">
        <f>IF($A$1="BL",0,'Peak Hours'!Q105*Peak!W106*IS!$B$2)</f>
        <v>0</v>
      </c>
      <c r="R105" s="183">
        <f>IF($A$1="BL",0,'Peak Hours'!R105*Peak!X106*IS!$B$2)</f>
        <v>0</v>
      </c>
      <c r="S105" s="183">
        <f>IF($A$1="BL",0,'Peak Hours'!S105*Peak!Y106*IS!$B$2)</f>
        <v>0</v>
      </c>
      <c r="T105" s="183">
        <f>IF($A$1="BL",0,'Peak Hours'!T105*Peak!Z106*IS!$B$2)</f>
        <v>0</v>
      </c>
      <c r="U105" s="183">
        <f>IF($A$1="BL",0,'Peak Hours'!U105*Peak!AA106*IS!$B$2)</f>
        <v>0</v>
      </c>
      <c r="V105" s="214">
        <f>SUM(B94:U105)</f>
        <v>0</v>
      </c>
      <c r="W105" s="211">
        <f>(IF($A$1="BL",0,Peak!C106*'Peak Hours'!V105*IS!$B$2))*-1</f>
        <v>0</v>
      </c>
      <c r="X105" s="214">
        <f>SUM(W94:W105)</f>
        <v>0</v>
      </c>
      <c r="Y105" s="211">
        <f>(IF($A$1="bl",0,Peak!D106*'Peak Hours'!V105*IS!$B$2))*-1</f>
        <v>0</v>
      </c>
      <c r="Z105" s="214">
        <f>SUM(Y94:Y105)</f>
        <v>0</v>
      </c>
      <c r="AA105" s="211">
        <f>(Peak!E106*'Peak Hours'!V105*IS!$B$2)*-1</f>
        <v>0</v>
      </c>
      <c r="AB105" s="211">
        <f>SUM(AA94:AA105)</f>
        <v>0</v>
      </c>
      <c r="AC105" s="211">
        <f>(Peak!F106*'Peak Hours'!V105*IS!$B$2)*-1</f>
        <v>0</v>
      </c>
      <c r="AD105" s="211">
        <f>SUM(AC94:AC105)</f>
        <v>0</v>
      </c>
    </row>
    <row r="106" spans="1:30" x14ac:dyDescent="0.2">
      <c r="A106" s="1">
        <f t="shared" si="1"/>
        <v>39460.032000000123</v>
      </c>
      <c r="B106" s="182">
        <f>IF($A$1="BL",0,'Peak Hours'!B106*Peak!H107*IS!$B$2)</f>
        <v>0</v>
      </c>
      <c r="C106" s="183">
        <f>IF($A$1="BL",0,'Peak Hours'!C106*Peak!I107*IS!$B$2)</f>
        <v>0</v>
      </c>
      <c r="D106" s="183">
        <f>IF($A$1="BL",0,'Peak Hours'!D106*Peak!J107*IS!$B$2)</f>
        <v>0</v>
      </c>
      <c r="E106" s="183">
        <f>IF($A$1="BL",0,'Peak Hours'!E106*Peak!K107*IS!$B$2)</f>
        <v>0</v>
      </c>
      <c r="F106" s="183">
        <f>IF($A$1="BL",0,'Peak Hours'!F106*Peak!L107*IS!$B$2)</f>
        <v>0</v>
      </c>
      <c r="G106" s="183">
        <f>IF($A$1="BL",0,'Peak Hours'!G106*Peak!M107*IS!$B$2)</f>
        <v>0</v>
      </c>
      <c r="H106" s="183">
        <f>IF($A$1="BL",0,'Peak Hours'!H106*Peak!N107*IS!$B$2)</f>
        <v>0</v>
      </c>
      <c r="I106" s="183">
        <f>IF($A$1="BL",0,'Peak Hours'!I106*Peak!O107*IS!$B$2)</f>
        <v>0</v>
      </c>
      <c r="J106" s="183">
        <f>IF($A$1="BL",0,'Peak Hours'!J106*Peak!P107*IS!$B$2)</f>
        <v>0</v>
      </c>
      <c r="K106" s="183">
        <f>IF($A$1="BL",0,'Peak Hours'!K106*Peak!Q107*IS!$B$2)</f>
        <v>0</v>
      </c>
      <c r="L106" s="183">
        <f>IF($A$1="BL",0,'Peak Hours'!L106*Peak!R107*IS!$B$2)</f>
        <v>0</v>
      </c>
      <c r="M106" s="183">
        <f>IF($A$1="BL",0,'Peak Hours'!M106*Peak!S107*IS!$B$2)</f>
        <v>0</v>
      </c>
      <c r="N106" s="183">
        <f>IF($A$1="BL",0,'Peak Hours'!N106*Peak!T107*IS!$B$2)</f>
        <v>0</v>
      </c>
      <c r="O106" s="183">
        <f>IF($A$1="BL",0,'Peak Hours'!O106*Peak!U107*IS!$B$2)</f>
        <v>0</v>
      </c>
      <c r="P106" s="183">
        <f>IF($A$1="BL",0,'Peak Hours'!P106*Peak!V107*IS!$B$2)</f>
        <v>0</v>
      </c>
      <c r="Q106" s="183">
        <f>IF($A$1="BL",0,'Peak Hours'!Q106*Peak!W107*IS!$B$2)</f>
        <v>0</v>
      </c>
      <c r="R106" s="183">
        <f>IF($A$1="BL",0,'Peak Hours'!R106*Peak!X107*IS!$B$2)</f>
        <v>0</v>
      </c>
      <c r="S106" s="183">
        <f>IF($A$1="BL",0,'Peak Hours'!S106*Peak!Y107*IS!$B$2)</f>
        <v>0</v>
      </c>
      <c r="T106" s="183">
        <f>IF($A$1="BL",0,'Peak Hours'!T106*Peak!Z107*IS!$B$2)</f>
        <v>0</v>
      </c>
      <c r="U106" s="183">
        <f>IF($A$1="BL",0,'Peak Hours'!U106*Peak!AA107*IS!$B$2)</f>
        <v>0</v>
      </c>
      <c r="V106" s="213"/>
      <c r="W106" s="211">
        <f>(IF($A$1="BL",0,Peak!C107*'Peak Hours'!V106*IS!$B$2))*-1</f>
        <v>0</v>
      </c>
      <c r="X106" s="213"/>
      <c r="Y106" s="211">
        <f>(IF($A$1="bl",0,Peak!D107*'Peak Hours'!V106*IS!$B$2))*-1</f>
        <v>0</v>
      </c>
      <c r="Z106" s="213"/>
      <c r="AA106" s="211">
        <f>(Peak!E107*'Peak Hours'!V106*IS!$B$2)*-1</f>
        <v>0</v>
      </c>
      <c r="AB106" s="210"/>
      <c r="AC106" s="211">
        <f>(Peak!F107*'Peak Hours'!V106*IS!$B$2)*-1</f>
        <v>0</v>
      </c>
      <c r="AD106" s="210"/>
    </row>
    <row r="107" spans="1:30" x14ac:dyDescent="0.2">
      <c r="A107" s="1">
        <f t="shared" si="1"/>
        <v>39490.449000000124</v>
      </c>
      <c r="B107" s="182">
        <f>IF($A$1="BL",0,'Peak Hours'!B107*Peak!H108*IS!$B$2)</f>
        <v>0</v>
      </c>
      <c r="C107" s="183">
        <f>IF($A$1="BL",0,'Peak Hours'!C107*Peak!I108*IS!$B$2)</f>
        <v>0</v>
      </c>
      <c r="D107" s="183">
        <f>IF($A$1="BL",0,'Peak Hours'!D107*Peak!J108*IS!$B$2)</f>
        <v>0</v>
      </c>
      <c r="E107" s="183">
        <f>IF($A$1="BL",0,'Peak Hours'!E107*Peak!K108*IS!$B$2)</f>
        <v>0</v>
      </c>
      <c r="F107" s="183">
        <f>IF($A$1="BL",0,'Peak Hours'!F107*Peak!L108*IS!$B$2)</f>
        <v>0</v>
      </c>
      <c r="G107" s="183">
        <f>IF($A$1="BL",0,'Peak Hours'!G107*Peak!M108*IS!$B$2)</f>
        <v>0</v>
      </c>
      <c r="H107" s="183">
        <f>IF($A$1="BL",0,'Peak Hours'!H107*Peak!N108*IS!$B$2)</f>
        <v>0</v>
      </c>
      <c r="I107" s="183">
        <f>IF($A$1="BL",0,'Peak Hours'!I107*Peak!O108*IS!$B$2)</f>
        <v>0</v>
      </c>
      <c r="J107" s="183">
        <f>IF($A$1="BL",0,'Peak Hours'!J107*Peak!P108*IS!$B$2)</f>
        <v>0</v>
      </c>
      <c r="K107" s="183">
        <f>IF($A$1="BL",0,'Peak Hours'!K107*Peak!Q108*IS!$B$2)</f>
        <v>0</v>
      </c>
      <c r="L107" s="183">
        <f>IF($A$1="BL",0,'Peak Hours'!L107*Peak!R108*IS!$B$2)</f>
        <v>0</v>
      </c>
      <c r="M107" s="183">
        <f>IF($A$1="BL",0,'Peak Hours'!M107*Peak!S108*IS!$B$2)</f>
        <v>0</v>
      </c>
      <c r="N107" s="183">
        <f>IF($A$1="BL",0,'Peak Hours'!N107*Peak!T108*IS!$B$2)</f>
        <v>0</v>
      </c>
      <c r="O107" s="183">
        <f>IF($A$1="BL",0,'Peak Hours'!O107*Peak!U108*IS!$B$2)</f>
        <v>0</v>
      </c>
      <c r="P107" s="183">
        <f>IF($A$1="BL",0,'Peak Hours'!P107*Peak!V108*IS!$B$2)</f>
        <v>0</v>
      </c>
      <c r="Q107" s="183">
        <f>IF($A$1="BL",0,'Peak Hours'!Q107*Peak!W108*IS!$B$2)</f>
        <v>0</v>
      </c>
      <c r="R107" s="183">
        <f>IF($A$1="BL",0,'Peak Hours'!R107*Peak!X108*IS!$B$2)</f>
        <v>0</v>
      </c>
      <c r="S107" s="183">
        <f>IF($A$1="BL",0,'Peak Hours'!S107*Peak!Y108*IS!$B$2)</f>
        <v>0</v>
      </c>
      <c r="T107" s="183">
        <f>IF($A$1="BL",0,'Peak Hours'!T107*Peak!Z108*IS!$B$2)</f>
        <v>0</v>
      </c>
      <c r="U107" s="183">
        <f>IF($A$1="BL",0,'Peak Hours'!U107*Peak!AA108*IS!$B$2)</f>
        <v>0</v>
      </c>
      <c r="V107" s="213"/>
      <c r="W107" s="211">
        <f>(IF($A$1="BL",0,Peak!C108*'Peak Hours'!V107*IS!$B$2))*-1</f>
        <v>0</v>
      </c>
      <c r="X107" s="213"/>
      <c r="Y107" s="211">
        <f>(IF($A$1="bl",0,Peak!D108*'Peak Hours'!V107*IS!$B$2))*-1</f>
        <v>0</v>
      </c>
      <c r="Z107" s="213"/>
      <c r="AA107" s="211">
        <f>(Peak!E108*'Peak Hours'!V107*IS!$B$2)*-1</f>
        <v>0</v>
      </c>
      <c r="AB107" s="210"/>
      <c r="AC107" s="211">
        <f>(Peak!F108*'Peak Hours'!V107*IS!$B$2)*-1</f>
        <v>0</v>
      </c>
      <c r="AD107" s="210"/>
    </row>
    <row r="108" spans="1:30" x14ac:dyDescent="0.2">
      <c r="A108" s="1">
        <f t="shared" si="1"/>
        <v>39520.866000000125</v>
      </c>
      <c r="B108" s="182">
        <f>IF($A$1="BL",0,'Peak Hours'!B108*Peak!H109*IS!$B$2)</f>
        <v>0</v>
      </c>
      <c r="C108" s="183">
        <f>IF($A$1="BL",0,'Peak Hours'!C108*Peak!I109*IS!$B$2)</f>
        <v>0</v>
      </c>
      <c r="D108" s="183">
        <f>IF($A$1="BL",0,'Peak Hours'!D108*Peak!J109*IS!$B$2)</f>
        <v>0</v>
      </c>
      <c r="E108" s="183">
        <f>IF($A$1="BL",0,'Peak Hours'!E108*Peak!K109*IS!$B$2)</f>
        <v>0</v>
      </c>
      <c r="F108" s="183">
        <f>IF($A$1="BL",0,'Peak Hours'!F108*Peak!L109*IS!$B$2)</f>
        <v>0</v>
      </c>
      <c r="G108" s="183">
        <f>IF($A$1="BL",0,'Peak Hours'!G108*Peak!M109*IS!$B$2)</f>
        <v>0</v>
      </c>
      <c r="H108" s="183">
        <f>IF($A$1="BL",0,'Peak Hours'!H108*Peak!N109*IS!$B$2)</f>
        <v>0</v>
      </c>
      <c r="I108" s="183">
        <f>IF($A$1="BL",0,'Peak Hours'!I108*Peak!O109*IS!$B$2)</f>
        <v>0</v>
      </c>
      <c r="J108" s="183">
        <f>IF($A$1="BL",0,'Peak Hours'!J108*Peak!P109*IS!$B$2)</f>
        <v>0</v>
      </c>
      <c r="K108" s="183">
        <f>IF($A$1="BL",0,'Peak Hours'!K108*Peak!Q109*IS!$B$2)</f>
        <v>0</v>
      </c>
      <c r="L108" s="183">
        <f>IF($A$1="BL",0,'Peak Hours'!L108*Peak!R109*IS!$B$2)</f>
        <v>0</v>
      </c>
      <c r="M108" s="183">
        <f>IF($A$1="BL",0,'Peak Hours'!M108*Peak!S109*IS!$B$2)</f>
        <v>0</v>
      </c>
      <c r="N108" s="183">
        <f>IF($A$1="BL",0,'Peak Hours'!N108*Peak!T109*IS!$B$2)</f>
        <v>0</v>
      </c>
      <c r="O108" s="183">
        <f>IF($A$1="BL",0,'Peak Hours'!O108*Peak!U109*IS!$B$2)</f>
        <v>0</v>
      </c>
      <c r="P108" s="183">
        <f>IF($A$1="BL",0,'Peak Hours'!P108*Peak!V109*IS!$B$2)</f>
        <v>0</v>
      </c>
      <c r="Q108" s="183">
        <f>IF($A$1="BL",0,'Peak Hours'!Q108*Peak!W109*IS!$B$2)</f>
        <v>0</v>
      </c>
      <c r="R108" s="183">
        <f>IF($A$1="BL",0,'Peak Hours'!R108*Peak!X109*IS!$B$2)</f>
        <v>0</v>
      </c>
      <c r="S108" s="183">
        <f>IF($A$1="BL",0,'Peak Hours'!S108*Peak!Y109*IS!$B$2)</f>
        <v>0</v>
      </c>
      <c r="T108" s="183">
        <f>IF($A$1="BL",0,'Peak Hours'!T108*Peak!Z109*IS!$B$2)</f>
        <v>0</v>
      </c>
      <c r="U108" s="183">
        <f>IF($A$1="BL",0,'Peak Hours'!U108*Peak!AA109*IS!$B$2)</f>
        <v>0</v>
      </c>
      <c r="V108" s="213"/>
      <c r="W108" s="211">
        <f>(IF($A$1="BL",0,Peak!C109*'Peak Hours'!V108*IS!$B$2))*-1</f>
        <v>0</v>
      </c>
      <c r="X108" s="213"/>
      <c r="Y108" s="211">
        <f>(IF($A$1="bl",0,Peak!D109*'Peak Hours'!V108*IS!$B$2))*-1</f>
        <v>0</v>
      </c>
      <c r="Z108" s="213"/>
      <c r="AA108" s="211">
        <f>(Peak!E109*'Peak Hours'!V108*IS!$B$2)*-1</f>
        <v>0</v>
      </c>
      <c r="AB108" s="210"/>
      <c r="AC108" s="211">
        <f>(Peak!F109*'Peak Hours'!V108*IS!$B$2)*-1</f>
        <v>0</v>
      </c>
      <c r="AD108" s="210"/>
    </row>
    <row r="109" spans="1:30" x14ac:dyDescent="0.2">
      <c r="A109" s="1">
        <f t="shared" si="1"/>
        <v>39551.283000000127</v>
      </c>
      <c r="B109" s="182">
        <f>IF($A$1="BL",0,'Peak Hours'!B109*Peak!H110*IS!$B$2)</f>
        <v>0</v>
      </c>
      <c r="C109" s="183">
        <f>IF($A$1="BL",0,'Peak Hours'!C109*Peak!I110*IS!$B$2)</f>
        <v>0</v>
      </c>
      <c r="D109" s="183">
        <f>IF($A$1="BL",0,'Peak Hours'!D109*Peak!J110*IS!$B$2)</f>
        <v>0</v>
      </c>
      <c r="E109" s="183">
        <f>IF($A$1="BL",0,'Peak Hours'!E109*Peak!K110*IS!$B$2)</f>
        <v>0</v>
      </c>
      <c r="F109" s="183">
        <f>IF($A$1="BL",0,'Peak Hours'!F109*Peak!L110*IS!$B$2)</f>
        <v>0</v>
      </c>
      <c r="G109" s="183">
        <f>IF($A$1="BL",0,'Peak Hours'!G109*Peak!M110*IS!$B$2)</f>
        <v>0</v>
      </c>
      <c r="H109" s="183">
        <f>IF($A$1="BL",0,'Peak Hours'!H109*Peak!N110*IS!$B$2)</f>
        <v>0</v>
      </c>
      <c r="I109" s="183">
        <f>IF($A$1="BL",0,'Peak Hours'!I109*Peak!O110*IS!$B$2)</f>
        <v>0</v>
      </c>
      <c r="J109" s="183">
        <f>IF($A$1="BL",0,'Peak Hours'!J109*Peak!P110*IS!$B$2)</f>
        <v>0</v>
      </c>
      <c r="K109" s="183">
        <f>IF($A$1="BL",0,'Peak Hours'!K109*Peak!Q110*IS!$B$2)</f>
        <v>0</v>
      </c>
      <c r="L109" s="183">
        <f>IF($A$1="BL",0,'Peak Hours'!L109*Peak!R110*IS!$B$2)</f>
        <v>0</v>
      </c>
      <c r="M109" s="183">
        <f>IF($A$1="BL",0,'Peak Hours'!M109*Peak!S110*IS!$B$2)</f>
        <v>0</v>
      </c>
      <c r="N109" s="183">
        <f>IF($A$1="BL",0,'Peak Hours'!N109*Peak!T110*IS!$B$2)</f>
        <v>0</v>
      </c>
      <c r="O109" s="183">
        <f>IF($A$1="BL",0,'Peak Hours'!O109*Peak!U110*IS!$B$2)</f>
        <v>0</v>
      </c>
      <c r="P109" s="183">
        <f>IF($A$1="BL",0,'Peak Hours'!P109*Peak!V110*IS!$B$2)</f>
        <v>0</v>
      </c>
      <c r="Q109" s="183">
        <f>IF($A$1="BL",0,'Peak Hours'!Q109*Peak!W110*IS!$B$2)</f>
        <v>0</v>
      </c>
      <c r="R109" s="183">
        <f>IF($A$1="BL",0,'Peak Hours'!R109*Peak!X110*IS!$B$2)</f>
        <v>0</v>
      </c>
      <c r="S109" s="183">
        <f>IF($A$1="BL",0,'Peak Hours'!S109*Peak!Y110*IS!$B$2)</f>
        <v>0</v>
      </c>
      <c r="T109" s="183">
        <f>IF($A$1="BL",0,'Peak Hours'!T109*Peak!Z110*IS!$B$2)</f>
        <v>0</v>
      </c>
      <c r="U109" s="183">
        <f>IF($A$1="BL",0,'Peak Hours'!U109*Peak!AA110*IS!$B$2)</f>
        <v>0</v>
      </c>
      <c r="V109" s="213"/>
      <c r="W109" s="211">
        <f>(IF($A$1="BL",0,Peak!C110*'Peak Hours'!V109*IS!$B$2))*-1</f>
        <v>0</v>
      </c>
      <c r="X109" s="213"/>
      <c r="Y109" s="211">
        <f>(IF($A$1="bl",0,Peak!D110*'Peak Hours'!V109*IS!$B$2))*-1</f>
        <v>0</v>
      </c>
      <c r="Z109" s="213"/>
      <c r="AA109" s="211">
        <f>(Peak!E110*'Peak Hours'!V109*IS!$B$2)*-1</f>
        <v>0</v>
      </c>
      <c r="AB109" s="210"/>
      <c r="AC109" s="211">
        <f>(Peak!F110*'Peak Hours'!V109*IS!$B$2)*-1</f>
        <v>0</v>
      </c>
      <c r="AD109" s="210"/>
    </row>
    <row r="110" spans="1:30" x14ac:dyDescent="0.2">
      <c r="A110" s="1">
        <f t="shared" si="1"/>
        <v>39581.700000000128</v>
      </c>
      <c r="B110" s="182">
        <f>IF($A$1="BL",0,'Peak Hours'!B110*Peak!H111*IS!$B$2)</f>
        <v>0</v>
      </c>
      <c r="C110" s="183">
        <f>IF($A$1="BL",0,'Peak Hours'!C110*Peak!I111*IS!$B$2)</f>
        <v>0</v>
      </c>
      <c r="D110" s="183">
        <f>IF($A$1="BL",0,'Peak Hours'!D110*Peak!J111*IS!$B$2)</f>
        <v>0</v>
      </c>
      <c r="E110" s="183">
        <f>IF($A$1="BL",0,'Peak Hours'!E110*Peak!K111*IS!$B$2)</f>
        <v>0</v>
      </c>
      <c r="F110" s="183">
        <f>IF($A$1="BL",0,'Peak Hours'!F110*Peak!L111*IS!$B$2)</f>
        <v>0</v>
      </c>
      <c r="G110" s="183">
        <f>IF($A$1="BL",0,'Peak Hours'!G110*Peak!M111*IS!$B$2)</f>
        <v>0</v>
      </c>
      <c r="H110" s="183">
        <f>IF($A$1="BL",0,'Peak Hours'!H110*Peak!N111*IS!$B$2)</f>
        <v>0</v>
      </c>
      <c r="I110" s="183">
        <f>IF($A$1="BL",0,'Peak Hours'!I110*Peak!O111*IS!$B$2)</f>
        <v>0</v>
      </c>
      <c r="J110" s="183">
        <f>IF($A$1="BL",0,'Peak Hours'!J110*Peak!P111*IS!$B$2)</f>
        <v>0</v>
      </c>
      <c r="K110" s="183">
        <f>IF($A$1="BL",0,'Peak Hours'!K110*Peak!Q111*IS!$B$2)</f>
        <v>0</v>
      </c>
      <c r="L110" s="183">
        <f>IF($A$1="BL",0,'Peak Hours'!L110*Peak!R111*IS!$B$2)</f>
        <v>0</v>
      </c>
      <c r="M110" s="183">
        <f>IF($A$1="BL",0,'Peak Hours'!M110*Peak!S111*IS!$B$2)</f>
        <v>0</v>
      </c>
      <c r="N110" s="183">
        <f>IF($A$1="BL",0,'Peak Hours'!N110*Peak!T111*IS!$B$2)</f>
        <v>0</v>
      </c>
      <c r="O110" s="183">
        <f>IF($A$1="BL",0,'Peak Hours'!O110*Peak!U111*IS!$B$2)</f>
        <v>0</v>
      </c>
      <c r="P110" s="183">
        <f>IF($A$1="BL",0,'Peak Hours'!P110*Peak!V111*IS!$B$2)</f>
        <v>0</v>
      </c>
      <c r="Q110" s="183">
        <f>IF($A$1="BL",0,'Peak Hours'!Q110*Peak!W111*IS!$B$2)</f>
        <v>0</v>
      </c>
      <c r="R110" s="183">
        <f>IF($A$1="BL",0,'Peak Hours'!R110*Peak!X111*IS!$B$2)</f>
        <v>0</v>
      </c>
      <c r="S110" s="183">
        <f>IF($A$1="BL",0,'Peak Hours'!S110*Peak!Y111*IS!$B$2)</f>
        <v>0</v>
      </c>
      <c r="T110" s="183">
        <f>IF($A$1="BL",0,'Peak Hours'!T110*Peak!Z111*IS!$B$2)</f>
        <v>0</v>
      </c>
      <c r="U110" s="183">
        <f>IF($A$1="BL",0,'Peak Hours'!U110*Peak!AA111*IS!$B$2)</f>
        <v>0</v>
      </c>
      <c r="V110" s="213"/>
      <c r="W110" s="211">
        <f>(IF($A$1="BL",0,Peak!C111*'Peak Hours'!V110*IS!$B$2))*-1</f>
        <v>0</v>
      </c>
      <c r="X110" s="213"/>
      <c r="Y110" s="211">
        <f>(IF($A$1="bl",0,Peak!D111*'Peak Hours'!V110*IS!$B$2))*-1</f>
        <v>0</v>
      </c>
      <c r="Z110" s="213"/>
      <c r="AA110" s="211">
        <f>(Peak!E111*'Peak Hours'!V110*IS!$B$2)*-1</f>
        <v>0</v>
      </c>
      <c r="AB110" s="210"/>
      <c r="AC110" s="211">
        <f>(Peak!F111*'Peak Hours'!V110*IS!$B$2)*-1</f>
        <v>0</v>
      </c>
      <c r="AD110" s="210"/>
    </row>
    <row r="111" spans="1:30" x14ac:dyDescent="0.2">
      <c r="A111" s="1">
        <f t="shared" si="1"/>
        <v>39612.117000000129</v>
      </c>
      <c r="B111" s="182">
        <f>IF($A$1="BL",0,'Peak Hours'!B111*Peak!H112*IS!$B$2)</f>
        <v>0</v>
      </c>
      <c r="C111" s="183">
        <f>IF($A$1="BL",0,'Peak Hours'!C111*Peak!I112*IS!$B$2)</f>
        <v>0</v>
      </c>
      <c r="D111" s="183">
        <f>IF($A$1="BL",0,'Peak Hours'!D111*Peak!J112*IS!$B$2)</f>
        <v>0</v>
      </c>
      <c r="E111" s="183">
        <f>IF($A$1="BL",0,'Peak Hours'!E111*Peak!K112*IS!$B$2)</f>
        <v>0</v>
      </c>
      <c r="F111" s="183">
        <f>IF($A$1="BL",0,'Peak Hours'!F111*Peak!L112*IS!$B$2)</f>
        <v>0</v>
      </c>
      <c r="G111" s="183">
        <f>IF($A$1="BL",0,'Peak Hours'!G111*Peak!M112*IS!$B$2)</f>
        <v>0</v>
      </c>
      <c r="H111" s="183">
        <f>IF($A$1="BL",0,'Peak Hours'!H111*Peak!N112*IS!$B$2)</f>
        <v>0</v>
      </c>
      <c r="I111" s="183">
        <f>IF($A$1="BL",0,'Peak Hours'!I111*Peak!O112*IS!$B$2)</f>
        <v>0</v>
      </c>
      <c r="J111" s="183">
        <f>IF($A$1="BL",0,'Peak Hours'!J111*Peak!P112*IS!$B$2)</f>
        <v>0</v>
      </c>
      <c r="K111" s="183">
        <f>IF($A$1="BL",0,'Peak Hours'!K111*Peak!Q112*IS!$B$2)</f>
        <v>0</v>
      </c>
      <c r="L111" s="183">
        <f>IF($A$1="BL",0,'Peak Hours'!L111*Peak!R112*IS!$B$2)</f>
        <v>0</v>
      </c>
      <c r="M111" s="183">
        <f>IF($A$1="BL",0,'Peak Hours'!M111*Peak!S112*IS!$B$2)</f>
        <v>0</v>
      </c>
      <c r="N111" s="183">
        <f>IF($A$1="BL",0,'Peak Hours'!N111*Peak!T112*IS!$B$2)</f>
        <v>0</v>
      </c>
      <c r="O111" s="183">
        <f>IF($A$1="BL",0,'Peak Hours'!O111*Peak!U112*IS!$B$2)</f>
        <v>0</v>
      </c>
      <c r="P111" s="183">
        <f>IF($A$1="BL",0,'Peak Hours'!P111*Peak!V112*IS!$B$2)</f>
        <v>0</v>
      </c>
      <c r="Q111" s="183">
        <f>IF($A$1="BL",0,'Peak Hours'!Q111*Peak!W112*IS!$B$2)</f>
        <v>0</v>
      </c>
      <c r="R111" s="183">
        <f>IF($A$1="BL",0,'Peak Hours'!R111*Peak!X112*IS!$B$2)</f>
        <v>0</v>
      </c>
      <c r="S111" s="183">
        <f>IF($A$1="BL",0,'Peak Hours'!S111*Peak!Y112*IS!$B$2)</f>
        <v>0</v>
      </c>
      <c r="T111" s="183">
        <f>IF($A$1="BL",0,'Peak Hours'!T111*Peak!Z112*IS!$B$2)</f>
        <v>0</v>
      </c>
      <c r="U111" s="183">
        <f>IF($A$1="BL",0,'Peak Hours'!U111*Peak!AA112*IS!$B$2)</f>
        <v>0</v>
      </c>
      <c r="V111" s="213"/>
      <c r="W111" s="211">
        <f>(IF($A$1="BL",0,Peak!C112*'Peak Hours'!V111*IS!$B$2))*-1</f>
        <v>0</v>
      </c>
      <c r="X111" s="213"/>
      <c r="Y111" s="211">
        <f>(IF($A$1="bl",0,Peak!D112*'Peak Hours'!V111*IS!$B$2))*-1</f>
        <v>0</v>
      </c>
      <c r="Z111" s="213"/>
      <c r="AA111" s="211">
        <f>(Peak!E112*'Peak Hours'!V111*IS!$B$2)*-1</f>
        <v>0</v>
      </c>
      <c r="AB111" s="210"/>
      <c r="AC111" s="211">
        <f>(Peak!F112*'Peak Hours'!V111*IS!$B$2)*-1</f>
        <v>0</v>
      </c>
      <c r="AD111" s="210"/>
    </row>
    <row r="112" spans="1:30" x14ac:dyDescent="0.2">
      <c r="A112" s="1">
        <f t="shared" si="1"/>
        <v>39642.534000000131</v>
      </c>
      <c r="B112" s="182">
        <f>IF($A$1="BL",0,'Peak Hours'!B112*Peak!H113*IS!$B$2)</f>
        <v>0</v>
      </c>
      <c r="C112" s="183">
        <f>IF($A$1="BL",0,'Peak Hours'!C112*Peak!I113*IS!$B$2)</f>
        <v>0</v>
      </c>
      <c r="D112" s="183">
        <f>IF($A$1="BL",0,'Peak Hours'!D112*Peak!J113*IS!$B$2)</f>
        <v>0</v>
      </c>
      <c r="E112" s="183">
        <f>IF($A$1="BL",0,'Peak Hours'!E112*Peak!K113*IS!$B$2)</f>
        <v>0</v>
      </c>
      <c r="F112" s="183">
        <f>IF($A$1="BL",0,'Peak Hours'!F112*Peak!L113*IS!$B$2)</f>
        <v>0</v>
      </c>
      <c r="G112" s="183">
        <f>IF($A$1="BL",0,'Peak Hours'!G112*Peak!M113*IS!$B$2)</f>
        <v>0</v>
      </c>
      <c r="H112" s="183">
        <f>IF($A$1="BL",0,'Peak Hours'!H112*Peak!N113*IS!$B$2)</f>
        <v>0</v>
      </c>
      <c r="I112" s="183">
        <f>IF($A$1="BL",0,'Peak Hours'!I112*Peak!O113*IS!$B$2)</f>
        <v>0</v>
      </c>
      <c r="J112" s="183">
        <f>IF($A$1="BL",0,'Peak Hours'!J112*Peak!P113*IS!$B$2)</f>
        <v>0</v>
      </c>
      <c r="K112" s="183">
        <f>IF($A$1="BL",0,'Peak Hours'!K112*Peak!Q113*IS!$B$2)</f>
        <v>0</v>
      </c>
      <c r="L112" s="183">
        <f>IF($A$1="BL",0,'Peak Hours'!L112*Peak!R113*IS!$B$2)</f>
        <v>0</v>
      </c>
      <c r="M112" s="183">
        <f>IF($A$1="BL",0,'Peak Hours'!M112*Peak!S113*IS!$B$2)</f>
        <v>0</v>
      </c>
      <c r="N112" s="183">
        <f>IF($A$1="BL",0,'Peak Hours'!N112*Peak!T113*IS!$B$2)</f>
        <v>0</v>
      </c>
      <c r="O112" s="183">
        <f>IF($A$1="BL",0,'Peak Hours'!O112*Peak!U113*IS!$B$2)</f>
        <v>0</v>
      </c>
      <c r="P112" s="183">
        <f>IF($A$1="BL",0,'Peak Hours'!P112*Peak!V113*IS!$B$2)</f>
        <v>0</v>
      </c>
      <c r="Q112" s="183">
        <f>IF($A$1="BL",0,'Peak Hours'!Q112*Peak!W113*IS!$B$2)</f>
        <v>0</v>
      </c>
      <c r="R112" s="183">
        <f>IF($A$1="BL",0,'Peak Hours'!R112*Peak!X113*IS!$B$2)</f>
        <v>0</v>
      </c>
      <c r="S112" s="183">
        <f>IF($A$1="BL",0,'Peak Hours'!S112*Peak!Y113*IS!$B$2)</f>
        <v>0</v>
      </c>
      <c r="T112" s="183">
        <f>IF($A$1="BL",0,'Peak Hours'!T112*Peak!Z113*IS!$B$2)</f>
        <v>0</v>
      </c>
      <c r="U112" s="183">
        <f>IF($A$1="BL",0,'Peak Hours'!U112*Peak!AA113*IS!$B$2)</f>
        <v>0</v>
      </c>
      <c r="V112" s="213"/>
      <c r="W112" s="211">
        <f>(IF($A$1="BL",0,Peak!C113*'Peak Hours'!V112*IS!$B$2))*-1</f>
        <v>0</v>
      </c>
      <c r="X112" s="213"/>
      <c r="Y112" s="211">
        <f>(IF($A$1="bl",0,Peak!D113*'Peak Hours'!V112*IS!$B$2))*-1</f>
        <v>0</v>
      </c>
      <c r="Z112" s="213"/>
      <c r="AA112" s="211">
        <f>(Peak!E113*'Peak Hours'!V112*IS!$B$2)*-1</f>
        <v>0</v>
      </c>
      <c r="AB112" s="210"/>
      <c r="AC112" s="211">
        <f>(Peak!F113*'Peak Hours'!V112*IS!$B$2)*-1</f>
        <v>0</v>
      </c>
      <c r="AD112" s="210"/>
    </row>
    <row r="113" spans="1:30" x14ac:dyDescent="0.2">
      <c r="A113" s="1">
        <f t="shared" si="1"/>
        <v>39672.951000000132</v>
      </c>
      <c r="B113" s="182">
        <f>IF($A$1="BL",0,'Peak Hours'!B113*Peak!H114*IS!$B$2)</f>
        <v>0</v>
      </c>
      <c r="C113" s="183">
        <f>IF($A$1="BL",0,'Peak Hours'!C113*Peak!I114*IS!$B$2)</f>
        <v>0</v>
      </c>
      <c r="D113" s="183">
        <f>IF($A$1="BL",0,'Peak Hours'!D113*Peak!J114*IS!$B$2)</f>
        <v>0</v>
      </c>
      <c r="E113" s="183">
        <f>IF($A$1="BL",0,'Peak Hours'!E113*Peak!K114*IS!$B$2)</f>
        <v>0</v>
      </c>
      <c r="F113" s="183">
        <f>IF($A$1="BL",0,'Peak Hours'!F113*Peak!L114*IS!$B$2)</f>
        <v>0</v>
      </c>
      <c r="G113" s="183">
        <f>IF($A$1="BL",0,'Peak Hours'!G113*Peak!M114*IS!$B$2)</f>
        <v>0</v>
      </c>
      <c r="H113" s="183">
        <f>IF($A$1="BL",0,'Peak Hours'!H113*Peak!N114*IS!$B$2)</f>
        <v>0</v>
      </c>
      <c r="I113" s="183">
        <f>IF($A$1="BL",0,'Peak Hours'!I113*Peak!O114*IS!$B$2)</f>
        <v>0</v>
      </c>
      <c r="J113" s="183">
        <f>IF($A$1="BL",0,'Peak Hours'!J113*Peak!P114*IS!$B$2)</f>
        <v>0</v>
      </c>
      <c r="K113" s="183">
        <f>IF($A$1="BL",0,'Peak Hours'!K113*Peak!Q114*IS!$B$2)</f>
        <v>0</v>
      </c>
      <c r="L113" s="183">
        <f>IF($A$1="BL",0,'Peak Hours'!L113*Peak!R114*IS!$B$2)</f>
        <v>0</v>
      </c>
      <c r="M113" s="183">
        <f>IF($A$1="BL",0,'Peak Hours'!M113*Peak!S114*IS!$B$2)</f>
        <v>0</v>
      </c>
      <c r="N113" s="183">
        <f>IF($A$1="BL",0,'Peak Hours'!N113*Peak!T114*IS!$B$2)</f>
        <v>0</v>
      </c>
      <c r="O113" s="183">
        <f>IF($A$1="BL",0,'Peak Hours'!O113*Peak!U114*IS!$B$2)</f>
        <v>0</v>
      </c>
      <c r="P113" s="183">
        <f>IF($A$1="BL",0,'Peak Hours'!P113*Peak!V114*IS!$B$2)</f>
        <v>0</v>
      </c>
      <c r="Q113" s="183">
        <f>IF($A$1="BL",0,'Peak Hours'!Q113*Peak!W114*IS!$B$2)</f>
        <v>0</v>
      </c>
      <c r="R113" s="183">
        <f>IF($A$1="BL",0,'Peak Hours'!R113*Peak!X114*IS!$B$2)</f>
        <v>0</v>
      </c>
      <c r="S113" s="183">
        <f>IF($A$1="BL",0,'Peak Hours'!S113*Peak!Y114*IS!$B$2)</f>
        <v>0</v>
      </c>
      <c r="T113" s="183">
        <f>IF($A$1="BL",0,'Peak Hours'!T113*Peak!Z114*IS!$B$2)</f>
        <v>0</v>
      </c>
      <c r="U113" s="183">
        <f>IF($A$1="BL",0,'Peak Hours'!U113*Peak!AA114*IS!$B$2)</f>
        <v>0</v>
      </c>
      <c r="V113" s="213"/>
      <c r="W113" s="211">
        <f>(IF($A$1="BL",0,Peak!C114*'Peak Hours'!V113*IS!$B$2))*-1</f>
        <v>0</v>
      </c>
      <c r="X113" s="213"/>
      <c r="Y113" s="211">
        <f>(IF($A$1="bl",0,Peak!D114*'Peak Hours'!V113*IS!$B$2))*-1</f>
        <v>0</v>
      </c>
      <c r="Z113" s="213"/>
      <c r="AA113" s="211">
        <f>(Peak!E114*'Peak Hours'!V113*IS!$B$2)*-1</f>
        <v>0</v>
      </c>
      <c r="AB113" s="210"/>
      <c r="AC113" s="211">
        <f>(Peak!F114*'Peak Hours'!V113*IS!$B$2)*-1</f>
        <v>0</v>
      </c>
      <c r="AD113" s="210"/>
    </row>
    <row r="114" spans="1:30" x14ac:dyDescent="0.2">
      <c r="A114" s="1">
        <f t="shared" si="1"/>
        <v>39703.368000000133</v>
      </c>
      <c r="B114" s="182">
        <f>IF($A$1="BL",0,'Peak Hours'!B114*Peak!H115*IS!$B$2)</f>
        <v>0</v>
      </c>
      <c r="C114" s="183">
        <f>IF($A$1="BL",0,'Peak Hours'!C114*Peak!I115*IS!$B$2)</f>
        <v>0</v>
      </c>
      <c r="D114" s="183">
        <f>IF($A$1="BL",0,'Peak Hours'!D114*Peak!J115*IS!$B$2)</f>
        <v>0</v>
      </c>
      <c r="E114" s="183">
        <f>IF($A$1="BL",0,'Peak Hours'!E114*Peak!K115*IS!$B$2)</f>
        <v>0</v>
      </c>
      <c r="F114" s="183">
        <f>IF($A$1="BL",0,'Peak Hours'!F114*Peak!L115*IS!$B$2)</f>
        <v>0</v>
      </c>
      <c r="G114" s="183">
        <f>IF($A$1="BL",0,'Peak Hours'!G114*Peak!M115*IS!$B$2)</f>
        <v>0</v>
      </c>
      <c r="H114" s="183">
        <f>IF($A$1="BL",0,'Peak Hours'!H114*Peak!N115*IS!$B$2)</f>
        <v>0</v>
      </c>
      <c r="I114" s="183">
        <f>IF($A$1="BL",0,'Peak Hours'!I114*Peak!O115*IS!$B$2)</f>
        <v>0</v>
      </c>
      <c r="J114" s="183">
        <f>IF($A$1="BL",0,'Peak Hours'!J114*Peak!P115*IS!$B$2)</f>
        <v>0</v>
      </c>
      <c r="K114" s="183">
        <f>IF($A$1="BL",0,'Peak Hours'!K114*Peak!Q115*IS!$B$2)</f>
        <v>0</v>
      </c>
      <c r="L114" s="183">
        <f>IF($A$1="BL",0,'Peak Hours'!L114*Peak!R115*IS!$B$2)</f>
        <v>0</v>
      </c>
      <c r="M114" s="183">
        <f>IF($A$1="BL",0,'Peak Hours'!M114*Peak!S115*IS!$B$2)</f>
        <v>0</v>
      </c>
      <c r="N114" s="183">
        <f>IF($A$1="BL",0,'Peak Hours'!N114*Peak!T115*IS!$B$2)</f>
        <v>0</v>
      </c>
      <c r="O114" s="183">
        <f>IF($A$1="BL",0,'Peak Hours'!O114*Peak!U115*IS!$B$2)</f>
        <v>0</v>
      </c>
      <c r="P114" s="183">
        <f>IF($A$1="BL",0,'Peak Hours'!P114*Peak!V115*IS!$B$2)</f>
        <v>0</v>
      </c>
      <c r="Q114" s="183">
        <f>IF($A$1="BL",0,'Peak Hours'!Q114*Peak!W115*IS!$B$2)</f>
        <v>0</v>
      </c>
      <c r="R114" s="183">
        <f>IF($A$1="BL",0,'Peak Hours'!R114*Peak!X115*IS!$B$2)</f>
        <v>0</v>
      </c>
      <c r="S114" s="183">
        <f>IF($A$1="BL",0,'Peak Hours'!S114*Peak!Y115*IS!$B$2)</f>
        <v>0</v>
      </c>
      <c r="T114" s="183">
        <f>IF($A$1="BL",0,'Peak Hours'!T114*Peak!Z115*IS!$B$2)</f>
        <v>0</v>
      </c>
      <c r="U114" s="183">
        <f>IF($A$1="BL",0,'Peak Hours'!U114*Peak!AA115*IS!$B$2)</f>
        <v>0</v>
      </c>
      <c r="V114" s="213"/>
      <c r="W114" s="211">
        <f>(IF($A$1="BL",0,Peak!C115*'Peak Hours'!V114*IS!$B$2))*-1</f>
        <v>0</v>
      </c>
      <c r="X114" s="213"/>
      <c r="Y114" s="211">
        <f>(IF($A$1="bl",0,Peak!D115*'Peak Hours'!V114*IS!$B$2))*-1</f>
        <v>0</v>
      </c>
      <c r="Z114" s="213"/>
      <c r="AA114" s="211">
        <f>(Peak!E115*'Peak Hours'!V114*IS!$B$2)*-1</f>
        <v>0</v>
      </c>
      <c r="AB114" s="210"/>
      <c r="AC114" s="211">
        <f>(Peak!F115*'Peak Hours'!V114*IS!$B$2)*-1</f>
        <v>0</v>
      </c>
      <c r="AD114" s="210"/>
    </row>
    <row r="115" spans="1:30" x14ac:dyDescent="0.2">
      <c r="A115" s="1">
        <f t="shared" si="1"/>
        <v>39733.785000000134</v>
      </c>
      <c r="B115" s="182">
        <f>IF($A$1="BL",0,'Peak Hours'!B115*Peak!H116*IS!$B$2)</f>
        <v>0</v>
      </c>
      <c r="C115" s="183">
        <f>IF($A$1="BL",0,'Peak Hours'!C115*Peak!I116*IS!$B$2)</f>
        <v>0</v>
      </c>
      <c r="D115" s="183">
        <f>IF($A$1="BL",0,'Peak Hours'!D115*Peak!J116*IS!$B$2)</f>
        <v>0</v>
      </c>
      <c r="E115" s="183">
        <f>IF($A$1="BL",0,'Peak Hours'!E115*Peak!K116*IS!$B$2)</f>
        <v>0</v>
      </c>
      <c r="F115" s="183">
        <f>IF($A$1="BL",0,'Peak Hours'!F115*Peak!L116*IS!$B$2)</f>
        <v>0</v>
      </c>
      <c r="G115" s="183">
        <f>IF($A$1="BL",0,'Peak Hours'!G115*Peak!M116*IS!$B$2)</f>
        <v>0</v>
      </c>
      <c r="H115" s="183">
        <f>IF($A$1="BL",0,'Peak Hours'!H115*Peak!N116*IS!$B$2)</f>
        <v>0</v>
      </c>
      <c r="I115" s="183">
        <f>IF($A$1="BL",0,'Peak Hours'!I115*Peak!O116*IS!$B$2)</f>
        <v>0</v>
      </c>
      <c r="J115" s="183">
        <f>IF($A$1="BL",0,'Peak Hours'!J115*Peak!P116*IS!$B$2)</f>
        <v>0</v>
      </c>
      <c r="K115" s="183">
        <f>IF($A$1="BL",0,'Peak Hours'!K115*Peak!Q116*IS!$B$2)</f>
        <v>0</v>
      </c>
      <c r="L115" s="183">
        <f>IF($A$1="BL",0,'Peak Hours'!L115*Peak!R116*IS!$B$2)</f>
        <v>0</v>
      </c>
      <c r="M115" s="183">
        <f>IF($A$1="BL",0,'Peak Hours'!M115*Peak!S116*IS!$B$2)</f>
        <v>0</v>
      </c>
      <c r="N115" s="183">
        <f>IF($A$1="BL",0,'Peak Hours'!N115*Peak!T116*IS!$B$2)</f>
        <v>0</v>
      </c>
      <c r="O115" s="183">
        <f>IF($A$1="BL",0,'Peak Hours'!O115*Peak!U116*IS!$B$2)</f>
        <v>0</v>
      </c>
      <c r="P115" s="183">
        <f>IF($A$1="BL",0,'Peak Hours'!P115*Peak!V116*IS!$B$2)</f>
        <v>0</v>
      </c>
      <c r="Q115" s="183">
        <f>IF($A$1="BL",0,'Peak Hours'!Q115*Peak!W116*IS!$B$2)</f>
        <v>0</v>
      </c>
      <c r="R115" s="183">
        <f>IF($A$1="BL",0,'Peak Hours'!R115*Peak!X116*IS!$B$2)</f>
        <v>0</v>
      </c>
      <c r="S115" s="183">
        <f>IF($A$1="BL",0,'Peak Hours'!S115*Peak!Y116*IS!$B$2)</f>
        <v>0</v>
      </c>
      <c r="T115" s="183">
        <f>IF($A$1="BL",0,'Peak Hours'!T115*Peak!Z116*IS!$B$2)</f>
        <v>0</v>
      </c>
      <c r="U115" s="183">
        <f>IF($A$1="BL",0,'Peak Hours'!U115*Peak!AA116*IS!$B$2)</f>
        <v>0</v>
      </c>
      <c r="V115" s="213"/>
      <c r="W115" s="211">
        <f>(IF($A$1="BL",0,Peak!C116*'Peak Hours'!V115*IS!$B$2))*-1</f>
        <v>0</v>
      </c>
      <c r="X115" s="213"/>
      <c r="Y115" s="211">
        <f>(IF($A$1="bl",0,Peak!D116*'Peak Hours'!V115*IS!$B$2))*-1</f>
        <v>0</v>
      </c>
      <c r="Z115" s="213"/>
      <c r="AA115" s="211">
        <f>(Peak!E116*'Peak Hours'!V115*IS!$B$2)*-1</f>
        <v>0</v>
      </c>
      <c r="AB115" s="210"/>
      <c r="AC115" s="211">
        <f>(Peak!F116*'Peak Hours'!V115*IS!$B$2)*-1</f>
        <v>0</v>
      </c>
      <c r="AD115" s="210"/>
    </row>
    <row r="116" spans="1:30" x14ac:dyDescent="0.2">
      <c r="A116" s="1">
        <f t="shared" si="1"/>
        <v>39764.202000000136</v>
      </c>
      <c r="B116" s="182">
        <f>IF($A$1="BL",0,'Peak Hours'!B116*Peak!H117*IS!$B$2)</f>
        <v>0</v>
      </c>
      <c r="C116" s="183">
        <f>IF($A$1="BL",0,'Peak Hours'!C116*Peak!I117*IS!$B$2)</f>
        <v>0</v>
      </c>
      <c r="D116" s="183">
        <f>IF($A$1="BL",0,'Peak Hours'!D116*Peak!J117*IS!$B$2)</f>
        <v>0</v>
      </c>
      <c r="E116" s="183">
        <f>IF($A$1="BL",0,'Peak Hours'!E116*Peak!K117*IS!$B$2)</f>
        <v>0</v>
      </c>
      <c r="F116" s="183">
        <f>IF($A$1="BL",0,'Peak Hours'!F116*Peak!L117*IS!$B$2)</f>
        <v>0</v>
      </c>
      <c r="G116" s="183">
        <f>IF($A$1="BL",0,'Peak Hours'!G116*Peak!M117*IS!$B$2)</f>
        <v>0</v>
      </c>
      <c r="H116" s="183">
        <f>IF($A$1="BL",0,'Peak Hours'!H116*Peak!N117*IS!$B$2)</f>
        <v>0</v>
      </c>
      <c r="I116" s="183">
        <f>IF($A$1="BL",0,'Peak Hours'!I116*Peak!O117*IS!$B$2)</f>
        <v>0</v>
      </c>
      <c r="J116" s="183">
        <f>IF($A$1="BL",0,'Peak Hours'!J116*Peak!P117*IS!$B$2)</f>
        <v>0</v>
      </c>
      <c r="K116" s="183">
        <f>IF($A$1="BL",0,'Peak Hours'!K116*Peak!Q117*IS!$B$2)</f>
        <v>0</v>
      </c>
      <c r="L116" s="183">
        <f>IF($A$1="BL",0,'Peak Hours'!L116*Peak!R117*IS!$B$2)</f>
        <v>0</v>
      </c>
      <c r="M116" s="183">
        <f>IF($A$1="BL",0,'Peak Hours'!M116*Peak!S117*IS!$B$2)</f>
        <v>0</v>
      </c>
      <c r="N116" s="183">
        <f>IF($A$1="BL",0,'Peak Hours'!N116*Peak!T117*IS!$B$2)</f>
        <v>0</v>
      </c>
      <c r="O116" s="183">
        <f>IF($A$1="BL",0,'Peak Hours'!O116*Peak!U117*IS!$B$2)</f>
        <v>0</v>
      </c>
      <c r="P116" s="183">
        <f>IF($A$1="BL",0,'Peak Hours'!P116*Peak!V117*IS!$B$2)</f>
        <v>0</v>
      </c>
      <c r="Q116" s="183">
        <f>IF($A$1="BL",0,'Peak Hours'!Q116*Peak!W117*IS!$B$2)</f>
        <v>0</v>
      </c>
      <c r="R116" s="183">
        <f>IF($A$1="BL",0,'Peak Hours'!R116*Peak!X117*IS!$B$2)</f>
        <v>0</v>
      </c>
      <c r="S116" s="183">
        <f>IF($A$1="BL",0,'Peak Hours'!S116*Peak!Y117*IS!$B$2)</f>
        <v>0</v>
      </c>
      <c r="T116" s="183">
        <f>IF($A$1="BL",0,'Peak Hours'!T116*Peak!Z117*IS!$B$2)</f>
        <v>0</v>
      </c>
      <c r="U116" s="183">
        <f>IF($A$1="BL",0,'Peak Hours'!U116*Peak!AA117*IS!$B$2)</f>
        <v>0</v>
      </c>
      <c r="V116" s="213"/>
      <c r="W116" s="211">
        <f>(IF($A$1="BL",0,Peak!C117*'Peak Hours'!V116*IS!$B$2))*-1</f>
        <v>0</v>
      </c>
      <c r="X116" s="213"/>
      <c r="Y116" s="211">
        <f>(IF($A$1="bl",0,Peak!D117*'Peak Hours'!V116*IS!$B$2))*-1</f>
        <v>0</v>
      </c>
      <c r="Z116" s="213"/>
      <c r="AA116" s="211">
        <f>(Peak!E117*'Peak Hours'!V116*IS!$B$2)*-1</f>
        <v>0</v>
      </c>
      <c r="AB116" s="210"/>
      <c r="AC116" s="211">
        <f>(Peak!F117*'Peak Hours'!V116*IS!$B$2)*-1</f>
        <v>0</v>
      </c>
      <c r="AD116" s="210"/>
    </row>
    <row r="117" spans="1:30" x14ac:dyDescent="0.2">
      <c r="A117" s="1">
        <f t="shared" si="1"/>
        <v>39794.619000000137</v>
      </c>
      <c r="B117" s="182">
        <f>IF($A$1="BL",0,'Peak Hours'!B117*Peak!H118*IS!$B$2)</f>
        <v>0</v>
      </c>
      <c r="C117" s="183">
        <f>IF($A$1="BL",0,'Peak Hours'!C117*Peak!I118*IS!$B$2)</f>
        <v>0</v>
      </c>
      <c r="D117" s="183">
        <f>IF($A$1="BL",0,'Peak Hours'!D117*Peak!J118*IS!$B$2)</f>
        <v>0</v>
      </c>
      <c r="E117" s="183">
        <f>IF($A$1="BL",0,'Peak Hours'!E117*Peak!K118*IS!$B$2)</f>
        <v>0</v>
      </c>
      <c r="F117" s="183">
        <f>IF($A$1="BL",0,'Peak Hours'!F117*Peak!L118*IS!$B$2)</f>
        <v>0</v>
      </c>
      <c r="G117" s="183">
        <f>IF($A$1="BL",0,'Peak Hours'!G117*Peak!M118*IS!$B$2)</f>
        <v>0</v>
      </c>
      <c r="H117" s="183">
        <f>IF($A$1="BL",0,'Peak Hours'!H117*Peak!N118*IS!$B$2)</f>
        <v>0</v>
      </c>
      <c r="I117" s="183">
        <f>IF($A$1="BL",0,'Peak Hours'!I117*Peak!O118*IS!$B$2)</f>
        <v>0</v>
      </c>
      <c r="J117" s="183">
        <f>IF($A$1="BL",0,'Peak Hours'!J117*Peak!P118*IS!$B$2)</f>
        <v>0</v>
      </c>
      <c r="K117" s="183">
        <f>IF($A$1="BL",0,'Peak Hours'!K117*Peak!Q118*IS!$B$2)</f>
        <v>0</v>
      </c>
      <c r="L117" s="183">
        <f>IF($A$1="BL",0,'Peak Hours'!L117*Peak!R118*IS!$B$2)</f>
        <v>0</v>
      </c>
      <c r="M117" s="183">
        <f>IF($A$1="BL",0,'Peak Hours'!M117*Peak!S118*IS!$B$2)</f>
        <v>0</v>
      </c>
      <c r="N117" s="183">
        <f>IF($A$1="BL",0,'Peak Hours'!N117*Peak!T118*IS!$B$2)</f>
        <v>0</v>
      </c>
      <c r="O117" s="183">
        <f>IF($A$1="BL",0,'Peak Hours'!O117*Peak!U118*IS!$B$2)</f>
        <v>0</v>
      </c>
      <c r="P117" s="183">
        <f>IF($A$1="BL",0,'Peak Hours'!P117*Peak!V118*IS!$B$2)</f>
        <v>0</v>
      </c>
      <c r="Q117" s="183">
        <f>IF($A$1="BL",0,'Peak Hours'!Q117*Peak!W118*IS!$B$2)</f>
        <v>0</v>
      </c>
      <c r="R117" s="183">
        <f>IF($A$1="BL",0,'Peak Hours'!R117*Peak!X118*IS!$B$2)</f>
        <v>0</v>
      </c>
      <c r="S117" s="183">
        <f>IF($A$1="BL",0,'Peak Hours'!S117*Peak!Y118*IS!$B$2)</f>
        <v>0</v>
      </c>
      <c r="T117" s="183">
        <f>IF($A$1="BL",0,'Peak Hours'!T117*Peak!Z118*IS!$B$2)</f>
        <v>0</v>
      </c>
      <c r="U117" s="183">
        <f>IF($A$1="BL",0,'Peak Hours'!U117*Peak!AA118*IS!$B$2)</f>
        <v>0</v>
      </c>
      <c r="V117" s="214">
        <f>SUM(B106:U117)</f>
        <v>0</v>
      </c>
      <c r="W117" s="211">
        <f>(IF($A$1="BL",0,Peak!C118*'Peak Hours'!V117*IS!$B$2))*-1</f>
        <v>0</v>
      </c>
      <c r="X117" s="214">
        <f>SUM(W106:W117)</f>
        <v>0</v>
      </c>
      <c r="Y117" s="211">
        <f>(IF($A$1="bl",0,Peak!D118*'Peak Hours'!V117*IS!$B$2))*-1</f>
        <v>0</v>
      </c>
      <c r="Z117" s="214">
        <f>SUM(Y106:Y117)</f>
        <v>0</v>
      </c>
      <c r="AA117" s="211">
        <f>(Peak!E118*'Peak Hours'!V117*IS!$B$2)*-1</f>
        <v>0</v>
      </c>
      <c r="AB117" s="211">
        <f>SUM(AA106:AA117)</f>
        <v>0</v>
      </c>
      <c r="AC117" s="211">
        <f>(Peak!F118*'Peak Hours'!V117*IS!$B$2)*-1</f>
        <v>0</v>
      </c>
      <c r="AD117" s="211">
        <f>SUM(AC106:AC117)</f>
        <v>0</v>
      </c>
    </row>
    <row r="118" spans="1:30" x14ac:dyDescent="0.2">
      <c r="A118" s="1">
        <f t="shared" si="1"/>
        <v>39825.036000000138</v>
      </c>
      <c r="B118" s="182">
        <f>IF($A$1="BL",0,'Peak Hours'!B118*Peak!H119*IS!$B$2)</f>
        <v>0</v>
      </c>
      <c r="C118" s="183">
        <f>IF($A$1="BL",0,'Peak Hours'!C118*Peak!I119*IS!$B$2)</f>
        <v>0</v>
      </c>
      <c r="D118" s="183">
        <f>IF($A$1="BL",0,'Peak Hours'!D118*Peak!J119*IS!$B$2)</f>
        <v>0</v>
      </c>
      <c r="E118" s="183">
        <f>IF($A$1="BL",0,'Peak Hours'!E118*Peak!K119*IS!$B$2)</f>
        <v>0</v>
      </c>
      <c r="F118" s="183">
        <f>IF($A$1="BL",0,'Peak Hours'!F118*Peak!L119*IS!$B$2)</f>
        <v>0</v>
      </c>
      <c r="G118" s="183">
        <f>IF($A$1="BL",0,'Peak Hours'!G118*Peak!M119*IS!$B$2)</f>
        <v>0</v>
      </c>
      <c r="H118" s="183">
        <f>IF($A$1="BL",0,'Peak Hours'!H118*Peak!N119*IS!$B$2)</f>
        <v>0</v>
      </c>
      <c r="I118" s="183">
        <f>IF($A$1="BL",0,'Peak Hours'!I118*Peak!O119*IS!$B$2)</f>
        <v>0</v>
      </c>
      <c r="J118" s="183">
        <f>IF($A$1="BL",0,'Peak Hours'!J118*Peak!P119*IS!$B$2)</f>
        <v>0</v>
      </c>
      <c r="K118" s="183">
        <f>IF($A$1="BL",0,'Peak Hours'!K118*Peak!Q119*IS!$B$2)</f>
        <v>0</v>
      </c>
      <c r="L118" s="183">
        <f>IF($A$1="BL",0,'Peak Hours'!L118*Peak!R119*IS!$B$2)</f>
        <v>0</v>
      </c>
      <c r="M118" s="183">
        <f>IF($A$1="BL",0,'Peak Hours'!M118*Peak!S119*IS!$B$2)</f>
        <v>0</v>
      </c>
      <c r="N118" s="183">
        <f>IF($A$1="BL",0,'Peak Hours'!N118*Peak!T119*IS!$B$2)</f>
        <v>0</v>
      </c>
      <c r="O118" s="183">
        <f>IF($A$1="BL",0,'Peak Hours'!O118*Peak!U119*IS!$B$2)</f>
        <v>0</v>
      </c>
      <c r="P118" s="183">
        <f>IF($A$1="BL",0,'Peak Hours'!P118*Peak!V119*IS!$B$2)</f>
        <v>0</v>
      </c>
      <c r="Q118" s="183">
        <f>IF($A$1="BL",0,'Peak Hours'!Q118*Peak!W119*IS!$B$2)</f>
        <v>0</v>
      </c>
      <c r="R118" s="183">
        <f>IF($A$1="BL",0,'Peak Hours'!R118*Peak!X119*IS!$B$2)</f>
        <v>0</v>
      </c>
      <c r="S118" s="183">
        <f>IF($A$1="BL",0,'Peak Hours'!S118*Peak!Y119*IS!$B$2)</f>
        <v>0</v>
      </c>
      <c r="T118" s="183">
        <f>IF($A$1="BL",0,'Peak Hours'!T118*Peak!Z119*IS!$B$2)</f>
        <v>0</v>
      </c>
      <c r="U118" s="183">
        <f>IF($A$1="BL",0,'Peak Hours'!U118*Peak!AA119*IS!$B$2)</f>
        <v>0</v>
      </c>
      <c r="V118" s="213"/>
      <c r="W118" s="211">
        <f>(IF($A$1="BL",0,Peak!C119*'Peak Hours'!V118*IS!$B$2))*-1</f>
        <v>0</v>
      </c>
      <c r="X118" s="213"/>
      <c r="Y118" s="211">
        <f>(IF($A$1="bl",0,Peak!D119*'Peak Hours'!V118*IS!$B$2))*-1</f>
        <v>0</v>
      </c>
      <c r="Z118" s="213"/>
      <c r="AA118" s="211">
        <f>(Peak!E119*'Peak Hours'!V118*IS!$B$2)*-1</f>
        <v>0</v>
      </c>
      <c r="AB118" s="210"/>
      <c r="AC118" s="211">
        <f>(Peak!F119*'Peak Hours'!V118*IS!$B$2)*-1</f>
        <v>0</v>
      </c>
      <c r="AD118" s="210"/>
    </row>
    <row r="119" spans="1:30" x14ac:dyDescent="0.2">
      <c r="A119" s="1">
        <f t="shared" si="1"/>
        <v>39855.45300000014</v>
      </c>
      <c r="B119" s="182">
        <f>IF($A$1="BL",0,'Peak Hours'!B119*Peak!H120*IS!$B$2)</f>
        <v>0</v>
      </c>
      <c r="C119" s="183">
        <f>IF($A$1="BL",0,'Peak Hours'!C119*Peak!I120*IS!$B$2)</f>
        <v>0</v>
      </c>
      <c r="D119" s="183">
        <f>IF($A$1="BL",0,'Peak Hours'!D119*Peak!J120*IS!$B$2)</f>
        <v>0</v>
      </c>
      <c r="E119" s="183">
        <f>IF($A$1="BL",0,'Peak Hours'!E119*Peak!K120*IS!$B$2)</f>
        <v>0</v>
      </c>
      <c r="F119" s="183">
        <f>IF($A$1="BL",0,'Peak Hours'!F119*Peak!L120*IS!$B$2)</f>
        <v>0</v>
      </c>
      <c r="G119" s="183">
        <f>IF($A$1="BL",0,'Peak Hours'!G119*Peak!M120*IS!$B$2)</f>
        <v>0</v>
      </c>
      <c r="H119" s="183">
        <f>IF($A$1="BL",0,'Peak Hours'!H119*Peak!N120*IS!$B$2)</f>
        <v>0</v>
      </c>
      <c r="I119" s="183">
        <f>IF($A$1="BL",0,'Peak Hours'!I119*Peak!O120*IS!$B$2)</f>
        <v>0</v>
      </c>
      <c r="J119" s="183">
        <f>IF($A$1="BL",0,'Peak Hours'!J119*Peak!P120*IS!$B$2)</f>
        <v>0</v>
      </c>
      <c r="K119" s="183">
        <f>IF($A$1="BL",0,'Peak Hours'!K119*Peak!Q120*IS!$B$2)</f>
        <v>0</v>
      </c>
      <c r="L119" s="183">
        <f>IF($A$1="BL",0,'Peak Hours'!L119*Peak!R120*IS!$B$2)</f>
        <v>0</v>
      </c>
      <c r="M119" s="183">
        <f>IF($A$1="BL",0,'Peak Hours'!M119*Peak!S120*IS!$B$2)</f>
        <v>0</v>
      </c>
      <c r="N119" s="183">
        <f>IF($A$1="BL",0,'Peak Hours'!N119*Peak!T120*IS!$B$2)</f>
        <v>0</v>
      </c>
      <c r="O119" s="183">
        <f>IF($A$1="BL",0,'Peak Hours'!O119*Peak!U120*IS!$B$2)</f>
        <v>0</v>
      </c>
      <c r="P119" s="183">
        <f>IF($A$1="BL",0,'Peak Hours'!P119*Peak!V120*IS!$B$2)</f>
        <v>0</v>
      </c>
      <c r="Q119" s="183">
        <f>IF($A$1="BL",0,'Peak Hours'!Q119*Peak!W120*IS!$B$2)</f>
        <v>0</v>
      </c>
      <c r="R119" s="183">
        <f>IF($A$1="BL",0,'Peak Hours'!R119*Peak!X120*IS!$B$2)</f>
        <v>0</v>
      </c>
      <c r="S119" s="183">
        <f>IF($A$1="BL",0,'Peak Hours'!S119*Peak!Y120*IS!$B$2)</f>
        <v>0</v>
      </c>
      <c r="T119" s="183">
        <f>IF($A$1="BL",0,'Peak Hours'!T119*Peak!Z120*IS!$B$2)</f>
        <v>0</v>
      </c>
      <c r="U119" s="183">
        <f>IF($A$1="BL",0,'Peak Hours'!U119*Peak!AA120*IS!$B$2)</f>
        <v>0</v>
      </c>
      <c r="V119" s="213"/>
      <c r="W119" s="211">
        <f>(IF($A$1="BL",0,Peak!C120*'Peak Hours'!V119*IS!$B$2))*-1</f>
        <v>0</v>
      </c>
      <c r="X119" s="213"/>
      <c r="Y119" s="211">
        <f>(IF($A$1="bl",0,Peak!D120*'Peak Hours'!V119*IS!$B$2))*-1</f>
        <v>0</v>
      </c>
      <c r="Z119" s="213"/>
      <c r="AA119" s="211">
        <f>(Peak!E120*'Peak Hours'!V119*IS!$B$2)*-1</f>
        <v>0</v>
      </c>
      <c r="AB119" s="210"/>
      <c r="AC119" s="211">
        <f>(Peak!F120*'Peak Hours'!V119*IS!$B$2)*-1</f>
        <v>0</v>
      </c>
      <c r="AD119" s="210"/>
    </row>
    <row r="120" spans="1:30" x14ac:dyDescent="0.2">
      <c r="A120" s="1">
        <f t="shared" si="1"/>
        <v>39885.870000000141</v>
      </c>
      <c r="B120" s="182">
        <f>IF($A$1="BL",0,'Peak Hours'!B120*Peak!H121*IS!$B$2)</f>
        <v>0</v>
      </c>
      <c r="C120" s="183">
        <f>IF($A$1="BL",0,'Peak Hours'!C120*Peak!I121*IS!$B$2)</f>
        <v>0</v>
      </c>
      <c r="D120" s="183">
        <f>IF($A$1="BL",0,'Peak Hours'!D120*Peak!J121*IS!$B$2)</f>
        <v>0</v>
      </c>
      <c r="E120" s="183">
        <f>IF($A$1="BL",0,'Peak Hours'!E120*Peak!K121*IS!$B$2)</f>
        <v>0</v>
      </c>
      <c r="F120" s="183">
        <f>IF($A$1="BL",0,'Peak Hours'!F120*Peak!L121*IS!$B$2)</f>
        <v>0</v>
      </c>
      <c r="G120" s="183">
        <f>IF($A$1="BL",0,'Peak Hours'!G120*Peak!M121*IS!$B$2)</f>
        <v>0</v>
      </c>
      <c r="H120" s="183">
        <f>IF($A$1="BL",0,'Peak Hours'!H120*Peak!N121*IS!$B$2)</f>
        <v>0</v>
      </c>
      <c r="I120" s="183">
        <f>IF($A$1="BL",0,'Peak Hours'!I120*Peak!O121*IS!$B$2)</f>
        <v>0</v>
      </c>
      <c r="J120" s="183">
        <f>IF($A$1="BL",0,'Peak Hours'!J120*Peak!P121*IS!$B$2)</f>
        <v>0</v>
      </c>
      <c r="K120" s="183">
        <f>IF($A$1="BL",0,'Peak Hours'!K120*Peak!Q121*IS!$B$2)</f>
        <v>0</v>
      </c>
      <c r="L120" s="183">
        <f>IF($A$1="BL",0,'Peak Hours'!L120*Peak!R121*IS!$B$2)</f>
        <v>0</v>
      </c>
      <c r="M120" s="183">
        <f>IF($A$1="BL",0,'Peak Hours'!M120*Peak!S121*IS!$B$2)</f>
        <v>0</v>
      </c>
      <c r="N120" s="183">
        <f>IF($A$1="BL",0,'Peak Hours'!N120*Peak!T121*IS!$B$2)</f>
        <v>0</v>
      </c>
      <c r="O120" s="183">
        <f>IF($A$1="BL",0,'Peak Hours'!O120*Peak!U121*IS!$B$2)</f>
        <v>0</v>
      </c>
      <c r="P120" s="183">
        <f>IF($A$1="BL",0,'Peak Hours'!P120*Peak!V121*IS!$B$2)</f>
        <v>0</v>
      </c>
      <c r="Q120" s="183">
        <f>IF($A$1="BL",0,'Peak Hours'!Q120*Peak!W121*IS!$B$2)</f>
        <v>0</v>
      </c>
      <c r="R120" s="183">
        <f>IF($A$1="BL",0,'Peak Hours'!R120*Peak!X121*IS!$B$2)</f>
        <v>0</v>
      </c>
      <c r="S120" s="183">
        <f>IF($A$1="BL",0,'Peak Hours'!S120*Peak!Y121*IS!$B$2)</f>
        <v>0</v>
      </c>
      <c r="T120" s="183">
        <f>IF($A$1="BL",0,'Peak Hours'!T120*Peak!Z121*IS!$B$2)</f>
        <v>0</v>
      </c>
      <c r="U120" s="183">
        <f>IF($A$1="BL",0,'Peak Hours'!U120*Peak!AA121*IS!$B$2)</f>
        <v>0</v>
      </c>
      <c r="V120" s="213"/>
      <c r="W120" s="211">
        <f>(IF($A$1="BL",0,Peak!C121*'Peak Hours'!V120*IS!$B$2))*-1</f>
        <v>0</v>
      </c>
      <c r="X120" s="213"/>
      <c r="Y120" s="211">
        <f>(IF($A$1="bl",0,Peak!D121*'Peak Hours'!V120*IS!$B$2))*-1</f>
        <v>0</v>
      </c>
      <c r="Z120" s="213"/>
      <c r="AA120" s="211">
        <f>(Peak!E121*'Peak Hours'!V120*IS!$B$2)*-1</f>
        <v>0</v>
      </c>
      <c r="AB120" s="210"/>
      <c r="AC120" s="211">
        <f>(Peak!F121*'Peak Hours'!V120*IS!$B$2)*-1</f>
        <v>0</v>
      </c>
      <c r="AD120" s="210"/>
    </row>
    <row r="121" spans="1:30" x14ac:dyDescent="0.2">
      <c r="A121" s="1">
        <f t="shared" si="1"/>
        <v>39916.287000000142</v>
      </c>
      <c r="B121" s="182">
        <f>IF($A$1="BL",0,'Peak Hours'!B121*Peak!H122*IS!$B$2)</f>
        <v>0</v>
      </c>
      <c r="C121" s="183">
        <f>IF($A$1="BL",0,'Peak Hours'!C121*Peak!I122*IS!$B$2)</f>
        <v>0</v>
      </c>
      <c r="D121" s="183">
        <f>IF($A$1="BL",0,'Peak Hours'!D121*Peak!J122*IS!$B$2)</f>
        <v>0</v>
      </c>
      <c r="E121" s="183">
        <f>IF($A$1="BL",0,'Peak Hours'!E121*Peak!K122*IS!$B$2)</f>
        <v>0</v>
      </c>
      <c r="F121" s="183">
        <f>IF($A$1="BL",0,'Peak Hours'!F121*Peak!L122*IS!$B$2)</f>
        <v>0</v>
      </c>
      <c r="G121" s="183">
        <f>IF($A$1="BL",0,'Peak Hours'!G121*Peak!M122*IS!$B$2)</f>
        <v>0</v>
      </c>
      <c r="H121" s="183">
        <f>IF($A$1="BL",0,'Peak Hours'!H121*Peak!N122*IS!$B$2)</f>
        <v>0</v>
      </c>
      <c r="I121" s="183">
        <f>IF($A$1="BL",0,'Peak Hours'!I121*Peak!O122*IS!$B$2)</f>
        <v>0</v>
      </c>
      <c r="J121" s="183">
        <f>IF($A$1="BL",0,'Peak Hours'!J121*Peak!P122*IS!$B$2)</f>
        <v>0</v>
      </c>
      <c r="K121" s="183">
        <f>IF($A$1="BL",0,'Peak Hours'!K121*Peak!Q122*IS!$B$2)</f>
        <v>0</v>
      </c>
      <c r="L121" s="183">
        <f>IF($A$1="BL",0,'Peak Hours'!L121*Peak!R122*IS!$B$2)</f>
        <v>0</v>
      </c>
      <c r="M121" s="183">
        <f>IF($A$1="BL",0,'Peak Hours'!M121*Peak!S122*IS!$B$2)</f>
        <v>0</v>
      </c>
      <c r="N121" s="183">
        <f>IF($A$1="BL",0,'Peak Hours'!N121*Peak!T122*IS!$B$2)</f>
        <v>0</v>
      </c>
      <c r="O121" s="183">
        <f>IF($A$1="BL",0,'Peak Hours'!O121*Peak!U122*IS!$B$2)</f>
        <v>0</v>
      </c>
      <c r="P121" s="183">
        <f>IF($A$1="BL",0,'Peak Hours'!P121*Peak!V122*IS!$B$2)</f>
        <v>0</v>
      </c>
      <c r="Q121" s="183">
        <f>IF($A$1="BL",0,'Peak Hours'!Q121*Peak!W122*IS!$B$2)</f>
        <v>0</v>
      </c>
      <c r="R121" s="183">
        <f>IF($A$1="BL",0,'Peak Hours'!R121*Peak!X122*IS!$B$2)</f>
        <v>0</v>
      </c>
      <c r="S121" s="183">
        <f>IF($A$1="BL",0,'Peak Hours'!S121*Peak!Y122*IS!$B$2)</f>
        <v>0</v>
      </c>
      <c r="T121" s="183">
        <f>IF($A$1="BL",0,'Peak Hours'!T121*Peak!Z122*IS!$B$2)</f>
        <v>0</v>
      </c>
      <c r="U121" s="183">
        <f>IF($A$1="BL",0,'Peak Hours'!U121*Peak!AA122*IS!$B$2)</f>
        <v>0</v>
      </c>
      <c r="V121" s="213"/>
      <c r="W121" s="211">
        <f>(IF($A$1="BL",0,Peak!C122*'Peak Hours'!V121*IS!$B$2))*-1</f>
        <v>0</v>
      </c>
      <c r="X121" s="213"/>
      <c r="Y121" s="211">
        <f>(IF($A$1="bl",0,Peak!D122*'Peak Hours'!V121*IS!$B$2))*-1</f>
        <v>0</v>
      </c>
      <c r="Z121" s="213"/>
      <c r="AA121" s="211">
        <f>(Peak!E122*'Peak Hours'!V121*IS!$B$2)*-1</f>
        <v>0</v>
      </c>
      <c r="AB121" s="210"/>
      <c r="AC121" s="211">
        <f>(Peak!F122*'Peak Hours'!V121*IS!$B$2)*-1</f>
        <v>0</v>
      </c>
      <c r="AD121" s="210"/>
    </row>
    <row r="122" spans="1:30" x14ac:dyDescent="0.2">
      <c r="A122" s="1">
        <f t="shared" si="1"/>
        <v>39946.704000000143</v>
      </c>
      <c r="B122" s="182">
        <f>IF($A$1="BL",0,'Peak Hours'!B122*Peak!H123*IS!$B$2)</f>
        <v>0</v>
      </c>
      <c r="C122" s="183">
        <f>IF($A$1="BL",0,'Peak Hours'!C122*Peak!I123*IS!$B$2)</f>
        <v>0</v>
      </c>
      <c r="D122" s="183">
        <f>IF($A$1="BL",0,'Peak Hours'!D122*Peak!J123*IS!$B$2)</f>
        <v>0</v>
      </c>
      <c r="E122" s="183">
        <f>IF($A$1="BL",0,'Peak Hours'!E122*Peak!K123*IS!$B$2)</f>
        <v>0</v>
      </c>
      <c r="F122" s="183">
        <f>IF($A$1="BL",0,'Peak Hours'!F122*Peak!L123*IS!$B$2)</f>
        <v>0</v>
      </c>
      <c r="G122" s="183">
        <f>IF($A$1="BL",0,'Peak Hours'!G122*Peak!M123*IS!$B$2)</f>
        <v>0</v>
      </c>
      <c r="H122" s="183">
        <f>IF($A$1="BL",0,'Peak Hours'!H122*Peak!N123*IS!$B$2)</f>
        <v>0</v>
      </c>
      <c r="I122" s="183">
        <f>IF($A$1="BL",0,'Peak Hours'!I122*Peak!O123*IS!$B$2)</f>
        <v>0</v>
      </c>
      <c r="J122" s="183">
        <f>IF($A$1="BL",0,'Peak Hours'!J122*Peak!P123*IS!$B$2)</f>
        <v>0</v>
      </c>
      <c r="K122" s="183">
        <f>IF($A$1="BL",0,'Peak Hours'!K122*Peak!Q123*IS!$B$2)</f>
        <v>0</v>
      </c>
      <c r="L122" s="183">
        <f>IF($A$1="BL",0,'Peak Hours'!L122*Peak!R123*IS!$B$2)</f>
        <v>0</v>
      </c>
      <c r="M122" s="183">
        <f>IF($A$1="BL",0,'Peak Hours'!M122*Peak!S123*IS!$B$2)</f>
        <v>0</v>
      </c>
      <c r="N122" s="183">
        <f>IF($A$1="BL",0,'Peak Hours'!N122*Peak!T123*IS!$B$2)</f>
        <v>0</v>
      </c>
      <c r="O122" s="183">
        <f>IF($A$1="BL",0,'Peak Hours'!O122*Peak!U123*IS!$B$2)</f>
        <v>0</v>
      </c>
      <c r="P122" s="183">
        <f>IF($A$1="BL",0,'Peak Hours'!P122*Peak!V123*IS!$B$2)</f>
        <v>0</v>
      </c>
      <c r="Q122" s="183">
        <f>IF($A$1="BL",0,'Peak Hours'!Q122*Peak!W123*IS!$B$2)</f>
        <v>0</v>
      </c>
      <c r="R122" s="183">
        <f>IF($A$1="BL",0,'Peak Hours'!R122*Peak!X123*IS!$B$2)</f>
        <v>0</v>
      </c>
      <c r="S122" s="183">
        <f>IF($A$1="BL",0,'Peak Hours'!S122*Peak!Y123*IS!$B$2)</f>
        <v>0</v>
      </c>
      <c r="T122" s="183">
        <f>IF($A$1="BL",0,'Peak Hours'!T122*Peak!Z123*IS!$B$2)</f>
        <v>0</v>
      </c>
      <c r="U122" s="183">
        <f>IF($A$1="BL",0,'Peak Hours'!U122*Peak!AA123*IS!$B$2)</f>
        <v>0</v>
      </c>
      <c r="V122" s="213"/>
      <c r="W122" s="211">
        <f>(IF($A$1="BL",0,Peak!C123*'Peak Hours'!V122*IS!$B$2))*-1</f>
        <v>0</v>
      </c>
      <c r="X122" s="213"/>
      <c r="Y122" s="211">
        <f>(IF($A$1="bl",0,Peak!D123*'Peak Hours'!V122*IS!$B$2))*-1</f>
        <v>0</v>
      </c>
      <c r="Z122" s="213"/>
      <c r="AA122" s="211">
        <f>(Peak!E123*'Peak Hours'!V122*IS!$B$2)*-1</f>
        <v>0</v>
      </c>
      <c r="AB122" s="210"/>
      <c r="AC122" s="211">
        <f>(Peak!F123*'Peak Hours'!V122*IS!$B$2)*-1</f>
        <v>0</v>
      </c>
      <c r="AD122" s="210"/>
    </row>
    <row r="123" spans="1:30" x14ac:dyDescent="0.2">
      <c r="A123" s="1">
        <f t="shared" si="1"/>
        <v>39977.121000000145</v>
      </c>
      <c r="B123" s="182">
        <f>IF($A$1="BL",0,'Peak Hours'!B123*Peak!H124*IS!$B$2)</f>
        <v>0</v>
      </c>
      <c r="C123" s="183">
        <f>IF($A$1="BL",0,'Peak Hours'!C123*Peak!I124*IS!$B$2)</f>
        <v>0</v>
      </c>
      <c r="D123" s="183">
        <f>IF($A$1="BL",0,'Peak Hours'!D123*Peak!J124*IS!$B$2)</f>
        <v>0</v>
      </c>
      <c r="E123" s="183">
        <f>IF($A$1="BL",0,'Peak Hours'!E123*Peak!K124*IS!$B$2)</f>
        <v>0</v>
      </c>
      <c r="F123" s="183">
        <f>IF($A$1="BL",0,'Peak Hours'!F123*Peak!L124*IS!$B$2)</f>
        <v>0</v>
      </c>
      <c r="G123" s="183">
        <f>IF($A$1="BL",0,'Peak Hours'!G123*Peak!M124*IS!$B$2)</f>
        <v>0</v>
      </c>
      <c r="H123" s="183">
        <f>IF($A$1="BL",0,'Peak Hours'!H123*Peak!N124*IS!$B$2)</f>
        <v>0</v>
      </c>
      <c r="I123" s="183">
        <f>IF($A$1="BL",0,'Peak Hours'!I123*Peak!O124*IS!$B$2)</f>
        <v>0</v>
      </c>
      <c r="J123" s="183">
        <f>IF($A$1="BL",0,'Peak Hours'!J123*Peak!P124*IS!$B$2)</f>
        <v>0</v>
      </c>
      <c r="K123" s="183">
        <f>IF($A$1="BL",0,'Peak Hours'!K123*Peak!Q124*IS!$B$2)</f>
        <v>0</v>
      </c>
      <c r="L123" s="183">
        <f>IF($A$1="BL",0,'Peak Hours'!L123*Peak!R124*IS!$B$2)</f>
        <v>0</v>
      </c>
      <c r="M123" s="183">
        <f>IF($A$1="BL",0,'Peak Hours'!M123*Peak!S124*IS!$B$2)</f>
        <v>0</v>
      </c>
      <c r="N123" s="183">
        <f>IF($A$1="BL",0,'Peak Hours'!N123*Peak!T124*IS!$B$2)</f>
        <v>0</v>
      </c>
      <c r="O123" s="183">
        <f>IF($A$1="BL",0,'Peak Hours'!O123*Peak!U124*IS!$B$2)</f>
        <v>0</v>
      </c>
      <c r="P123" s="183">
        <f>IF($A$1="BL",0,'Peak Hours'!P123*Peak!V124*IS!$B$2)</f>
        <v>0</v>
      </c>
      <c r="Q123" s="183">
        <f>IF($A$1="BL",0,'Peak Hours'!Q123*Peak!W124*IS!$B$2)</f>
        <v>0</v>
      </c>
      <c r="R123" s="183">
        <f>IF($A$1="BL",0,'Peak Hours'!R123*Peak!X124*IS!$B$2)</f>
        <v>0</v>
      </c>
      <c r="S123" s="183">
        <f>IF($A$1="BL",0,'Peak Hours'!S123*Peak!Y124*IS!$B$2)</f>
        <v>0</v>
      </c>
      <c r="T123" s="183">
        <f>IF($A$1="BL",0,'Peak Hours'!T123*Peak!Z124*IS!$B$2)</f>
        <v>0</v>
      </c>
      <c r="U123" s="183">
        <f>IF($A$1="BL",0,'Peak Hours'!U123*Peak!AA124*IS!$B$2)</f>
        <v>0</v>
      </c>
      <c r="V123" s="213"/>
      <c r="W123" s="211">
        <f>(IF($A$1="BL",0,Peak!C124*'Peak Hours'!V123*IS!$B$2))*-1</f>
        <v>0</v>
      </c>
      <c r="X123" s="213"/>
      <c r="Y123" s="211">
        <f>(IF($A$1="bl",0,Peak!D124*'Peak Hours'!V123*IS!$B$2))*-1</f>
        <v>0</v>
      </c>
      <c r="Z123" s="213"/>
      <c r="AA123" s="211">
        <f>(Peak!E124*'Peak Hours'!V123*IS!$B$2)*-1</f>
        <v>0</v>
      </c>
      <c r="AB123" s="210"/>
      <c r="AC123" s="211">
        <f>(Peak!F124*'Peak Hours'!V123*IS!$B$2)*-1</f>
        <v>0</v>
      </c>
      <c r="AD123" s="210"/>
    </row>
    <row r="124" spans="1:30" x14ac:dyDescent="0.2">
      <c r="A124" s="1">
        <f t="shared" si="1"/>
        <v>40007.538000000146</v>
      </c>
      <c r="B124" s="182">
        <f>IF($A$1="BL",0,'Peak Hours'!B124*Peak!H125*IS!$B$2)</f>
        <v>0</v>
      </c>
      <c r="C124" s="183">
        <f>IF($A$1="BL",0,'Peak Hours'!C124*Peak!I125*IS!$B$2)</f>
        <v>0</v>
      </c>
      <c r="D124" s="183">
        <f>IF($A$1="BL",0,'Peak Hours'!D124*Peak!J125*IS!$B$2)</f>
        <v>0</v>
      </c>
      <c r="E124" s="183">
        <f>IF($A$1="BL",0,'Peak Hours'!E124*Peak!K125*IS!$B$2)</f>
        <v>0</v>
      </c>
      <c r="F124" s="183">
        <f>IF($A$1="BL",0,'Peak Hours'!F124*Peak!L125*IS!$B$2)</f>
        <v>0</v>
      </c>
      <c r="G124" s="183">
        <f>IF($A$1="BL",0,'Peak Hours'!G124*Peak!M125*IS!$B$2)</f>
        <v>0</v>
      </c>
      <c r="H124" s="183">
        <f>IF($A$1="BL",0,'Peak Hours'!H124*Peak!N125*IS!$B$2)</f>
        <v>0</v>
      </c>
      <c r="I124" s="183">
        <f>IF($A$1="BL",0,'Peak Hours'!I124*Peak!O125*IS!$B$2)</f>
        <v>0</v>
      </c>
      <c r="J124" s="183">
        <f>IF($A$1="BL",0,'Peak Hours'!J124*Peak!P125*IS!$B$2)</f>
        <v>0</v>
      </c>
      <c r="K124" s="183">
        <f>IF($A$1="BL",0,'Peak Hours'!K124*Peak!Q125*IS!$B$2)</f>
        <v>0</v>
      </c>
      <c r="L124" s="183">
        <f>IF($A$1="BL",0,'Peak Hours'!L124*Peak!R125*IS!$B$2)</f>
        <v>0</v>
      </c>
      <c r="M124" s="183">
        <f>IF($A$1="BL",0,'Peak Hours'!M124*Peak!S125*IS!$B$2)</f>
        <v>0</v>
      </c>
      <c r="N124" s="183">
        <f>IF($A$1="BL",0,'Peak Hours'!N124*Peak!T125*IS!$B$2)</f>
        <v>0</v>
      </c>
      <c r="O124" s="183">
        <f>IF($A$1="BL",0,'Peak Hours'!O124*Peak!U125*IS!$B$2)</f>
        <v>0</v>
      </c>
      <c r="P124" s="183">
        <f>IF($A$1="BL",0,'Peak Hours'!P124*Peak!V125*IS!$B$2)</f>
        <v>0</v>
      </c>
      <c r="Q124" s="183">
        <f>IF($A$1="BL",0,'Peak Hours'!Q124*Peak!W125*IS!$B$2)</f>
        <v>0</v>
      </c>
      <c r="R124" s="183">
        <f>IF($A$1="BL",0,'Peak Hours'!R124*Peak!X125*IS!$B$2)</f>
        <v>0</v>
      </c>
      <c r="S124" s="183">
        <f>IF($A$1="BL",0,'Peak Hours'!S124*Peak!Y125*IS!$B$2)</f>
        <v>0</v>
      </c>
      <c r="T124" s="183">
        <f>IF($A$1="BL",0,'Peak Hours'!T124*Peak!Z125*IS!$B$2)</f>
        <v>0</v>
      </c>
      <c r="U124" s="183">
        <f>IF($A$1="BL",0,'Peak Hours'!U124*Peak!AA125*IS!$B$2)</f>
        <v>0</v>
      </c>
      <c r="V124" s="213"/>
      <c r="W124" s="211">
        <f>(IF($A$1="BL",0,Peak!C125*'Peak Hours'!V124*IS!$B$2))*-1</f>
        <v>0</v>
      </c>
      <c r="X124" s="213"/>
      <c r="Y124" s="211">
        <f>(IF($A$1="bl",0,Peak!D125*'Peak Hours'!V124*IS!$B$2))*-1</f>
        <v>0</v>
      </c>
      <c r="Z124" s="213"/>
      <c r="AA124" s="211">
        <f>(Peak!E125*'Peak Hours'!V124*IS!$B$2)*-1</f>
        <v>0</v>
      </c>
      <c r="AB124" s="210"/>
      <c r="AC124" s="211">
        <f>(Peak!F125*'Peak Hours'!V124*IS!$B$2)*-1</f>
        <v>0</v>
      </c>
      <c r="AD124" s="210"/>
    </row>
    <row r="125" spans="1:30" x14ac:dyDescent="0.2">
      <c r="A125" s="1">
        <f t="shared" si="1"/>
        <v>40037.955000000147</v>
      </c>
      <c r="B125" s="182">
        <f>IF($A$1="BL",0,'Peak Hours'!B125*Peak!H126*IS!$B$2)</f>
        <v>0</v>
      </c>
      <c r="C125" s="183">
        <f>IF($A$1="BL",0,'Peak Hours'!C125*Peak!I126*IS!$B$2)</f>
        <v>0</v>
      </c>
      <c r="D125" s="183">
        <f>IF($A$1="BL",0,'Peak Hours'!D125*Peak!J126*IS!$B$2)</f>
        <v>0</v>
      </c>
      <c r="E125" s="183">
        <f>IF($A$1="BL",0,'Peak Hours'!E125*Peak!K126*IS!$B$2)</f>
        <v>0</v>
      </c>
      <c r="F125" s="183">
        <f>IF($A$1="BL",0,'Peak Hours'!F125*Peak!L126*IS!$B$2)</f>
        <v>0</v>
      </c>
      <c r="G125" s="183">
        <f>IF($A$1="BL",0,'Peak Hours'!G125*Peak!M126*IS!$B$2)</f>
        <v>0</v>
      </c>
      <c r="H125" s="183">
        <f>IF($A$1="BL",0,'Peak Hours'!H125*Peak!N126*IS!$B$2)</f>
        <v>0</v>
      </c>
      <c r="I125" s="183">
        <f>IF($A$1="BL",0,'Peak Hours'!I125*Peak!O126*IS!$B$2)</f>
        <v>0</v>
      </c>
      <c r="J125" s="183">
        <f>IF($A$1="BL",0,'Peak Hours'!J125*Peak!P126*IS!$B$2)</f>
        <v>0</v>
      </c>
      <c r="K125" s="183">
        <f>IF($A$1="BL",0,'Peak Hours'!K125*Peak!Q126*IS!$B$2)</f>
        <v>0</v>
      </c>
      <c r="L125" s="183">
        <f>IF($A$1="BL",0,'Peak Hours'!L125*Peak!R126*IS!$B$2)</f>
        <v>0</v>
      </c>
      <c r="M125" s="183">
        <f>IF($A$1="BL",0,'Peak Hours'!M125*Peak!S126*IS!$B$2)</f>
        <v>0</v>
      </c>
      <c r="N125" s="183">
        <f>IF($A$1="BL",0,'Peak Hours'!N125*Peak!T126*IS!$B$2)</f>
        <v>0</v>
      </c>
      <c r="O125" s="183">
        <f>IF($A$1="BL",0,'Peak Hours'!O125*Peak!U126*IS!$B$2)</f>
        <v>0</v>
      </c>
      <c r="P125" s="183">
        <f>IF($A$1="BL",0,'Peak Hours'!P125*Peak!V126*IS!$B$2)</f>
        <v>0</v>
      </c>
      <c r="Q125" s="183">
        <f>IF($A$1="BL",0,'Peak Hours'!Q125*Peak!W126*IS!$B$2)</f>
        <v>0</v>
      </c>
      <c r="R125" s="183">
        <f>IF($A$1="BL",0,'Peak Hours'!R125*Peak!X126*IS!$B$2)</f>
        <v>0</v>
      </c>
      <c r="S125" s="183">
        <f>IF($A$1="BL",0,'Peak Hours'!S125*Peak!Y126*IS!$B$2)</f>
        <v>0</v>
      </c>
      <c r="T125" s="183">
        <f>IF($A$1="BL",0,'Peak Hours'!T125*Peak!Z126*IS!$B$2)</f>
        <v>0</v>
      </c>
      <c r="U125" s="183">
        <f>IF($A$1="BL",0,'Peak Hours'!U125*Peak!AA126*IS!$B$2)</f>
        <v>0</v>
      </c>
      <c r="V125" s="213"/>
      <c r="W125" s="211">
        <f>(IF($A$1="BL",0,Peak!C126*'Peak Hours'!V125*IS!$B$2))*-1</f>
        <v>0</v>
      </c>
      <c r="X125" s="213"/>
      <c r="Y125" s="211">
        <f>(IF($A$1="bl",0,Peak!D126*'Peak Hours'!V125*IS!$B$2))*-1</f>
        <v>0</v>
      </c>
      <c r="Z125" s="213"/>
      <c r="AA125" s="211">
        <f>(Peak!E126*'Peak Hours'!V125*IS!$B$2)*-1</f>
        <v>0</v>
      </c>
      <c r="AB125" s="210"/>
      <c r="AC125" s="211">
        <f>(Peak!F126*'Peak Hours'!V125*IS!$B$2)*-1</f>
        <v>0</v>
      </c>
      <c r="AD125" s="210"/>
    </row>
    <row r="126" spans="1:30" x14ac:dyDescent="0.2">
      <c r="A126" s="1">
        <f t="shared" si="1"/>
        <v>40068.372000000149</v>
      </c>
      <c r="B126" s="182">
        <f>IF($A$1="BL",0,'Peak Hours'!B126*Peak!H127*IS!$B$2)</f>
        <v>0</v>
      </c>
      <c r="C126" s="183">
        <f>IF($A$1="BL",0,'Peak Hours'!C126*Peak!I127*IS!$B$2)</f>
        <v>0</v>
      </c>
      <c r="D126" s="183">
        <f>IF($A$1="BL",0,'Peak Hours'!D126*Peak!J127*IS!$B$2)</f>
        <v>0</v>
      </c>
      <c r="E126" s="183">
        <f>IF($A$1="BL",0,'Peak Hours'!E126*Peak!K127*IS!$B$2)</f>
        <v>0</v>
      </c>
      <c r="F126" s="183">
        <f>IF($A$1="BL",0,'Peak Hours'!F126*Peak!L127*IS!$B$2)</f>
        <v>0</v>
      </c>
      <c r="G126" s="183">
        <f>IF($A$1="BL",0,'Peak Hours'!G126*Peak!M127*IS!$B$2)</f>
        <v>0</v>
      </c>
      <c r="H126" s="183">
        <f>IF($A$1="BL",0,'Peak Hours'!H126*Peak!N127*IS!$B$2)</f>
        <v>0</v>
      </c>
      <c r="I126" s="183">
        <f>IF($A$1="BL",0,'Peak Hours'!I126*Peak!O127*IS!$B$2)</f>
        <v>0</v>
      </c>
      <c r="J126" s="183">
        <f>IF($A$1="BL",0,'Peak Hours'!J126*Peak!P127*IS!$B$2)</f>
        <v>0</v>
      </c>
      <c r="K126" s="183">
        <f>IF($A$1="BL",0,'Peak Hours'!K126*Peak!Q127*IS!$B$2)</f>
        <v>0</v>
      </c>
      <c r="L126" s="183">
        <f>IF($A$1="BL",0,'Peak Hours'!L126*Peak!R127*IS!$B$2)</f>
        <v>0</v>
      </c>
      <c r="M126" s="183">
        <f>IF($A$1="BL",0,'Peak Hours'!M126*Peak!S127*IS!$B$2)</f>
        <v>0</v>
      </c>
      <c r="N126" s="183">
        <f>IF($A$1="BL",0,'Peak Hours'!N126*Peak!T127*IS!$B$2)</f>
        <v>0</v>
      </c>
      <c r="O126" s="183">
        <f>IF($A$1="BL",0,'Peak Hours'!O126*Peak!U127*IS!$B$2)</f>
        <v>0</v>
      </c>
      <c r="P126" s="183">
        <f>IF($A$1="BL",0,'Peak Hours'!P126*Peak!V127*IS!$B$2)</f>
        <v>0</v>
      </c>
      <c r="Q126" s="183">
        <f>IF($A$1="BL",0,'Peak Hours'!Q126*Peak!W127*IS!$B$2)</f>
        <v>0</v>
      </c>
      <c r="R126" s="183">
        <f>IF($A$1="BL",0,'Peak Hours'!R126*Peak!X127*IS!$B$2)</f>
        <v>0</v>
      </c>
      <c r="S126" s="183">
        <f>IF($A$1="BL",0,'Peak Hours'!S126*Peak!Y127*IS!$B$2)</f>
        <v>0</v>
      </c>
      <c r="T126" s="183">
        <f>IF($A$1="BL",0,'Peak Hours'!T126*Peak!Z127*IS!$B$2)</f>
        <v>0</v>
      </c>
      <c r="U126" s="183">
        <f>IF($A$1="BL",0,'Peak Hours'!U126*Peak!AA127*IS!$B$2)</f>
        <v>0</v>
      </c>
      <c r="V126" s="213"/>
      <c r="W126" s="211">
        <f>(IF($A$1="BL",0,Peak!C127*'Peak Hours'!V126*IS!$B$2))*-1</f>
        <v>0</v>
      </c>
      <c r="X126" s="213"/>
      <c r="Y126" s="211">
        <f>(IF($A$1="bl",0,Peak!D127*'Peak Hours'!V126*IS!$B$2))*-1</f>
        <v>0</v>
      </c>
      <c r="Z126" s="213"/>
      <c r="AA126" s="211">
        <f>(Peak!E127*'Peak Hours'!V126*IS!$B$2)*-1</f>
        <v>0</v>
      </c>
      <c r="AB126" s="210"/>
      <c r="AC126" s="211">
        <f>(Peak!F127*'Peak Hours'!V126*IS!$B$2)*-1</f>
        <v>0</v>
      </c>
      <c r="AD126" s="210"/>
    </row>
    <row r="127" spans="1:30" x14ac:dyDescent="0.2">
      <c r="A127" s="1">
        <f t="shared" si="1"/>
        <v>40098.78900000015</v>
      </c>
      <c r="B127" s="182">
        <f>IF($A$1="BL",0,'Peak Hours'!B127*Peak!H128*IS!$B$2)</f>
        <v>0</v>
      </c>
      <c r="C127" s="183">
        <f>IF($A$1="BL",0,'Peak Hours'!C127*Peak!I128*IS!$B$2)</f>
        <v>0</v>
      </c>
      <c r="D127" s="183">
        <f>IF($A$1="BL",0,'Peak Hours'!D127*Peak!J128*IS!$B$2)</f>
        <v>0</v>
      </c>
      <c r="E127" s="183">
        <f>IF($A$1="BL",0,'Peak Hours'!E127*Peak!K128*IS!$B$2)</f>
        <v>0</v>
      </c>
      <c r="F127" s="183">
        <f>IF($A$1="BL",0,'Peak Hours'!F127*Peak!L128*IS!$B$2)</f>
        <v>0</v>
      </c>
      <c r="G127" s="183">
        <f>IF($A$1="BL",0,'Peak Hours'!G127*Peak!M128*IS!$B$2)</f>
        <v>0</v>
      </c>
      <c r="H127" s="183">
        <f>IF($A$1="BL",0,'Peak Hours'!H127*Peak!N128*IS!$B$2)</f>
        <v>0</v>
      </c>
      <c r="I127" s="183">
        <f>IF($A$1="BL",0,'Peak Hours'!I127*Peak!O128*IS!$B$2)</f>
        <v>0</v>
      </c>
      <c r="J127" s="183">
        <f>IF($A$1="BL",0,'Peak Hours'!J127*Peak!P128*IS!$B$2)</f>
        <v>0</v>
      </c>
      <c r="K127" s="183">
        <f>IF($A$1="BL",0,'Peak Hours'!K127*Peak!Q128*IS!$B$2)</f>
        <v>0</v>
      </c>
      <c r="L127" s="183">
        <f>IF($A$1="BL",0,'Peak Hours'!L127*Peak!R128*IS!$B$2)</f>
        <v>0</v>
      </c>
      <c r="M127" s="183">
        <f>IF($A$1="BL",0,'Peak Hours'!M127*Peak!S128*IS!$B$2)</f>
        <v>0</v>
      </c>
      <c r="N127" s="183">
        <f>IF($A$1="BL",0,'Peak Hours'!N127*Peak!T128*IS!$B$2)</f>
        <v>0</v>
      </c>
      <c r="O127" s="183">
        <f>IF($A$1="BL",0,'Peak Hours'!O127*Peak!U128*IS!$B$2)</f>
        <v>0</v>
      </c>
      <c r="P127" s="183">
        <f>IF($A$1="BL",0,'Peak Hours'!P127*Peak!V128*IS!$B$2)</f>
        <v>0</v>
      </c>
      <c r="Q127" s="183">
        <f>IF($A$1="BL",0,'Peak Hours'!Q127*Peak!W128*IS!$B$2)</f>
        <v>0</v>
      </c>
      <c r="R127" s="183">
        <f>IF($A$1="BL",0,'Peak Hours'!R127*Peak!X128*IS!$B$2)</f>
        <v>0</v>
      </c>
      <c r="S127" s="183">
        <f>IF($A$1="BL",0,'Peak Hours'!S127*Peak!Y128*IS!$B$2)</f>
        <v>0</v>
      </c>
      <c r="T127" s="183">
        <f>IF($A$1="BL",0,'Peak Hours'!T127*Peak!Z128*IS!$B$2)</f>
        <v>0</v>
      </c>
      <c r="U127" s="183">
        <f>IF($A$1="BL",0,'Peak Hours'!U127*Peak!AA128*IS!$B$2)</f>
        <v>0</v>
      </c>
      <c r="V127" s="213"/>
      <c r="W127" s="211">
        <f>(IF($A$1="BL",0,Peak!C128*'Peak Hours'!V127*IS!$B$2))*-1</f>
        <v>0</v>
      </c>
      <c r="X127" s="213"/>
      <c r="Y127" s="211">
        <f>(IF($A$1="bl",0,Peak!D128*'Peak Hours'!V127*IS!$B$2))*-1</f>
        <v>0</v>
      </c>
      <c r="Z127" s="213"/>
      <c r="AA127" s="211">
        <f>(Peak!E128*'Peak Hours'!V127*IS!$B$2)*-1</f>
        <v>0</v>
      </c>
      <c r="AB127" s="210"/>
      <c r="AC127" s="211">
        <f>(Peak!F128*'Peak Hours'!V127*IS!$B$2)*-1</f>
        <v>0</v>
      </c>
      <c r="AD127" s="210"/>
    </row>
    <row r="128" spans="1:30" x14ac:dyDescent="0.2">
      <c r="A128" s="1">
        <f t="shared" si="1"/>
        <v>40129.206000000151</v>
      </c>
      <c r="B128" s="182">
        <f>IF($A$1="BL",0,'Peak Hours'!B128*Peak!H129*IS!$B$2)</f>
        <v>0</v>
      </c>
      <c r="C128" s="183">
        <f>IF($A$1="BL",0,'Peak Hours'!C128*Peak!I129*IS!$B$2)</f>
        <v>0</v>
      </c>
      <c r="D128" s="183">
        <f>IF($A$1="BL",0,'Peak Hours'!D128*Peak!J129*IS!$B$2)</f>
        <v>0</v>
      </c>
      <c r="E128" s="183">
        <f>IF($A$1="BL",0,'Peak Hours'!E128*Peak!K129*IS!$B$2)</f>
        <v>0</v>
      </c>
      <c r="F128" s="183">
        <f>IF($A$1="BL",0,'Peak Hours'!F128*Peak!L129*IS!$B$2)</f>
        <v>0</v>
      </c>
      <c r="G128" s="183">
        <f>IF($A$1="BL",0,'Peak Hours'!G128*Peak!M129*IS!$B$2)</f>
        <v>0</v>
      </c>
      <c r="H128" s="183">
        <f>IF($A$1="BL",0,'Peak Hours'!H128*Peak!N129*IS!$B$2)</f>
        <v>0</v>
      </c>
      <c r="I128" s="183">
        <f>IF($A$1="BL",0,'Peak Hours'!I128*Peak!O129*IS!$B$2)</f>
        <v>0</v>
      </c>
      <c r="J128" s="183">
        <f>IF($A$1="BL",0,'Peak Hours'!J128*Peak!P129*IS!$B$2)</f>
        <v>0</v>
      </c>
      <c r="K128" s="183">
        <f>IF($A$1="BL",0,'Peak Hours'!K128*Peak!Q129*IS!$B$2)</f>
        <v>0</v>
      </c>
      <c r="L128" s="183">
        <f>IF($A$1="BL",0,'Peak Hours'!L128*Peak!R129*IS!$B$2)</f>
        <v>0</v>
      </c>
      <c r="M128" s="183">
        <f>IF($A$1="BL",0,'Peak Hours'!M128*Peak!S129*IS!$B$2)</f>
        <v>0</v>
      </c>
      <c r="N128" s="183">
        <f>IF($A$1="BL",0,'Peak Hours'!N128*Peak!T129*IS!$B$2)</f>
        <v>0</v>
      </c>
      <c r="O128" s="183">
        <f>IF($A$1="BL",0,'Peak Hours'!O128*Peak!U129*IS!$B$2)</f>
        <v>0</v>
      </c>
      <c r="P128" s="183">
        <f>IF($A$1="BL",0,'Peak Hours'!P128*Peak!V129*IS!$B$2)</f>
        <v>0</v>
      </c>
      <c r="Q128" s="183">
        <f>IF($A$1="BL",0,'Peak Hours'!Q128*Peak!W129*IS!$B$2)</f>
        <v>0</v>
      </c>
      <c r="R128" s="183">
        <f>IF($A$1="BL",0,'Peak Hours'!R128*Peak!X129*IS!$B$2)</f>
        <v>0</v>
      </c>
      <c r="S128" s="183">
        <f>IF($A$1="BL",0,'Peak Hours'!S128*Peak!Y129*IS!$B$2)</f>
        <v>0</v>
      </c>
      <c r="T128" s="183">
        <f>IF($A$1="BL",0,'Peak Hours'!T128*Peak!Z129*IS!$B$2)</f>
        <v>0</v>
      </c>
      <c r="U128" s="183">
        <f>IF($A$1="BL",0,'Peak Hours'!U128*Peak!AA129*IS!$B$2)</f>
        <v>0</v>
      </c>
      <c r="V128" s="213"/>
      <c r="W128" s="211">
        <f>(IF($A$1="BL",0,Peak!C129*'Peak Hours'!V128*IS!$B$2))*-1</f>
        <v>0</v>
      </c>
      <c r="X128" s="213"/>
      <c r="Y128" s="211">
        <f>(IF($A$1="bl",0,Peak!D129*'Peak Hours'!V128*IS!$B$2))*-1</f>
        <v>0</v>
      </c>
      <c r="Z128" s="213"/>
      <c r="AA128" s="211">
        <f>(Peak!E129*'Peak Hours'!V128*IS!$B$2)*-1</f>
        <v>0</v>
      </c>
      <c r="AB128" s="210"/>
      <c r="AC128" s="211">
        <f>(Peak!F129*'Peak Hours'!V128*IS!$B$2)*-1</f>
        <v>0</v>
      </c>
      <c r="AD128" s="210"/>
    </row>
    <row r="129" spans="1:30" x14ac:dyDescent="0.2">
      <c r="A129" s="1">
        <f t="shared" si="1"/>
        <v>40159.623000000152</v>
      </c>
      <c r="B129" s="182">
        <f>IF($A$1="BL",0,'Peak Hours'!B129*Peak!H130*IS!$B$2)</f>
        <v>0</v>
      </c>
      <c r="C129" s="183">
        <f>IF($A$1="BL",0,'Peak Hours'!C129*Peak!I130*IS!$B$2)</f>
        <v>0</v>
      </c>
      <c r="D129" s="183">
        <f>IF($A$1="BL",0,'Peak Hours'!D129*Peak!J130*IS!$B$2)</f>
        <v>0</v>
      </c>
      <c r="E129" s="183">
        <f>IF($A$1="BL",0,'Peak Hours'!E129*Peak!K130*IS!$B$2)</f>
        <v>0</v>
      </c>
      <c r="F129" s="183">
        <f>IF($A$1="BL",0,'Peak Hours'!F129*Peak!L130*IS!$B$2)</f>
        <v>0</v>
      </c>
      <c r="G129" s="183">
        <f>IF($A$1="BL",0,'Peak Hours'!G129*Peak!M130*IS!$B$2)</f>
        <v>0</v>
      </c>
      <c r="H129" s="183">
        <f>IF($A$1="BL",0,'Peak Hours'!H129*Peak!N130*IS!$B$2)</f>
        <v>0</v>
      </c>
      <c r="I129" s="183">
        <f>IF($A$1="BL",0,'Peak Hours'!I129*Peak!O130*IS!$B$2)</f>
        <v>0</v>
      </c>
      <c r="J129" s="183">
        <f>IF($A$1="BL",0,'Peak Hours'!J129*Peak!P130*IS!$B$2)</f>
        <v>0</v>
      </c>
      <c r="K129" s="183">
        <f>IF($A$1="BL",0,'Peak Hours'!K129*Peak!Q130*IS!$B$2)</f>
        <v>0</v>
      </c>
      <c r="L129" s="183">
        <f>IF($A$1="BL",0,'Peak Hours'!L129*Peak!R130*IS!$B$2)</f>
        <v>0</v>
      </c>
      <c r="M129" s="183">
        <f>IF($A$1="BL",0,'Peak Hours'!M129*Peak!S130*IS!$B$2)</f>
        <v>0</v>
      </c>
      <c r="N129" s="183">
        <f>IF($A$1="BL",0,'Peak Hours'!N129*Peak!T130*IS!$B$2)</f>
        <v>0</v>
      </c>
      <c r="O129" s="183">
        <f>IF($A$1="BL",0,'Peak Hours'!O129*Peak!U130*IS!$B$2)</f>
        <v>0</v>
      </c>
      <c r="P129" s="183">
        <f>IF($A$1="BL",0,'Peak Hours'!P129*Peak!V130*IS!$B$2)</f>
        <v>0</v>
      </c>
      <c r="Q129" s="183">
        <f>IF($A$1="BL",0,'Peak Hours'!Q129*Peak!W130*IS!$B$2)</f>
        <v>0</v>
      </c>
      <c r="R129" s="183">
        <f>IF($A$1="BL",0,'Peak Hours'!R129*Peak!X130*IS!$B$2)</f>
        <v>0</v>
      </c>
      <c r="S129" s="183">
        <f>IF($A$1="BL",0,'Peak Hours'!S129*Peak!Y130*IS!$B$2)</f>
        <v>0</v>
      </c>
      <c r="T129" s="183">
        <f>IF($A$1="BL",0,'Peak Hours'!T129*Peak!Z130*IS!$B$2)</f>
        <v>0</v>
      </c>
      <c r="U129" s="183">
        <f>IF($A$1="BL",0,'Peak Hours'!U129*Peak!AA130*IS!$B$2)</f>
        <v>0</v>
      </c>
      <c r="V129" s="214">
        <f>SUM(B118:U129)</f>
        <v>0</v>
      </c>
      <c r="W129" s="211">
        <f>(IF($A$1="BL",0,Peak!C130*'Peak Hours'!V129*IS!$B$2))*-1</f>
        <v>0</v>
      </c>
      <c r="X129" s="214">
        <f>SUM(W118:W129)</f>
        <v>0</v>
      </c>
      <c r="Y129" s="211">
        <f>(IF($A$1="bl",0,Peak!D130*'Peak Hours'!V129*IS!$B$2))*-1</f>
        <v>0</v>
      </c>
      <c r="Z129" s="214">
        <f>SUM(Y118:Y129)</f>
        <v>0</v>
      </c>
      <c r="AA129" s="211">
        <f>(Peak!E130*'Peak Hours'!V129*IS!$B$2)*-1</f>
        <v>0</v>
      </c>
      <c r="AB129" s="211">
        <f>SUM(AA118:AA129)</f>
        <v>0</v>
      </c>
      <c r="AC129" s="211">
        <f>(Peak!F130*'Peak Hours'!V129*IS!$B$2)*-1</f>
        <v>0</v>
      </c>
      <c r="AD129" s="211">
        <f>SUM(AC118:AC129)</f>
        <v>0</v>
      </c>
    </row>
    <row r="130" spans="1:30" x14ac:dyDescent="0.2">
      <c r="A130" s="1">
        <f t="shared" si="1"/>
        <v>40190.040000000154</v>
      </c>
      <c r="B130" s="182">
        <f>IF($A$1="BL",0,'Peak Hours'!B130*Peak!H131*IS!$B$2)</f>
        <v>0</v>
      </c>
      <c r="C130" s="183">
        <f>IF($A$1="BL",0,'Peak Hours'!C130*Peak!I131*IS!$B$2)</f>
        <v>0</v>
      </c>
      <c r="D130" s="183">
        <f>IF($A$1="BL",0,'Peak Hours'!D130*Peak!J131*IS!$B$2)</f>
        <v>0</v>
      </c>
      <c r="E130" s="183">
        <f>IF($A$1="BL",0,'Peak Hours'!E130*Peak!K131*IS!$B$2)</f>
        <v>0</v>
      </c>
      <c r="F130" s="183">
        <f>IF($A$1="BL",0,'Peak Hours'!F130*Peak!L131*IS!$B$2)</f>
        <v>0</v>
      </c>
      <c r="G130" s="183">
        <f>IF($A$1="BL",0,'Peak Hours'!G130*Peak!M131*IS!$B$2)</f>
        <v>0</v>
      </c>
      <c r="H130" s="183">
        <f>IF($A$1="BL",0,'Peak Hours'!H130*Peak!N131*IS!$B$2)</f>
        <v>0</v>
      </c>
      <c r="I130" s="183">
        <f>IF($A$1="BL",0,'Peak Hours'!I130*Peak!O131*IS!$B$2)</f>
        <v>0</v>
      </c>
      <c r="J130" s="183">
        <f>IF($A$1="BL",0,'Peak Hours'!J130*Peak!P131*IS!$B$2)</f>
        <v>0</v>
      </c>
      <c r="K130" s="183">
        <f>IF($A$1="BL",0,'Peak Hours'!K130*Peak!Q131*IS!$B$2)</f>
        <v>0</v>
      </c>
      <c r="L130" s="183">
        <f>IF($A$1="BL",0,'Peak Hours'!L130*Peak!R131*IS!$B$2)</f>
        <v>0</v>
      </c>
      <c r="M130" s="183">
        <f>IF($A$1="BL",0,'Peak Hours'!M130*Peak!S131*IS!$B$2)</f>
        <v>0</v>
      </c>
      <c r="N130" s="183">
        <f>IF($A$1="BL",0,'Peak Hours'!N130*Peak!T131*IS!$B$2)</f>
        <v>0</v>
      </c>
      <c r="O130" s="183">
        <f>IF($A$1="BL",0,'Peak Hours'!O130*Peak!U131*IS!$B$2)</f>
        <v>0</v>
      </c>
      <c r="P130" s="183">
        <f>IF($A$1="BL",0,'Peak Hours'!P130*Peak!V131*IS!$B$2)</f>
        <v>0</v>
      </c>
      <c r="Q130" s="183">
        <f>IF($A$1="BL",0,'Peak Hours'!Q130*Peak!W131*IS!$B$2)</f>
        <v>0</v>
      </c>
      <c r="R130" s="183">
        <f>IF($A$1="BL",0,'Peak Hours'!R130*Peak!X131*IS!$B$2)</f>
        <v>0</v>
      </c>
      <c r="S130" s="183">
        <f>IF($A$1="BL",0,'Peak Hours'!S130*Peak!Y131*IS!$B$2)</f>
        <v>0</v>
      </c>
      <c r="T130" s="183">
        <f>IF($A$1="BL",0,'Peak Hours'!T130*Peak!Z131*IS!$B$2)</f>
        <v>0</v>
      </c>
      <c r="U130" s="183">
        <f>IF($A$1="BL",0,'Peak Hours'!U130*Peak!AA131*IS!$B$2)</f>
        <v>0</v>
      </c>
      <c r="V130" s="213"/>
      <c r="W130" s="211">
        <f>(IF($A$1="BL",0,Peak!C131*'Peak Hours'!V130*IS!$B$2))*-1</f>
        <v>0</v>
      </c>
      <c r="X130" s="213"/>
      <c r="Y130" s="211">
        <f>(IF($A$1="bl",0,Peak!D131*'Peak Hours'!V130*IS!$B$2))*-1</f>
        <v>0</v>
      </c>
      <c r="Z130" s="213"/>
      <c r="AA130" s="211">
        <f>(Peak!E131*'Peak Hours'!V130*IS!$B$2)*-1</f>
        <v>0</v>
      </c>
      <c r="AB130" s="210"/>
      <c r="AC130" s="211">
        <f>(Peak!F131*'Peak Hours'!V130*IS!$B$2)*-1</f>
        <v>0</v>
      </c>
      <c r="AD130" s="210"/>
    </row>
    <row r="131" spans="1:30" x14ac:dyDescent="0.2">
      <c r="A131" s="1">
        <f t="shared" si="1"/>
        <v>40220.457000000155</v>
      </c>
      <c r="B131" s="182">
        <f>IF($A$1="BL",0,'Peak Hours'!B131*Peak!H132*IS!$B$2)</f>
        <v>0</v>
      </c>
      <c r="C131" s="183">
        <f>IF($A$1="BL",0,'Peak Hours'!C131*Peak!I132*IS!$B$2)</f>
        <v>0</v>
      </c>
      <c r="D131" s="183">
        <f>IF($A$1="BL",0,'Peak Hours'!D131*Peak!J132*IS!$B$2)</f>
        <v>0</v>
      </c>
      <c r="E131" s="183">
        <f>IF($A$1="BL",0,'Peak Hours'!E131*Peak!K132*IS!$B$2)</f>
        <v>0</v>
      </c>
      <c r="F131" s="183">
        <f>IF($A$1="BL",0,'Peak Hours'!F131*Peak!L132*IS!$B$2)</f>
        <v>0</v>
      </c>
      <c r="G131" s="183">
        <f>IF($A$1="BL",0,'Peak Hours'!G131*Peak!M132*IS!$B$2)</f>
        <v>0</v>
      </c>
      <c r="H131" s="183">
        <f>IF($A$1="BL",0,'Peak Hours'!H131*Peak!N132*IS!$B$2)</f>
        <v>0</v>
      </c>
      <c r="I131" s="183">
        <f>IF($A$1="BL",0,'Peak Hours'!I131*Peak!O132*IS!$B$2)</f>
        <v>0</v>
      </c>
      <c r="J131" s="183">
        <f>IF($A$1="BL",0,'Peak Hours'!J131*Peak!P132*IS!$B$2)</f>
        <v>0</v>
      </c>
      <c r="K131" s="183">
        <f>IF($A$1="BL",0,'Peak Hours'!K131*Peak!Q132*IS!$B$2)</f>
        <v>0</v>
      </c>
      <c r="L131" s="183">
        <f>IF($A$1="BL",0,'Peak Hours'!L131*Peak!R132*IS!$B$2)</f>
        <v>0</v>
      </c>
      <c r="M131" s="183">
        <f>IF($A$1="BL",0,'Peak Hours'!M131*Peak!S132*IS!$B$2)</f>
        <v>0</v>
      </c>
      <c r="N131" s="183">
        <f>IF($A$1="BL",0,'Peak Hours'!N131*Peak!T132*IS!$B$2)</f>
        <v>0</v>
      </c>
      <c r="O131" s="183">
        <f>IF($A$1="BL",0,'Peak Hours'!O131*Peak!U132*IS!$B$2)</f>
        <v>0</v>
      </c>
      <c r="P131" s="183">
        <f>IF($A$1="BL",0,'Peak Hours'!P131*Peak!V132*IS!$B$2)</f>
        <v>0</v>
      </c>
      <c r="Q131" s="183">
        <f>IF($A$1="BL",0,'Peak Hours'!Q131*Peak!W132*IS!$B$2)</f>
        <v>0</v>
      </c>
      <c r="R131" s="183">
        <f>IF($A$1="BL",0,'Peak Hours'!R131*Peak!X132*IS!$B$2)</f>
        <v>0</v>
      </c>
      <c r="S131" s="183">
        <f>IF($A$1="BL",0,'Peak Hours'!S131*Peak!Y132*IS!$B$2)</f>
        <v>0</v>
      </c>
      <c r="T131" s="183">
        <f>IF($A$1="BL",0,'Peak Hours'!T131*Peak!Z132*IS!$B$2)</f>
        <v>0</v>
      </c>
      <c r="U131" s="183">
        <f>IF($A$1="BL",0,'Peak Hours'!U131*Peak!AA132*IS!$B$2)</f>
        <v>0</v>
      </c>
      <c r="V131" s="213"/>
      <c r="W131" s="211">
        <f>(IF($A$1="BL",0,Peak!C132*'Peak Hours'!V131*IS!$B$2))*-1</f>
        <v>0</v>
      </c>
      <c r="X131" s="213"/>
      <c r="Y131" s="211">
        <f>(IF($A$1="bl",0,Peak!D132*'Peak Hours'!V131*IS!$B$2))*-1</f>
        <v>0</v>
      </c>
      <c r="Z131" s="213"/>
      <c r="AA131" s="211">
        <f>(Peak!E132*'Peak Hours'!V131*IS!$B$2)*-1</f>
        <v>0</v>
      </c>
      <c r="AB131" s="210"/>
      <c r="AC131" s="211">
        <f>(Peak!F132*'Peak Hours'!V131*IS!$B$2)*-1</f>
        <v>0</v>
      </c>
      <c r="AD131" s="210"/>
    </row>
    <row r="132" spans="1:30" x14ac:dyDescent="0.2">
      <c r="A132" s="1">
        <f t="shared" si="1"/>
        <v>40250.874000000156</v>
      </c>
      <c r="B132" s="182">
        <f>IF($A$1="BL",0,'Peak Hours'!B132*Peak!H133*IS!$B$2)</f>
        <v>0</v>
      </c>
      <c r="C132" s="183">
        <f>IF($A$1="BL",0,'Peak Hours'!C132*Peak!I133*IS!$B$2)</f>
        <v>0</v>
      </c>
      <c r="D132" s="183">
        <f>IF($A$1="BL",0,'Peak Hours'!D132*Peak!J133*IS!$B$2)</f>
        <v>0</v>
      </c>
      <c r="E132" s="183">
        <f>IF($A$1="BL",0,'Peak Hours'!E132*Peak!K133*IS!$B$2)</f>
        <v>0</v>
      </c>
      <c r="F132" s="183">
        <f>IF($A$1="BL",0,'Peak Hours'!F132*Peak!L133*IS!$B$2)</f>
        <v>0</v>
      </c>
      <c r="G132" s="183">
        <f>IF($A$1="BL",0,'Peak Hours'!G132*Peak!M133*IS!$B$2)</f>
        <v>0</v>
      </c>
      <c r="H132" s="183">
        <f>IF($A$1="BL",0,'Peak Hours'!H132*Peak!N133*IS!$B$2)</f>
        <v>0</v>
      </c>
      <c r="I132" s="183">
        <f>IF($A$1="BL",0,'Peak Hours'!I132*Peak!O133*IS!$B$2)</f>
        <v>0</v>
      </c>
      <c r="J132" s="183">
        <f>IF($A$1="BL",0,'Peak Hours'!J132*Peak!P133*IS!$B$2)</f>
        <v>0</v>
      </c>
      <c r="K132" s="183">
        <f>IF($A$1="BL",0,'Peak Hours'!K132*Peak!Q133*IS!$B$2)</f>
        <v>0</v>
      </c>
      <c r="L132" s="183">
        <f>IF($A$1="BL",0,'Peak Hours'!L132*Peak!R133*IS!$B$2)</f>
        <v>0</v>
      </c>
      <c r="M132" s="183">
        <f>IF($A$1="BL",0,'Peak Hours'!M132*Peak!S133*IS!$B$2)</f>
        <v>0</v>
      </c>
      <c r="N132" s="183">
        <f>IF($A$1="BL",0,'Peak Hours'!N132*Peak!T133*IS!$B$2)</f>
        <v>0</v>
      </c>
      <c r="O132" s="183">
        <f>IF($A$1="BL",0,'Peak Hours'!O132*Peak!U133*IS!$B$2)</f>
        <v>0</v>
      </c>
      <c r="P132" s="183">
        <f>IF($A$1="BL",0,'Peak Hours'!P132*Peak!V133*IS!$B$2)</f>
        <v>0</v>
      </c>
      <c r="Q132" s="183">
        <f>IF($A$1="BL",0,'Peak Hours'!Q132*Peak!W133*IS!$B$2)</f>
        <v>0</v>
      </c>
      <c r="R132" s="183">
        <f>IF($A$1="BL",0,'Peak Hours'!R132*Peak!X133*IS!$B$2)</f>
        <v>0</v>
      </c>
      <c r="S132" s="183">
        <f>IF($A$1="BL",0,'Peak Hours'!S132*Peak!Y133*IS!$B$2)</f>
        <v>0</v>
      </c>
      <c r="T132" s="183">
        <f>IF($A$1="BL",0,'Peak Hours'!T132*Peak!Z133*IS!$B$2)</f>
        <v>0</v>
      </c>
      <c r="U132" s="183">
        <f>IF($A$1="BL",0,'Peak Hours'!U132*Peak!AA133*IS!$B$2)</f>
        <v>0</v>
      </c>
      <c r="V132" s="213"/>
      <c r="W132" s="211">
        <f>(IF($A$1="BL",0,Peak!C133*'Peak Hours'!V132*IS!$B$2))*-1</f>
        <v>0</v>
      </c>
      <c r="X132" s="213"/>
      <c r="Y132" s="211">
        <f>(IF($A$1="bl",0,Peak!D133*'Peak Hours'!V132*IS!$B$2))*-1</f>
        <v>0</v>
      </c>
      <c r="Z132" s="213"/>
      <c r="AA132" s="211">
        <f>(Peak!E133*'Peak Hours'!V132*IS!$B$2)*-1</f>
        <v>0</v>
      </c>
      <c r="AB132" s="210"/>
      <c r="AC132" s="211">
        <f>(Peak!F133*'Peak Hours'!V132*IS!$B$2)*-1</f>
        <v>0</v>
      </c>
      <c r="AD132" s="210"/>
    </row>
    <row r="133" spans="1:30" x14ac:dyDescent="0.2">
      <c r="A133" s="1">
        <f t="shared" si="1"/>
        <v>40281.291000000158</v>
      </c>
      <c r="B133" s="182">
        <f>IF($A$1="BL",0,'Peak Hours'!B133*Peak!H134*IS!$B$2)</f>
        <v>0</v>
      </c>
      <c r="C133" s="183">
        <f>IF($A$1="BL",0,'Peak Hours'!C133*Peak!I134*IS!$B$2)</f>
        <v>0</v>
      </c>
      <c r="D133" s="183">
        <f>IF($A$1="BL",0,'Peak Hours'!D133*Peak!J134*IS!$B$2)</f>
        <v>0</v>
      </c>
      <c r="E133" s="183">
        <f>IF($A$1="BL",0,'Peak Hours'!E133*Peak!K134*IS!$B$2)</f>
        <v>0</v>
      </c>
      <c r="F133" s="183">
        <f>IF($A$1="BL",0,'Peak Hours'!F133*Peak!L134*IS!$B$2)</f>
        <v>0</v>
      </c>
      <c r="G133" s="183">
        <f>IF($A$1="BL",0,'Peak Hours'!G133*Peak!M134*IS!$B$2)</f>
        <v>0</v>
      </c>
      <c r="H133" s="183">
        <f>IF($A$1="BL",0,'Peak Hours'!H133*Peak!N134*IS!$B$2)</f>
        <v>0</v>
      </c>
      <c r="I133" s="183">
        <f>IF($A$1="BL",0,'Peak Hours'!I133*Peak!O134*IS!$B$2)</f>
        <v>0</v>
      </c>
      <c r="J133" s="183">
        <f>IF($A$1="BL",0,'Peak Hours'!J133*Peak!P134*IS!$B$2)</f>
        <v>0</v>
      </c>
      <c r="K133" s="183">
        <f>IF($A$1="BL",0,'Peak Hours'!K133*Peak!Q134*IS!$B$2)</f>
        <v>0</v>
      </c>
      <c r="L133" s="183">
        <f>IF($A$1="BL",0,'Peak Hours'!L133*Peak!R134*IS!$B$2)</f>
        <v>0</v>
      </c>
      <c r="M133" s="183">
        <f>IF($A$1="BL",0,'Peak Hours'!M133*Peak!S134*IS!$B$2)</f>
        <v>0</v>
      </c>
      <c r="N133" s="183">
        <f>IF($A$1="BL",0,'Peak Hours'!N133*Peak!T134*IS!$B$2)</f>
        <v>0</v>
      </c>
      <c r="O133" s="183">
        <f>IF($A$1="BL",0,'Peak Hours'!O133*Peak!U134*IS!$B$2)</f>
        <v>0</v>
      </c>
      <c r="P133" s="183">
        <f>IF($A$1="BL",0,'Peak Hours'!P133*Peak!V134*IS!$B$2)</f>
        <v>0</v>
      </c>
      <c r="Q133" s="183">
        <f>IF($A$1="BL",0,'Peak Hours'!Q133*Peak!W134*IS!$B$2)</f>
        <v>0</v>
      </c>
      <c r="R133" s="183">
        <f>IF($A$1="BL",0,'Peak Hours'!R133*Peak!X134*IS!$B$2)</f>
        <v>0</v>
      </c>
      <c r="S133" s="183">
        <f>IF($A$1="BL",0,'Peak Hours'!S133*Peak!Y134*IS!$B$2)</f>
        <v>0</v>
      </c>
      <c r="T133" s="183">
        <f>IF($A$1="BL",0,'Peak Hours'!T133*Peak!Z134*IS!$B$2)</f>
        <v>0</v>
      </c>
      <c r="U133" s="183">
        <f>IF($A$1="BL",0,'Peak Hours'!U133*Peak!AA134*IS!$B$2)</f>
        <v>0</v>
      </c>
      <c r="V133" s="213"/>
      <c r="W133" s="211">
        <f>(IF($A$1="BL",0,Peak!C134*'Peak Hours'!V133*IS!$B$2))*-1</f>
        <v>0</v>
      </c>
      <c r="X133" s="213"/>
      <c r="Y133" s="211">
        <f>(IF($A$1="bl",0,Peak!D134*'Peak Hours'!V133*IS!$B$2))*-1</f>
        <v>0</v>
      </c>
      <c r="Z133" s="213"/>
      <c r="AA133" s="211">
        <f>(Peak!E134*'Peak Hours'!V133*IS!$B$2)*-1</f>
        <v>0</v>
      </c>
      <c r="AB133" s="210"/>
      <c r="AC133" s="211">
        <f>(Peak!F134*'Peak Hours'!V133*IS!$B$2)*-1</f>
        <v>0</v>
      </c>
      <c r="AD133" s="210"/>
    </row>
    <row r="134" spans="1:30" x14ac:dyDescent="0.2">
      <c r="A134" s="1">
        <f t="shared" si="1"/>
        <v>40311.708000000159</v>
      </c>
      <c r="B134" s="182">
        <f>IF($A$1="BL",0,'Peak Hours'!B134*Peak!H135*IS!$B$2)</f>
        <v>0</v>
      </c>
      <c r="C134" s="183">
        <f>IF($A$1="BL",0,'Peak Hours'!C134*Peak!I135*IS!$B$2)</f>
        <v>0</v>
      </c>
      <c r="D134" s="183">
        <f>IF($A$1="BL",0,'Peak Hours'!D134*Peak!J135*IS!$B$2)</f>
        <v>0</v>
      </c>
      <c r="E134" s="183">
        <f>IF($A$1="BL",0,'Peak Hours'!E134*Peak!K135*IS!$B$2)</f>
        <v>0</v>
      </c>
      <c r="F134" s="183">
        <f>IF($A$1="BL",0,'Peak Hours'!F134*Peak!L135*IS!$B$2)</f>
        <v>0</v>
      </c>
      <c r="G134" s="183">
        <f>IF($A$1="BL",0,'Peak Hours'!G134*Peak!M135*IS!$B$2)</f>
        <v>0</v>
      </c>
      <c r="H134" s="183">
        <f>IF($A$1="BL",0,'Peak Hours'!H134*Peak!N135*IS!$B$2)</f>
        <v>0</v>
      </c>
      <c r="I134" s="183">
        <f>IF($A$1="BL",0,'Peak Hours'!I134*Peak!O135*IS!$B$2)</f>
        <v>0</v>
      </c>
      <c r="J134" s="183">
        <f>IF($A$1="BL",0,'Peak Hours'!J134*Peak!P135*IS!$B$2)</f>
        <v>0</v>
      </c>
      <c r="K134" s="183">
        <f>IF($A$1="BL",0,'Peak Hours'!K134*Peak!Q135*IS!$B$2)</f>
        <v>0</v>
      </c>
      <c r="L134" s="183">
        <f>IF($A$1="BL",0,'Peak Hours'!L134*Peak!R135*IS!$B$2)</f>
        <v>0</v>
      </c>
      <c r="M134" s="183">
        <f>IF($A$1="BL",0,'Peak Hours'!M134*Peak!S135*IS!$B$2)</f>
        <v>0</v>
      </c>
      <c r="N134" s="183">
        <f>IF($A$1="BL",0,'Peak Hours'!N134*Peak!T135*IS!$B$2)</f>
        <v>0</v>
      </c>
      <c r="O134" s="183">
        <f>IF($A$1="BL",0,'Peak Hours'!O134*Peak!U135*IS!$B$2)</f>
        <v>0</v>
      </c>
      <c r="P134" s="183">
        <f>IF($A$1="BL",0,'Peak Hours'!P134*Peak!V135*IS!$B$2)</f>
        <v>0</v>
      </c>
      <c r="Q134" s="183">
        <f>IF($A$1="BL",0,'Peak Hours'!Q134*Peak!W135*IS!$B$2)</f>
        <v>0</v>
      </c>
      <c r="R134" s="183">
        <f>IF($A$1="BL",0,'Peak Hours'!R134*Peak!X135*IS!$B$2)</f>
        <v>0</v>
      </c>
      <c r="S134" s="183">
        <f>IF($A$1="BL",0,'Peak Hours'!S134*Peak!Y135*IS!$B$2)</f>
        <v>0</v>
      </c>
      <c r="T134" s="183">
        <f>IF($A$1="BL",0,'Peak Hours'!T134*Peak!Z135*IS!$B$2)</f>
        <v>0</v>
      </c>
      <c r="U134" s="183">
        <f>IF($A$1="BL",0,'Peak Hours'!U134*Peak!AA135*IS!$B$2)</f>
        <v>0</v>
      </c>
      <c r="V134" s="213"/>
      <c r="W134" s="211">
        <f>(IF($A$1="BL",0,Peak!C135*'Peak Hours'!V134*IS!$B$2))*-1</f>
        <v>0</v>
      </c>
      <c r="X134" s="213"/>
      <c r="Y134" s="211">
        <f>(IF($A$1="bl",0,Peak!D135*'Peak Hours'!V134*IS!$B$2))*-1</f>
        <v>0</v>
      </c>
      <c r="Z134" s="213"/>
      <c r="AA134" s="211">
        <f>(Peak!E135*'Peak Hours'!V134*IS!$B$2)*-1</f>
        <v>0</v>
      </c>
      <c r="AB134" s="210"/>
      <c r="AC134" s="211">
        <f>(Peak!F135*'Peak Hours'!V134*IS!$B$2)*-1</f>
        <v>0</v>
      </c>
      <c r="AD134" s="210"/>
    </row>
    <row r="135" spans="1:30" x14ac:dyDescent="0.2">
      <c r="A135" s="1">
        <f t="shared" si="1"/>
        <v>40342.12500000016</v>
      </c>
      <c r="B135" s="182">
        <f>IF($A$1="BL",0,'Peak Hours'!B135*Peak!H136*IS!$B$2)</f>
        <v>0</v>
      </c>
      <c r="C135" s="183">
        <f>IF($A$1="BL",0,'Peak Hours'!C135*Peak!I136*IS!$B$2)</f>
        <v>0</v>
      </c>
      <c r="D135" s="183">
        <f>IF($A$1="BL",0,'Peak Hours'!D135*Peak!J136*IS!$B$2)</f>
        <v>0</v>
      </c>
      <c r="E135" s="183">
        <f>IF($A$1="BL",0,'Peak Hours'!E135*Peak!K136*IS!$B$2)</f>
        <v>0</v>
      </c>
      <c r="F135" s="183">
        <f>IF($A$1="BL",0,'Peak Hours'!F135*Peak!L136*IS!$B$2)</f>
        <v>0</v>
      </c>
      <c r="G135" s="183">
        <f>IF($A$1="BL",0,'Peak Hours'!G135*Peak!M136*IS!$B$2)</f>
        <v>0</v>
      </c>
      <c r="H135" s="183">
        <f>IF($A$1="BL",0,'Peak Hours'!H135*Peak!N136*IS!$B$2)</f>
        <v>0</v>
      </c>
      <c r="I135" s="183">
        <f>IF($A$1="BL",0,'Peak Hours'!I135*Peak!O136*IS!$B$2)</f>
        <v>0</v>
      </c>
      <c r="J135" s="183">
        <f>IF($A$1="BL",0,'Peak Hours'!J135*Peak!P136*IS!$B$2)</f>
        <v>0</v>
      </c>
      <c r="K135" s="183">
        <f>IF($A$1="BL",0,'Peak Hours'!K135*Peak!Q136*IS!$B$2)</f>
        <v>0</v>
      </c>
      <c r="L135" s="183">
        <f>IF($A$1="BL",0,'Peak Hours'!L135*Peak!R136*IS!$B$2)</f>
        <v>0</v>
      </c>
      <c r="M135" s="183">
        <f>IF($A$1="BL",0,'Peak Hours'!M135*Peak!S136*IS!$B$2)</f>
        <v>0</v>
      </c>
      <c r="N135" s="183">
        <f>IF($A$1="BL",0,'Peak Hours'!N135*Peak!T136*IS!$B$2)</f>
        <v>0</v>
      </c>
      <c r="O135" s="183">
        <f>IF($A$1="BL",0,'Peak Hours'!O135*Peak!U136*IS!$B$2)</f>
        <v>0</v>
      </c>
      <c r="P135" s="183">
        <f>IF($A$1="BL",0,'Peak Hours'!P135*Peak!V136*IS!$B$2)</f>
        <v>0</v>
      </c>
      <c r="Q135" s="183">
        <f>IF($A$1="BL",0,'Peak Hours'!Q135*Peak!W136*IS!$B$2)</f>
        <v>0</v>
      </c>
      <c r="R135" s="183">
        <f>IF($A$1="BL",0,'Peak Hours'!R135*Peak!X136*IS!$B$2)</f>
        <v>0</v>
      </c>
      <c r="S135" s="183">
        <f>IF($A$1="BL",0,'Peak Hours'!S135*Peak!Y136*IS!$B$2)</f>
        <v>0</v>
      </c>
      <c r="T135" s="183">
        <f>IF($A$1="BL",0,'Peak Hours'!T135*Peak!Z136*IS!$B$2)</f>
        <v>0</v>
      </c>
      <c r="U135" s="183">
        <f>IF($A$1="BL",0,'Peak Hours'!U135*Peak!AA136*IS!$B$2)</f>
        <v>0</v>
      </c>
      <c r="V135" s="213"/>
      <c r="W135" s="211">
        <f>(IF($A$1="BL",0,Peak!C136*'Peak Hours'!V135*IS!$B$2))*-1</f>
        <v>0</v>
      </c>
      <c r="X135" s="213"/>
      <c r="Y135" s="211">
        <f>(IF($A$1="bl",0,Peak!D136*'Peak Hours'!V135*IS!$B$2))*-1</f>
        <v>0</v>
      </c>
      <c r="Z135" s="213"/>
      <c r="AA135" s="211">
        <f>(Peak!E136*'Peak Hours'!V135*IS!$B$2)*-1</f>
        <v>0</v>
      </c>
      <c r="AB135" s="210"/>
      <c r="AC135" s="211">
        <f>(Peak!F136*'Peak Hours'!V135*IS!$B$2)*-1</f>
        <v>0</v>
      </c>
      <c r="AD135" s="210"/>
    </row>
    <row r="136" spans="1:30" x14ac:dyDescent="0.2">
      <c r="A136" s="1">
        <f t="shared" si="1"/>
        <v>40372.542000000161</v>
      </c>
      <c r="B136" s="182">
        <f>IF($A$1="BL",0,'Peak Hours'!B136*Peak!H137*IS!$B$2)</f>
        <v>0</v>
      </c>
      <c r="C136" s="183">
        <f>IF($A$1="BL",0,'Peak Hours'!C136*Peak!I137*IS!$B$2)</f>
        <v>0</v>
      </c>
      <c r="D136" s="183">
        <f>IF($A$1="BL",0,'Peak Hours'!D136*Peak!J137*IS!$B$2)</f>
        <v>0</v>
      </c>
      <c r="E136" s="183">
        <f>IF($A$1="BL",0,'Peak Hours'!E136*Peak!K137*IS!$B$2)</f>
        <v>0</v>
      </c>
      <c r="F136" s="183">
        <f>IF($A$1="BL",0,'Peak Hours'!F136*Peak!L137*IS!$B$2)</f>
        <v>0</v>
      </c>
      <c r="G136" s="183">
        <f>IF($A$1="BL",0,'Peak Hours'!G136*Peak!M137*IS!$B$2)</f>
        <v>0</v>
      </c>
      <c r="H136" s="183">
        <f>IF($A$1="BL",0,'Peak Hours'!H136*Peak!N137*IS!$B$2)</f>
        <v>0</v>
      </c>
      <c r="I136" s="183">
        <f>IF($A$1="BL",0,'Peak Hours'!I136*Peak!O137*IS!$B$2)</f>
        <v>0</v>
      </c>
      <c r="J136" s="183">
        <f>IF($A$1="BL",0,'Peak Hours'!J136*Peak!P137*IS!$B$2)</f>
        <v>0</v>
      </c>
      <c r="K136" s="183">
        <f>IF($A$1="BL",0,'Peak Hours'!K136*Peak!Q137*IS!$B$2)</f>
        <v>0</v>
      </c>
      <c r="L136" s="183">
        <f>IF($A$1="BL",0,'Peak Hours'!L136*Peak!R137*IS!$B$2)</f>
        <v>0</v>
      </c>
      <c r="M136" s="183">
        <f>IF($A$1="BL",0,'Peak Hours'!M136*Peak!S137*IS!$B$2)</f>
        <v>0</v>
      </c>
      <c r="N136" s="183">
        <f>IF($A$1="BL",0,'Peak Hours'!N136*Peak!T137*IS!$B$2)</f>
        <v>0</v>
      </c>
      <c r="O136" s="183">
        <f>IF($A$1="BL",0,'Peak Hours'!O136*Peak!U137*IS!$B$2)</f>
        <v>0</v>
      </c>
      <c r="P136" s="183">
        <f>IF($A$1="BL",0,'Peak Hours'!P136*Peak!V137*IS!$B$2)</f>
        <v>0</v>
      </c>
      <c r="Q136" s="183">
        <f>IF($A$1="BL",0,'Peak Hours'!Q136*Peak!W137*IS!$B$2)</f>
        <v>0</v>
      </c>
      <c r="R136" s="183">
        <f>IF($A$1="BL",0,'Peak Hours'!R136*Peak!X137*IS!$B$2)</f>
        <v>0</v>
      </c>
      <c r="S136" s="183">
        <f>IF($A$1="BL",0,'Peak Hours'!S136*Peak!Y137*IS!$B$2)</f>
        <v>0</v>
      </c>
      <c r="T136" s="183">
        <f>IF($A$1="BL",0,'Peak Hours'!T136*Peak!Z137*IS!$B$2)</f>
        <v>0</v>
      </c>
      <c r="U136" s="183">
        <f>IF($A$1="BL",0,'Peak Hours'!U136*Peak!AA137*IS!$B$2)</f>
        <v>0</v>
      </c>
      <c r="V136" s="213"/>
      <c r="W136" s="211">
        <f>(IF($A$1="BL",0,Peak!C137*'Peak Hours'!V136*IS!$B$2))*-1</f>
        <v>0</v>
      </c>
      <c r="X136" s="213"/>
      <c r="Y136" s="211">
        <f>(IF($A$1="bl",0,Peak!D137*'Peak Hours'!V136*IS!$B$2))*-1</f>
        <v>0</v>
      </c>
      <c r="Z136" s="213"/>
      <c r="AA136" s="211">
        <f>(Peak!E137*'Peak Hours'!V136*IS!$B$2)*-1</f>
        <v>0</v>
      </c>
      <c r="AB136" s="210"/>
      <c r="AC136" s="211">
        <f>(Peak!F137*'Peak Hours'!V136*IS!$B$2)*-1</f>
        <v>0</v>
      </c>
      <c r="AD136" s="210"/>
    </row>
    <row r="137" spans="1:30" x14ac:dyDescent="0.2">
      <c r="A137" s="1">
        <f t="shared" si="1"/>
        <v>40402.959000000163</v>
      </c>
      <c r="B137" s="182">
        <f>IF($A$1="BL",0,'Peak Hours'!B137*Peak!H138*IS!$B$2)</f>
        <v>0</v>
      </c>
      <c r="C137" s="183">
        <f>IF($A$1="BL",0,'Peak Hours'!C137*Peak!I138*IS!$B$2)</f>
        <v>0</v>
      </c>
      <c r="D137" s="183">
        <f>IF($A$1="BL",0,'Peak Hours'!D137*Peak!J138*IS!$B$2)</f>
        <v>0</v>
      </c>
      <c r="E137" s="183">
        <f>IF($A$1="BL",0,'Peak Hours'!E137*Peak!K138*IS!$B$2)</f>
        <v>0</v>
      </c>
      <c r="F137" s="183">
        <f>IF($A$1="BL",0,'Peak Hours'!F137*Peak!L138*IS!$B$2)</f>
        <v>0</v>
      </c>
      <c r="G137" s="183">
        <f>IF($A$1="BL",0,'Peak Hours'!G137*Peak!M138*IS!$B$2)</f>
        <v>0</v>
      </c>
      <c r="H137" s="183">
        <f>IF($A$1="BL",0,'Peak Hours'!H137*Peak!N138*IS!$B$2)</f>
        <v>0</v>
      </c>
      <c r="I137" s="183">
        <f>IF($A$1="BL",0,'Peak Hours'!I137*Peak!O138*IS!$B$2)</f>
        <v>0</v>
      </c>
      <c r="J137" s="183">
        <f>IF($A$1="BL",0,'Peak Hours'!J137*Peak!P138*IS!$B$2)</f>
        <v>0</v>
      </c>
      <c r="K137" s="183">
        <f>IF($A$1="BL",0,'Peak Hours'!K137*Peak!Q138*IS!$B$2)</f>
        <v>0</v>
      </c>
      <c r="L137" s="183">
        <f>IF($A$1="BL",0,'Peak Hours'!L137*Peak!R138*IS!$B$2)</f>
        <v>0</v>
      </c>
      <c r="M137" s="183">
        <f>IF($A$1="BL",0,'Peak Hours'!M137*Peak!S138*IS!$B$2)</f>
        <v>0</v>
      </c>
      <c r="N137" s="183">
        <f>IF($A$1="BL",0,'Peak Hours'!N137*Peak!T138*IS!$B$2)</f>
        <v>0</v>
      </c>
      <c r="O137" s="183">
        <f>IF($A$1="BL",0,'Peak Hours'!O137*Peak!U138*IS!$B$2)</f>
        <v>0</v>
      </c>
      <c r="P137" s="183">
        <f>IF($A$1="BL",0,'Peak Hours'!P137*Peak!V138*IS!$B$2)</f>
        <v>0</v>
      </c>
      <c r="Q137" s="183">
        <f>IF($A$1="BL",0,'Peak Hours'!Q137*Peak!W138*IS!$B$2)</f>
        <v>0</v>
      </c>
      <c r="R137" s="183">
        <f>IF($A$1="BL",0,'Peak Hours'!R137*Peak!X138*IS!$B$2)</f>
        <v>0</v>
      </c>
      <c r="S137" s="183">
        <f>IF($A$1="BL",0,'Peak Hours'!S137*Peak!Y138*IS!$B$2)</f>
        <v>0</v>
      </c>
      <c r="T137" s="183">
        <f>IF($A$1="BL",0,'Peak Hours'!T137*Peak!Z138*IS!$B$2)</f>
        <v>0</v>
      </c>
      <c r="U137" s="183">
        <f>IF($A$1="BL",0,'Peak Hours'!U137*Peak!AA138*IS!$B$2)</f>
        <v>0</v>
      </c>
      <c r="V137" s="213"/>
      <c r="W137" s="211">
        <f>(IF($A$1="BL",0,Peak!C138*'Peak Hours'!V137*IS!$B$2))*-1</f>
        <v>0</v>
      </c>
      <c r="X137" s="213"/>
      <c r="Y137" s="211">
        <f>(IF($A$1="bl",0,Peak!D138*'Peak Hours'!V137*IS!$B$2))*-1</f>
        <v>0</v>
      </c>
      <c r="Z137" s="213"/>
      <c r="AA137" s="211">
        <f>(Peak!E138*'Peak Hours'!V137*IS!$B$2)*-1</f>
        <v>0</v>
      </c>
      <c r="AB137" s="210"/>
      <c r="AC137" s="211">
        <f>(Peak!F138*'Peak Hours'!V137*IS!$B$2)*-1</f>
        <v>0</v>
      </c>
      <c r="AD137" s="210"/>
    </row>
    <row r="138" spans="1:30" x14ac:dyDescent="0.2">
      <c r="A138" s="1">
        <f t="shared" si="1"/>
        <v>40433.376000000164</v>
      </c>
      <c r="B138" s="182">
        <f>IF($A$1="BL",0,'Peak Hours'!B138*Peak!H139*IS!$B$2)</f>
        <v>0</v>
      </c>
      <c r="C138" s="183">
        <f>IF($A$1="BL",0,'Peak Hours'!C138*Peak!I139*IS!$B$2)</f>
        <v>0</v>
      </c>
      <c r="D138" s="183">
        <f>IF($A$1="BL",0,'Peak Hours'!D138*Peak!J139*IS!$B$2)</f>
        <v>0</v>
      </c>
      <c r="E138" s="183">
        <f>IF($A$1="BL",0,'Peak Hours'!E138*Peak!K139*IS!$B$2)</f>
        <v>0</v>
      </c>
      <c r="F138" s="183">
        <f>IF($A$1="BL",0,'Peak Hours'!F138*Peak!L139*IS!$B$2)</f>
        <v>0</v>
      </c>
      <c r="G138" s="183">
        <f>IF($A$1="BL",0,'Peak Hours'!G138*Peak!M139*IS!$B$2)</f>
        <v>0</v>
      </c>
      <c r="H138" s="183">
        <f>IF($A$1="BL",0,'Peak Hours'!H138*Peak!N139*IS!$B$2)</f>
        <v>0</v>
      </c>
      <c r="I138" s="183">
        <f>IF($A$1="BL",0,'Peak Hours'!I138*Peak!O139*IS!$B$2)</f>
        <v>0</v>
      </c>
      <c r="J138" s="183">
        <f>IF($A$1="BL",0,'Peak Hours'!J138*Peak!P139*IS!$B$2)</f>
        <v>0</v>
      </c>
      <c r="K138" s="183">
        <f>IF($A$1="BL",0,'Peak Hours'!K138*Peak!Q139*IS!$B$2)</f>
        <v>0</v>
      </c>
      <c r="L138" s="183">
        <f>IF($A$1="BL",0,'Peak Hours'!L138*Peak!R139*IS!$B$2)</f>
        <v>0</v>
      </c>
      <c r="M138" s="183">
        <f>IF($A$1="BL",0,'Peak Hours'!M138*Peak!S139*IS!$B$2)</f>
        <v>0</v>
      </c>
      <c r="N138" s="183">
        <f>IF($A$1="BL",0,'Peak Hours'!N138*Peak!T139*IS!$B$2)</f>
        <v>0</v>
      </c>
      <c r="O138" s="183">
        <f>IF($A$1="BL",0,'Peak Hours'!O138*Peak!U139*IS!$B$2)</f>
        <v>0</v>
      </c>
      <c r="P138" s="183">
        <f>IF($A$1="BL",0,'Peak Hours'!P138*Peak!V139*IS!$B$2)</f>
        <v>0</v>
      </c>
      <c r="Q138" s="183">
        <f>IF($A$1="BL",0,'Peak Hours'!Q138*Peak!W139*IS!$B$2)</f>
        <v>0</v>
      </c>
      <c r="R138" s="183">
        <f>IF($A$1="BL",0,'Peak Hours'!R138*Peak!X139*IS!$B$2)</f>
        <v>0</v>
      </c>
      <c r="S138" s="183">
        <f>IF($A$1="BL",0,'Peak Hours'!S138*Peak!Y139*IS!$B$2)</f>
        <v>0</v>
      </c>
      <c r="T138" s="183">
        <f>IF($A$1="BL",0,'Peak Hours'!T138*Peak!Z139*IS!$B$2)</f>
        <v>0</v>
      </c>
      <c r="U138" s="183">
        <f>IF($A$1="BL",0,'Peak Hours'!U138*Peak!AA139*IS!$B$2)</f>
        <v>0</v>
      </c>
      <c r="V138" s="213"/>
      <c r="W138" s="211">
        <f>(IF($A$1="BL",0,Peak!C139*'Peak Hours'!V138*IS!$B$2))*-1</f>
        <v>0</v>
      </c>
      <c r="X138" s="213"/>
      <c r="Y138" s="211">
        <f>(IF($A$1="bl",0,Peak!D139*'Peak Hours'!V138*IS!$B$2))*-1</f>
        <v>0</v>
      </c>
      <c r="Z138" s="213"/>
      <c r="AA138" s="211">
        <f>(Peak!E139*'Peak Hours'!V138*IS!$B$2)*-1</f>
        <v>0</v>
      </c>
      <c r="AB138" s="210"/>
      <c r="AC138" s="211">
        <f>(Peak!F139*'Peak Hours'!V138*IS!$B$2)*-1</f>
        <v>0</v>
      </c>
      <c r="AD138" s="210"/>
    </row>
    <row r="139" spans="1:30" x14ac:dyDescent="0.2">
      <c r="A139" s="1">
        <f t="shared" si="1"/>
        <v>40463.793000000165</v>
      </c>
      <c r="B139" s="182">
        <f>IF($A$1="BL",0,'Peak Hours'!B139*Peak!H140*IS!$B$2)</f>
        <v>0</v>
      </c>
      <c r="C139" s="183">
        <f>IF($A$1="BL",0,'Peak Hours'!C139*Peak!I140*IS!$B$2)</f>
        <v>0</v>
      </c>
      <c r="D139" s="183">
        <f>IF($A$1="BL",0,'Peak Hours'!D139*Peak!J140*IS!$B$2)</f>
        <v>0</v>
      </c>
      <c r="E139" s="183">
        <f>IF($A$1="BL",0,'Peak Hours'!E139*Peak!K140*IS!$B$2)</f>
        <v>0</v>
      </c>
      <c r="F139" s="183">
        <f>IF($A$1="BL",0,'Peak Hours'!F139*Peak!L140*IS!$B$2)</f>
        <v>0</v>
      </c>
      <c r="G139" s="183">
        <f>IF($A$1="BL",0,'Peak Hours'!G139*Peak!M140*IS!$B$2)</f>
        <v>0</v>
      </c>
      <c r="H139" s="183">
        <f>IF($A$1="BL",0,'Peak Hours'!H139*Peak!N140*IS!$B$2)</f>
        <v>0</v>
      </c>
      <c r="I139" s="183">
        <f>IF($A$1="BL",0,'Peak Hours'!I139*Peak!O140*IS!$B$2)</f>
        <v>0</v>
      </c>
      <c r="J139" s="183">
        <f>IF($A$1="BL",0,'Peak Hours'!J139*Peak!P140*IS!$B$2)</f>
        <v>0</v>
      </c>
      <c r="K139" s="183">
        <f>IF($A$1="BL",0,'Peak Hours'!K139*Peak!Q140*IS!$B$2)</f>
        <v>0</v>
      </c>
      <c r="L139" s="183">
        <f>IF($A$1="BL",0,'Peak Hours'!L139*Peak!R140*IS!$B$2)</f>
        <v>0</v>
      </c>
      <c r="M139" s="183">
        <f>IF($A$1="BL",0,'Peak Hours'!M139*Peak!S140*IS!$B$2)</f>
        <v>0</v>
      </c>
      <c r="N139" s="183">
        <f>IF($A$1="BL",0,'Peak Hours'!N139*Peak!T140*IS!$B$2)</f>
        <v>0</v>
      </c>
      <c r="O139" s="183">
        <f>IF($A$1="BL",0,'Peak Hours'!O139*Peak!U140*IS!$B$2)</f>
        <v>0</v>
      </c>
      <c r="P139" s="183">
        <f>IF($A$1="BL",0,'Peak Hours'!P139*Peak!V140*IS!$B$2)</f>
        <v>0</v>
      </c>
      <c r="Q139" s="183">
        <f>IF($A$1="BL",0,'Peak Hours'!Q139*Peak!W140*IS!$B$2)</f>
        <v>0</v>
      </c>
      <c r="R139" s="183">
        <f>IF($A$1="BL",0,'Peak Hours'!R139*Peak!X140*IS!$B$2)</f>
        <v>0</v>
      </c>
      <c r="S139" s="183">
        <f>IF($A$1="BL",0,'Peak Hours'!S139*Peak!Y140*IS!$B$2)</f>
        <v>0</v>
      </c>
      <c r="T139" s="183">
        <f>IF($A$1="BL",0,'Peak Hours'!T139*Peak!Z140*IS!$B$2)</f>
        <v>0</v>
      </c>
      <c r="U139" s="183">
        <f>IF($A$1="BL",0,'Peak Hours'!U139*Peak!AA140*IS!$B$2)</f>
        <v>0</v>
      </c>
      <c r="V139" s="213"/>
      <c r="W139" s="211">
        <f>(IF($A$1="BL",0,Peak!C140*'Peak Hours'!V139*IS!$B$2))*-1</f>
        <v>0</v>
      </c>
      <c r="X139" s="213"/>
      <c r="Y139" s="211">
        <f>(IF($A$1="bl",0,Peak!D140*'Peak Hours'!V139*IS!$B$2))*-1</f>
        <v>0</v>
      </c>
      <c r="Z139" s="213"/>
      <c r="AA139" s="211">
        <f>(Peak!E140*'Peak Hours'!V139*IS!$B$2)*-1</f>
        <v>0</v>
      </c>
      <c r="AB139" s="210"/>
      <c r="AC139" s="211">
        <f>(Peak!F140*'Peak Hours'!V139*IS!$B$2)*-1</f>
        <v>0</v>
      </c>
      <c r="AD139" s="210"/>
    </row>
    <row r="140" spans="1:30" x14ac:dyDescent="0.2">
      <c r="A140" s="1">
        <f t="shared" ref="A140:A203" si="2">A139+30.417</f>
        <v>40494.210000000166</v>
      </c>
      <c r="B140" s="182">
        <f>IF($A$1="BL",0,'Peak Hours'!B140*Peak!H141*IS!$B$2)</f>
        <v>0</v>
      </c>
      <c r="C140" s="183">
        <f>IF($A$1="BL",0,'Peak Hours'!C140*Peak!I141*IS!$B$2)</f>
        <v>0</v>
      </c>
      <c r="D140" s="183">
        <f>IF($A$1="BL",0,'Peak Hours'!D140*Peak!J141*IS!$B$2)</f>
        <v>0</v>
      </c>
      <c r="E140" s="183">
        <f>IF($A$1="BL",0,'Peak Hours'!E140*Peak!K141*IS!$B$2)</f>
        <v>0</v>
      </c>
      <c r="F140" s="183">
        <f>IF($A$1="BL",0,'Peak Hours'!F140*Peak!L141*IS!$B$2)</f>
        <v>0</v>
      </c>
      <c r="G140" s="183">
        <f>IF($A$1="BL",0,'Peak Hours'!G140*Peak!M141*IS!$B$2)</f>
        <v>0</v>
      </c>
      <c r="H140" s="183">
        <f>IF($A$1="BL",0,'Peak Hours'!H140*Peak!N141*IS!$B$2)</f>
        <v>0</v>
      </c>
      <c r="I140" s="183">
        <f>IF($A$1="BL",0,'Peak Hours'!I140*Peak!O141*IS!$B$2)</f>
        <v>0</v>
      </c>
      <c r="J140" s="183">
        <f>IF($A$1="BL",0,'Peak Hours'!J140*Peak!P141*IS!$B$2)</f>
        <v>0</v>
      </c>
      <c r="K140" s="183">
        <f>IF($A$1="BL",0,'Peak Hours'!K140*Peak!Q141*IS!$B$2)</f>
        <v>0</v>
      </c>
      <c r="L140" s="183">
        <f>IF($A$1="BL",0,'Peak Hours'!L140*Peak!R141*IS!$B$2)</f>
        <v>0</v>
      </c>
      <c r="M140" s="183">
        <f>IF($A$1="BL",0,'Peak Hours'!M140*Peak!S141*IS!$B$2)</f>
        <v>0</v>
      </c>
      <c r="N140" s="183">
        <f>IF($A$1="BL",0,'Peak Hours'!N140*Peak!T141*IS!$B$2)</f>
        <v>0</v>
      </c>
      <c r="O140" s="183">
        <f>IF($A$1="BL",0,'Peak Hours'!O140*Peak!U141*IS!$B$2)</f>
        <v>0</v>
      </c>
      <c r="P140" s="183">
        <f>IF($A$1="BL",0,'Peak Hours'!P140*Peak!V141*IS!$B$2)</f>
        <v>0</v>
      </c>
      <c r="Q140" s="183">
        <f>IF($A$1="BL",0,'Peak Hours'!Q140*Peak!W141*IS!$B$2)</f>
        <v>0</v>
      </c>
      <c r="R140" s="183">
        <f>IF($A$1="BL",0,'Peak Hours'!R140*Peak!X141*IS!$B$2)</f>
        <v>0</v>
      </c>
      <c r="S140" s="183">
        <f>IF($A$1="BL",0,'Peak Hours'!S140*Peak!Y141*IS!$B$2)</f>
        <v>0</v>
      </c>
      <c r="T140" s="183">
        <f>IF($A$1="BL",0,'Peak Hours'!T140*Peak!Z141*IS!$B$2)</f>
        <v>0</v>
      </c>
      <c r="U140" s="183">
        <f>IF($A$1="BL",0,'Peak Hours'!U140*Peak!AA141*IS!$B$2)</f>
        <v>0</v>
      </c>
      <c r="V140" s="213"/>
      <c r="W140" s="211">
        <f>(IF($A$1="BL",0,Peak!C141*'Peak Hours'!V140*IS!$B$2))*-1</f>
        <v>0</v>
      </c>
      <c r="X140" s="213"/>
      <c r="Y140" s="211">
        <f>(IF($A$1="bl",0,Peak!D141*'Peak Hours'!V140*IS!$B$2))*-1</f>
        <v>0</v>
      </c>
      <c r="Z140" s="213"/>
      <c r="AA140" s="211">
        <f>(Peak!E141*'Peak Hours'!V140*IS!$B$2)*-1</f>
        <v>0</v>
      </c>
      <c r="AB140" s="210"/>
      <c r="AC140" s="211">
        <f>(Peak!F141*'Peak Hours'!V140*IS!$B$2)*-1</f>
        <v>0</v>
      </c>
      <c r="AD140" s="210"/>
    </row>
    <row r="141" spans="1:30" x14ac:dyDescent="0.2">
      <c r="A141" s="1">
        <f t="shared" si="2"/>
        <v>40524.627000000168</v>
      </c>
      <c r="B141" s="182">
        <f>IF($A$1="BL",0,'Peak Hours'!B141*Peak!H142*IS!$B$2)</f>
        <v>0</v>
      </c>
      <c r="C141" s="183">
        <f>IF($A$1="BL",0,'Peak Hours'!C141*Peak!I142*IS!$B$2)</f>
        <v>0</v>
      </c>
      <c r="D141" s="183">
        <f>IF($A$1="BL",0,'Peak Hours'!D141*Peak!J142*IS!$B$2)</f>
        <v>0</v>
      </c>
      <c r="E141" s="183">
        <f>IF($A$1="BL",0,'Peak Hours'!E141*Peak!K142*IS!$B$2)</f>
        <v>0</v>
      </c>
      <c r="F141" s="183">
        <f>IF($A$1="BL",0,'Peak Hours'!F141*Peak!L142*IS!$B$2)</f>
        <v>0</v>
      </c>
      <c r="G141" s="183">
        <f>IF($A$1="BL",0,'Peak Hours'!G141*Peak!M142*IS!$B$2)</f>
        <v>0</v>
      </c>
      <c r="H141" s="183">
        <f>IF($A$1="BL",0,'Peak Hours'!H141*Peak!N142*IS!$B$2)</f>
        <v>0</v>
      </c>
      <c r="I141" s="183">
        <f>IF($A$1="BL",0,'Peak Hours'!I141*Peak!O142*IS!$B$2)</f>
        <v>0</v>
      </c>
      <c r="J141" s="183">
        <f>IF($A$1="BL",0,'Peak Hours'!J141*Peak!P142*IS!$B$2)</f>
        <v>0</v>
      </c>
      <c r="K141" s="183">
        <f>IF($A$1="BL",0,'Peak Hours'!K141*Peak!Q142*IS!$B$2)</f>
        <v>0</v>
      </c>
      <c r="L141" s="183">
        <f>IF($A$1="BL",0,'Peak Hours'!L141*Peak!R142*IS!$B$2)</f>
        <v>0</v>
      </c>
      <c r="M141" s="183">
        <f>IF($A$1="BL",0,'Peak Hours'!M141*Peak!S142*IS!$B$2)</f>
        <v>0</v>
      </c>
      <c r="N141" s="183">
        <f>IF($A$1="BL",0,'Peak Hours'!N141*Peak!T142*IS!$B$2)</f>
        <v>0</v>
      </c>
      <c r="O141" s="183">
        <f>IF($A$1="BL",0,'Peak Hours'!O141*Peak!U142*IS!$B$2)</f>
        <v>0</v>
      </c>
      <c r="P141" s="183">
        <f>IF($A$1="BL",0,'Peak Hours'!P141*Peak!V142*IS!$B$2)</f>
        <v>0</v>
      </c>
      <c r="Q141" s="183">
        <f>IF($A$1="BL",0,'Peak Hours'!Q141*Peak!W142*IS!$B$2)</f>
        <v>0</v>
      </c>
      <c r="R141" s="183">
        <f>IF($A$1="BL",0,'Peak Hours'!R141*Peak!X142*IS!$B$2)</f>
        <v>0</v>
      </c>
      <c r="S141" s="183">
        <f>IF($A$1="BL",0,'Peak Hours'!S141*Peak!Y142*IS!$B$2)</f>
        <v>0</v>
      </c>
      <c r="T141" s="183">
        <f>IF($A$1="BL",0,'Peak Hours'!T141*Peak!Z142*IS!$B$2)</f>
        <v>0</v>
      </c>
      <c r="U141" s="183">
        <f>IF($A$1="BL",0,'Peak Hours'!U141*Peak!AA142*IS!$B$2)</f>
        <v>0</v>
      </c>
      <c r="V141" s="214">
        <f>SUM(B130:U141)</f>
        <v>0</v>
      </c>
      <c r="W141" s="211">
        <f>(IF($A$1="BL",0,Peak!C142*'Peak Hours'!V141*IS!$B$2))*-1</f>
        <v>0</v>
      </c>
      <c r="X141" s="214">
        <f>SUM(W130:W141)</f>
        <v>0</v>
      </c>
      <c r="Y141" s="211">
        <f>(IF($A$1="bl",0,Peak!D142*'Peak Hours'!V141*IS!$B$2))*-1</f>
        <v>0</v>
      </c>
      <c r="Z141" s="214">
        <f>SUM(Y130:Y141)</f>
        <v>0</v>
      </c>
      <c r="AA141" s="211">
        <f>(Peak!E142*'Peak Hours'!V141*IS!$B$2)*-1</f>
        <v>0</v>
      </c>
      <c r="AB141" s="211">
        <f>SUM(AA130:AA141)</f>
        <v>0</v>
      </c>
      <c r="AC141" s="211">
        <f>(Peak!F142*'Peak Hours'!V141*IS!$B$2)*-1</f>
        <v>0</v>
      </c>
      <c r="AD141" s="211">
        <f>SUM(AC130:AC141)</f>
        <v>0</v>
      </c>
    </row>
    <row r="142" spans="1:30" x14ac:dyDescent="0.2">
      <c r="A142" s="1">
        <f t="shared" si="2"/>
        <v>40555.044000000169</v>
      </c>
      <c r="B142" s="182">
        <f>IF($A$1="BL",0,'Peak Hours'!B142*Peak!H143*IS!$B$2)</f>
        <v>0</v>
      </c>
      <c r="C142" s="183">
        <f>IF($A$1="BL",0,'Peak Hours'!C142*Peak!I143*IS!$B$2)</f>
        <v>0</v>
      </c>
      <c r="D142" s="183">
        <f>IF($A$1="BL",0,'Peak Hours'!D142*Peak!J143*IS!$B$2)</f>
        <v>0</v>
      </c>
      <c r="E142" s="183">
        <f>IF($A$1="BL",0,'Peak Hours'!E142*Peak!K143*IS!$B$2)</f>
        <v>0</v>
      </c>
      <c r="F142" s="183">
        <f>IF($A$1="BL",0,'Peak Hours'!F142*Peak!L143*IS!$B$2)</f>
        <v>0</v>
      </c>
      <c r="G142" s="183">
        <f>IF($A$1="BL",0,'Peak Hours'!G142*Peak!M143*IS!$B$2)</f>
        <v>0</v>
      </c>
      <c r="H142" s="183">
        <f>IF($A$1="BL",0,'Peak Hours'!H142*Peak!N143*IS!$B$2)</f>
        <v>0</v>
      </c>
      <c r="I142" s="183">
        <f>IF($A$1="BL",0,'Peak Hours'!I142*Peak!O143*IS!$B$2)</f>
        <v>0</v>
      </c>
      <c r="J142" s="183">
        <f>IF($A$1="BL",0,'Peak Hours'!J142*Peak!P143*IS!$B$2)</f>
        <v>0</v>
      </c>
      <c r="K142" s="183">
        <f>IF($A$1="BL",0,'Peak Hours'!K142*Peak!Q143*IS!$B$2)</f>
        <v>0</v>
      </c>
      <c r="L142" s="183">
        <f>IF($A$1="BL",0,'Peak Hours'!L142*Peak!R143*IS!$B$2)</f>
        <v>0</v>
      </c>
      <c r="M142" s="183">
        <f>IF($A$1="BL",0,'Peak Hours'!M142*Peak!S143*IS!$B$2)</f>
        <v>0</v>
      </c>
      <c r="N142" s="183">
        <f>IF($A$1="BL",0,'Peak Hours'!N142*Peak!T143*IS!$B$2)</f>
        <v>0</v>
      </c>
      <c r="O142" s="183">
        <f>IF($A$1="BL",0,'Peak Hours'!O142*Peak!U143*IS!$B$2)</f>
        <v>0</v>
      </c>
      <c r="P142" s="183">
        <f>IF($A$1="BL",0,'Peak Hours'!P142*Peak!V143*IS!$B$2)</f>
        <v>0</v>
      </c>
      <c r="Q142" s="183">
        <f>IF($A$1="BL",0,'Peak Hours'!Q142*Peak!W143*IS!$B$2)</f>
        <v>0</v>
      </c>
      <c r="R142" s="183">
        <f>IF($A$1="BL",0,'Peak Hours'!R142*Peak!X143*IS!$B$2)</f>
        <v>0</v>
      </c>
      <c r="S142" s="183">
        <f>IF($A$1="BL",0,'Peak Hours'!S142*Peak!Y143*IS!$B$2)</f>
        <v>0</v>
      </c>
      <c r="T142" s="183">
        <f>IF($A$1="BL",0,'Peak Hours'!T142*Peak!Z143*IS!$B$2)</f>
        <v>0</v>
      </c>
      <c r="U142" s="183">
        <f>IF($A$1="BL",0,'Peak Hours'!U142*Peak!AA143*IS!$B$2)</f>
        <v>0</v>
      </c>
      <c r="V142" s="213"/>
      <c r="W142" s="211">
        <f>(IF($A$1="BL",0,Peak!C143*'Peak Hours'!V142*IS!$B$2))*-1</f>
        <v>0</v>
      </c>
      <c r="X142" s="213"/>
      <c r="Y142" s="211">
        <f>(IF($A$1="bl",0,Peak!D143*'Peak Hours'!V142*IS!$B$2))*-1</f>
        <v>0</v>
      </c>
      <c r="Z142" s="213"/>
      <c r="AA142" s="211">
        <f>(Peak!E143*'Peak Hours'!V142*IS!$B$2)*-1</f>
        <v>0</v>
      </c>
      <c r="AB142" s="210"/>
      <c r="AC142" s="211">
        <f>(Peak!F143*'Peak Hours'!V142*IS!$B$2)*-1</f>
        <v>0</v>
      </c>
      <c r="AD142" s="210"/>
    </row>
    <row r="143" spans="1:30" x14ac:dyDescent="0.2">
      <c r="A143" s="1">
        <f t="shared" si="2"/>
        <v>40585.46100000017</v>
      </c>
      <c r="B143" s="182">
        <f>IF($A$1="BL",0,'Peak Hours'!B143*Peak!H144*IS!$B$2)</f>
        <v>0</v>
      </c>
      <c r="C143" s="183">
        <f>IF($A$1="BL",0,'Peak Hours'!C143*Peak!I144*IS!$B$2)</f>
        <v>0</v>
      </c>
      <c r="D143" s="183">
        <f>IF($A$1="BL",0,'Peak Hours'!D143*Peak!J144*IS!$B$2)</f>
        <v>0</v>
      </c>
      <c r="E143" s="183">
        <f>IF($A$1="BL",0,'Peak Hours'!E143*Peak!K144*IS!$B$2)</f>
        <v>0</v>
      </c>
      <c r="F143" s="183">
        <f>IF($A$1="BL",0,'Peak Hours'!F143*Peak!L144*IS!$B$2)</f>
        <v>0</v>
      </c>
      <c r="G143" s="183">
        <f>IF($A$1="BL",0,'Peak Hours'!G143*Peak!M144*IS!$B$2)</f>
        <v>0</v>
      </c>
      <c r="H143" s="183">
        <f>IF($A$1="BL",0,'Peak Hours'!H143*Peak!N144*IS!$B$2)</f>
        <v>0</v>
      </c>
      <c r="I143" s="183">
        <f>IF($A$1="BL",0,'Peak Hours'!I143*Peak!O144*IS!$B$2)</f>
        <v>0</v>
      </c>
      <c r="J143" s="183">
        <f>IF($A$1="BL",0,'Peak Hours'!J143*Peak!P144*IS!$B$2)</f>
        <v>0</v>
      </c>
      <c r="K143" s="183">
        <f>IF($A$1="BL",0,'Peak Hours'!K143*Peak!Q144*IS!$B$2)</f>
        <v>0</v>
      </c>
      <c r="L143" s="183">
        <f>IF($A$1="BL",0,'Peak Hours'!L143*Peak!R144*IS!$B$2)</f>
        <v>0</v>
      </c>
      <c r="M143" s="183">
        <f>IF($A$1="BL",0,'Peak Hours'!M143*Peak!S144*IS!$B$2)</f>
        <v>0</v>
      </c>
      <c r="N143" s="183">
        <f>IF($A$1="BL",0,'Peak Hours'!N143*Peak!T144*IS!$B$2)</f>
        <v>0</v>
      </c>
      <c r="O143" s="183">
        <f>IF($A$1="BL",0,'Peak Hours'!O143*Peak!U144*IS!$B$2)</f>
        <v>0</v>
      </c>
      <c r="P143" s="183">
        <f>IF($A$1="BL",0,'Peak Hours'!P143*Peak!V144*IS!$B$2)</f>
        <v>0</v>
      </c>
      <c r="Q143" s="183">
        <f>IF($A$1="BL",0,'Peak Hours'!Q143*Peak!W144*IS!$B$2)</f>
        <v>0</v>
      </c>
      <c r="R143" s="183">
        <f>IF($A$1="BL",0,'Peak Hours'!R143*Peak!X144*IS!$B$2)</f>
        <v>0</v>
      </c>
      <c r="S143" s="183">
        <f>IF($A$1="BL",0,'Peak Hours'!S143*Peak!Y144*IS!$B$2)</f>
        <v>0</v>
      </c>
      <c r="T143" s="183">
        <f>IF($A$1="BL",0,'Peak Hours'!T143*Peak!Z144*IS!$B$2)</f>
        <v>0</v>
      </c>
      <c r="U143" s="183">
        <f>IF($A$1="BL",0,'Peak Hours'!U143*Peak!AA144*IS!$B$2)</f>
        <v>0</v>
      </c>
      <c r="V143" s="213"/>
      <c r="W143" s="211">
        <f>(IF($A$1="BL",0,Peak!C144*'Peak Hours'!V143*IS!$B$2))*-1</f>
        <v>0</v>
      </c>
      <c r="X143" s="213"/>
      <c r="Y143" s="211">
        <f>(IF($A$1="bl",0,Peak!D144*'Peak Hours'!V143*IS!$B$2))*-1</f>
        <v>0</v>
      </c>
      <c r="Z143" s="213"/>
      <c r="AA143" s="211">
        <f>(Peak!E144*'Peak Hours'!V143*IS!$B$2)*-1</f>
        <v>0</v>
      </c>
      <c r="AB143" s="210"/>
      <c r="AC143" s="211">
        <f>(Peak!F144*'Peak Hours'!V143*IS!$B$2)*-1</f>
        <v>0</v>
      </c>
      <c r="AD143" s="210"/>
    </row>
    <row r="144" spans="1:30" x14ac:dyDescent="0.2">
      <c r="A144" s="1">
        <f t="shared" si="2"/>
        <v>40615.878000000172</v>
      </c>
      <c r="B144" s="182">
        <f>IF($A$1="BL",0,'Peak Hours'!B144*Peak!H145*IS!$B$2)</f>
        <v>0</v>
      </c>
      <c r="C144" s="183">
        <f>IF($A$1="BL",0,'Peak Hours'!C144*Peak!I145*IS!$B$2)</f>
        <v>0</v>
      </c>
      <c r="D144" s="183">
        <f>IF($A$1="BL",0,'Peak Hours'!D144*Peak!J145*IS!$B$2)</f>
        <v>0</v>
      </c>
      <c r="E144" s="183">
        <f>IF($A$1="BL",0,'Peak Hours'!E144*Peak!K145*IS!$B$2)</f>
        <v>0</v>
      </c>
      <c r="F144" s="183">
        <f>IF($A$1="BL",0,'Peak Hours'!F144*Peak!L145*IS!$B$2)</f>
        <v>0</v>
      </c>
      <c r="G144" s="183">
        <f>IF($A$1="BL",0,'Peak Hours'!G144*Peak!M145*IS!$B$2)</f>
        <v>0</v>
      </c>
      <c r="H144" s="183">
        <f>IF($A$1="BL",0,'Peak Hours'!H144*Peak!N145*IS!$B$2)</f>
        <v>0</v>
      </c>
      <c r="I144" s="183">
        <f>IF($A$1="BL",0,'Peak Hours'!I144*Peak!O145*IS!$B$2)</f>
        <v>0</v>
      </c>
      <c r="J144" s="183">
        <f>IF($A$1="BL",0,'Peak Hours'!J144*Peak!P145*IS!$B$2)</f>
        <v>0</v>
      </c>
      <c r="K144" s="183">
        <f>IF($A$1="BL",0,'Peak Hours'!K144*Peak!Q145*IS!$B$2)</f>
        <v>0</v>
      </c>
      <c r="L144" s="183">
        <f>IF($A$1="BL",0,'Peak Hours'!L144*Peak!R145*IS!$B$2)</f>
        <v>0</v>
      </c>
      <c r="M144" s="183">
        <f>IF($A$1="BL",0,'Peak Hours'!M144*Peak!S145*IS!$B$2)</f>
        <v>0</v>
      </c>
      <c r="N144" s="183">
        <f>IF($A$1="BL",0,'Peak Hours'!N144*Peak!T145*IS!$B$2)</f>
        <v>0</v>
      </c>
      <c r="O144" s="183">
        <f>IF($A$1="BL",0,'Peak Hours'!O144*Peak!U145*IS!$B$2)</f>
        <v>0</v>
      </c>
      <c r="P144" s="183">
        <f>IF($A$1="BL",0,'Peak Hours'!P144*Peak!V145*IS!$B$2)</f>
        <v>0</v>
      </c>
      <c r="Q144" s="183">
        <f>IF($A$1="BL",0,'Peak Hours'!Q144*Peak!W145*IS!$B$2)</f>
        <v>0</v>
      </c>
      <c r="R144" s="183">
        <f>IF($A$1="BL",0,'Peak Hours'!R144*Peak!X145*IS!$B$2)</f>
        <v>0</v>
      </c>
      <c r="S144" s="183">
        <f>IF($A$1="BL",0,'Peak Hours'!S144*Peak!Y145*IS!$B$2)</f>
        <v>0</v>
      </c>
      <c r="T144" s="183">
        <f>IF($A$1="BL",0,'Peak Hours'!T144*Peak!Z145*IS!$B$2)</f>
        <v>0</v>
      </c>
      <c r="U144" s="183">
        <f>IF($A$1="BL",0,'Peak Hours'!U144*Peak!AA145*IS!$B$2)</f>
        <v>0</v>
      </c>
      <c r="V144" s="213"/>
      <c r="W144" s="211">
        <f>(IF($A$1="BL",0,Peak!C145*'Peak Hours'!V144*IS!$B$2))*-1</f>
        <v>0</v>
      </c>
      <c r="X144" s="213"/>
      <c r="Y144" s="211">
        <f>(IF($A$1="bl",0,Peak!D145*'Peak Hours'!V144*IS!$B$2))*-1</f>
        <v>0</v>
      </c>
      <c r="Z144" s="213"/>
      <c r="AA144" s="211">
        <f>(Peak!E145*'Peak Hours'!V144*IS!$B$2)*-1</f>
        <v>0</v>
      </c>
      <c r="AB144" s="210"/>
      <c r="AC144" s="211">
        <f>(Peak!F145*'Peak Hours'!V144*IS!$B$2)*-1</f>
        <v>0</v>
      </c>
      <c r="AD144" s="210"/>
    </row>
    <row r="145" spans="1:30" x14ac:dyDescent="0.2">
      <c r="A145" s="1">
        <f t="shared" si="2"/>
        <v>40646.295000000173</v>
      </c>
      <c r="B145" s="182">
        <f>IF($A$1="BL",0,'Peak Hours'!B145*Peak!H146*IS!$B$2)</f>
        <v>0</v>
      </c>
      <c r="C145" s="183">
        <f>IF($A$1="BL",0,'Peak Hours'!C145*Peak!I146*IS!$B$2)</f>
        <v>0</v>
      </c>
      <c r="D145" s="183">
        <f>IF($A$1="BL",0,'Peak Hours'!D145*Peak!J146*IS!$B$2)</f>
        <v>0</v>
      </c>
      <c r="E145" s="183">
        <f>IF($A$1="BL",0,'Peak Hours'!E145*Peak!K146*IS!$B$2)</f>
        <v>0</v>
      </c>
      <c r="F145" s="183">
        <f>IF($A$1="BL",0,'Peak Hours'!F145*Peak!L146*IS!$B$2)</f>
        <v>0</v>
      </c>
      <c r="G145" s="183">
        <f>IF($A$1="BL",0,'Peak Hours'!G145*Peak!M146*IS!$B$2)</f>
        <v>0</v>
      </c>
      <c r="H145" s="183">
        <f>IF($A$1="BL",0,'Peak Hours'!H145*Peak!N146*IS!$B$2)</f>
        <v>0</v>
      </c>
      <c r="I145" s="183">
        <f>IF($A$1="BL",0,'Peak Hours'!I145*Peak!O146*IS!$B$2)</f>
        <v>0</v>
      </c>
      <c r="J145" s="183">
        <f>IF($A$1="BL",0,'Peak Hours'!J145*Peak!P146*IS!$B$2)</f>
        <v>0</v>
      </c>
      <c r="K145" s="183">
        <f>IF($A$1="BL",0,'Peak Hours'!K145*Peak!Q146*IS!$B$2)</f>
        <v>0</v>
      </c>
      <c r="L145" s="183">
        <f>IF($A$1="BL",0,'Peak Hours'!L145*Peak!R146*IS!$B$2)</f>
        <v>0</v>
      </c>
      <c r="M145" s="183">
        <f>IF($A$1="BL",0,'Peak Hours'!M145*Peak!S146*IS!$B$2)</f>
        <v>0</v>
      </c>
      <c r="N145" s="183">
        <f>IF($A$1="BL",0,'Peak Hours'!N145*Peak!T146*IS!$B$2)</f>
        <v>0</v>
      </c>
      <c r="O145" s="183">
        <f>IF($A$1="BL",0,'Peak Hours'!O145*Peak!U146*IS!$B$2)</f>
        <v>0</v>
      </c>
      <c r="P145" s="183">
        <f>IF($A$1="BL",0,'Peak Hours'!P145*Peak!V146*IS!$B$2)</f>
        <v>0</v>
      </c>
      <c r="Q145" s="183">
        <f>IF($A$1="BL",0,'Peak Hours'!Q145*Peak!W146*IS!$B$2)</f>
        <v>0</v>
      </c>
      <c r="R145" s="183">
        <f>IF($A$1="BL",0,'Peak Hours'!R145*Peak!X146*IS!$B$2)</f>
        <v>0</v>
      </c>
      <c r="S145" s="183">
        <f>IF($A$1="BL",0,'Peak Hours'!S145*Peak!Y146*IS!$B$2)</f>
        <v>0</v>
      </c>
      <c r="T145" s="183">
        <f>IF($A$1="BL",0,'Peak Hours'!T145*Peak!Z146*IS!$B$2)</f>
        <v>0</v>
      </c>
      <c r="U145" s="183">
        <f>IF($A$1="BL",0,'Peak Hours'!U145*Peak!AA146*IS!$B$2)</f>
        <v>0</v>
      </c>
      <c r="V145" s="213"/>
      <c r="W145" s="211">
        <f>(IF($A$1="BL",0,Peak!C146*'Peak Hours'!V145*IS!$B$2))*-1</f>
        <v>0</v>
      </c>
      <c r="X145" s="213"/>
      <c r="Y145" s="211">
        <f>(IF($A$1="bl",0,Peak!D146*'Peak Hours'!V145*IS!$B$2))*-1</f>
        <v>0</v>
      </c>
      <c r="Z145" s="213"/>
      <c r="AA145" s="211">
        <f>(Peak!E146*'Peak Hours'!V145*IS!$B$2)*-1</f>
        <v>0</v>
      </c>
      <c r="AB145" s="210"/>
      <c r="AC145" s="211">
        <f>(Peak!F146*'Peak Hours'!V145*IS!$B$2)*-1</f>
        <v>0</v>
      </c>
      <c r="AD145" s="210"/>
    </row>
    <row r="146" spans="1:30" x14ac:dyDescent="0.2">
      <c r="A146" s="1">
        <f t="shared" si="2"/>
        <v>40676.712000000174</v>
      </c>
      <c r="B146" s="182">
        <f>IF($A$1="BL",0,'Peak Hours'!B146*Peak!H147*IS!$B$2)</f>
        <v>0</v>
      </c>
      <c r="C146" s="183">
        <f>IF($A$1="BL",0,'Peak Hours'!C146*Peak!I147*IS!$B$2)</f>
        <v>0</v>
      </c>
      <c r="D146" s="183">
        <f>IF($A$1="BL",0,'Peak Hours'!D146*Peak!J147*IS!$B$2)</f>
        <v>0</v>
      </c>
      <c r="E146" s="183">
        <f>IF($A$1="BL",0,'Peak Hours'!E146*Peak!K147*IS!$B$2)</f>
        <v>0</v>
      </c>
      <c r="F146" s="183">
        <f>IF($A$1="BL",0,'Peak Hours'!F146*Peak!L147*IS!$B$2)</f>
        <v>0</v>
      </c>
      <c r="G146" s="183">
        <f>IF($A$1="BL",0,'Peak Hours'!G146*Peak!M147*IS!$B$2)</f>
        <v>0</v>
      </c>
      <c r="H146" s="183">
        <f>IF($A$1="BL",0,'Peak Hours'!H146*Peak!N147*IS!$B$2)</f>
        <v>0</v>
      </c>
      <c r="I146" s="183">
        <f>IF($A$1="BL",0,'Peak Hours'!I146*Peak!O147*IS!$B$2)</f>
        <v>0</v>
      </c>
      <c r="J146" s="183">
        <f>IF($A$1="BL",0,'Peak Hours'!J146*Peak!P147*IS!$B$2)</f>
        <v>0</v>
      </c>
      <c r="K146" s="183">
        <f>IF($A$1="BL",0,'Peak Hours'!K146*Peak!Q147*IS!$B$2)</f>
        <v>0</v>
      </c>
      <c r="L146" s="183">
        <f>IF($A$1="BL",0,'Peak Hours'!L146*Peak!R147*IS!$B$2)</f>
        <v>0</v>
      </c>
      <c r="M146" s="183">
        <f>IF($A$1="BL",0,'Peak Hours'!M146*Peak!S147*IS!$B$2)</f>
        <v>0</v>
      </c>
      <c r="N146" s="183">
        <f>IF($A$1="BL",0,'Peak Hours'!N146*Peak!T147*IS!$B$2)</f>
        <v>0</v>
      </c>
      <c r="O146" s="183">
        <f>IF($A$1="BL",0,'Peak Hours'!O146*Peak!U147*IS!$B$2)</f>
        <v>0</v>
      </c>
      <c r="P146" s="183">
        <f>IF($A$1="BL",0,'Peak Hours'!P146*Peak!V147*IS!$B$2)</f>
        <v>0</v>
      </c>
      <c r="Q146" s="183">
        <f>IF($A$1="BL",0,'Peak Hours'!Q146*Peak!W147*IS!$B$2)</f>
        <v>0</v>
      </c>
      <c r="R146" s="183">
        <f>IF($A$1="BL",0,'Peak Hours'!R146*Peak!X147*IS!$B$2)</f>
        <v>0</v>
      </c>
      <c r="S146" s="183">
        <f>IF($A$1="BL",0,'Peak Hours'!S146*Peak!Y147*IS!$B$2)</f>
        <v>0</v>
      </c>
      <c r="T146" s="183">
        <f>IF($A$1="BL",0,'Peak Hours'!T146*Peak!Z147*IS!$B$2)</f>
        <v>0</v>
      </c>
      <c r="U146" s="183">
        <f>IF($A$1="BL",0,'Peak Hours'!U146*Peak!AA147*IS!$B$2)</f>
        <v>0</v>
      </c>
      <c r="V146" s="213"/>
      <c r="W146" s="211">
        <f>(IF($A$1="BL",0,Peak!C147*'Peak Hours'!V146*IS!$B$2))*-1</f>
        <v>0</v>
      </c>
      <c r="X146" s="213"/>
      <c r="Y146" s="211">
        <f>(IF($A$1="bl",0,Peak!D147*'Peak Hours'!V146*IS!$B$2))*-1</f>
        <v>0</v>
      </c>
      <c r="Z146" s="213"/>
      <c r="AA146" s="211">
        <f>(Peak!E147*'Peak Hours'!V146*IS!$B$2)*-1</f>
        <v>0</v>
      </c>
      <c r="AB146" s="210"/>
      <c r="AC146" s="211">
        <f>(Peak!F147*'Peak Hours'!V146*IS!$B$2)*-1</f>
        <v>0</v>
      </c>
      <c r="AD146" s="210"/>
    </row>
    <row r="147" spans="1:30" x14ac:dyDescent="0.2">
      <c r="A147" s="1">
        <f t="shared" si="2"/>
        <v>40707.129000000175</v>
      </c>
      <c r="B147" s="182">
        <f>IF($A$1="BL",0,'Peak Hours'!B147*Peak!H148*IS!$B$2)</f>
        <v>0</v>
      </c>
      <c r="C147" s="183">
        <f>IF($A$1="BL",0,'Peak Hours'!C147*Peak!I148*IS!$B$2)</f>
        <v>0</v>
      </c>
      <c r="D147" s="183">
        <f>IF($A$1="BL",0,'Peak Hours'!D147*Peak!J148*IS!$B$2)</f>
        <v>0</v>
      </c>
      <c r="E147" s="183">
        <f>IF($A$1="BL",0,'Peak Hours'!E147*Peak!K148*IS!$B$2)</f>
        <v>0</v>
      </c>
      <c r="F147" s="183">
        <f>IF($A$1="BL",0,'Peak Hours'!F147*Peak!L148*IS!$B$2)</f>
        <v>0</v>
      </c>
      <c r="G147" s="183">
        <f>IF($A$1="BL",0,'Peak Hours'!G147*Peak!M148*IS!$B$2)</f>
        <v>0</v>
      </c>
      <c r="H147" s="183">
        <f>IF($A$1="BL",0,'Peak Hours'!H147*Peak!N148*IS!$B$2)</f>
        <v>0</v>
      </c>
      <c r="I147" s="183">
        <f>IF($A$1="BL",0,'Peak Hours'!I147*Peak!O148*IS!$B$2)</f>
        <v>0</v>
      </c>
      <c r="J147" s="183">
        <f>IF($A$1="BL",0,'Peak Hours'!J147*Peak!P148*IS!$B$2)</f>
        <v>0</v>
      </c>
      <c r="K147" s="183">
        <f>IF($A$1="BL",0,'Peak Hours'!K147*Peak!Q148*IS!$B$2)</f>
        <v>0</v>
      </c>
      <c r="L147" s="183">
        <f>IF($A$1="BL",0,'Peak Hours'!L147*Peak!R148*IS!$B$2)</f>
        <v>0</v>
      </c>
      <c r="M147" s="183">
        <f>IF($A$1="BL",0,'Peak Hours'!M147*Peak!S148*IS!$B$2)</f>
        <v>0</v>
      </c>
      <c r="N147" s="183">
        <f>IF($A$1="BL",0,'Peak Hours'!N147*Peak!T148*IS!$B$2)</f>
        <v>0</v>
      </c>
      <c r="O147" s="183">
        <f>IF($A$1="BL",0,'Peak Hours'!O147*Peak!U148*IS!$B$2)</f>
        <v>0</v>
      </c>
      <c r="P147" s="183">
        <f>IF($A$1="BL",0,'Peak Hours'!P147*Peak!V148*IS!$B$2)</f>
        <v>0</v>
      </c>
      <c r="Q147" s="183">
        <f>IF($A$1="BL",0,'Peak Hours'!Q147*Peak!W148*IS!$B$2)</f>
        <v>0</v>
      </c>
      <c r="R147" s="183">
        <f>IF($A$1="BL",0,'Peak Hours'!R147*Peak!X148*IS!$B$2)</f>
        <v>0</v>
      </c>
      <c r="S147" s="183">
        <f>IF($A$1="BL",0,'Peak Hours'!S147*Peak!Y148*IS!$B$2)</f>
        <v>0</v>
      </c>
      <c r="T147" s="183">
        <f>IF($A$1="BL",0,'Peak Hours'!T147*Peak!Z148*IS!$B$2)</f>
        <v>0</v>
      </c>
      <c r="U147" s="183">
        <f>IF($A$1="BL",0,'Peak Hours'!U147*Peak!AA148*IS!$B$2)</f>
        <v>0</v>
      </c>
      <c r="V147" s="213"/>
      <c r="W147" s="211">
        <f>(IF($A$1="BL",0,Peak!C148*'Peak Hours'!V147*IS!$B$2))*-1</f>
        <v>0</v>
      </c>
      <c r="X147" s="213"/>
      <c r="Y147" s="211">
        <f>(IF($A$1="bl",0,Peak!D148*'Peak Hours'!V147*IS!$B$2))*-1</f>
        <v>0</v>
      </c>
      <c r="Z147" s="213"/>
      <c r="AA147" s="211">
        <f>(Peak!E148*'Peak Hours'!V147*IS!$B$2)*-1</f>
        <v>0</v>
      </c>
      <c r="AB147" s="210"/>
      <c r="AC147" s="211">
        <f>(Peak!F148*'Peak Hours'!V147*IS!$B$2)*-1</f>
        <v>0</v>
      </c>
      <c r="AD147" s="210"/>
    </row>
    <row r="148" spans="1:30" x14ac:dyDescent="0.2">
      <c r="A148" s="1">
        <f t="shared" si="2"/>
        <v>40737.546000000177</v>
      </c>
      <c r="B148" s="182">
        <f>IF($A$1="BL",0,'Peak Hours'!B148*Peak!H149*IS!$B$2)</f>
        <v>0</v>
      </c>
      <c r="C148" s="183">
        <f>IF($A$1="BL",0,'Peak Hours'!C148*Peak!I149*IS!$B$2)</f>
        <v>0</v>
      </c>
      <c r="D148" s="183">
        <f>IF($A$1="BL",0,'Peak Hours'!D148*Peak!J149*IS!$B$2)</f>
        <v>0</v>
      </c>
      <c r="E148" s="183">
        <f>IF($A$1="BL",0,'Peak Hours'!E148*Peak!K149*IS!$B$2)</f>
        <v>0</v>
      </c>
      <c r="F148" s="183">
        <f>IF($A$1="BL",0,'Peak Hours'!F148*Peak!L149*IS!$B$2)</f>
        <v>0</v>
      </c>
      <c r="G148" s="183">
        <f>IF($A$1="BL",0,'Peak Hours'!G148*Peak!M149*IS!$B$2)</f>
        <v>0</v>
      </c>
      <c r="H148" s="183">
        <f>IF($A$1="BL",0,'Peak Hours'!H148*Peak!N149*IS!$B$2)</f>
        <v>0</v>
      </c>
      <c r="I148" s="183">
        <f>IF($A$1="BL",0,'Peak Hours'!I148*Peak!O149*IS!$B$2)</f>
        <v>0</v>
      </c>
      <c r="J148" s="183">
        <f>IF($A$1="BL",0,'Peak Hours'!J148*Peak!P149*IS!$B$2)</f>
        <v>0</v>
      </c>
      <c r="K148" s="183">
        <f>IF($A$1="BL",0,'Peak Hours'!K148*Peak!Q149*IS!$B$2)</f>
        <v>0</v>
      </c>
      <c r="L148" s="183">
        <f>IF($A$1="BL",0,'Peak Hours'!L148*Peak!R149*IS!$B$2)</f>
        <v>0</v>
      </c>
      <c r="M148" s="183">
        <f>IF($A$1="BL",0,'Peak Hours'!M148*Peak!S149*IS!$B$2)</f>
        <v>0</v>
      </c>
      <c r="N148" s="183">
        <f>IF($A$1="BL",0,'Peak Hours'!N148*Peak!T149*IS!$B$2)</f>
        <v>0</v>
      </c>
      <c r="O148" s="183">
        <f>IF($A$1="BL",0,'Peak Hours'!O148*Peak!U149*IS!$B$2)</f>
        <v>0</v>
      </c>
      <c r="P148" s="183">
        <f>IF($A$1="BL",0,'Peak Hours'!P148*Peak!V149*IS!$B$2)</f>
        <v>0</v>
      </c>
      <c r="Q148" s="183">
        <f>IF($A$1="BL",0,'Peak Hours'!Q148*Peak!W149*IS!$B$2)</f>
        <v>0</v>
      </c>
      <c r="R148" s="183">
        <f>IF($A$1="BL",0,'Peak Hours'!R148*Peak!X149*IS!$B$2)</f>
        <v>0</v>
      </c>
      <c r="S148" s="183">
        <f>IF($A$1="BL",0,'Peak Hours'!S148*Peak!Y149*IS!$B$2)</f>
        <v>0</v>
      </c>
      <c r="T148" s="183">
        <f>IF($A$1="BL",0,'Peak Hours'!T148*Peak!Z149*IS!$B$2)</f>
        <v>0</v>
      </c>
      <c r="U148" s="183">
        <f>IF($A$1="BL",0,'Peak Hours'!U148*Peak!AA149*IS!$B$2)</f>
        <v>0</v>
      </c>
      <c r="V148" s="213"/>
      <c r="W148" s="211">
        <f>(IF($A$1="BL",0,Peak!C149*'Peak Hours'!V148*IS!$B$2))*-1</f>
        <v>0</v>
      </c>
      <c r="X148" s="213"/>
      <c r="Y148" s="211">
        <f>(IF($A$1="bl",0,Peak!D149*'Peak Hours'!V148*IS!$B$2))*-1</f>
        <v>0</v>
      </c>
      <c r="Z148" s="213"/>
      <c r="AA148" s="211">
        <f>(Peak!E149*'Peak Hours'!V148*IS!$B$2)*-1</f>
        <v>0</v>
      </c>
      <c r="AB148" s="210"/>
      <c r="AC148" s="211">
        <f>(Peak!F149*'Peak Hours'!V148*IS!$B$2)*-1</f>
        <v>0</v>
      </c>
      <c r="AD148" s="210"/>
    </row>
    <row r="149" spans="1:30" x14ac:dyDescent="0.2">
      <c r="A149" s="1">
        <f t="shared" si="2"/>
        <v>40767.963000000178</v>
      </c>
      <c r="B149" s="182">
        <f>IF($A$1="BL",0,'Peak Hours'!B149*Peak!H150*IS!$B$2)</f>
        <v>0</v>
      </c>
      <c r="C149" s="183">
        <f>IF($A$1="BL",0,'Peak Hours'!C149*Peak!I150*IS!$B$2)</f>
        <v>0</v>
      </c>
      <c r="D149" s="183">
        <f>IF($A$1="BL",0,'Peak Hours'!D149*Peak!J150*IS!$B$2)</f>
        <v>0</v>
      </c>
      <c r="E149" s="183">
        <f>IF($A$1="BL",0,'Peak Hours'!E149*Peak!K150*IS!$B$2)</f>
        <v>0</v>
      </c>
      <c r="F149" s="183">
        <f>IF($A$1="BL",0,'Peak Hours'!F149*Peak!L150*IS!$B$2)</f>
        <v>0</v>
      </c>
      <c r="G149" s="183">
        <f>IF($A$1="BL",0,'Peak Hours'!G149*Peak!M150*IS!$B$2)</f>
        <v>0</v>
      </c>
      <c r="H149" s="183">
        <f>IF($A$1="BL",0,'Peak Hours'!H149*Peak!N150*IS!$B$2)</f>
        <v>0</v>
      </c>
      <c r="I149" s="183">
        <f>IF($A$1="BL",0,'Peak Hours'!I149*Peak!O150*IS!$B$2)</f>
        <v>0</v>
      </c>
      <c r="J149" s="183">
        <f>IF($A$1="BL",0,'Peak Hours'!J149*Peak!P150*IS!$B$2)</f>
        <v>0</v>
      </c>
      <c r="K149" s="183">
        <f>IF($A$1="BL",0,'Peak Hours'!K149*Peak!Q150*IS!$B$2)</f>
        <v>0</v>
      </c>
      <c r="L149" s="183">
        <f>IF($A$1="BL",0,'Peak Hours'!L149*Peak!R150*IS!$B$2)</f>
        <v>0</v>
      </c>
      <c r="M149" s="183">
        <f>IF($A$1="BL",0,'Peak Hours'!M149*Peak!S150*IS!$B$2)</f>
        <v>0</v>
      </c>
      <c r="N149" s="183">
        <f>IF($A$1="BL",0,'Peak Hours'!N149*Peak!T150*IS!$B$2)</f>
        <v>0</v>
      </c>
      <c r="O149" s="183">
        <f>IF($A$1="BL",0,'Peak Hours'!O149*Peak!U150*IS!$B$2)</f>
        <v>0</v>
      </c>
      <c r="P149" s="183">
        <f>IF($A$1="BL",0,'Peak Hours'!P149*Peak!V150*IS!$B$2)</f>
        <v>0</v>
      </c>
      <c r="Q149" s="183">
        <f>IF($A$1="BL",0,'Peak Hours'!Q149*Peak!W150*IS!$B$2)</f>
        <v>0</v>
      </c>
      <c r="R149" s="183">
        <f>IF($A$1="BL",0,'Peak Hours'!R149*Peak!X150*IS!$B$2)</f>
        <v>0</v>
      </c>
      <c r="S149" s="183">
        <f>IF($A$1="BL",0,'Peak Hours'!S149*Peak!Y150*IS!$B$2)</f>
        <v>0</v>
      </c>
      <c r="T149" s="183">
        <f>IF($A$1="BL",0,'Peak Hours'!T149*Peak!Z150*IS!$B$2)</f>
        <v>0</v>
      </c>
      <c r="U149" s="183">
        <f>IF($A$1="BL",0,'Peak Hours'!U149*Peak!AA150*IS!$B$2)</f>
        <v>0</v>
      </c>
      <c r="V149" s="213"/>
      <c r="W149" s="211">
        <f>(IF($A$1="BL",0,Peak!C150*'Peak Hours'!V149*IS!$B$2))*-1</f>
        <v>0</v>
      </c>
      <c r="X149" s="213"/>
      <c r="Y149" s="211">
        <f>(IF($A$1="bl",0,Peak!D150*'Peak Hours'!V149*IS!$B$2))*-1</f>
        <v>0</v>
      </c>
      <c r="Z149" s="213"/>
      <c r="AA149" s="211">
        <f>(Peak!E150*'Peak Hours'!V149*IS!$B$2)*-1</f>
        <v>0</v>
      </c>
      <c r="AB149" s="210"/>
      <c r="AC149" s="211">
        <f>(Peak!F150*'Peak Hours'!V149*IS!$B$2)*-1</f>
        <v>0</v>
      </c>
      <c r="AD149" s="210"/>
    </row>
    <row r="150" spans="1:30" x14ac:dyDescent="0.2">
      <c r="A150" s="1">
        <f t="shared" si="2"/>
        <v>40798.380000000179</v>
      </c>
      <c r="B150" s="182">
        <f>IF($A$1="BL",0,'Peak Hours'!B150*Peak!H151*IS!$B$2)</f>
        <v>0</v>
      </c>
      <c r="C150" s="183">
        <f>IF($A$1="BL",0,'Peak Hours'!C150*Peak!I151*IS!$B$2)</f>
        <v>0</v>
      </c>
      <c r="D150" s="183">
        <f>IF($A$1="BL",0,'Peak Hours'!D150*Peak!J151*IS!$B$2)</f>
        <v>0</v>
      </c>
      <c r="E150" s="183">
        <f>IF($A$1="BL",0,'Peak Hours'!E150*Peak!K151*IS!$B$2)</f>
        <v>0</v>
      </c>
      <c r="F150" s="183">
        <f>IF($A$1="BL",0,'Peak Hours'!F150*Peak!L151*IS!$B$2)</f>
        <v>0</v>
      </c>
      <c r="G150" s="183">
        <f>IF($A$1="BL",0,'Peak Hours'!G150*Peak!M151*IS!$B$2)</f>
        <v>0</v>
      </c>
      <c r="H150" s="183">
        <f>IF($A$1="BL",0,'Peak Hours'!H150*Peak!N151*IS!$B$2)</f>
        <v>0</v>
      </c>
      <c r="I150" s="183">
        <f>IF($A$1="BL",0,'Peak Hours'!I150*Peak!O151*IS!$B$2)</f>
        <v>0</v>
      </c>
      <c r="J150" s="183">
        <f>IF($A$1="BL",0,'Peak Hours'!J150*Peak!P151*IS!$B$2)</f>
        <v>0</v>
      </c>
      <c r="K150" s="183">
        <f>IF($A$1="BL",0,'Peak Hours'!K150*Peak!Q151*IS!$B$2)</f>
        <v>0</v>
      </c>
      <c r="L150" s="183">
        <f>IF($A$1="BL",0,'Peak Hours'!L150*Peak!R151*IS!$B$2)</f>
        <v>0</v>
      </c>
      <c r="M150" s="183">
        <f>IF($A$1="BL",0,'Peak Hours'!M150*Peak!S151*IS!$B$2)</f>
        <v>0</v>
      </c>
      <c r="N150" s="183">
        <f>IF($A$1="BL",0,'Peak Hours'!N150*Peak!T151*IS!$B$2)</f>
        <v>0</v>
      </c>
      <c r="O150" s="183">
        <f>IF($A$1="BL",0,'Peak Hours'!O150*Peak!U151*IS!$B$2)</f>
        <v>0</v>
      </c>
      <c r="P150" s="183">
        <f>IF($A$1="BL",0,'Peak Hours'!P150*Peak!V151*IS!$B$2)</f>
        <v>0</v>
      </c>
      <c r="Q150" s="183">
        <f>IF($A$1="BL",0,'Peak Hours'!Q150*Peak!W151*IS!$B$2)</f>
        <v>0</v>
      </c>
      <c r="R150" s="183">
        <f>IF($A$1="BL",0,'Peak Hours'!R150*Peak!X151*IS!$B$2)</f>
        <v>0</v>
      </c>
      <c r="S150" s="183">
        <f>IF($A$1="BL",0,'Peak Hours'!S150*Peak!Y151*IS!$B$2)</f>
        <v>0</v>
      </c>
      <c r="T150" s="183">
        <f>IF($A$1="BL",0,'Peak Hours'!T150*Peak!Z151*IS!$B$2)</f>
        <v>0</v>
      </c>
      <c r="U150" s="183">
        <f>IF($A$1="BL",0,'Peak Hours'!U150*Peak!AA151*IS!$B$2)</f>
        <v>0</v>
      </c>
      <c r="V150" s="213"/>
      <c r="W150" s="211">
        <f>(IF($A$1="BL",0,Peak!C151*'Peak Hours'!V150*IS!$B$2))*-1</f>
        <v>0</v>
      </c>
      <c r="X150" s="213"/>
      <c r="Y150" s="211">
        <f>(IF($A$1="bl",0,Peak!D151*'Peak Hours'!V150*IS!$B$2))*-1</f>
        <v>0</v>
      </c>
      <c r="Z150" s="213"/>
      <c r="AA150" s="211">
        <f>(Peak!E151*'Peak Hours'!V150*IS!$B$2)*-1</f>
        <v>0</v>
      </c>
      <c r="AB150" s="210"/>
      <c r="AC150" s="211">
        <f>(Peak!F151*'Peak Hours'!V150*IS!$B$2)*-1</f>
        <v>0</v>
      </c>
      <c r="AD150" s="210"/>
    </row>
    <row r="151" spans="1:30" x14ac:dyDescent="0.2">
      <c r="A151" s="1">
        <f t="shared" si="2"/>
        <v>40828.797000000181</v>
      </c>
      <c r="B151" s="182">
        <f>IF($A$1="BL",0,'Peak Hours'!B151*Peak!H152*IS!$B$2)</f>
        <v>0</v>
      </c>
      <c r="C151" s="183">
        <f>IF($A$1="BL",0,'Peak Hours'!C151*Peak!I152*IS!$B$2)</f>
        <v>0</v>
      </c>
      <c r="D151" s="183">
        <f>IF($A$1="BL",0,'Peak Hours'!D151*Peak!J152*IS!$B$2)</f>
        <v>0</v>
      </c>
      <c r="E151" s="183">
        <f>IF($A$1="BL",0,'Peak Hours'!E151*Peak!K152*IS!$B$2)</f>
        <v>0</v>
      </c>
      <c r="F151" s="183">
        <f>IF($A$1="BL",0,'Peak Hours'!F151*Peak!L152*IS!$B$2)</f>
        <v>0</v>
      </c>
      <c r="G151" s="183">
        <f>IF($A$1="BL",0,'Peak Hours'!G151*Peak!M152*IS!$B$2)</f>
        <v>0</v>
      </c>
      <c r="H151" s="183">
        <f>IF($A$1="BL",0,'Peak Hours'!H151*Peak!N152*IS!$B$2)</f>
        <v>0</v>
      </c>
      <c r="I151" s="183">
        <f>IF($A$1="BL",0,'Peak Hours'!I151*Peak!O152*IS!$B$2)</f>
        <v>0</v>
      </c>
      <c r="J151" s="183">
        <f>IF($A$1="BL",0,'Peak Hours'!J151*Peak!P152*IS!$B$2)</f>
        <v>0</v>
      </c>
      <c r="K151" s="183">
        <f>IF($A$1="BL",0,'Peak Hours'!K151*Peak!Q152*IS!$B$2)</f>
        <v>0</v>
      </c>
      <c r="L151" s="183">
        <f>IF($A$1="BL",0,'Peak Hours'!L151*Peak!R152*IS!$B$2)</f>
        <v>0</v>
      </c>
      <c r="M151" s="183">
        <f>IF($A$1="BL",0,'Peak Hours'!M151*Peak!S152*IS!$B$2)</f>
        <v>0</v>
      </c>
      <c r="N151" s="183">
        <f>IF($A$1="BL",0,'Peak Hours'!N151*Peak!T152*IS!$B$2)</f>
        <v>0</v>
      </c>
      <c r="O151" s="183">
        <f>IF($A$1="BL",0,'Peak Hours'!O151*Peak!U152*IS!$B$2)</f>
        <v>0</v>
      </c>
      <c r="P151" s="183">
        <f>IF($A$1="BL",0,'Peak Hours'!P151*Peak!V152*IS!$B$2)</f>
        <v>0</v>
      </c>
      <c r="Q151" s="183">
        <f>IF($A$1="BL",0,'Peak Hours'!Q151*Peak!W152*IS!$B$2)</f>
        <v>0</v>
      </c>
      <c r="R151" s="183">
        <f>IF($A$1="BL",0,'Peak Hours'!R151*Peak!X152*IS!$B$2)</f>
        <v>0</v>
      </c>
      <c r="S151" s="183">
        <f>IF($A$1="BL",0,'Peak Hours'!S151*Peak!Y152*IS!$B$2)</f>
        <v>0</v>
      </c>
      <c r="T151" s="183">
        <f>IF($A$1="BL",0,'Peak Hours'!T151*Peak!Z152*IS!$B$2)</f>
        <v>0</v>
      </c>
      <c r="U151" s="183">
        <f>IF($A$1="BL",0,'Peak Hours'!U151*Peak!AA152*IS!$B$2)</f>
        <v>0</v>
      </c>
      <c r="V151" s="213"/>
      <c r="W151" s="211">
        <f>(IF($A$1="BL",0,Peak!C152*'Peak Hours'!V151*IS!$B$2))*-1</f>
        <v>0</v>
      </c>
      <c r="X151" s="213"/>
      <c r="Y151" s="211">
        <f>(IF($A$1="bl",0,Peak!D152*'Peak Hours'!V151*IS!$B$2))*-1</f>
        <v>0</v>
      </c>
      <c r="Z151" s="213"/>
      <c r="AA151" s="211">
        <f>(Peak!E152*'Peak Hours'!V151*IS!$B$2)*-1</f>
        <v>0</v>
      </c>
      <c r="AB151" s="210"/>
      <c r="AC151" s="211">
        <f>(Peak!F152*'Peak Hours'!V151*IS!$B$2)*-1</f>
        <v>0</v>
      </c>
      <c r="AD151" s="210"/>
    </row>
    <row r="152" spans="1:30" x14ac:dyDescent="0.2">
      <c r="A152" s="1">
        <f t="shared" si="2"/>
        <v>40859.214000000182</v>
      </c>
      <c r="B152" s="182">
        <f>IF($A$1="BL",0,'Peak Hours'!B152*Peak!H153*IS!$B$2)</f>
        <v>0</v>
      </c>
      <c r="C152" s="183">
        <f>IF($A$1="BL",0,'Peak Hours'!C152*Peak!I153*IS!$B$2)</f>
        <v>0</v>
      </c>
      <c r="D152" s="183">
        <f>IF($A$1="BL",0,'Peak Hours'!D152*Peak!J153*IS!$B$2)</f>
        <v>0</v>
      </c>
      <c r="E152" s="183">
        <f>IF($A$1="BL",0,'Peak Hours'!E152*Peak!K153*IS!$B$2)</f>
        <v>0</v>
      </c>
      <c r="F152" s="183">
        <f>IF($A$1="BL",0,'Peak Hours'!F152*Peak!L153*IS!$B$2)</f>
        <v>0</v>
      </c>
      <c r="G152" s="183">
        <f>IF($A$1="BL",0,'Peak Hours'!G152*Peak!M153*IS!$B$2)</f>
        <v>0</v>
      </c>
      <c r="H152" s="183">
        <f>IF($A$1="BL",0,'Peak Hours'!H152*Peak!N153*IS!$B$2)</f>
        <v>0</v>
      </c>
      <c r="I152" s="183">
        <f>IF($A$1="BL",0,'Peak Hours'!I152*Peak!O153*IS!$B$2)</f>
        <v>0</v>
      </c>
      <c r="J152" s="183">
        <f>IF($A$1="BL",0,'Peak Hours'!J152*Peak!P153*IS!$B$2)</f>
        <v>0</v>
      </c>
      <c r="K152" s="183">
        <f>IF($A$1="BL",0,'Peak Hours'!K152*Peak!Q153*IS!$B$2)</f>
        <v>0</v>
      </c>
      <c r="L152" s="183">
        <f>IF($A$1="BL",0,'Peak Hours'!L152*Peak!R153*IS!$B$2)</f>
        <v>0</v>
      </c>
      <c r="M152" s="183">
        <f>IF($A$1="BL",0,'Peak Hours'!M152*Peak!S153*IS!$B$2)</f>
        <v>0</v>
      </c>
      <c r="N152" s="183">
        <f>IF($A$1="BL",0,'Peak Hours'!N152*Peak!T153*IS!$B$2)</f>
        <v>0</v>
      </c>
      <c r="O152" s="183">
        <f>IF($A$1="BL",0,'Peak Hours'!O152*Peak!U153*IS!$B$2)</f>
        <v>0</v>
      </c>
      <c r="P152" s="183">
        <f>IF($A$1="BL",0,'Peak Hours'!P152*Peak!V153*IS!$B$2)</f>
        <v>0</v>
      </c>
      <c r="Q152" s="183">
        <f>IF($A$1="BL",0,'Peak Hours'!Q152*Peak!W153*IS!$B$2)</f>
        <v>0</v>
      </c>
      <c r="R152" s="183">
        <f>IF($A$1="BL",0,'Peak Hours'!R152*Peak!X153*IS!$B$2)</f>
        <v>0</v>
      </c>
      <c r="S152" s="183">
        <f>IF($A$1="BL",0,'Peak Hours'!S152*Peak!Y153*IS!$B$2)</f>
        <v>0</v>
      </c>
      <c r="T152" s="183">
        <f>IF($A$1="BL",0,'Peak Hours'!T152*Peak!Z153*IS!$B$2)</f>
        <v>0</v>
      </c>
      <c r="U152" s="183">
        <f>IF($A$1="BL",0,'Peak Hours'!U152*Peak!AA153*IS!$B$2)</f>
        <v>0</v>
      </c>
      <c r="V152" s="213"/>
      <c r="W152" s="211">
        <f>(IF($A$1="BL",0,Peak!C153*'Peak Hours'!V152*IS!$B$2))*-1</f>
        <v>0</v>
      </c>
      <c r="X152" s="213"/>
      <c r="Y152" s="211">
        <f>(IF($A$1="bl",0,Peak!D153*'Peak Hours'!V152*IS!$B$2))*-1</f>
        <v>0</v>
      </c>
      <c r="Z152" s="213"/>
      <c r="AA152" s="211">
        <f>(Peak!E153*'Peak Hours'!V152*IS!$B$2)*-1</f>
        <v>0</v>
      </c>
      <c r="AB152" s="210"/>
      <c r="AC152" s="211">
        <f>(Peak!F153*'Peak Hours'!V152*IS!$B$2)*-1</f>
        <v>0</v>
      </c>
      <c r="AD152" s="210"/>
    </row>
    <row r="153" spans="1:30" x14ac:dyDescent="0.2">
      <c r="A153" s="1">
        <f t="shared" si="2"/>
        <v>40889.631000000183</v>
      </c>
      <c r="B153" s="182">
        <f>IF($A$1="BL",0,'Peak Hours'!B153*Peak!H154*IS!$B$2)</f>
        <v>0</v>
      </c>
      <c r="C153" s="183">
        <f>IF($A$1="BL",0,'Peak Hours'!C153*Peak!I154*IS!$B$2)</f>
        <v>0</v>
      </c>
      <c r="D153" s="183">
        <f>IF($A$1="BL",0,'Peak Hours'!D153*Peak!J154*IS!$B$2)</f>
        <v>0</v>
      </c>
      <c r="E153" s="183">
        <f>IF($A$1="BL",0,'Peak Hours'!E153*Peak!K154*IS!$B$2)</f>
        <v>0</v>
      </c>
      <c r="F153" s="183">
        <f>IF($A$1="BL",0,'Peak Hours'!F153*Peak!L154*IS!$B$2)</f>
        <v>0</v>
      </c>
      <c r="G153" s="183">
        <f>IF($A$1="BL",0,'Peak Hours'!G153*Peak!M154*IS!$B$2)</f>
        <v>0</v>
      </c>
      <c r="H153" s="183">
        <f>IF($A$1="BL",0,'Peak Hours'!H153*Peak!N154*IS!$B$2)</f>
        <v>0</v>
      </c>
      <c r="I153" s="183">
        <f>IF($A$1="BL",0,'Peak Hours'!I153*Peak!O154*IS!$B$2)</f>
        <v>0</v>
      </c>
      <c r="J153" s="183">
        <f>IF($A$1="BL",0,'Peak Hours'!J153*Peak!P154*IS!$B$2)</f>
        <v>0</v>
      </c>
      <c r="K153" s="183">
        <f>IF($A$1="BL",0,'Peak Hours'!K153*Peak!Q154*IS!$B$2)</f>
        <v>0</v>
      </c>
      <c r="L153" s="183">
        <f>IF($A$1="BL",0,'Peak Hours'!L153*Peak!R154*IS!$B$2)</f>
        <v>0</v>
      </c>
      <c r="M153" s="183">
        <f>IF($A$1="BL",0,'Peak Hours'!M153*Peak!S154*IS!$B$2)</f>
        <v>0</v>
      </c>
      <c r="N153" s="183">
        <f>IF($A$1="BL",0,'Peak Hours'!N153*Peak!T154*IS!$B$2)</f>
        <v>0</v>
      </c>
      <c r="O153" s="183">
        <f>IF($A$1="BL",0,'Peak Hours'!O153*Peak!U154*IS!$B$2)</f>
        <v>0</v>
      </c>
      <c r="P153" s="183">
        <f>IF($A$1="BL",0,'Peak Hours'!P153*Peak!V154*IS!$B$2)</f>
        <v>0</v>
      </c>
      <c r="Q153" s="183">
        <f>IF($A$1="BL",0,'Peak Hours'!Q153*Peak!W154*IS!$B$2)</f>
        <v>0</v>
      </c>
      <c r="R153" s="183">
        <f>IF($A$1="BL",0,'Peak Hours'!R153*Peak!X154*IS!$B$2)</f>
        <v>0</v>
      </c>
      <c r="S153" s="183">
        <f>IF($A$1="BL",0,'Peak Hours'!S153*Peak!Y154*IS!$B$2)</f>
        <v>0</v>
      </c>
      <c r="T153" s="183">
        <f>IF($A$1="BL",0,'Peak Hours'!T153*Peak!Z154*IS!$B$2)</f>
        <v>0</v>
      </c>
      <c r="U153" s="183">
        <f>IF($A$1="BL",0,'Peak Hours'!U153*Peak!AA154*IS!$B$2)</f>
        <v>0</v>
      </c>
      <c r="V153" s="214">
        <f>SUM(B142:U153)</f>
        <v>0</v>
      </c>
      <c r="W153" s="211">
        <f>(IF($A$1="BL",0,Peak!C154*'Peak Hours'!V153*IS!$B$2))*-1</f>
        <v>0</v>
      </c>
      <c r="X153" s="214">
        <f>SUM(W142:W153)</f>
        <v>0</v>
      </c>
      <c r="Y153" s="211">
        <f>(IF($A$1="bl",0,Peak!D154*'Peak Hours'!V153*IS!$B$2))*-1</f>
        <v>0</v>
      </c>
      <c r="Z153" s="214">
        <f>SUM(Y142:Y153)</f>
        <v>0</v>
      </c>
      <c r="AA153" s="211">
        <f>(Peak!E154*'Peak Hours'!V153*IS!$B$2)*-1</f>
        <v>0</v>
      </c>
      <c r="AB153" s="211">
        <f>SUM(AA142:AA153)</f>
        <v>0</v>
      </c>
      <c r="AC153" s="211">
        <f>(Peak!F154*'Peak Hours'!V153*IS!$B$2)*-1</f>
        <v>0</v>
      </c>
      <c r="AD153" s="211">
        <f>SUM(AC142:AC153)</f>
        <v>0</v>
      </c>
    </row>
    <row r="154" spans="1:30" x14ac:dyDescent="0.2">
      <c r="A154" s="1">
        <f t="shared" si="2"/>
        <v>40920.048000000184</v>
      </c>
      <c r="B154" s="182">
        <f>IF($A$1="BL",0,'Peak Hours'!B154*Peak!H155*IS!$B$2)</f>
        <v>0</v>
      </c>
      <c r="C154" s="183">
        <f>IF($A$1="BL",0,'Peak Hours'!C154*Peak!I155*IS!$B$2)</f>
        <v>0</v>
      </c>
      <c r="D154" s="183">
        <f>IF($A$1="BL",0,'Peak Hours'!D154*Peak!J155*IS!$B$2)</f>
        <v>0</v>
      </c>
      <c r="E154" s="183">
        <f>IF($A$1="BL",0,'Peak Hours'!E154*Peak!K155*IS!$B$2)</f>
        <v>0</v>
      </c>
      <c r="F154" s="183">
        <f>IF($A$1="BL",0,'Peak Hours'!F154*Peak!L155*IS!$B$2)</f>
        <v>0</v>
      </c>
      <c r="G154" s="183">
        <f>IF($A$1="BL",0,'Peak Hours'!G154*Peak!M155*IS!$B$2)</f>
        <v>0</v>
      </c>
      <c r="H154" s="183">
        <f>IF($A$1="BL",0,'Peak Hours'!H154*Peak!N155*IS!$B$2)</f>
        <v>0</v>
      </c>
      <c r="I154" s="183">
        <f>IF($A$1="BL",0,'Peak Hours'!I154*Peak!O155*IS!$B$2)</f>
        <v>0</v>
      </c>
      <c r="J154" s="183">
        <f>IF($A$1="BL",0,'Peak Hours'!J154*Peak!P155*IS!$B$2)</f>
        <v>0</v>
      </c>
      <c r="K154" s="183">
        <f>IF($A$1="BL",0,'Peak Hours'!K154*Peak!Q155*IS!$B$2)</f>
        <v>0</v>
      </c>
      <c r="L154" s="183">
        <f>IF($A$1="BL",0,'Peak Hours'!L154*Peak!R155*IS!$B$2)</f>
        <v>0</v>
      </c>
      <c r="M154" s="183">
        <f>IF($A$1="BL",0,'Peak Hours'!M154*Peak!S155*IS!$B$2)</f>
        <v>0</v>
      </c>
      <c r="N154" s="183">
        <f>IF($A$1="BL",0,'Peak Hours'!N154*Peak!T155*IS!$B$2)</f>
        <v>0</v>
      </c>
      <c r="O154" s="183">
        <f>IF($A$1="BL",0,'Peak Hours'!O154*Peak!U155*IS!$B$2)</f>
        <v>0</v>
      </c>
      <c r="P154" s="183">
        <f>IF($A$1="BL",0,'Peak Hours'!P154*Peak!V155*IS!$B$2)</f>
        <v>0</v>
      </c>
      <c r="Q154" s="183">
        <f>IF($A$1="BL",0,'Peak Hours'!Q154*Peak!W155*IS!$B$2)</f>
        <v>0</v>
      </c>
      <c r="R154" s="183">
        <f>IF($A$1="BL",0,'Peak Hours'!R154*Peak!X155*IS!$B$2)</f>
        <v>0</v>
      </c>
      <c r="S154" s="183">
        <f>IF($A$1="BL",0,'Peak Hours'!S154*Peak!Y155*IS!$B$2)</f>
        <v>0</v>
      </c>
      <c r="T154" s="183">
        <f>IF($A$1="BL",0,'Peak Hours'!T154*Peak!Z155*IS!$B$2)</f>
        <v>0</v>
      </c>
      <c r="U154" s="183">
        <f>IF($A$1="BL",0,'Peak Hours'!U154*Peak!AA155*IS!$B$2)</f>
        <v>0</v>
      </c>
      <c r="V154" s="213"/>
      <c r="W154" s="211">
        <f>(IF($A$1="BL",0,Peak!C155*'Peak Hours'!V154*IS!$B$2))*-1</f>
        <v>0</v>
      </c>
      <c r="X154" s="213"/>
      <c r="Y154" s="211">
        <f>(IF($A$1="bl",0,Peak!D155*'Peak Hours'!V154*IS!$B$2))*-1</f>
        <v>0</v>
      </c>
      <c r="Z154" s="213"/>
      <c r="AA154" s="211">
        <f>(Peak!E155*'Peak Hours'!V154*IS!$B$2)*-1</f>
        <v>0</v>
      </c>
      <c r="AB154" s="210"/>
      <c r="AC154" s="211">
        <f>(Peak!F155*'Peak Hours'!V154*IS!$B$2)*-1</f>
        <v>0</v>
      </c>
      <c r="AD154" s="210"/>
    </row>
    <row r="155" spans="1:30" x14ac:dyDescent="0.2">
      <c r="A155" s="1">
        <f t="shared" si="2"/>
        <v>40950.465000000186</v>
      </c>
      <c r="B155" s="182">
        <f>IF($A$1="BL",0,'Peak Hours'!B155*Peak!H156*IS!$B$2)</f>
        <v>0</v>
      </c>
      <c r="C155" s="183">
        <f>IF($A$1="BL",0,'Peak Hours'!C155*Peak!I156*IS!$B$2)</f>
        <v>0</v>
      </c>
      <c r="D155" s="183">
        <f>IF($A$1="BL",0,'Peak Hours'!D155*Peak!J156*IS!$B$2)</f>
        <v>0</v>
      </c>
      <c r="E155" s="183">
        <f>IF($A$1="BL",0,'Peak Hours'!E155*Peak!K156*IS!$B$2)</f>
        <v>0</v>
      </c>
      <c r="F155" s="183">
        <f>IF($A$1="BL",0,'Peak Hours'!F155*Peak!L156*IS!$B$2)</f>
        <v>0</v>
      </c>
      <c r="G155" s="183">
        <f>IF($A$1="BL",0,'Peak Hours'!G155*Peak!M156*IS!$B$2)</f>
        <v>0</v>
      </c>
      <c r="H155" s="183">
        <f>IF($A$1="BL",0,'Peak Hours'!H155*Peak!N156*IS!$B$2)</f>
        <v>0</v>
      </c>
      <c r="I155" s="183">
        <f>IF($A$1="BL",0,'Peak Hours'!I155*Peak!O156*IS!$B$2)</f>
        <v>0</v>
      </c>
      <c r="J155" s="183">
        <f>IF($A$1="BL",0,'Peak Hours'!J155*Peak!P156*IS!$B$2)</f>
        <v>0</v>
      </c>
      <c r="K155" s="183">
        <f>IF($A$1="BL",0,'Peak Hours'!K155*Peak!Q156*IS!$B$2)</f>
        <v>0</v>
      </c>
      <c r="L155" s="183">
        <f>IF($A$1="BL",0,'Peak Hours'!L155*Peak!R156*IS!$B$2)</f>
        <v>0</v>
      </c>
      <c r="M155" s="183">
        <f>IF($A$1="BL",0,'Peak Hours'!M155*Peak!S156*IS!$B$2)</f>
        <v>0</v>
      </c>
      <c r="N155" s="183">
        <f>IF($A$1="BL",0,'Peak Hours'!N155*Peak!T156*IS!$B$2)</f>
        <v>0</v>
      </c>
      <c r="O155" s="183">
        <f>IF($A$1="BL",0,'Peak Hours'!O155*Peak!U156*IS!$B$2)</f>
        <v>0</v>
      </c>
      <c r="P155" s="183">
        <f>IF($A$1="BL",0,'Peak Hours'!P155*Peak!V156*IS!$B$2)</f>
        <v>0</v>
      </c>
      <c r="Q155" s="183">
        <f>IF($A$1="BL",0,'Peak Hours'!Q155*Peak!W156*IS!$B$2)</f>
        <v>0</v>
      </c>
      <c r="R155" s="183">
        <f>IF($A$1="BL",0,'Peak Hours'!R155*Peak!X156*IS!$B$2)</f>
        <v>0</v>
      </c>
      <c r="S155" s="183">
        <f>IF($A$1="BL",0,'Peak Hours'!S155*Peak!Y156*IS!$B$2)</f>
        <v>0</v>
      </c>
      <c r="T155" s="183">
        <f>IF($A$1="BL",0,'Peak Hours'!T155*Peak!Z156*IS!$B$2)</f>
        <v>0</v>
      </c>
      <c r="U155" s="183">
        <f>IF($A$1="BL",0,'Peak Hours'!U155*Peak!AA156*IS!$B$2)</f>
        <v>0</v>
      </c>
      <c r="V155" s="213"/>
      <c r="W155" s="211">
        <f>(IF($A$1="BL",0,Peak!C156*'Peak Hours'!V155*IS!$B$2))*-1</f>
        <v>0</v>
      </c>
      <c r="X155" s="213"/>
      <c r="Y155" s="211">
        <f>(IF($A$1="bl",0,Peak!D156*'Peak Hours'!V155*IS!$B$2))*-1</f>
        <v>0</v>
      </c>
      <c r="Z155" s="213"/>
      <c r="AA155" s="211">
        <f>(Peak!E156*'Peak Hours'!V155*IS!$B$2)*-1</f>
        <v>0</v>
      </c>
      <c r="AB155" s="210"/>
      <c r="AC155" s="211">
        <f>(Peak!F156*'Peak Hours'!V155*IS!$B$2)*-1</f>
        <v>0</v>
      </c>
      <c r="AD155" s="210"/>
    </row>
    <row r="156" spans="1:30" x14ac:dyDescent="0.2">
      <c r="A156" s="1">
        <f t="shared" si="2"/>
        <v>40980.882000000187</v>
      </c>
      <c r="B156" s="182">
        <f>IF($A$1="BL",0,'Peak Hours'!B156*Peak!H157*IS!$B$2)</f>
        <v>0</v>
      </c>
      <c r="C156" s="183">
        <f>IF($A$1="BL",0,'Peak Hours'!C156*Peak!I157*IS!$B$2)</f>
        <v>0</v>
      </c>
      <c r="D156" s="183">
        <f>IF($A$1="BL",0,'Peak Hours'!D156*Peak!J157*IS!$B$2)</f>
        <v>0</v>
      </c>
      <c r="E156" s="183">
        <f>IF($A$1="BL",0,'Peak Hours'!E156*Peak!K157*IS!$B$2)</f>
        <v>0</v>
      </c>
      <c r="F156" s="183">
        <f>IF($A$1="BL",0,'Peak Hours'!F156*Peak!L157*IS!$B$2)</f>
        <v>0</v>
      </c>
      <c r="G156" s="183">
        <f>IF($A$1="BL",0,'Peak Hours'!G156*Peak!M157*IS!$B$2)</f>
        <v>0</v>
      </c>
      <c r="H156" s="183">
        <f>IF($A$1="BL",0,'Peak Hours'!H156*Peak!N157*IS!$B$2)</f>
        <v>0</v>
      </c>
      <c r="I156" s="183">
        <f>IF($A$1="BL",0,'Peak Hours'!I156*Peak!O157*IS!$B$2)</f>
        <v>0</v>
      </c>
      <c r="J156" s="183">
        <f>IF($A$1="BL",0,'Peak Hours'!J156*Peak!P157*IS!$B$2)</f>
        <v>0</v>
      </c>
      <c r="K156" s="183">
        <f>IF($A$1="BL",0,'Peak Hours'!K156*Peak!Q157*IS!$B$2)</f>
        <v>0</v>
      </c>
      <c r="L156" s="183">
        <f>IF($A$1="BL",0,'Peak Hours'!L156*Peak!R157*IS!$B$2)</f>
        <v>0</v>
      </c>
      <c r="M156" s="183">
        <f>IF($A$1="BL",0,'Peak Hours'!M156*Peak!S157*IS!$B$2)</f>
        <v>0</v>
      </c>
      <c r="N156" s="183">
        <f>IF($A$1="BL",0,'Peak Hours'!N156*Peak!T157*IS!$B$2)</f>
        <v>0</v>
      </c>
      <c r="O156" s="183">
        <f>IF($A$1="BL",0,'Peak Hours'!O156*Peak!U157*IS!$B$2)</f>
        <v>0</v>
      </c>
      <c r="P156" s="183">
        <f>IF($A$1="BL",0,'Peak Hours'!P156*Peak!V157*IS!$B$2)</f>
        <v>0</v>
      </c>
      <c r="Q156" s="183">
        <f>IF($A$1="BL",0,'Peak Hours'!Q156*Peak!W157*IS!$B$2)</f>
        <v>0</v>
      </c>
      <c r="R156" s="183">
        <f>IF($A$1="BL",0,'Peak Hours'!R156*Peak!X157*IS!$B$2)</f>
        <v>0</v>
      </c>
      <c r="S156" s="183">
        <f>IF($A$1="BL",0,'Peak Hours'!S156*Peak!Y157*IS!$B$2)</f>
        <v>0</v>
      </c>
      <c r="T156" s="183">
        <f>IF($A$1="BL",0,'Peak Hours'!T156*Peak!Z157*IS!$B$2)</f>
        <v>0</v>
      </c>
      <c r="U156" s="183">
        <f>IF($A$1="BL",0,'Peak Hours'!U156*Peak!AA157*IS!$B$2)</f>
        <v>0</v>
      </c>
      <c r="V156" s="213"/>
      <c r="W156" s="211">
        <f>(IF($A$1="BL",0,Peak!C157*'Peak Hours'!V156*IS!$B$2))*-1</f>
        <v>0</v>
      </c>
      <c r="X156" s="213"/>
      <c r="Y156" s="211">
        <f>(IF($A$1="bl",0,Peak!D157*'Peak Hours'!V156*IS!$B$2))*-1</f>
        <v>0</v>
      </c>
      <c r="Z156" s="213"/>
      <c r="AA156" s="211">
        <f>(Peak!E157*'Peak Hours'!V156*IS!$B$2)*-1</f>
        <v>0</v>
      </c>
      <c r="AB156" s="210"/>
      <c r="AC156" s="211">
        <f>(Peak!F157*'Peak Hours'!V156*IS!$B$2)*-1</f>
        <v>0</v>
      </c>
      <c r="AD156" s="210"/>
    </row>
    <row r="157" spans="1:30" x14ac:dyDescent="0.2">
      <c r="A157" s="1">
        <f t="shared" si="2"/>
        <v>41011.299000000188</v>
      </c>
      <c r="B157" s="182">
        <f>IF($A$1="BL",0,'Peak Hours'!B157*Peak!H158*IS!$B$2)</f>
        <v>0</v>
      </c>
      <c r="C157" s="183">
        <f>IF($A$1="BL",0,'Peak Hours'!C157*Peak!I158*IS!$B$2)</f>
        <v>0</v>
      </c>
      <c r="D157" s="183">
        <f>IF($A$1="BL",0,'Peak Hours'!D157*Peak!J158*IS!$B$2)</f>
        <v>0</v>
      </c>
      <c r="E157" s="183">
        <f>IF($A$1="BL",0,'Peak Hours'!E157*Peak!K158*IS!$B$2)</f>
        <v>0</v>
      </c>
      <c r="F157" s="183">
        <f>IF($A$1="BL",0,'Peak Hours'!F157*Peak!L158*IS!$B$2)</f>
        <v>0</v>
      </c>
      <c r="G157" s="183">
        <f>IF($A$1="BL",0,'Peak Hours'!G157*Peak!M158*IS!$B$2)</f>
        <v>0</v>
      </c>
      <c r="H157" s="183">
        <f>IF($A$1="BL",0,'Peak Hours'!H157*Peak!N158*IS!$B$2)</f>
        <v>0</v>
      </c>
      <c r="I157" s="183">
        <f>IF($A$1="BL",0,'Peak Hours'!I157*Peak!O158*IS!$B$2)</f>
        <v>0</v>
      </c>
      <c r="J157" s="183">
        <f>IF($A$1="BL",0,'Peak Hours'!J157*Peak!P158*IS!$B$2)</f>
        <v>0</v>
      </c>
      <c r="K157" s="183">
        <f>IF($A$1="BL",0,'Peak Hours'!K157*Peak!Q158*IS!$B$2)</f>
        <v>0</v>
      </c>
      <c r="L157" s="183">
        <f>IF($A$1="BL",0,'Peak Hours'!L157*Peak!R158*IS!$B$2)</f>
        <v>0</v>
      </c>
      <c r="M157" s="183">
        <f>IF($A$1="BL",0,'Peak Hours'!M157*Peak!S158*IS!$B$2)</f>
        <v>0</v>
      </c>
      <c r="N157" s="183">
        <f>IF($A$1="BL",0,'Peak Hours'!N157*Peak!T158*IS!$B$2)</f>
        <v>0</v>
      </c>
      <c r="O157" s="183">
        <f>IF($A$1="BL",0,'Peak Hours'!O157*Peak!U158*IS!$B$2)</f>
        <v>0</v>
      </c>
      <c r="P157" s="183">
        <f>IF($A$1="BL",0,'Peak Hours'!P157*Peak!V158*IS!$B$2)</f>
        <v>0</v>
      </c>
      <c r="Q157" s="183">
        <f>IF($A$1="BL",0,'Peak Hours'!Q157*Peak!W158*IS!$B$2)</f>
        <v>0</v>
      </c>
      <c r="R157" s="183">
        <f>IF($A$1="BL",0,'Peak Hours'!R157*Peak!X158*IS!$B$2)</f>
        <v>0</v>
      </c>
      <c r="S157" s="183">
        <f>IF($A$1="BL",0,'Peak Hours'!S157*Peak!Y158*IS!$B$2)</f>
        <v>0</v>
      </c>
      <c r="T157" s="183">
        <f>IF($A$1="BL",0,'Peak Hours'!T157*Peak!Z158*IS!$B$2)</f>
        <v>0</v>
      </c>
      <c r="U157" s="183">
        <f>IF($A$1="BL",0,'Peak Hours'!U157*Peak!AA158*IS!$B$2)</f>
        <v>0</v>
      </c>
      <c r="V157" s="213"/>
      <c r="W157" s="211">
        <f>(IF($A$1="BL",0,Peak!C158*'Peak Hours'!V157*IS!$B$2))*-1</f>
        <v>0</v>
      </c>
      <c r="X157" s="213"/>
      <c r="Y157" s="211">
        <f>(IF($A$1="bl",0,Peak!D158*'Peak Hours'!V157*IS!$B$2))*-1</f>
        <v>0</v>
      </c>
      <c r="Z157" s="213"/>
      <c r="AA157" s="211">
        <f>(Peak!E158*'Peak Hours'!V157*IS!$B$2)*-1</f>
        <v>0</v>
      </c>
      <c r="AB157" s="210"/>
      <c r="AC157" s="211">
        <f>(Peak!F158*'Peak Hours'!V157*IS!$B$2)*-1</f>
        <v>0</v>
      </c>
      <c r="AD157" s="210"/>
    </row>
    <row r="158" spans="1:30" x14ac:dyDescent="0.2">
      <c r="A158" s="1">
        <f t="shared" si="2"/>
        <v>41041.71600000019</v>
      </c>
      <c r="B158" s="182">
        <f>IF($A$1="BL",0,'Peak Hours'!B158*Peak!H159*IS!$B$2)</f>
        <v>0</v>
      </c>
      <c r="C158" s="183">
        <f>IF($A$1="BL",0,'Peak Hours'!C158*Peak!I159*IS!$B$2)</f>
        <v>0</v>
      </c>
      <c r="D158" s="183">
        <f>IF($A$1="BL",0,'Peak Hours'!D158*Peak!J159*IS!$B$2)</f>
        <v>0</v>
      </c>
      <c r="E158" s="183">
        <f>IF($A$1="BL",0,'Peak Hours'!E158*Peak!K159*IS!$B$2)</f>
        <v>0</v>
      </c>
      <c r="F158" s="183">
        <f>IF($A$1="BL",0,'Peak Hours'!F158*Peak!L159*IS!$B$2)</f>
        <v>0</v>
      </c>
      <c r="G158" s="183">
        <f>IF($A$1="BL",0,'Peak Hours'!G158*Peak!M159*IS!$B$2)</f>
        <v>0</v>
      </c>
      <c r="H158" s="183">
        <f>IF($A$1="BL",0,'Peak Hours'!H158*Peak!N159*IS!$B$2)</f>
        <v>0</v>
      </c>
      <c r="I158" s="183">
        <f>IF($A$1="BL",0,'Peak Hours'!I158*Peak!O159*IS!$B$2)</f>
        <v>0</v>
      </c>
      <c r="J158" s="183">
        <f>IF($A$1="BL",0,'Peak Hours'!J158*Peak!P159*IS!$B$2)</f>
        <v>0</v>
      </c>
      <c r="K158" s="183">
        <f>IF($A$1="BL",0,'Peak Hours'!K158*Peak!Q159*IS!$B$2)</f>
        <v>0</v>
      </c>
      <c r="L158" s="183">
        <f>IF($A$1="BL",0,'Peak Hours'!L158*Peak!R159*IS!$B$2)</f>
        <v>0</v>
      </c>
      <c r="M158" s="183">
        <f>IF($A$1="BL",0,'Peak Hours'!M158*Peak!S159*IS!$B$2)</f>
        <v>0</v>
      </c>
      <c r="N158" s="183">
        <f>IF($A$1="BL",0,'Peak Hours'!N158*Peak!T159*IS!$B$2)</f>
        <v>0</v>
      </c>
      <c r="O158" s="183">
        <f>IF($A$1="BL",0,'Peak Hours'!O158*Peak!U159*IS!$B$2)</f>
        <v>0</v>
      </c>
      <c r="P158" s="183">
        <f>IF($A$1="BL",0,'Peak Hours'!P158*Peak!V159*IS!$B$2)</f>
        <v>0</v>
      </c>
      <c r="Q158" s="183">
        <f>IF($A$1="BL",0,'Peak Hours'!Q158*Peak!W159*IS!$B$2)</f>
        <v>0</v>
      </c>
      <c r="R158" s="183">
        <f>IF($A$1="BL",0,'Peak Hours'!R158*Peak!X159*IS!$B$2)</f>
        <v>0</v>
      </c>
      <c r="S158" s="183">
        <f>IF($A$1="BL",0,'Peak Hours'!S158*Peak!Y159*IS!$B$2)</f>
        <v>0</v>
      </c>
      <c r="T158" s="183">
        <f>IF($A$1="BL",0,'Peak Hours'!T158*Peak!Z159*IS!$B$2)</f>
        <v>0</v>
      </c>
      <c r="U158" s="183">
        <f>IF($A$1="BL",0,'Peak Hours'!U158*Peak!AA159*IS!$B$2)</f>
        <v>0</v>
      </c>
      <c r="V158" s="213"/>
      <c r="W158" s="211">
        <f>(IF($A$1="BL",0,Peak!C159*'Peak Hours'!V158*IS!$B$2))*-1</f>
        <v>0</v>
      </c>
      <c r="X158" s="213"/>
      <c r="Y158" s="211">
        <f>(IF($A$1="bl",0,Peak!D159*'Peak Hours'!V158*IS!$B$2))*-1</f>
        <v>0</v>
      </c>
      <c r="Z158" s="213"/>
      <c r="AA158" s="211">
        <f>(Peak!E159*'Peak Hours'!V158*IS!$B$2)*-1</f>
        <v>0</v>
      </c>
      <c r="AB158" s="210"/>
      <c r="AC158" s="211">
        <f>(Peak!F159*'Peak Hours'!V158*IS!$B$2)*-1</f>
        <v>0</v>
      </c>
      <c r="AD158" s="210"/>
    </row>
    <row r="159" spans="1:30" x14ac:dyDescent="0.2">
      <c r="A159" s="1">
        <f t="shared" si="2"/>
        <v>41072.133000000191</v>
      </c>
      <c r="B159" s="182">
        <f>IF($A$1="BL",0,'Peak Hours'!B159*Peak!H160*IS!$B$2)</f>
        <v>0</v>
      </c>
      <c r="C159" s="183">
        <f>IF($A$1="BL",0,'Peak Hours'!C159*Peak!I160*IS!$B$2)</f>
        <v>0</v>
      </c>
      <c r="D159" s="183">
        <f>IF($A$1="BL",0,'Peak Hours'!D159*Peak!J160*IS!$B$2)</f>
        <v>0</v>
      </c>
      <c r="E159" s="183">
        <f>IF($A$1="BL",0,'Peak Hours'!E159*Peak!K160*IS!$B$2)</f>
        <v>0</v>
      </c>
      <c r="F159" s="183">
        <f>IF($A$1="BL",0,'Peak Hours'!F159*Peak!L160*IS!$B$2)</f>
        <v>0</v>
      </c>
      <c r="G159" s="183">
        <f>IF($A$1="BL",0,'Peak Hours'!G159*Peak!M160*IS!$B$2)</f>
        <v>0</v>
      </c>
      <c r="H159" s="183">
        <f>IF($A$1="BL",0,'Peak Hours'!H159*Peak!N160*IS!$B$2)</f>
        <v>0</v>
      </c>
      <c r="I159" s="183">
        <f>IF($A$1="BL",0,'Peak Hours'!I159*Peak!O160*IS!$B$2)</f>
        <v>0</v>
      </c>
      <c r="J159" s="183">
        <f>IF($A$1="BL",0,'Peak Hours'!J159*Peak!P160*IS!$B$2)</f>
        <v>0</v>
      </c>
      <c r="K159" s="183">
        <f>IF($A$1="BL",0,'Peak Hours'!K159*Peak!Q160*IS!$B$2)</f>
        <v>0</v>
      </c>
      <c r="L159" s="183">
        <f>IF($A$1="BL",0,'Peak Hours'!L159*Peak!R160*IS!$B$2)</f>
        <v>0</v>
      </c>
      <c r="M159" s="183">
        <f>IF($A$1="BL",0,'Peak Hours'!M159*Peak!S160*IS!$B$2)</f>
        <v>0</v>
      </c>
      <c r="N159" s="183">
        <f>IF($A$1="BL",0,'Peak Hours'!N159*Peak!T160*IS!$B$2)</f>
        <v>0</v>
      </c>
      <c r="O159" s="183">
        <f>IF($A$1="BL",0,'Peak Hours'!O159*Peak!U160*IS!$B$2)</f>
        <v>0</v>
      </c>
      <c r="P159" s="183">
        <f>IF($A$1="BL",0,'Peak Hours'!P159*Peak!V160*IS!$B$2)</f>
        <v>0</v>
      </c>
      <c r="Q159" s="183">
        <f>IF($A$1="BL",0,'Peak Hours'!Q159*Peak!W160*IS!$B$2)</f>
        <v>0</v>
      </c>
      <c r="R159" s="183">
        <f>IF($A$1="BL",0,'Peak Hours'!R159*Peak!X160*IS!$B$2)</f>
        <v>0</v>
      </c>
      <c r="S159" s="183">
        <f>IF($A$1="BL",0,'Peak Hours'!S159*Peak!Y160*IS!$B$2)</f>
        <v>0</v>
      </c>
      <c r="T159" s="183">
        <f>IF($A$1="BL",0,'Peak Hours'!T159*Peak!Z160*IS!$B$2)</f>
        <v>0</v>
      </c>
      <c r="U159" s="183">
        <f>IF($A$1="BL",0,'Peak Hours'!U159*Peak!AA160*IS!$B$2)</f>
        <v>0</v>
      </c>
      <c r="V159" s="213"/>
      <c r="W159" s="211">
        <f>(IF($A$1="BL",0,Peak!C160*'Peak Hours'!V159*IS!$B$2))*-1</f>
        <v>0</v>
      </c>
      <c r="X159" s="213"/>
      <c r="Y159" s="211">
        <f>(IF($A$1="bl",0,Peak!D160*'Peak Hours'!V159*IS!$B$2))*-1</f>
        <v>0</v>
      </c>
      <c r="Z159" s="213"/>
      <c r="AA159" s="211">
        <f>(Peak!E160*'Peak Hours'!V159*IS!$B$2)*-1</f>
        <v>0</v>
      </c>
      <c r="AB159" s="210"/>
      <c r="AC159" s="211">
        <f>(Peak!F160*'Peak Hours'!V159*IS!$B$2)*-1</f>
        <v>0</v>
      </c>
      <c r="AD159" s="210"/>
    </row>
    <row r="160" spans="1:30" x14ac:dyDescent="0.2">
      <c r="A160" s="1">
        <f t="shared" si="2"/>
        <v>41102.550000000192</v>
      </c>
      <c r="B160" s="182">
        <f>IF($A$1="BL",0,'Peak Hours'!B160*Peak!H161*IS!$B$2)</f>
        <v>0</v>
      </c>
      <c r="C160" s="183">
        <f>IF($A$1="BL",0,'Peak Hours'!C160*Peak!I161*IS!$B$2)</f>
        <v>0</v>
      </c>
      <c r="D160" s="183">
        <f>IF($A$1="BL",0,'Peak Hours'!D160*Peak!J161*IS!$B$2)</f>
        <v>0</v>
      </c>
      <c r="E160" s="183">
        <f>IF($A$1="BL",0,'Peak Hours'!E160*Peak!K161*IS!$B$2)</f>
        <v>0</v>
      </c>
      <c r="F160" s="183">
        <f>IF($A$1="BL",0,'Peak Hours'!F160*Peak!L161*IS!$B$2)</f>
        <v>0</v>
      </c>
      <c r="G160" s="183">
        <f>IF($A$1="BL",0,'Peak Hours'!G160*Peak!M161*IS!$B$2)</f>
        <v>0</v>
      </c>
      <c r="H160" s="183">
        <f>IF($A$1="BL",0,'Peak Hours'!H160*Peak!N161*IS!$B$2)</f>
        <v>0</v>
      </c>
      <c r="I160" s="183">
        <f>IF($A$1="BL",0,'Peak Hours'!I160*Peak!O161*IS!$B$2)</f>
        <v>0</v>
      </c>
      <c r="J160" s="183">
        <f>IF($A$1="BL",0,'Peak Hours'!J160*Peak!P161*IS!$B$2)</f>
        <v>0</v>
      </c>
      <c r="K160" s="183">
        <f>IF($A$1="BL",0,'Peak Hours'!K160*Peak!Q161*IS!$B$2)</f>
        <v>0</v>
      </c>
      <c r="L160" s="183">
        <f>IF($A$1="BL",0,'Peak Hours'!L160*Peak!R161*IS!$B$2)</f>
        <v>0</v>
      </c>
      <c r="M160" s="183">
        <f>IF($A$1="BL",0,'Peak Hours'!M160*Peak!S161*IS!$B$2)</f>
        <v>0</v>
      </c>
      <c r="N160" s="183">
        <f>IF($A$1="BL",0,'Peak Hours'!N160*Peak!T161*IS!$B$2)</f>
        <v>0</v>
      </c>
      <c r="O160" s="183">
        <f>IF($A$1="BL",0,'Peak Hours'!O160*Peak!U161*IS!$B$2)</f>
        <v>0</v>
      </c>
      <c r="P160" s="183">
        <f>IF($A$1="BL",0,'Peak Hours'!P160*Peak!V161*IS!$B$2)</f>
        <v>0</v>
      </c>
      <c r="Q160" s="183">
        <f>IF($A$1="BL",0,'Peak Hours'!Q160*Peak!W161*IS!$B$2)</f>
        <v>0</v>
      </c>
      <c r="R160" s="183">
        <f>IF($A$1="BL",0,'Peak Hours'!R160*Peak!X161*IS!$B$2)</f>
        <v>0</v>
      </c>
      <c r="S160" s="183">
        <f>IF($A$1="BL",0,'Peak Hours'!S160*Peak!Y161*IS!$B$2)</f>
        <v>0</v>
      </c>
      <c r="T160" s="183">
        <f>IF($A$1="BL",0,'Peak Hours'!T160*Peak!Z161*IS!$B$2)</f>
        <v>0</v>
      </c>
      <c r="U160" s="183">
        <f>IF($A$1="BL",0,'Peak Hours'!U160*Peak!AA161*IS!$B$2)</f>
        <v>0</v>
      </c>
      <c r="V160" s="213"/>
      <c r="W160" s="211">
        <f>(IF($A$1="BL",0,Peak!C161*'Peak Hours'!V160*IS!$B$2))*-1</f>
        <v>0</v>
      </c>
      <c r="X160" s="213"/>
      <c r="Y160" s="211">
        <f>(IF($A$1="bl",0,Peak!D161*'Peak Hours'!V160*IS!$B$2))*-1</f>
        <v>0</v>
      </c>
      <c r="Z160" s="213"/>
      <c r="AA160" s="211">
        <f>(Peak!E161*'Peak Hours'!V160*IS!$B$2)*-1</f>
        <v>0</v>
      </c>
      <c r="AB160" s="210"/>
      <c r="AC160" s="211">
        <f>(Peak!F161*'Peak Hours'!V160*IS!$B$2)*-1</f>
        <v>0</v>
      </c>
      <c r="AD160" s="210"/>
    </row>
    <row r="161" spans="1:30" x14ac:dyDescent="0.2">
      <c r="A161" s="1">
        <f t="shared" si="2"/>
        <v>41132.967000000193</v>
      </c>
      <c r="B161" s="182">
        <f>IF($A$1="BL",0,'Peak Hours'!B161*Peak!H162*IS!$B$2)</f>
        <v>0</v>
      </c>
      <c r="C161" s="183">
        <f>IF($A$1="BL",0,'Peak Hours'!C161*Peak!I162*IS!$B$2)</f>
        <v>0</v>
      </c>
      <c r="D161" s="183">
        <f>IF($A$1="BL",0,'Peak Hours'!D161*Peak!J162*IS!$B$2)</f>
        <v>0</v>
      </c>
      <c r="E161" s="183">
        <f>IF($A$1="BL",0,'Peak Hours'!E161*Peak!K162*IS!$B$2)</f>
        <v>0</v>
      </c>
      <c r="F161" s="183">
        <f>IF($A$1="BL",0,'Peak Hours'!F161*Peak!L162*IS!$B$2)</f>
        <v>0</v>
      </c>
      <c r="G161" s="183">
        <f>IF($A$1="BL",0,'Peak Hours'!G161*Peak!M162*IS!$B$2)</f>
        <v>0</v>
      </c>
      <c r="H161" s="183">
        <f>IF($A$1="BL",0,'Peak Hours'!H161*Peak!N162*IS!$B$2)</f>
        <v>0</v>
      </c>
      <c r="I161" s="183">
        <f>IF($A$1="BL",0,'Peak Hours'!I161*Peak!O162*IS!$B$2)</f>
        <v>0</v>
      </c>
      <c r="J161" s="183">
        <f>IF($A$1="BL",0,'Peak Hours'!J161*Peak!P162*IS!$B$2)</f>
        <v>0</v>
      </c>
      <c r="K161" s="183">
        <f>IF($A$1="BL",0,'Peak Hours'!K161*Peak!Q162*IS!$B$2)</f>
        <v>0</v>
      </c>
      <c r="L161" s="183">
        <f>IF($A$1="BL",0,'Peak Hours'!L161*Peak!R162*IS!$B$2)</f>
        <v>0</v>
      </c>
      <c r="M161" s="183">
        <f>IF($A$1="BL",0,'Peak Hours'!M161*Peak!S162*IS!$B$2)</f>
        <v>0</v>
      </c>
      <c r="N161" s="183">
        <f>IF($A$1="BL",0,'Peak Hours'!N161*Peak!T162*IS!$B$2)</f>
        <v>0</v>
      </c>
      <c r="O161" s="183">
        <f>IF($A$1="BL",0,'Peak Hours'!O161*Peak!U162*IS!$B$2)</f>
        <v>0</v>
      </c>
      <c r="P161" s="183">
        <f>IF($A$1="BL",0,'Peak Hours'!P161*Peak!V162*IS!$B$2)</f>
        <v>0</v>
      </c>
      <c r="Q161" s="183">
        <f>IF($A$1="BL",0,'Peak Hours'!Q161*Peak!W162*IS!$B$2)</f>
        <v>0</v>
      </c>
      <c r="R161" s="183">
        <f>IF($A$1="BL",0,'Peak Hours'!R161*Peak!X162*IS!$B$2)</f>
        <v>0</v>
      </c>
      <c r="S161" s="183">
        <f>IF($A$1="BL",0,'Peak Hours'!S161*Peak!Y162*IS!$B$2)</f>
        <v>0</v>
      </c>
      <c r="T161" s="183">
        <f>IF($A$1="BL",0,'Peak Hours'!T161*Peak!Z162*IS!$B$2)</f>
        <v>0</v>
      </c>
      <c r="U161" s="183">
        <f>IF($A$1="BL",0,'Peak Hours'!U161*Peak!AA162*IS!$B$2)</f>
        <v>0</v>
      </c>
      <c r="V161" s="213"/>
      <c r="W161" s="211">
        <f>(IF($A$1="BL",0,Peak!C162*'Peak Hours'!V161*IS!$B$2))*-1</f>
        <v>0</v>
      </c>
      <c r="X161" s="213"/>
      <c r="Y161" s="211">
        <f>(IF($A$1="bl",0,Peak!D162*'Peak Hours'!V161*IS!$B$2))*-1</f>
        <v>0</v>
      </c>
      <c r="Z161" s="213"/>
      <c r="AA161" s="211">
        <f>(Peak!E162*'Peak Hours'!V161*IS!$B$2)*-1</f>
        <v>0</v>
      </c>
      <c r="AB161" s="210"/>
      <c r="AC161" s="211">
        <f>(Peak!F162*'Peak Hours'!V161*IS!$B$2)*-1</f>
        <v>0</v>
      </c>
      <c r="AD161" s="210"/>
    </row>
    <row r="162" spans="1:30" x14ac:dyDescent="0.2">
      <c r="A162" s="1">
        <f t="shared" si="2"/>
        <v>41163.384000000195</v>
      </c>
      <c r="B162" s="182">
        <f>IF($A$1="BL",0,'Peak Hours'!B162*Peak!H163*IS!$B$2)</f>
        <v>0</v>
      </c>
      <c r="C162" s="183">
        <f>IF($A$1="BL",0,'Peak Hours'!C162*Peak!I163*IS!$B$2)</f>
        <v>0</v>
      </c>
      <c r="D162" s="183">
        <f>IF($A$1="BL",0,'Peak Hours'!D162*Peak!J163*IS!$B$2)</f>
        <v>0</v>
      </c>
      <c r="E162" s="183">
        <f>IF($A$1="BL",0,'Peak Hours'!E162*Peak!K163*IS!$B$2)</f>
        <v>0</v>
      </c>
      <c r="F162" s="183">
        <f>IF($A$1="BL",0,'Peak Hours'!F162*Peak!L163*IS!$B$2)</f>
        <v>0</v>
      </c>
      <c r="G162" s="183">
        <f>IF($A$1="BL",0,'Peak Hours'!G162*Peak!M163*IS!$B$2)</f>
        <v>0</v>
      </c>
      <c r="H162" s="183">
        <f>IF($A$1="BL",0,'Peak Hours'!H162*Peak!N163*IS!$B$2)</f>
        <v>0</v>
      </c>
      <c r="I162" s="183">
        <f>IF($A$1="BL",0,'Peak Hours'!I162*Peak!O163*IS!$B$2)</f>
        <v>0</v>
      </c>
      <c r="J162" s="183">
        <f>IF($A$1="BL",0,'Peak Hours'!J162*Peak!P163*IS!$B$2)</f>
        <v>0</v>
      </c>
      <c r="K162" s="183">
        <f>IF($A$1="BL",0,'Peak Hours'!K162*Peak!Q163*IS!$B$2)</f>
        <v>0</v>
      </c>
      <c r="L162" s="183">
        <f>IF($A$1="BL",0,'Peak Hours'!L162*Peak!R163*IS!$B$2)</f>
        <v>0</v>
      </c>
      <c r="M162" s="183">
        <f>IF($A$1="BL",0,'Peak Hours'!M162*Peak!S163*IS!$B$2)</f>
        <v>0</v>
      </c>
      <c r="N162" s="183">
        <f>IF($A$1="BL",0,'Peak Hours'!N162*Peak!T163*IS!$B$2)</f>
        <v>0</v>
      </c>
      <c r="O162" s="183">
        <f>IF($A$1="BL",0,'Peak Hours'!O162*Peak!U163*IS!$B$2)</f>
        <v>0</v>
      </c>
      <c r="P162" s="183">
        <f>IF($A$1="BL",0,'Peak Hours'!P162*Peak!V163*IS!$B$2)</f>
        <v>0</v>
      </c>
      <c r="Q162" s="183">
        <f>IF($A$1="BL",0,'Peak Hours'!Q162*Peak!W163*IS!$B$2)</f>
        <v>0</v>
      </c>
      <c r="R162" s="183">
        <f>IF($A$1="BL",0,'Peak Hours'!R162*Peak!X163*IS!$B$2)</f>
        <v>0</v>
      </c>
      <c r="S162" s="183">
        <f>IF($A$1="BL",0,'Peak Hours'!S162*Peak!Y163*IS!$B$2)</f>
        <v>0</v>
      </c>
      <c r="T162" s="183">
        <f>IF($A$1="BL",0,'Peak Hours'!T162*Peak!Z163*IS!$B$2)</f>
        <v>0</v>
      </c>
      <c r="U162" s="183">
        <f>IF($A$1="BL",0,'Peak Hours'!U162*Peak!AA163*IS!$B$2)</f>
        <v>0</v>
      </c>
      <c r="V162" s="213"/>
      <c r="W162" s="211">
        <f>(IF($A$1="BL",0,Peak!C163*'Peak Hours'!V162*IS!$B$2))*-1</f>
        <v>0</v>
      </c>
      <c r="X162" s="213"/>
      <c r="Y162" s="211">
        <f>(IF($A$1="bl",0,Peak!D163*'Peak Hours'!V162*IS!$B$2))*-1</f>
        <v>0</v>
      </c>
      <c r="Z162" s="213"/>
      <c r="AA162" s="211">
        <f>(Peak!E163*'Peak Hours'!V162*IS!$B$2)*-1</f>
        <v>0</v>
      </c>
      <c r="AB162" s="210"/>
      <c r="AC162" s="211">
        <f>(Peak!F163*'Peak Hours'!V162*IS!$B$2)*-1</f>
        <v>0</v>
      </c>
      <c r="AD162" s="210"/>
    </row>
    <row r="163" spans="1:30" x14ac:dyDescent="0.2">
      <c r="A163" s="1">
        <f t="shared" si="2"/>
        <v>41193.801000000196</v>
      </c>
      <c r="B163" s="182">
        <f>IF($A$1="BL",0,'Peak Hours'!B163*Peak!H164*IS!$B$2)</f>
        <v>0</v>
      </c>
      <c r="C163" s="183">
        <f>IF($A$1="BL",0,'Peak Hours'!C163*Peak!I164*IS!$B$2)</f>
        <v>0</v>
      </c>
      <c r="D163" s="183">
        <f>IF($A$1="BL",0,'Peak Hours'!D163*Peak!J164*IS!$B$2)</f>
        <v>0</v>
      </c>
      <c r="E163" s="183">
        <f>IF($A$1="BL",0,'Peak Hours'!E163*Peak!K164*IS!$B$2)</f>
        <v>0</v>
      </c>
      <c r="F163" s="183">
        <f>IF($A$1="BL",0,'Peak Hours'!F163*Peak!L164*IS!$B$2)</f>
        <v>0</v>
      </c>
      <c r="G163" s="183">
        <f>IF($A$1="BL",0,'Peak Hours'!G163*Peak!M164*IS!$B$2)</f>
        <v>0</v>
      </c>
      <c r="H163" s="183">
        <f>IF($A$1="BL",0,'Peak Hours'!H163*Peak!N164*IS!$B$2)</f>
        <v>0</v>
      </c>
      <c r="I163" s="183">
        <f>IF($A$1="BL",0,'Peak Hours'!I163*Peak!O164*IS!$B$2)</f>
        <v>0</v>
      </c>
      <c r="J163" s="183">
        <f>IF($A$1="BL",0,'Peak Hours'!J163*Peak!P164*IS!$B$2)</f>
        <v>0</v>
      </c>
      <c r="K163" s="183">
        <f>IF($A$1="BL",0,'Peak Hours'!K163*Peak!Q164*IS!$B$2)</f>
        <v>0</v>
      </c>
      <c r="L163" s="183">
        <f>IF($A$1="BL",0,'Peak Hours'!L163*Peak!R164*IS!$B$2)</f>
        <v>0</v>
      </c>
      <c r="M163" s="183">
        <f>IF($A$1="BL",0,'Peak Hours'!M163*Peak!S164*IS!$B$2)</f>
        <v>0</v>
      </c>
      <c r="N163" s="183">
        <f>IF($A$1="BL",0,'Peak Hours'!N163*Peak!T164*IS!$B$2)</f>
        <v>0</v>
      </c>
      <c r="O163" s="183">
        <f>IF($A$1="BL",0,'Peak Hours'!O163*Peak!U164*IS!$B$2)</f>
        <v>0</v>
      </c>
      <c r="P163" s="183">
        <f>IF($A$1="BL",0,'Peak Hours'!P163*Peak!V164*IS!$B$2)</f>
        <v>0</v>
      </c>
      <c r="Q163" s="183">
        <f>IF($A$1="BL",0,'Peak Hours'!Q163*Peak!W164*IS!$B$2)</f>
        <v>0</v>
      </c>
      <c r="R163" s="183">
        <f>IF($A$1="BL",0,'Peak Hours'!R163*Peak!X164*IS!$B$2)</f>
        <v>0</v>
      </c>
      <c r="S163" s="183">
        <f>IF($A$1="BL",0,'Peak Hours'!S163*Peak!Y164*IS!$B$2)</f>
        <v>0</v>
      </c>
      <c r="T163" s="183">
        <f>IF($A$1="BL",0,'Peak Hours'!T163*Peak!Z164*IS!$B$2)</f>
        <v>0</v>
      </c>
      <c r="U163" s="183">
        <f>IF($A$1="BL",0,'Peak Hours'!U163*Peak!AA164*IS!$B$2)</f>
        <v>0</v>
      </c>
      <c r="V163" s="213"/>
      <c r="W163" s="211">
        <f>(IF($A$1="BL",0,Peak!C164*'Peak Hours'!V163*IS!$B$2))*-1</f>
        <v>0</v>
      </c>
      <c r="X163" s="213"/>
      <c r="Y163" s="211">
        <f>(IF($A$1="bl",0,Peak!D164*'Peak Hours'!V163*IS!$B$2))*-1</f>
        <v>0</v>
      </c>
      <c r="Z163" s="213"/>
      <c r="AA163" s="211">
        <f>(Peak!E164*'Peak Hours'!V163*IS!$B$2)*-1</f>
        <v>0</v>
      </c>
      <c r="AB163" s="210"/>
      <c r="AC163" s="211">
        <f>(Peak!F164*'Peak Hours'!V163*IS!$B$2)*-1</f>
        <v>0</v>
      </c>
      <c r="AD163" s="210"/>
    </row>
    <row r="164" spans="1:30" x14ac:dyDescent="0.2">
      <c r="A164" s="1">
        <f t="shared" si="2"/>
        <v>41224.218000000197</v>
      </c>
      <c r="B164" s="182">
        <f>IF($A$1="BL",0,'Peak Hours'!B164*Peak!H165*IS!$B$2)</f>
        <v>0</v>
      </c>
      <c r="C164" s="183">
        <f>IF($A$1="BL",0,'Peak Hours'!C164*Peak!I165*IS!$B$2)</f>
        <v>0</v>
      </c>
      <c r="D164" s="183">
        <f>IF($A$1="BL",0,'Peak Hours'!D164*Peak!J165*IS!$B$2)</f>
        <v>0</v>
      </c>
      <c r="E164" s="183">
        <f>IF($A$1="BL",0,'Peak Hours'!E164*Peak!K165*IS!$B$2)</f>
        <v>0</v>
      </c>
      <c r="F164" s="183">
        <f>IF($A$1="BL",0,'Peak Hours'!F164*Peak!L165*IS!$B$2)</f>
        <v>0</v>
      </c>
      <c r="G164" s="183">
        <f>IF($A$1="BL",0,'Peak Hours'!G164*Peak!M165*IS!$B$2)</f>
        <v>0</v>
      </c>
      <c r="H164" s="183">
        <f>IF($A$1="BL",0,'Peak Hours'!H164*Peak!N165*IS!$B$2)</f>
        <v>0</v>
      </c>
      <c r="I164" s="183">
        <f>IF($A$1="BL",0,'Peak Hours'!I164*Peak!O165*IS!$B$2)</f>
        <v>0</v>
      </c>
      <c r="J164" s="183">
        <f>IF($A$1="BL",0,'Peak Hours'!J164*Peak!P165*IS!$B$2)</f>
        <v>0</v>
      </c>
      <c r="K164" s="183">
        <f>IF($A$1="BL",0,'Peak Hours'!K164*Peak!Q165*IS!$B$2)</f>
        <v>0</v>
      </c>
      <c r="L164" s="183">
        <f>IF($A$1="BL",0,'Peak Hours'!L164*Peak!R165*IS!$B$2)</f>
        <v>0</v>
      </c>
      <c r="M164" s="183">
        <f>IF($A$1="BL",0,'Peak Hours'!M164*Peak!S165*IS!$B$2)</f>
        <v>0</v>
      </c>
      <c r="N164" s="183">
        <f>IF($A$1="BL",0,'Peak Hours'!N164*Peak!T165*IS!$B$2)</f>
        <v>0</v>
      </c>
      <c r="O164" s="183">
        <f>IF($A$1="BL",0,'Peak Hours'!O164*Peak!U165*IS!$B$2)</f>
        <v>0</v>
      </c>
      <c r="P164" s="183">
        <f>IF($A$1="BL",0,'Peak Hours'!P164*Peak!V165*IS!$B$2)</f>
        <v>0</v>
      </c>
      <c r="Q164" s="183">
        <f>IF($A$1="BL",0,'Peak Hours'!Q164*Peak!W165*IS!$B$2)</f>
        <v>0</v>
      </c>
      <c r="R164" s="183">
        <f>IF($A$1="BL",0,'Peak Hours'!R164*Peak!X165*IS!$B$2)</f>
        <v>0</v>
      </c>
      <c r="S164" s="183">
        <f>IF($A$1="BL",0,'Peak Hours'!S164*Peak!Y165*IS!$B$2)</f>
        <v>0</v>
      </c>
      <c r="T164" s="183">
        <f>IF($A$1="BL",0,'Peak Hours'!T164*Peak!Z165*IS!$B$2)</f>
        <v>0</v>
      </c>
      <c r="U164" s="183">
        <f>IF($A$1="BL",0,'Peak Hours'!U164*Peak!AA165*IS!$B$2)</f>
        <v>0</v>
      </c>
      <c r="V164" s="213"/>
      <c r="W164" s="211">
        <f>(IF($A$1="BL",0,Peak!C165*'Peak Hours'!V164*IS!$B$2))*-1</f>
        <v>0</v>
      </c>
      <c r="X164" s="213"/>
      <c r="Y164" s="211">
        <f>(IF($A$1="bl",0,Peak!D165*'Peak Hours'!V164*IS!$B$2))*-1</f>
        <v>0</v>
      </c>
      <c r="Z164" s="213"/>
      <c r="AA164" s="211">
        <f>(Peak!E165*'Peak Hours'!V164*IS!$B$2)*-1</f>
        <v>0</v>
      </c>
      <c r="AB164" s="210"/>
      <c r="AC164" s="211">
        <f>(Peak!F165*'Peak Hours'!V164*IS!$B$2)*-1</f>
        <v>0</v>
      </c>
      <c r="AD164" s="210"/>
    </row>
    <row r="165" spans="1:30" x14ac:dyDescent="0.2">
      <c r="A165" s="1">
        <f t="shared" si="2"/>
        <v>41254.635000000198</v>
      </c>
      <c r="B165" s="182">
        <f>IF($A$1="BL",0,'Peak Hours'!B165*Peak!H166*IS!$B$2)</f>
        <v>0</v>
      </c>
      <c r="C165" s="183">
        <f>IF($A$1="BL",0,'Peak Hours'!C165*Peak!I166*IS!$B$2)</f>
        <v>0</v>
      </c>
      <c r="D165" s="183">
        <f>IF($A$1="BL",0,'Peak Hours'!D165*Peak!J166*IS!$B$2)</f>
        <v>0</v>
      </c>
      <c r="E165" s="183">
        <f>IF($A$1="BL",0,'Peak Hours'!E165*Peak!K166*IS!$B$2)</f>
        <v>0</v>
      </c>
      <c r="F165" s="183">
        <f>IF($A$1="BL",0,'Peak Hours'!F165*Peak!L166*IS!$B$2)</f>
        <v>0</v>
      </c>
      <c r="G165" s="183">
        <f>IF($A$1="BL",0,'Peak Hours'!G165*Peak!M166*IS!$B$2)</f>
        <v>0</v>
      </c>
      <c r="H165" s="183">
        <f>IF($A$1="BL",0,'Peak Hours'!H165*Peak!N166*IS!$B$2)</f>
        <v>0</v>
      </c>
      <c r="I165" s="183">
        <f>IF($A$1="BL",0,'Peak Hours'!I165*Peak!O166*IS!$B$2)</f>
        <v>0</v>
      </c>
      <c r="J165" s="183">
        <f>IF($A$1="BL",0,'Peak Hours'!J165*Peak!P166*IS!$B$2)</f>
        <v>0</v>
      </c>
      <c r="K165" s="183">
        <f>IF($A$1="BL",0,'Peak Hours'!K165*Peak!Q166*IS!$B$2)</f>
        <v>0</v>
      </c>
      <c r="L165" s="183">
        <f>IF($A$1="BL",0,'Peak Hours'!L165*Peak!R166*IS!$B$2)</f>
        <v>0</v>
      </c>
      <c r="M165" s="183">
        <f>IF($A$1="BL",0,'Peak Hours'!M165*Peak!S166*IS!$B$2)</f>
        <v>0</v>
      </c>
      <c r="N165" s="183">
        <f>IF($A$1="BL",0,'Peak Hours'!N165*Peak!T166*IS!$B$2)</f>
        <v>0</v>
      </c>
      <c r="O165" s="183">
        <f>IF($A$1="BL",0,'Peak Hours'!O165*Peak!U166*IS!$B$2)</f>
        <v>0</v>
      </c>
      <c r="P165" s="183">
        <f>IF($A$1="BL",0,'Peak Hours'!P165*Peak!V166*IS!$B$2)</f>
        <v>0</v>
      </c>
      <c r="Q165" s="183">
        <f>IF($A$1="BL",0,'Peak Hours'!Q165*Peak!W166*IS!$B$2)</f>
        <v>0</v>
      </c>
      <c r="R165" s="183">
        <f>IF($A$1="BL",0,'Peak Hours'!R165*Peak!X166*IS!$B$2)</f>
        <v>0</v>
      </c>
      <c r="S165" s="183">
        <f>IF($A$1="BL",0,'Peak Hours'!S165*Peak!Y166*IS!$B$2)</f>
        <v>0</v>
      </c>
      <c r="T165" s="183">
        <f>IF($A$1="BL",0,'Peak Hours'!T165*Peak!Z166*IS!$B$2)</f>
        <v>0</v>
      </c>
      <c r="U165" s="183">
        <f>IF($A$1="BL",0,'Peak Hours'!U165*Peak!AA166*IS!$B$2)</f>
        <v>0</v>
      </c>
      <c r="V165" s="214">
        <f>SUM(B154:U165)</f>
        <v>0</v>
      </c>
      <c r="W165" s="211">
        <f>(IF($A$1="BL",0,Peak!C166*'Peak Hours'!V165*IS!$B$2))*-1</f>
        <v>0</v>
      </c>
      <c r="X165" s="214">
        <f>SUM(W154:W165)</f>
        <v>0</v>
      </c>
      <c r="Y165" s="211">
        <f>(IF($A$1="bl",0,Peak!D166*'Peak Hours'!V165*IS!$B$2))*-1</f>
        <v>0</v>
      </c>
      <c r="Z165" s="214">
        <f>SUM(Y154:Y165)</f>
        <v>0</v>
      </c>
      <c r="AA165" s="211">
        <f>(Peak!E166*'Peak Hours'!V165*IS!$B$2)*-1</f>
        <v>0</v>
      </c>
      <c r="AB165" s="211">
        <f>SUM(AA154:AA165)</f>
        <v>0</v>
      </c>
      <c r="AC165" s="211">
        <f>(Peak!F166*'Peak Hours'!V165*IS!$B$2)*-1</f>
        <v>0</v>
      </c>
      <c r="AD165" s="211">
        <f>SUM(AC154:AC165)</f>
        <v>0</v>
      </c>
    </row>
    <row r="166" spans="1:30" x14ac:dyDescent="0.2">
      <c r="A166" s="1">
        <f t="shared" si="2"/>
        <v>41285.0520000002</v>
      </c>
      <c r="B166" s="182">
        <f>IF($A$1="BL",0,'Peak Hours'!B166*Peak!H167*IS!$B$2)</f>
        <v>0</v>
      </c>
      <c r="C166" s="183">
        <f>IF($A$1="BL",0,'Peak Hours'!C166*Peak!I167*IS!$B$2)</f>
        <v>0</v>
      </c>
      <c r="D166" s="183">
        <f>IF($A$1="BL",0,'Peak Hours'!D166*Peak!J167*IS!$B$2)</f>
        <v>0</v>
      </c>
      <c r="E166" s="183">
        <f>IF($A$1="BL",0,'Peak Hours'!E166*Peak!K167*IS!$B$2)</f>
        <v>0</v>
      </c>
      <c r="F166" s="183">
        <f>IF($A$1="BL",0,'Peak Hours'!F166*Peak!L167*IS!$B$2)</f>
        <v>0</v>
      </c>
      <c r="G166" s="183">
        <f>IF($A$1="BL",0,'Peak Hours'!G166*Peak!M167*IS!$B$2)</f>
        <v>0</v>
      </c>
      <c r="H166" s="183">
        <f>IF($A$1="BL",0,'Peak Hours'!H166*Peak!N167*IS!$B$2)</f>
        <v>0</v>
      </c>
      <c r="I166" s="183">
        <f>IF($A$1="BL",0,'Peak Hours'!I166*Peak!O167*IS!$B$2)</f>
        <v>0</v>
      </c>
      <c r="J166" s="183">
        <f>IF($A$1="BL",0,'Peak Hours'!J166*Peak!P167*IS!$B$2)</f>
        <v>0</v>
      </c>
      <c r="K166" s="183">
        <f>IF($A$1="BL",0,'Peak Hours'!K166*Peak!Q167*IS!$B$2)</f>
        <v>0</v>
      </c>
      <c r="L166" s="183">
        <f>IF($A$1="BL",0,'Peak Hours'!L166*Peak!R167*IS!$B$2)</f>
        <v>0</v>
      </c>
      <c r="M166" s="183">
        <f>IF($A$1="BL",0,'Peak Hours'!M166*Peak!S167*IS!$B$2)</f>
        <v>0</v>
      </c>
      <c r="N166" s="183">
        <f>IF($A$1="BL",0,'Peak Hours'!N166*Peak!T167*IS!$B$2)</f>
        <v>0</v>
      </c>
      <c r="O166" s="183">
        <f>IF($A$1="BL",0,'Peak Hours'!O166*Peak!U167*IS!$B$2)</f>
        <v>0</v>
      </c>
      <c r="P166" s="183">
        <f>IF($A$1="BL",0,'Peak Hours'!P166*Peak!V167*IS!$B$2)</f>
        <v>0</v>
      </c>
      <c r="Q166" s="183">
        <f>IF($A$1="BL",0,'Peak Hours'!Q166*Peak!W167*IS!$B$2)</f>
        <v>0</v>
      </c>
      <c r="R166" s="183">
        <f>IF($A$1="BL",0,'Peak Hours'!R166*Peak!X167*IS!$B$2)</f>
        <v>0</v>
      </c>
      <c r="S166" s="183">
        <f>IF($A$1="BL",0,'Peak Hours'!S166*Peak!Y167*IS!$B$2)</f>
        <v>0</v>
      </c>
      <c r="T166" s="183">
        <f>IF($A$1="BL",0,'Peak Hours'!T166*Peak!Z167*IS!$B$2)</f>
        <v>0</v>
      </c>
      <c r="U166" s="183">
        <f>IF($A$1="BL",0,'Peak Hours'!U166*Peak!AA167*IS!$B$2)</f>
        <v>0</v>
      </c>
      <c r="V166" s="213"/>
      <c r="W166" s="211">
        <f>(IF($A$1="BL",0,Peak!C167*'Peak Hours'!V166*IS!$B$2))*-1</f>
        <v>0</v>
      </c>
      <c r="X166" s="213"/>
      <c r="Y166" s="211">
        <f>(IF($A$1="bl",0,Peak!D167*'Peak Hours'!V166*IS!$B$2))*-1</f>
        <v>0</v>
      </c>
      <c r="Z166" s="213"/>
      <c r="AA166" s="211">
        <f>(Peak!E167*'Peak Hours'!V166*IS!$B$2)*-1</f>
        <v>0</v>
      </c>
      <c r="AB166" s="210"/>
      <c r="AC166" s="211">
        <f>(Peak!F167*'Peak Hours'!V166*IS!$B$2)*-1</f>
        <v>0</v>
      </c>
      <c r="AD166" s="210"/>
    </row>
    <row r="167" spans="1:30" x14ac:dyDescent="0.2">
      <c r="A167" s="1">
        <f t="shared" si="2"/>
        <v>41315.469000000201</v>
      </c>
      <c r="B167" s="182">
        <f>IF($A$1="BL",0,'Peak Hours'!B167*Peak!H168*IS!$B$2)</f>
        <v>0</v>
      </c>
      <c r="C167" s="183">
        <f>IF($A$1="BL",0,'Peak Hours'!C167*Peak!I168*IS!$B$2)</f>
        <v>0</v>
      </c>
      <c r="D167" s="183">
        <f>IF($A$1="BL",0,'Peak Hours'!D167*Peak!J168*IS!$B$2)</f>
        <v>0</v>
      </c>
      <c r="E167" s="183">
        <f>IF($A$1="BL",0,'Peak Hours'!E167*Peak!K168*IS!$B$2)</f>
        <v>0</v>
      </c>
      <c r="F167" s="183">
        <f>IF($A$1="BL",0,'Peak Hours'!F167*Peak!L168*IS!$B$2)</f>
        <v>0</v>
      </c>
      <c r="G167" s="183">
        <f>IF($A$1="BL",0,'Peak Hours'!G167*Peak!M168*IS!$B$2)</f>
        <v>0</v>
      </c>
      <c r="H167" s="183">
        <f>IF($A$1="BL",0,'Peak Hours'!H167*Peak!N168*IS!$B$2)</f>
        <v>0</v>
      </c>
      <c r="I167" s="183">
        <f>IF($A$1="BL",0,'Peak Hours'!I167*Peak!O168*IS!$B$2)</f>
        <v>0</v>
      </c>
      <c r="J167" s="183">
        <f>IF($A$1="BL",0,'Peak Hours'!J167*Peak!P168*IS!$B$2)</f>
        <v>0</v>
      </c>
      <c r="K167" s="183">
        <f>IF($A$1="BL",0,'Peak Hours'!K167*Peak!Q168*IS!$B$2)</f>
        <v>0</v>
      </c>
      <c r="L167" s="183">
        <f>IF($A$1="BL",0,'Peak Hours'!L167*Peak!R168*IS!$B$2)</f>
        <v>0</v>
      </c>
      <c r="M167" s="183">
        <f>IF($A$1="BL",0,'Peak Hours'!M167*Peak!S168*IS!$B$2)</f>
        <v>0</v>
      </c>
      <c r="N167" s="183">
        <f>IF($A$1="BL",0,'Peak Hours'!N167*Peak!T168*IS!$B$2)</f>
        <v>0</v>
      </c>
      <c r="O167" s="183">
        <f>IF($A$1="BL",0,'Peak Hours'!O167*Peak!U168*IS!$B$2)</f>
        <v>0</v>
      </c>
      <c r="P167" s="183">
        <f>IF($A$1="BL",0,'Peak Hours'!P167*Peak!V168*IS!$B$2)</f>
        <v>0</v>
      </c>
      <c r="Q167" s="183">
        <f>IF($A$1="BL",0,'Peak Hours'!Q167*Peak!W168*IS!$B$2)</f>
        <v>0</v>
      </c>
      <c r="R167" s="183">
        <f>IF($A$1="BL",0,'Peak Hours'!R167*Peak!X168*IS!$B$2)</f>
        <v>0</v>
      </c>
      <c r="S167" s="183">
        <f>IF($A$1="BL",0,'Peak Hours'!S167*Peak!Y168*IS!$B$2)</f>
        <v>0</v>
      </c>
      <c r="T167" s="183">
        <f>IF($A$1="BL",0,'Peak Hours'!T167*Peak!Z168*IS!$B$2)</f>
        <v>0</v>
      </c>
      <c r="U167" s="183">
        <f>IF($A$1="BL",0,'Peak Hours'!U167*Peak!AA168*IS!$B$2)</f>
        <v>0</v>
      </c>
      <c r="V167" s="213"/>
      <c r="W167" s="211">
        <f>(IF($A$1="BL",0,Peak!C168*'Peak Hours'!V167*IS!$B$2))*-1</f>
        <v>0</v>
      </c>
      <c r="X167" s="213"/>
      <c r="Y167" s="211">
        <f>(IF($A$1="bl",0,Peak!D168*'Peak Hours'!V167*IS!$B$2))*-1</f>
        <v>0</v>
      </c>
      <c r="Z167" s="213"/>
      <c r="AA167" s="211">
        <f>(Peak!E168*'Peak Hours'!V167*IS!$B$2)*-1</f>
        <v>0</v>
      </c>
      <c r="AB167" s="210"/>
      <c r="AC167" s="211">
        <f>(Peak!F168*'Peak Hours'!V167*IS!$B$2)*-1</f>
        <v>0</v>
      </c>
      <c r="AD167" s="210"/>
    </row>
    <row r="168" spans="1:30" x14ac:dyDescent="0.2">
      <c r="A168" s="1">
        <f t="shared" si="2"/>
        <v>41345.886000000202</v>
      </c>
      <c r="B168" s="182">
        <f>IF($A$1="BL",0,'Peak Hours'!B168*Peak!H169*IS!$B$2)</f>
        <v>0</v>
      </c>
      <c r="C168" s="183">
        <f>IF($A$1="BL",0,'Peak Hours'!C168*Peak!I169*IS!$B$2)</f>
        <v>0</v>
      </c>
      <c r="D168" s="183">
        <f>IF($A$1="BL",0,'Peak Hours'!D168*Peak!J169*IS!$B$2)</f>
        <v>0</v>
      </c>
      <c r="E168" s="183">
        <f>IF($A$1="BL",0,'Peak Hours'!E168*Peak!K169*IS!$B$2)</f>
        <v>0</v>
      </c>
      <c r="F168" s="183">
        <f>IF($A$1="BL",0,'Peak Hours'!F168*Peak!L169*IS!$B$2)</f>
        <v>0</v>
      </c>
      <c r="G168" s="183">
        <f>IF($A$1="BL",0,'Peak Hours'!G168*Peak!M169*IS!$B$2)</f>
        <v>0</v>
      </c>
      <c r="H168" s="183">
        <f>IF($A$1="BL",0,'Peak Hours'!H168*Peak!N169*IS!$B$2)</f>
        <v>0</v>
      </c>
      <c r="I168" s="183">
        <f>IF($A$1="BL",0,'Peak Hours'!I168*Peak!O169*IS!$B$2)</f>
        <v>0</v>
      </c>
      <c r="J168" s="183">
        <f>IF($A$1="BL",0,'Peak Hours'!J168*Peak!P169*IS!$B$2)</f>
        <v>0</v>
      </c>
      <c r="K168" s="183">
        <f>IF($A$1="BL",0,'Peak Hours'!K168*Peak!Q169*IS!$B$2)</f>
        <v>0</v>
      </c>
      <c r="L168" s="183">
        <f>IF($A$1="BL",0,'Peak Hours'!L168*Peak!R169*IS!$B$2)</f>
        <v>0</v>
      </c>
      <c r="M168" s="183">
        <f>IF($A$1="BL",0,'Peak Hours'!M168*Peak!S169*IS!$B$2)</f>
        <v>0</v>
      </c>
      <c r="N168" s="183">
        <f>IF($A$1="BL",0,'Peak Hours'!N168*Peak!T169*IS!$B$2)</f>
        <v>0</v>
      </c>
      <c r="O168" s="183">
        <f>IF($A$1="BL",0,'Peak Hours'!O168*Peak!U169*IS!$B$2)</f>
        <v>0</v>
      </c>
      <c r="P168" s="183">
        <f>IF($A$1="BL",0,'Peak Hours'!P168*Peak!V169*IS!$B$2)</f>
        <v>0</v>
      </c>
      <c r="Q168" s="183">
        <f>IF($A$1="BL",0,'Peak Hours'!Q168*Peak!W169*IS!$B$2)</f>
        <v>0</v>
      </c>
      <c r="R168" s="183">
        <f>IF($A$1="BL",0,'Peak Hours'!R168*Peak!X169*IS!$B$2)</f>
        <v>0</v>
      </c>
      <c r="S168" s="183">
        <f>IF($A$1="BL",0,'Peak Hours'!S168*Peak!Y169*IS!$B$2)</f>
        <v>0</v>
      </c>
      <c r="T168" s="183">
        <f>IF($A$1="BL",0,'Peak Hours'!T168*Peak!Z169*IS!$B$2)</f>
        <v>0</v>
      </c>
      <c r="U168" s="183">
        <f>IF($A$1="BL",0,'Peak Hours'!U168*Peak!AA169*IS!$B$2)</f>
        <v>0</v>
      </c>
      <c r="V168" s="213"/>
      <c r="W168" s="211">
        <f>(IF($A$1="BL",0,Peak!C169*'Peak Hours'!V168*IS!$B$2))*-1</f>
        <v>0</v>
      </c>
      <c r="X168" s="213"/>
      <c r="Y168" s="211">
        <f>(IF($A$1="bl",0,Peak!D169*'Peak Hours'!V168*IS!$B$2))*-1</f>
        <v>0</v>
      </c>
      <c r="Z168" s="213"/>
      <c r="AA168" s="211">
        <f>(Peak!E169*'Peak Hours'!V168*IS!$B$2)*-1</f>
        <v>0</v>
      </c>
      <c r="AB168" s="210"/>
      <c r="AC168" s="211">
        <f>(Peak!F169*'Peak Hours'!V168*IS!$B$2)*-1</f>
        <v>0</v>
      </c>
      <c r="AD168" s="210"/>
    </row>
    <row r="169" spans="1:30" x14ac:dyDescent="0.2">
      <c r="A169" s="1">
        <f t="shared" si="2"/>
        <v>41376.303000000204</v>
      </c>
      <c r="B169" s="182">
        <f>IF($A$1="BL",0,'Peak Hours'!B169*Peak!H170*IS!$B$2)</f>
        <v>0</v>
      </c>
      <c r="C169" s="183">
        <f>IF($A$1="BL",0,'Peak Hours'!C169*Peak!I170*IS!$B$2)</f>
        <v>0</v>
      </c>
      <c r="D169" s="183">
        <f>IF($A$1="BL",0,'Peak Hours'!D169*Peak!J170*IS!$B$2)</f>
        <v>0</v>
      </c>
      <c r="E169" s="183">
        <f>IF($A$1="BL",0,'Peak Hours'!E169*Peak!K170*IS!$B$2)</f>
        <v>0</v>
      </c>
      <c r="F169" s="183">
        <f>IF($A$1="BL",0,'Peak Hours'!F169*Peak!L170*IS!$B$2)</f>
        <v>0</v>
      </c>
      <c r="G169" s="183">
        <f>IF($A$1="BL",0,'Peak Hours'!G169*Peak!M170*IS!$B$2)</f>
        <v>0</v>
      </c>
      <c r="H169" s="183">
        <f>IF($A$1="BL",0,'Peak Hours'!H169*Peak!N170*IS!$B$2)</f>
        <v>0</v>
      </c>
      <c r="I169" s="183">
        <f>IF($A$1="BL",0,'Peak Hours'!I169*Peak!O170*IS!$B$2)</f>
        <v>0</v>
      </c>
      <c r="J169" s="183">
        <f>IF($A$1="BL",0,'Peak Hours'!J169*Peak!P170*IS!$B$2)</f>
        <v>0</v>
      </c>
      <c r="K169" s="183">
        <f>IF($A$1="BL",0,'Peak Hours'!K169*Peak!Q170*IS!$B$2)</f>
        <v>0</v>
      </c>
      <c r="L169" s="183">
        <f>IF($A$1="BL",0,'Peak Hours'!L169*Peak!R170*IS!$B$2)</f>
        <v>0</v>
      </c>
      <c r="M169" s="183">
        <f>IF($A$1="BL",0,'Peak Hours'!M169*Peak!S170*IS!$B$2)</f>
        <v>0</v>
      </c>
      <c r="N169" s="183">
        <f>IF($A$1="BL",0,'Peak Hours'!N169*Peak!T170*IS!$B$2)</f>
        <v>0</v>
      </c>
      <c r="O169" s="183">
        <f>IF($A$1="BL",0,'Peak Hours'!O169*Peak!U170*IS!$B$2)</f>
        <v>0</v>
      </c>
      <c r="P169" s="183">
        <f>IF($A$1="BL",0,'Peak Hours'!P169*Peak!V170*IS!$B$2)</f>
        <v>0</v>
      </c>
      <c r="Q169" s="183">
        <f>IF($A$1="BL",0,'Peak Hours'!Q169*Peak!W170*IS!$B$2)</f>
        <v>0</v>
      </c>
      <c r="R169" s="183">
        <f>IF($A$1="BL",0,'Peak Hours'!R169*Peak!X170*IS!$B$2)</f>
        <v>0</v>
      </c>
      <c r="S169" s="183">
        <f>IF($A$1="BL",0,'Peak Hours'!S169*Peak!Y170*IS!$B$2)</f>
        <v>0</v>
      </c>
      <c r="T169" s="183">
        <f>IF($A$1="BL",0,'Peak Hours'!T169*Peak!Z170*IS!$B$2)</f>
        <v>0</v>
      </c>
      <c r="U169" s="183">
        <f>IF($A$1="BL",0,'Peak Hours'!U169*Peak!AA170*IS!$B$2)</f>
        <v>0</v>
      </c>
      <c r="V169" s="213"/>
      <c r="W169" s="211">
        <f>(IF($A$1="BL",0,Peak!C170*'Peak Hours'!V169*IS!$B$2))*-1</f>
        <v>0</v>
      </c>
      <c r="X169" s="213"/>
      <c r="Y169" s="211">
        <f>(IF($A$1="bl",0,Peak!D170*'Peak Hours'!V169*IS!$B$2))*-1</f>
        <v>0</v>
      </c>
      <c r="Z169" s="213"/>
      <c r="AA169" s="211">
        <f>(Peak!E170*'Peak Hours'!V169*IS!$B$2)*-1</f>
        <v>0</v>
      </c>
      <c r="AB169" s="210"/>
      <c r="AC169" s="211">
        <f>(Peak!F170*'Peak Hours'!V169*IS!$B$2)*-1</f>
        <v>0</v>
      </c>
      <c r="AD169" s="210"/>
    </row>
    <row r="170" spans="1:30" x14ac:dyDescent="0.2">
      <c r="A170" s="1">
        <f t="shared" si="2"/>
        <v>41406.720000000205</v>
      </c>
      <c r="B170" s="182">
        <f>IF($A$1="BL",0,'Peak Hours'!B170*Peak!H171*IS!$B$2)</f>
        <v>0</v>
      </c>
      <c r="C170" s="183">
        <f>IF($A$1="BL",0,'Peak Hours'!C170*Peak!I171*IS!$B$2)</f>
        <v>0</v>
      </c>
      <c r="D170" s="183">
        <f>IF($A$1="BL",0,'Peak Hours'!D170*Peak!J171*IS!$B$2)</f>
        <v>0</v>
      </c>
      <c r="E170" s="183">
        <f>IF($A$1="BL",0,'Peak Hours'!E170*Peak!K171*IS!$B$2)</f>
        <v>0</v>
      </c>
      <c r="F170" s="183">
        <f>IF($A$1="BL",0,'Peak Hours'!F170*Peak!L171*IS!$B$2)</f>
        <v>0</v>
      </c>
      <c r="G170" s="183">
        <f>IF($A$1="BL",0,'Peak Hours'!G170*Peak!M171*IS!$B$2)</f>
        <v>0</v>
      </c>
      <c r="H170" s="183">
        <f>IF($A$1="BL",0,'Peak Hours'!H170*Peak!N171*IS!$B$2)</f>
        <v>0</v>
      </c>
      <c r="I170" s="183">
        <f>IF($A$1="BL",0,'Peak Hours'!I170*Peak!O171*IS!$B$2)</f>
        <v>0</v>
      </c>
      <c r="J170" s="183">
        <f>IF($A$1="BL",0,'Peak Hours'!J170*Peak!P171*IS!$B$2)</f>
        <v>0</v>
      </c>
      <c r="K170" s="183">
        <f>IF($A$1="BL",0,'Peak Hours'!K170*Peak!Q171*IS!$B$2)</f>
        <v>0</v>
      </c>
      <c r="L170" s="183">
        <f>IF($A$1="BL",0,'Peak Hours'!L170*Peak!R171*IS!$B$2)</f>
        <v>0</v>
      </c>
      <c r="M170" s="183">
        <f>IF($A$1="BL",0,'Peak Hours'!M170*Peak!S171*IS!$B$2)</f>
        <v>0</v>
      </c>
      <c r="N170" s="183">
        <f>IF($A$1="BL",0,'Peak Hours'!N170*Peak!T171*IS!$B$2)</f>
        <v>0</v>
      </c>
      <c r="O170" s="183">
        <f>IF($A$1="BL",0,'Peak Hours'!O170*Peak!U171*IS!$B$2)</f>
        <v>0</v>
      </c>
      <c r="P170" s="183">
        <f>IF($A$1="BL",0,'Peak Hours'!P170*Peak!V171*IS!$B$2)</f>
        <v>0</v>
      </c>
      <c r="Q170" s="183">
        <f>IF($A$1="BL",0,'Peak Hours'!Q170*Peak!W171*IS!$B$2)</f>
        <v>0</v>
      </c>
      <c r="R170" s="183">
        <f>IF($A$1="BL",0,'Peak Hours'!R170*Peak!X171*IS!$B$2)</f>
        <v>0</v>
      </c>
      <c r="S170" s="183">
        <f>IF($A$1="BL",0,'Peak Hours'!S170*Peak!Y171*IS!$B$2)</f>
        <v>0</v>
      </c>
      <c r="T170" s="183">
        <f>IF($A$1="BL",0,'Peak Hours'!T170*Peak!Z171*IS!$B$2)</f>
        <v>0</v>
      </c>
      <c r="U170" s="183">
        <f>IF($A$1="BL",0,'Peak Hours'!U170*Peak!AA171*IS!$B$2)</f>
        <v>0</v>
      </c>
      <c r="V170" s="213"/>
      <c r="W170" s="211">
        <f>(IF($A$1="BL",0,Peak!C171*'Peak Hours'!V170*IS!$B$2))*-1</f>
        <v>0</v>
      </c>
      <c r="X170" s="213"/>
      <c r="Y170" s="211">
        <f>(IF($A$1="bl",0,Peak!D171*'Peak Hours'!V170*IS!$B$2))*-1</f>
        <v>0</v>
      </c>
      <c r="Z170" s="213"/>
      <c r="AA170" s="211">
        <f>(Peak!E171*'Peak Hours'!V170*IS!$B$2)*-1</f>
        <v>0</v>
      </c>
      <c r="AB170" s="210"/>
      <c r="AC170" s="211">
        <f>(Peak!F171*'Peak Hours'!V170*IS!$B$2)*-1</f>
        <v>0</v>
      </c>
      <c r="AD170" s="210"/>
    </row>
    <row r="171" spans="1:30" x14ac:dyDescent="0.2">
      <c r="A171" s="1">
        <f t="shared" si="2"/>
        <v>41437.137000000206</v>
      </c>
      <c r="B171" s="182">
        <f>IF($A$1="BL",0,'Peak Hours'!B171*Peak!H172*IS!$B$2)</f>
        <v>0</v>
      </c>
      <c r="C171" s="183">
        <f>IF($A$1="BL",0,'Peak Hours'!C171*Peak!I172*IS!$B$2)</f>
        <v>0</v>
      </c>
      <c r="D171" s="183">
        <f>IF($A$1="BL",0,'Peak Hours'!D171*Peak!J172*IS!$B$2)</f>
        <v>0</v>
      </c>
      <c r="E171" s="183">
        <f>IF($A$1="BL",0,'Peak Hours'!E171*Peak!K172*IS!$B$2)</f>
        <v>0</v>
      </c>
      <c r="F171" s="183">
        <f>IF($A$1="BL",0,'Peak Hours'!F171*Peak!L172*IS!$B$2)</f>
        <v>0</v>
      </c>
      <c r="G171" s="183">
        <f>IF($A$1="BL",0,'Peak Hours'!G171*Peak!M172*IS!$B$2)</f>
        <v>0</v>
      </c>
      <c r="H171" s="183">
        <f>IF($A$1="BL",0,'Peak Hours'!H171*Peak!N172*IS!$B$2)</f>
        <v>0</v>
      </c>
      <c r="I171" s="183">
        <f>IF($A$1="BL",0,'Peak Hours'!I171*Peak!O172*IS!$B$2)</f>
        <v>0</v>
      </c>
      <c r="J171" s="183">
        <f>IF($A$1="BL",0,'Peak Hours'!J171*Peak!P172*IS!$B$2)</f>
        <v>0</v>
      </c>
      <c r="K171" s="183">
        <f>IF($A$1="BL",0,'Peak Hours'!K171*Peak!Q172*IS!$B$2)</f>
        <v>0</v>
      </c>
      <c r="L171" s="183">
        <f>IF($A$1="BL",0,'Peak Hours'!L171*Peak!R172*IS!$B$2)</f>
        <v>0</v>
      </c>
      <c r="M171" s="183">
        <f>IF($A$1="BL",0,'Peak Hours'!M171*Peak!S172*IS!$B$2)</f>
        <v>0</v>
      </c>
      <c r="N171" s="183">
        <f>IF($A$1="BL",0,'Peak Hours'!N171*Peak!T172*IS!$B$2)</f>
        <v>0</v>
      </c>
      <c r="O171" s="183">
        <f>IF($A$1="BL",0,'Peak Hours'!O171*Peak!U172*IS!$B$2)</f>
        <v>0</v>
      </c>
      <c r="P171" s="183">
        <f>IF($A$1="BL",0,'Peak Hours'!P171*Peak!V172*IS!$B$2)</f>
        <v>0</v>
      </c>
      <c r="Q171" s="183">
        <f>IF($A$1="BL",0,'Peak Hours'!Q171*Peak!W172*IS!$B$2)</f>
        <v>0</v>
      </c>
      <c r="R171" s="183">
        <f>IF($A$1="BL",0,'Peak Hours'!R171*Peak!X172*IS!$B$2)</f>
        <v>0</v>
      </c>
      <c r="S171" s="183">
        <f>IF($A$1="BL",0,'Peak Hours'!S171*Peak!Y172*IS!$B$2)</f>
        <v>0</v>
      </c>
      <c r="T171" s="183">
        <f>IF($A$1="BL",0,'Peak Hours'!T171*Peak!Z172*IS!$B$2)</f>
        <v>0</v>
      </c>
      <c r="U171" s="183">
        <f>IF($A$1="BL",0,'Peak Hours'!U171*Peak!AA172*IS!$B$2)</f>
        <v>0</v>
      </c>
      <c r="V171" s="213"/>
      <c r="W171" s="211">
        <f>(IF($A$1="BL",0,Peak!C172*'Peak Hours'!V171*IS!$B$2))*-1</f>
        <v>0</v>
      </c>
      <c r="X171" s="213"/>
      <c r="Y171" s="211">
        <f>(IF($A$1="bl",0,Peak!D172*'Peak Hours'!V171*IS!$B$2))*-1</f>
        <v>0</v>
      </c>
      <c r="Z171" s="213"/>
      <c r="AA171" s="211">
        <f>(Peak!E172*'Peak Hours'!V171*IS!$B$2)*-1</f>
        <v>0</v>
      </c>
      <c r="AB171" s="210"/>
      <c r="AC171" s="211">
        <f>(Peak!F172*'Peak Hours'!V171*IS!$B$2)*-1</f>
        <v>0</v>
      </c>
      <c r="AD171" s="210"/>
    </row>
    <row r="172" spans="1:30" x14ac:dyDescent="0.2">
      <c r="A172" s="1">
        <f t="shared" si="2"/>
        <v>41467.554000000207</v>
      </c>
      <c r="B172" s="182">
        <f>IF($A$1="BL",0,'Peak Hours'!B172*Peak!H173*IS!$B$2)</f>
        <v>0</v>
      </c>
      <c r="C172" s="183">
        <f>IF($A$1="BL",0,'Peak Hours'!C172*Peak!I173*IS!$B$2)</f>
        <v>0</v>
      </c>
      <c r="D172" s="183">
        <f>IF($A$1="BL",0,'Peak Hours'!D172*Peak!J173*IS!$B$2)</f>
        <v>0</v>
      </c>
      <c r="E172" s="183">
        <f>IF($A$1="BL",0,'Peak Hours'!E172*Peak!K173*IS!$B$2)</f>
        <v>0</v>
      </c>
      <c r="F172" s="183">
        <f>IF($A$1="BL",0,'Peak Hours'!F172*Peak!L173*IS!$B$2)</f>
        <v>0</v>
      </c>
      <c r="G172" s="183">
        <f>IF($A$1="BL",0,'Peak Hours'!G172*Peak!M173*IS!$B$2)</f>
        <v>0</v>
      </c>
      <c r="H172" s="183">
        <f>IF($A$1="BL",0,'Peak Hours'!H172*Peak!N173*IS!$B$2)</f>
        <v>0</v>
      </c>
      <c r="I172" s="183">
        <f>IF($A$1="BL",0,'Peak Hours'!I172*Peak!O173*IS!$B$2)</f>
        <v>0</v>
      </c>
      <c r="J172" s="183">
        <f>IF($A$1="BL",0,'Peak Hours'!J172*Peak!P173*IS!$B$2)</f>
        <v>0</v>
      </c>
      <c r="K172" s="183">
        <f>IF($A$1="BL",0,'Peak Hours'!K172*Peak!Q173*IS!$B$2)</f>
        <v>0</v>
      </c>
      <c r="L172" s="183">
        <f>IF($A$1="BL",0,'Peak Hours'!L172*Peak!R173*IS!$B$2)</f>
        <v>0</v>
      </c>
      <c r="M172" s="183">
        <f>IF($A$1="BL",0,'Peak Hours'!M172*Peak!S173*IS!$B$2)</f>
        <v>0</v>
      </c>
      <c r="N172" s="183">
        <f>IF($A$1="BL",0,'Peak Hours'!N172*Peak!T173*IS!$B$2)</f>
        <v>0</v>
      </c>
      <c r="O172" s="183">
        <f>IF($A$1="BL",0,'Peak Hours'!O172*Peak!U173*IS!$B$2)</f>
        <v>0</v>
      </c>
      <c r="P172" s="183">
        <f>IF($A$1="BL",0,'Peak Hours'!P172*Peak!V173*IS!$B$2)</f>
        <v>0</v>
      </c>
      <c r="Q172" s="183">
        <f>IF($A$1="BL",0,'Peak Hours'!Q172*Peak!W173*IS!$B$2)</f>
        <v>0</v>
      </c>
      <c r="R172" s="183">
        <f>IF($A$1="BL",0,'Peak Hours'!R172*Peak!X173*IS!$B$2)</f>
        <v>0</v>
      </c>
      <c r="S172" s="183">
        <f>IF($A$1="BL",0,'Peak Hours'!S172*Peak!Y173*IS!$B$2)</f>
        <v>0</v>
      </c>
      <c r="T172" s="183">
        <f>IF($A$1="BL",0,'Peak Hours'!T172*Peak!Z173*IS!$B$2)</f>
        <v>0</v>
      </c>
      <c r="U172" s="183">
        <f>IF($A$1="BL",0,'Peak Hours'!U172*Peak!AA173*IS!$B$2)</f>
        <v>0</v>
      </c>
      <c r="V172" s="213"/>
      <c r="W172" s="211">
        <f>(IF($A$1="BL",0,Peak!C173*'Peak Hours'!V172*IS!$B$2))*-1</f>
        <v>0</v>
      </c>
      <c r="X172" s="213"/>
      <c r="Y172" s="211">
        <f>(IF($A$1="bl",0,Peak!D173*'Peak Hours'!V172*IS!$B$2))*-1</f>
        <v>0</v>
      </c>
      <c r="Z172" s="213"/>
      <c r="AA172" s="211">
        <f>(Peak!E173*'Peak Hours'!V172*IS!$B$2)*-1</f>
        <v>0</v>
      </c>
      <c r="AB172" s="210"/>
      <c r="AC172" s="211">
        <f>(Peak!F173*'Peak Hours'!V172*IS!$B$2)*-1</f>
        <v>0</v>
      </c>
      <c r="AD172" s="210"/>
    </row>
    <row r="173" spans="1:30" x14ac:dyDescent="0.2">
      <c r="A173" s="1">
        <f t="shared" si="2"/>
        <v>41497.971000000209</v>
      </c>
      <c r="B173" s="182">
        <f>IF($A$1="BL",0,'Peak Hours'!B173*Peak!H174*IS!$B$2)</f>
        <v>0</v>
      </c>
      <c r="C173" s="183">
        <f>IF($A$1="BL",0,'Peak Hours'!C173*Peak!I174*IS!$B$2)</f>
        <v>0</v>
      </c>
      <c r="D173" s="183">
        <f>IF($A$1="BL",0,'Peak Hours'!D173*Peak!J174*IS!$B$2)</f>
        <v>0</v>
      </c>
      <c r="E173" s="183">
        <f>IF($A$1="BL",0,'Peak Hours'!E173*Peak!K174*IS!$B$2)</f>
        <v>0</v>
      </c>
      <c r="F173" s="183">
        <f>IF($A$1="BL",0,'Peak Hours'!F173*Peak!L174*IS!$B$2)</f>
        <v>0</v>
      </c>
      <c r="G173" s="183">
        <f>IF($A$1="BL",0,'Peak Hours'!G173*Peak!M174*IS!$B$2)</f>
        <v>0</v>
      </c>
      <c r="H173" s="183">
        <f>IF($A$1="BL",0,'Peak Hours'!H173*Peak!N174*IS!$B$2)</f>
        <v>0</v>
      </c>
      <c r="I173" s="183">
        <f>IF($A$1="BL",0,'Peak Hours'!I173*Peak!O174*IS!$B$2)</f>
        <v>0</v>
      </c>
      <c r="J173" s="183">
        <f>IF($A$1="BL",0,'Peak Hours'!J173*Peak!P174*IS!$B$2)</f>
        <v>0</v>
      </c>
      <c r="K173" s="183">
        <f>IF($A$1="BL",0,'Peak Hours'!K173*Peak!Q174*IS!$B$2)</f>
        <v>0</v>
      </c>
      <c r="L173" s="183">
        <f>IF($A$1="BL",0,'Peak Hours'!L173*Peak!R174*IS!$B$2)</f>
        <v>0</v>
      </c>
      <c r="M173" s="183">
        <f>IF($A$1="BL",0,'Peak Hours'!M173*Peak!S174*IS!$B$2)</f>
        <v>0</v>
      </c>
      <c r="N173" s="183">
        <f>IF($A$1="BL",0,'Peak Hours'!N173*Peak!T174*IS!$B$2)</f>
        <v>0</v>
      </c>
      <c r="O173" s="183">
        <f>IF($A$1="BL",0,'Peak Hours'!O173*Peak!U174*IS!$B$2)</f>
        <v>0</v>
      </c>
      <c r="P173" s="183">
        <f>IF($A$1="BL",0,'Peak Hours'!P173*Peak!V174*IS!$B$2)</f>
        <v>0</v>
      </c>
      <c r="Q173" s="183">
        <f>IF($A$1="BL",0,'Peak Hours'!Q173*Peak!W174*IS!$B$2)</f>
        <v>0</v>
      </c>
      <c r="R173" s="183">
        <f>IF($A$1="BL",0,'Peak Hours'!R173*Peak!X174*IS!$B$2)</f>
        <v>0</v>
      </c>
      <c r="S173" s="183">
        <f>IF($A$1="BL",0,'Peak Hours'!S173*Peak!Y174*IS!$B$2)</f>
        <v>0</v>
      </c>
      <c r="T173" s="183">
        <f>IF($A$1="BL",0,'Peak Hours'!T173*Peak!Z174*IS!$B$2)</f>
        <v>0</v>
      </c>
      <c r="U173" s="183">
        <f>IF($A$1="BL",0,'Peak Hours'!U173*Peak!AA174*IS!$B$2)</f>
        <v>0</v>
      </c>
      <c r="V173" s="213"/>
      <c r="W173" s="211">
        <f>(IF($A$1="BL",0,Peak!C174*'Peak Hours'!V173*IS!$B$2))*-1</f>
        <v>0</v>
      </c>
      <c r="X173" s="213"/>
      <c r="Y173" s="211">
        <f>(IF($A$1="bl",0,Peak!D174*'Peak Hours'!V173*IS!$B$2))*-1</f>
        <v>0</v>
      </c>
      <c r="Z173" s="213"/>
      <c r="AA173" s="211">
        <f>(Peak!E174*'Peak Hours'!V173*IS!$B$2)*-1</f>
        <v>0</v>
      </c>
      <c r="AB173" s="210"/>
      <c r="AC173" s="211">
        <f>(Peak!F174*'Peak Hours'!V173*IS!$B$2)*-1</f>
        <v>0</v>
      </c>
      <c r="AD173" s="210"/>
    </row>
    <row r="174" spans="1:30" x14ac:dyDescent="0.2">
      <c r="A174" s="1">
        <f t="shared" si="2"/>
        <v>41528.38800000021</v>
      </c>
      <c r="B174" s="182">
        <f>IF($A$1="BL",0,'Peak Hours'!B174*Peak!H175*IS!$B$2)</f>
        <v>0</v>
      </c>
      <c r="C174" s="183">
        <f>IF($A$1="BL",0,'Peak Hours'!C174*Peak!I175*IS!$B$2)</f>
        <v>0</v>
      </c>
      <c r="D174" s="183">
        <f>IF($A$1="BL",0,'Peak Hours'!D174*Peak!J175*IS!$B$2)</f>
        <v>0</v>
      </c>
      <c r="E174" s="183">
        <f>IF($A$1="BL",0,'Peak Hours'!E174*Peak!K175*IS!$B$2)</f>
        <v>0</v>
      </c>
      <c r="F174" s="183">
        <f>IF($A$1="BL",0,'Peak Hours'!F174*Peak!L175*IS!$B$2)</f>
        <v>0</v>
      </c>
      <c r="G174" s="183">
        <f>IF($A$1="BL",0,'Peak Hours'!G174*Peak!M175*IS!$B$2)</f>
        <v>0</v>
      </c>
      <c r="H174" s="183">
        <f>IF($A$1="BL",0,'Peak Hours'!H174*Peak!N175*IS!$B$2)</f>
        <v>0</v>
      </c>
      <c r="I174" s="183">
        <f>IF($A$1="BL",0,'Peak Hours'!I174*Peak!O175*IS!$B$2)</f>
        <v>0</v>
      </c>
      <c r="J174" s="183">
        <f>IF($A$1="BL",0,'Peak Hours'!J174*Peak!P175*IS!$B$2)</f>
        <v>0</v>
      </c>
      <c r="K174" s="183">
        <f>IF($A$1="BL",0,'Peak Hours'!K174*Peak!Q175*IS!$B$2)</f>
        <v>0</v>
      </c>
      <c r="L174" s="183">
        <f>IF($A$1="BL",0,'Peak Hours'!L174*Peak!R175*IS!$B$2)</f>
        <v>0</v>
      </c>
      <c r="M174" s="183">
        <f>IF($A$1="BL",0,'Peak Hours'!M174*Peak!S175*IS!$B$2)</f>
        <v>0</v>
      </c>
      <c r="N174" s="183">
        <f>IF($A$1="BL",0,'Peak Hours'!N174*Peak!T175*IS!$B$2)</f>
        <v>0</v>
      </c>
      <c r="O174" s="183">
        <f>IF($A$1="BL",0,'Peak Hours'!O174*Peak!U175*IS!$B$2)</f>
        <v>0</v>
      </c>
      <c r="P174" s="183">
        <f>IF($A$1="BL",0,'Peak Hours'!P174*Peak!V175*IS!$B$2)</f>
        <v>0</v>
      </c>
      <c r="Q174" s="183">
        <f>IF($A$1="BL",0,'Peak Hours'!Q174*Peak!W175*IS!$B$2)</f>
        <v>0</v>
      </c>
      <c r="R174" s="183">
        <f>IF($A$1="BL",0,'Peak Hours'!R174*Peak!X175*IS!$B$2)</f>
        <v>0</v>
      </c>
      <c r="S174" s="183">
        <f>IF($A$1="BL",0,'Peak Hours'!S174*Peak!Y175*IS!$B$2)</f>
        <v>0</v>
      </c>
      <c r="T174" s="183">
        <f>IF($A$1="BL",0,'Peak Hours'!T174*Peak!Z175*IS!$B$2)</f>
        <v>0</v>
      </c>
      <c r="U174" s="183">
        <f>IF($A$1="BL",0,'Peak Hours'!U174*Peak!AA175*IS!$B$2)</f>
        <v>0</v>
      </c>
      <c r="V174" s="213"/>
      <c r="W174" s="211">
        <f>(IF($A$1="BL",0,Peak!C175*'Peak Hours'!V174*IS!$B$2))*-1</f>
        <v>0</v>
      </c>
      <c r="X174" s="213"/>
      <c r="Y174" s="211">
        <f>(IF($A$1="bl",0,Peak!D175*'Peak Hours'!V174*IS!$B$2))*-1</f>
        <v>0</v>
      </c>
      <c r="Z174" s="213"/>
      <c r="AA174" s="211">
        <f>(Peak!E175*'Peak Hours'!V174*IS!$B$2)*-1</f>
        <v>0</v>
      </c>
      <c r="AB174" s="210"/>
      <c r="AC174" s="211">
        <f>(Peak!F175*'Peak Hours'!V174*IS!$B$2)*-1</f>
        <v>0</v>
      </c>
      <c r="AD174" s="210"/>
    </row>
    <row r="175" spans="1:30" x14ac:dyDescent="0.2">
      <c r="A175" s="1">
        <f t="shared" si="2"/>
        <v>41558.805000000211</v>
      </c>
      <c r="B175" s="182">
        <f>IF($A$1="BL",0,'Peak Hours'!B175*Peak!H176*IS!$B$2)</f>
        <v>0</v>
      </c>
      <c r="C175" s="183">
        <f>IF($A$1="BL",0,'Peak Hours'!C175*Peak!I176*IS!$B$2)</f>
        <v>0</v>
      </c>
      <c r="D175" s="183">
        <f>IF($A$1="BL",0,'Peak Hours'!D175*Peak!J176*IS!$B$2)</f>
        <v>0</v>
      </c>
      <c r="E175" s="183">
        <f>IF($A$1="BL",0,'Peak Hours'!E175*Peak!K176*IS!$B$2)</f>
        <v>0</v>
      </c>
      <c r="F175" s="183">
        <f>IF($A$1="BL",0,'Peak Hours'!F175*Peak!L176*IS!$B$2)</f>
        <v>0</v>
      </c>
      <c r="G175" s="183">
        <f>IF($A$1="BL",0,'Peak Hours'!G175*Peak!M176*IS!$B$2)</f>
        <v>0</v>
      </c>
      <c r="H175" s="183">
        <f>IF($A$1="BL",0,'Peak Hours'!H175*Peak!N176*IS!$B$2)</f>
        <v>0</v>
      </c>
      <c r="I175" s="183">
        <f>IF($A$1="BL",0,'Peak Hours'!I175*Peak!O176*IS!$B$2)</f>
        <v>0</v>
      </c>
      <c r="J175" s="183">
        <f>IF($A$1="BL",0,'Peak Hours'!J175*Peak!P176*IS!$B$2)</f>
        <v>0</v>
      </c>
      <c r="K175" s="183">
        <f>IF($A$1="BL",0,'Peak Hours'!K175*Peak!Q176*IS!$B$2)</f>
        <v>0</v>
      </c>
      <c r="L175" s="183">
        <f>IF($A$1="BL",0,'Peak Hours'!L175*Peak!R176*IS!$B$2)</f>
        <v>0</v>
      </c>
      <c r="M175" s="183">
        <f>IF($A$1="BL",0,'Peak Hours'!M175*Peak!S176*IS!$B$2)</f>
        <v>0</v>
      </c>
      <c r="N175" s="183">
        <f>IF($A$1="BL",0,'Peak Hours'!N175*Peak!T176*IS!$B$2)</f>
        <v>0</v>
      </c>
      <c r="O175" s="183">
        <f>IF($A$1="BL",0,'Peak Hours'!O175*Peak!U176*IS!$B$2)</f>
        <v>0</v>
      </c>
      <c r="P175" s="183">
        <f>IF($A$1="BL",0,'Peak Hours'!P175*Peak!V176*IS!$B$2)</f>
        <v>0</v>
      </c>
      <c r="Q175" s="183">
        <f>IF($A$1="BL",0,'Peak Hours'!Q175*Peak!W176*IS!$B$2)</f>
        <v>0</v>
      </c>
      <c r="R175" s="183">
        <f>IF($A$1="BL",0,'Peak Hours'!R175*Peak!X176*IS!$B$2)</f>
        <v>0</v>
      </c>
      <c r="S175" s="183">
        <f>IF($A$1="BL",0,'Peak Hours'!S175*Peak!Y176*IS!$B$2)</f>
        <v>0</v>
      </c>
      <c r="T175" s="183">
        <f>IF($A$1="BL",0,'Peak Hours'!T175*Peak!Z176*IS!$B$2)</f>
        <v>0</v>
      </c>
      <c r="U175" s="183">
        <f>IF($A$1="BL",0,'Peak Hours'!U175*Peak!AA176*IS!$B$2)</f>
        <v>0</v>
      </c>
      <c r="V175" s="213"/>
      <c r="W175" s="211">
        <f>(IF($A$1="BL",0,Peak!C176*'Peak Hours'!V175*IS!$B$2))*-1</f>
        <v>0</v>
      </c>
      <c r="X175" s="213"/>
      <c r="Y175" s="211">
        <f>(IF($A$1="bl",0,Peak!D176*'Peak Hours'!V175*IS!$B$2))*-1</f>
        <v>0</v>
      </c>
      <c r="Z175" s="213"/>
      <c r="AA175" s="211">
        <f>(Peak!E176*'Peak Hours'!V175*IS!$B$2)*-1</f>
        <v>0</v>
      </c>
      <c r="AB175" s="210"/>
      <c r="AC175" s="211">
        <f>(Peak!F176*'Peak Hours'!V175*IS!$B$2)*-1</f>
        <v>0</v>
      </c>
      <c r="AD175" s="210"/>
    </row>
    <row r="176" spans="1:30" x14ac:dyDescent="0.2">
      <c r="A176" s="1">
        <f t="shared" si="2"/>
        <v>41589.222000000213</v>
      </c>
      <c r="B176" s="182">
        <f>IF($A$1="BL",0,'Peak Hours'!B176*Peak!H177*IS!$B$2)</f>
        <v>0</v>
      </c>
      <c r="C176" s="183">
        <f>IF($A$1="BL",0,'Peak Hours'!C176*Peak!I177*IS!$B$2)</f>
        <v>0</v>
      </c>
      <c r="D176" s="183">
        <f>IF($A$1="BL",0,'Peak Hours'!D176*Peak!J177*IS!$B$2)</f>
        <v>0</v>
      </c>
      <c r="E176" s="183">
        <f>IF($A$1="BL",0,'Peak Hours'!E176*Peak!K177*IS!$B$2)</f>
        <v>0</v>
      </c>
      <c r="F176" s="183">
        <f>IF($A$1="BL",0,'Peak Hours'!F176*Peak!L177*IS!$B$2)</f>
        <v>0</v>
      </c>
      <c r="G176" s="183">
        <f>IF($A$1="BL",0,'Peak Hours'!G176*Peak!M177*IS!$B$2)</f>
        <v>0</v>
      </c>
      <c r="H176" s="183">
        <f>IF($A$1="BL",0,'Peak Hours'!H176*Peak!N177*IS!$B$2)</f>
        <v>0</v>
      </c>
      <c r="I176" s="183">
        <f>IF($A$1="BL",0,'Peak Hours'!I176*Peak!O177*IS!$B$2)</f>
        <v>0</v>
      </c>
      <c r="J176" s="183">
        <f>IF($A$1="BL",0,'Peak Hours'!J176*Peak!P177*IS!$B$2)</f>
        <v>0</v>
      </c>
      <c r="K176" s="183">
        <f>IF($A$1="BL",0,'Peak Hours'!K176*Peak!Q177*IS!$B$2)</f>
        <v>0</v>
      </c>
      <c r="L176" s="183">
        <f>IF($A$1="BL",0,'Peak Hours'!L176*Peak!R177*IS!$B$2)</f>
        <v>0</v>
      </c>
      <c r="M176" s="183">
        <f>IF($A$1="BL",0,'Peak Hours'!M176*Peak!S177*IS!$B$2)</f>
        <v>0</v>
      </c>
      <c r="N176" s="183">
        <f>IF($A$1="BL",0,'Peak Hours'!N176*Peak!T177*IS!$B$2)</f>
        <v>0</v>
      </c>
      <c r="O176" s="183">
        <f>IF($A$1="BL",0,'Peak Hours'!O176*Peak!U177*IS!$B$2)</f>
        <v>0</v>
      </c>
      <c r="P176" s="183">
        <f>IF($A$1="BL",0,'Peak Hours'!P176*Peak!V177*IS!$B$2)</f>
        <v>0</v>
      </c>
      <c r="Q176" s="183">
        <f>IF($A$1="BL",0,'Peak Hours'!Q176*Peak!W177*IS!$B$2)</f>
        <v>0</v>
      </c>
      <c r="R176" s="183">
        <f>IF($A$1="BL",0,'Peak Hours'!R176*Peak!X177*IS!$B$2)</f>
        <v>0</v>
      </c>
      <c r="S176" s="183">
        <f>IF($A$1="BL",0,'Peak Hours'!S176*Peak!Y177*IS!$B$2)</f>
        <v>0</v>
      </c>
      <c r="T176" s="183">
        <f>IF($A$1="BL",0,'Peak Hours'!T176*Peak!Z177*IS!$B$2)</f>
        <v>0</v>
      </c>
      <c r="U176" s="183">
        <f>IF($A$1="BL",0,'Peak Hours'!U176*Peak!AA177*IS!$B$2)</f>
        <v>0</v>
      </c>
      <c r="V176" s="213"/>
      <c r="W176" s="211">
        <f>(IF($A$1="BL",0,Peak!C177*'Peak Hours'!V176*IS!$B$2))*-1</f>
        <v>0</v>
      </c>
      <c r="X176" s="213"/>
      <c r="Y176" s="211">
        <f>(IF($A$1="bl",0,Peak!D177*'Peak Hours'!V176*IS!$B$2))*-1</f>
        <v>0</v>
      </c>
      <c r="Z176" s="213"/>
      <c r="AA176" s="211">
        <f>(Peak!E177*'Peak Hours'!V176*IS!$B$2)*-1</f>
        <v>0</v>
      </c>
      <c r="AB176" s="210"/>
      <c r="AC176" s="211">
        <f>(Peak!F177*'Peak Hours'!V176*IS!$B$2)*-1</f>
        <v>0</v>
      </c>
      <c r="AD176" s="210"/>
    </row>
    <row r="177" spans="1:30" x14ac:dyDescent="0.2">
      <c r="A177" s="1">
        <f t="shared" si="2"/>
        <v>41619.639000000214</v>
      </c>
      <c r="B177" s="182">
        <f>IF($A$1="BL",0,'Peak Hours'!B177*Peak!H178*IS!$B$2)</f>
        <v>0</v>
      </c>
      <c r="C177" s="183">
        <f>IF($A$1="BL",0,'Peak Hours'!C177*Peak!I178*IS!$B$2)</f>
        <v>0</v>
      </c>
      <c r="D177" s="183">
        <f>IF($A$1="BL",0,'Peak Hours'!D177*Peak!J178*IS!$B$2)</f>
        <v>0</v>
      </c>
      <c r="E177" s="183">
        <f>IF($A$1="BL",0,'Peak Hours'!E177*Peak!K178*IS!$B$2)</f>
        <v>0</v>
      </c>
      <c r="F177" s="183">
        <f>IF($A$1="BL",0,'Peak Hours'!F177*Peak!L178*IS!$B$2)</f>
        <v>0</v>
      </c>
      <c r="G177" s="183">
        <f>IF($A$1="BL",0,'Peak Hours'!G177*Peak!M178*IS!$B$2)</f>
        <v>0</v>
      </c>
      <c r="H177" s="183">
        <f>IF($A$1="BL",0,'Peak Hours'!H177*Peak!N178*IS!$B$2)</f>
        <v>0</v>
      </c>
      <c r="I177" s="183">
        <f>IF($A$1="BL",0,'Peak Hours'!I177*Peak!O178*IS!$B$2)</f>
        <v>0</v>
      </c>
      <c r="J177" s="183">
        <f>IF($A$1="BL",0,'Peak Hours'!J177*Peak!P178*IS!$B$2)</f>
        <v>0</v>
      </c>
      <c r="K177" s="183">
        <f>IF($A$1="BL",0,'Peak Hours'!K177*Peak!Q178*IS!$B$2)</f>
        <v>0</v>
      </c>
      <c r="L177" s="183">
        <f>IF($A$1="BL",0,'Peak Hours'!L177*Peak!R178*IS!$B$2)</f>
        <v>0</v>
      </c>
      <c r="M177" s="183">
        <f>IF($A$1="BL",0,'Peak Hours'!M177*Peak!S178*IS!$B$2)</f>
        <v>0</v>
      </c>
      <c r="N177" s="183">
        <f>IF($A$1="BL",0,'Peak Hours'!N177*Peak!T178*IS!$B$2)</f>
        <v>0</v>
      </c>
      <c r="O177" s="183">
        <f>IF($A$1="BL",0,'Peak Hours'!O177*Peak!U178*IS!$B$2)</f>
        <v>0</v>
      </c>
      <c r="P177" s="183">
        <f>IF($A$1="BL",0,'Peak Hours'!P177*Peak!V178*IS!$B$2)</f>
        <v>0</v>
      </c>
      <c r="Q177" s="183">
        <f>IF($A$1="BL",0,'Peak Hours'!Q177*Peak!W178*IS!$B$2)</f>
        <v>0</v>
      </c>
      <c r="R177" s="183">
        <f>IF($A$1="BL",0,'Peak Hours'!R177*Peak!X178*IS!$B$2)</f>
        <v>0</v>
      </c>
      <c r="S177" s="183">
        <f>IF($A$1="BL",0,'Peak Hours'!S177*Peak!Y178*IS!$B$2)</f>
        <v>0</v>
      </c>
      <c r="T177" s="183">
        <f>IF($A$1="BL",0,'Peak Hours'!T177*Peak!Z178*IS!$B$2)</f>
        <v>0</v>
      </c>
      <c r="U177" s="183">
        <f>IF($A$1="BL",0,'Peak Hours'!U177*Peak!AA178*IS!$B$2)</f>
        <v>0</v>
      </c>
      <c r="V177" s="214">
        <f>SUM(B166:U177)</f>
        <v>0</v>
      </c>
      <c r="W177" s="211">
        <f>(IF($A$1="BL",0,Peak!C178*'Peak Hours'!V177*IS!$B$2))*-1</f>
        <v>0</v>
      </c>
      <c r="X177" s="214">
        <f>SUM(W166:W177)</f>
        <v>0</v>
      </c>
      <c r="Y177" s="211">
        <f>(IF($A$1="bl",0,Peak!D178*'Peak Hours'!V177*IS!$B$2))*-1</f>
        <v>0</v>
      </c>
      <c r="Z177" s="214">
        <f>SUM(Y166:Y177)</f>
        <v>0</v>
      </c>
      <c r="AA177" s="211">
        <f>(Peak!E178*'Peak Hours'!V177*IS!$B$2)*-1</f>
        <v>0</v>
      </c>
      <c r="AB177" s="211">
        <f>SUM(AA166:AA177)</f>
        <v>0</v>
      </c>
      <c r="AC177" s="211">
        <f>(Peak!F178*'Peak Hours'!V177*IS!$B$2)*-1</f>
        <v>0</v>
      </c>
      <c r="AD177" s="211">
        <f>SUM(AC166:AC177)</f>
        <v>0</v>
      </c>
    </row>
    <row r="178" spans="1:30" x14ac:dyDescent="0.2">
      <c r="A178" s="1">
        <f t="shared" si="2"/>
        <v>41650.056000000215</v>
      </c>
      <c r="B178" s="182">
        <f>IF($A$1="BL",0,'Peak Hours'!B178*Peak!H179*IS!$B$2)</f>
        <v>0</v>
      </c>
      <c r="C178" s="183">
        <f>IF($A$1="BL",0,'Peak Hours'!C178*Peak!I179*IS!$B$2)</f>
        <v>0</v>
      </c>
      <c r="D178" s="183">
        <f>IF($A$1="BL",0,'Peak Hours'!D178*Peak!J179*IS!$B$2)</f>
        <v>0</v>
      </c>
      <c r="E178" s="183">
        <f>IF($A$1="BL",0,'Peak Hours'!E178*Peak!K179*IS!$B$2)</f>
        <v>0</v>
      </c>
      <c r="F178" s="183">
        <f>IF($A$1="BL",0,'Peak Hours'!F178*Peak!L179*IS!$B$2)</f>
        <v>0</v>
      </c>
      <c r="G178" s="183">
        <f>IF($A$1="BL",0,'Peak Hours'!G178*Peak!M179*IS!$B$2)</f>
        <v>0</v>
      </c>
      <c r="H178" s="183">
        <f>IF($A$1="BL",0,'Peak Hours'!H178*Peak!N179*IS!$B$2)</f>
        <v>0</v>
      </c>
      <c r="I178" s="183">
        <f>IF($A$1="BL",0,'Peak Hours'!I178*Peak!O179*IS!$B$2)</f>
        <v>0</v>
      </c>
      <c r="J178" s="183">
        <f>IF($A$1="BL",0,'Peak Hours'!J178*Peak!P179*IS!$B$2)</f>
        <v>0</v>
      </c>
      <c r="K178" s="183">
        <f>IF($A$1="BL",0,'Peak Hours'!K178*Peak!Q179*IS!$B$2)</f>
        <v>0</v>
      </c>
      <c r="L178" s="183">
        <f>IF($A$1="BL",0,'Peak Hours'!L178*Peak!R179*IS!$B$2)</f>
        <v>0</v>
      </c>
      <c r="M178" s="183">
        <f>IF($A$1="BL",0,'Peak Hours'!M178*Peak!S179*IS!$B$2)</f>
        <v>0</v>
      </c>
      <c r="N178" s="183">
        <f>IF($A$1="BL",0,'Peak Hours'!N178*Peak!T179*IS!$B$2)</f>
        <v>0</v>
      </c>
      <c r="O178" s="183">
        <f>IF($A$1="BL",0,'Peak Hours'!O178*Peak!U179*IS!$B$2)</f>
        <v>0</v>
      </c>
      <c r="P178" s="183">
        <f>IF($A$1="BL",0,'Peak Hours'!P178*Peak!V179*IS!$B$2)</f>
        <v>0</v>
      </c>
      <c r="Q178" s="183">
        <f>IF($A$1="BL",0,'Peak Hours'!Q178*Peak!W179*IS!$B$2)</f>
        <v>0</v>
      </c>
      <c r="R178" s="183">
        <f>IF($A$1="BL",0,'Peak Hours'!R178*Peak!X179*IS!$B$2)</f>
        <v>0</v>
      </c>
      <c r="S178" s="183">
        <f>IF($A$1="BL",0,'Peak Hours'!S178*Peak!Y179*IS!$B$2)</f>
        <v>0</v>
      </c>
      <c r="T178" s="183">
        <f>IF($A$1="BL",0,'Peak Hours'!T178*Peak!Z179*IS!$B$2)</f>
        <v>0</v>
      </c>
      <c r="U178" s="183">
        <f>IF($A$1="BL",0,'Peak Hours'!U178*Peak!AA179*IS!$B$2)</f>
        <v>0</v>
      </c>
      <c r="V178" s="213"/>
      <c r="W178" s="211">
        <f>(IF($A$1="BL",0,Peak!C179*'Peak Hours'!V178*IS!$B$2))*-1</f>
        <v>0</v>
      </c>
      <c r="X178" s="213"/>
      <c r="Y178" s="211">
        <f>(IF($A$1="bl",0,Peak!D179*'Peak Hours'!V178*IS!$B$2))*-1</f>
        <v>0</v>
      </c>
      <c r="Z178" s="213"/>
      <c r="AA178" s="211">
        <f>(Peak!E179*'Peak Hours'!V178*IS!$B$2)*-1</f>
        <v>0</v>
      </c>
      <c r="AB178" s="210"/>
      <c r="AC178" s="211">
        <f>(Peak!F179*'Peak Hours'!V178*IS!$B$2)*-1</f>
        <v>0</v>
      </c>
      <c r="AD178" s="210"/>
    </row>
    <row r="179" spans="1:30" x14ac:dyDescent="0.2">
      <c r="A179" s="1">
        <f t="shared" si="2"/>
        <v>41680.473000000216</v>
      </c>
      <c r="B179" s="182">
        <f>IF($A$1="BL",0,'Peak Hours'!B179*Peak!H180*IS!$B$2)</f>
        <v>0</v>
      </c>
      <c r="C179" s="183">
        <f>IF($A$1="BL",0,'Peak Hours'!C179*Peak!I180*IS!$B$2)</f>
        <v>0</v>
      </c>
      <c r="D179" s="183">
        <f>IF($A$1="BL",0,'Peak Hours'!D179*Peak!J180*IS!$B$2)</f>
        <v>0</v>
      </c>
      <c r="E179" s="183">
        <f>IF($A$1="BL",0,'Peak Hours'!E179*Peak!K180*IS!$B$2)</f>
        <v>0</v>
      </c>
      <c r="F179" s="183">
        <f>IF($A$1="BL",0,'Peak Hours'!F179*Peak!L180*IS!$B$2)</f>
        <v>0</v>
      </c>
      <c r="G179" s="183">
        <f>IF($A$1="BL",0,'Peak Hours'!G179*Peak!M180*IS!$B$2)</f>
        <v>0</v>
      </c>
      <c r="H179" s="183">
        <f>IF($A$1="BL",0,'Peak Hours'!H179*Peak!N180*IS!$B$2)</f>
        <v>0</v>
      </c>
      <c r="I179" s="183">
        <f>IF($A$1="BL",0,'Peak Hours'!I179*Peak!O180*IS!$B$2)</f>
        <v>0</v>
      </c>
      <c r="J179" s="183">
        <f>IF($A$1="BL",0,'Peak Hours'!J179*Peak!P180*IS!$B$2)</f>
        <v>0</v>
      </c>
      <c r="K179" s="183">
        <f>IF($A$1="BL",0,'Peak Hours'!K179*Peak!Q180*IS!$B$2)</f>
        <v>0</v>
      </c>
      <c r="L179" s="183">
        <f>IF($A$1="BL",0,'Peak Hours'!L179*Peak!R180*IS!$B$2)</f>
        <v>0</v>
      </c>
      <c r="M179" s="183">
        <f>IF($A$1="BL",0,'Peak Hours'!M179*Peak!S180*IS!$B$2)</f>
        <v>0</v>
      </c>
      <c r="N179" s="183">
        <f>IF($A$1="BL",0,'Peak Hours'!N179*Peak!T180*IS!$B$2)</f>
        <v>0</v>
      </c>
      <c r="O179" s="183">
        <f>IF($A$1="BL",0,'Peak Hours'!O179*Peak!U180*IS!$B$2)</f>
        <v>0</v>
      </c>
      <c r="P179" s="183">
        <f>IF($A$1="BL",0,'Peak Hours'!P179*Peak!V180*IS!$B$2)</f>
        <v>0</v>
      </c>
      <c r="Q179" s="183">
        <f>IF($A$1="BL",0,'Peak Hours'!Q179*Peak!W180*IS!$B$2)</f>
        <v>0</v>
      </c>
      <c r="R179" s="183">
        <f>IF($A$1="BL",0,'Peak Hours'!R179*Peak!X180*IS!$B$2)</f>
        <v>0</v>
      </c>
      <c r="S179" s="183">
        <f>IF($A$1="BL",0,'Peak Hours'!S179*Peak!Y180*IS!$B$2)</f>
        <v>0</v>
      </c>
      <c r="T179" s="183">
        <f>IF($A$1="BL",0,'Peak Hours'!T179*Peak!Z180*IS!$B$2)</f>
        <v>0</v>
      </c>
      <c r="U179" s="183">
        <f>IF($A$1="BL",0,'Peak Hours'!U179*Peak!AA180*IS!$B$2)</f>
        <v>0</v>
      </c>
      <c r="V179" s="213"/>
      <c r="W179" s="211">
        <f>(IF($A$1="BL",0,Peak!C180*'Peak Hours'!V179*IS!$B$2))*-1</f>
        <v>0</v>
      </c>
      <c r="X179" s="213"/>
      <c r="Y179" s="211">
        <f>(IF($A$1="bl",0,Peak!D180*'Peak Hours'!V179*IS!$B$2))*-1</f>
        <v>0</v>
      </c>
      <c r="Z179" s="213"/>
      <c r="AA179" s="211">
        <f>(Peak!E180*'Peak Hours'!V179*IS!$B$2)*-1</f>
        <v>0</v>
      </c>
      <c r="AB179" s="210"/>
      <c r="AC179" s="211">
        <f>(Peak!F180*'Peak Hours'!V179*IS!$B$2)*-1</f>
        <v>0</v>
      </c>
      <c r="AD179" s="210"/>
    </row>
    <row r="180" spans="1:30" x14ac:dyDescent="0.2">
      <c r="A180" s="1">
        <f t="shared" si="2"/>
        <v>41710.890000000218</v>
      </c>
      <c r="B180" s="182">
        <f>IF($A$1="BL",0,'Peak Hours'!B180*Peak!H181*IS!$B$2)</f>
        <v>0</v>
      </c>
      <c r="C180" s="183">
        <f>IF($A$1="BL",0,'Peak Hours'!C180*Peak!I181*IS!$B$2)</f>
        <v>0</v>
      </c>
      <c r="D180" s="183">
        <f>IF($A$1="BL",0,'Peak Hours'!D180*Peak!J181*IS!$B$2)</f>
        <v>0</v>
      </c>
      <c r="E180" s="183">
        <f>IF($A$1="BL",0,'Peak Hours'!E180*Peak!K181*IS!$B$2)</f>
        <v>0</v>
      </c>
      <c r="F180" s="183">
        <f>IF($A$1="BL",0,'Peak Hours'!F180*Peak!L181*IS!$B$2)</f>
        <v>0</v>
      </c>
      <c r="G180" s="183">
        <f>IF($A$1="BL",0,'Peak Hours'!G180*Peak!M181*IS!$B$2)</f>
        <v>0</v>
      </c>
      <c r="H180" s="183">
        <f>IF($A$1="BL",0,'Peak Hours'!H180*Peak!N181*IS!$B$2)</f>
        <v>0</v>
      </c>
      <c r="I180" s="183">
        <f>IF($A$1="BL",0,'Peak Hours'!I180*Peak!O181*IS!$B$2)</f>
        <v>0</v>
      </c>
      <c r="J180" s="183">
        <f>IF($A$1="BL",0,'Peak Hours'!J180*Peak!P181*IS!$B$2)</f>
        <v>0</v>
      </c>
      <c r="K180" s="183">
        <f>IF($A$1="BL",0,'Peak Hours'!K180*Peak!Q181*IS!$B$2)</f>
        <v>0</v>
      </c>
      <c r="L180" s="183">
        <f>IF($A$1="BL",0,'Peak Hours'!L180*Peak!R181*IS!$B$2)</f>
        <v>0</v>
      </c>
      <c r="M180" s="183">
        <f>IF($A$1="BL",0,'Peak Hours'!M180*Peak!S181*IS!$B$2)</f>
        <v>0</v>
      </c>
      <c r="N180" s="183">
        <f>IF($A$1="BL",0,'Peak Hours'!N180*Peak!T181*IS!$B$2)</f>
        <v>0</v>
      </c>
      <c r="O180" s="183">
        <f>IF($A$1="BL",0,'Peak Hours'!O180*Peak!U181*IS!$B$2)</f>
        <v>0</v>
      </c>
      <c r="P180" s="183">
        <f>IF($A$1="BL",0,'Peak Hours'!P180*Peak!V181*IS!$B$2)</f>
        <v>0</v>
      </c>
      <c r="Q180" s="183">
        <f>IF($A$1="BL",0,'Peak Hours'!Q180*Peak!W181*IS!$B$2)</f>
        <v>0</v>
      </c>
      <c r="R180" s="183">
        <f>IF($A$1="BL",0,'Peak Hours'!R180*Peak!X181*IS!$B$2)</f>
        <v>0</v>
      </c>
      <c r="S180" s="183">
        <f>IF($A$1="BL",0,'Peak Hours'!S180*Peak!Y181*IS!$B$2)</f>
        <v>0</v>
      </c>
      <c r="T180" s="183">
        <f>IF($A$1="BL",0,'Peak Hours'!T180*Peak!Z181*IS!$B$2)</f>
        <v>0</v>
      </c>
      <c r="U180" s="183">
        <f>IF($A$1="BL",0,'Peak Hours'!U180*Peak!AA181*IS!$B$2)</f>
        <v>0</v>
      </c>
      <c r="V180" s="213"/>
      <c r="W180" s="211">
        <f>(IF($A$1="BL",0,Peak!C181*'Peak Hours'!V180*IS!$B$2))*-1</f>
        <v>0</v>
      </c>
      <c r="X180" s="213"/>
      <c r="Y180" s="211">
        <f>(IF($A$1="bl",0,Peak!D181*'Peak Hours'!V180*IS!$B$2))*-1</f>
        <v>0</v>
      </c>
      <c r="Z180" s="213"/>
      <c r="AA180" s="211">
        <f>(Peak!E181*'Peak Hours'!V180*IS!$B$2)*-1</f>
        <v>0</v>
      </c>
      <c r="AB180" s="210"/>
      <c r="AC180" s="211">
        <f>(Peak!F181*'Peak Hours'!V180*IS!$B$2)*-1</f>
        <v>0</v>
      </c>
      <c r="AD180" s="210"/>
    </row>
    <row r="181" spans="1:30" x14ac:dyDescent="0.2">
      <c r="A181" s="1">
        <f t="shared" si="2"/>
        <v>41741.307000000219</v>
      </c>
      <c r="B181" s="182">
        <f>IF($A$1="BL",0,'Peak Hours'!B181*Peak!H182*IS!$B$2)</f>
        <v>0</v>
      </c>
      <c r="C181" s="183">
        <f>IF($A$1="BL",0,'Peak Hours'!C181*Peak!I182*IS!$B$2)</f>
        <v>0</v>
      </c>
      <c r="D181" s="183">
        <f>IF($A$1="BL",0,'Peak Hours'!D181*Peak!J182*IS!$B$2)</f>
        <v>0</v>
      </c>
      <c r="E181" s="183">
        <f>IF($A$1="BL",0,'Peak Hours'!E181*Peak!K182*IS!$B$2)</f>
        <v>0</v>
      </c>
      <c r="F181" s="183">
        <f>IF($A$1="BL",0,'Peak Hours'!F181*Peak!L182*IS!$B$2)</f>
        <v>0</v>
      </c>
      <c r="G181" s="183">
        <f>IF($A$1="BL",0,'Peak Hours'!G181*Peak!M182*IS!$B$2)</f>
        <v>0</v>
      </c>
      <c r="H181" s="183">
        <f>IF($A$1="BL",0,'Peak Hours'!H181*Peak!N182*IS!$B$2)</f>
        <v>0</v>
      </c>
      <c r="I181" s="183">
        <f>IF($A$1="BL",0,'Peak Hours'!I181*Peak!O182*IS!$B$2)</f>
        <v>0</v>
      </c>
      <c r="J181" s="183">
        <f>IF($A$1="BL",0,'Peak Hours'!J181*Peak!P182*IS!$B$2)</f>
        <v>0</v>
      </c>
      <c r="K181" s="183">
        <f>IF($A$1="BL",0,'Peak Hours'!K181*Peak!Q182*IS!$B$2)</f>
        <v>0</v>
      </c>
      <c r="L181" s="183">
        <f>IF($A$1="BL",0,'Peak Hours'!L181*Peak!R182*IS!$B$2)</f>
        <v>0</v>
      </c>
      <c r="M181" s="183">
        <f>IF($A$1="BL",0,'Peak Hours'!M181*Peak!S182*IS!$B$2)</f>
        <v>0</v>
      </c>
      <c r="N181" s="183">
        <f>IF($A$1="BL",0,'Peak Hours'!N181*Peak!T182*IS!$B$2)</f>
        <v>0</v>
      </c>
      <c r="O181" s="183">
        <f>IF($A$1="BL",0,'Peak Hours'!O181*Peak!U182*IS!$B$2)</f>
        <v>0</v>
      </c>
      <c r="P181" s="183">
        <f>IF($A$1="BL",0,'Peak Hours'!P181*Peak!V182*IS!$B$2)</f>
        <v>0</v>
      </c>
      <c r="Q181" s="183">
        <f>IF($A$1="BL",0,'Peak Hours'!Q181*Peak!W182*IS!$B$2)</f>
        <v>0</v>
      </c>
      <c r="R181" s="183">
        <f>IF($A$1="BL",0,'Peak Hours'!R181*Peak!X182*IS!$B$2)</f>
        <v>0</v>
      </c>
      <c r="S181" s="183">
        <f>IF($A$1="BL",0,'Peak Hours'!S181*Peak!Y182*IS!$B$2)</f>
        <v>0</v>
      </c>
      <c r="T181" s="183">
        <f>IF($A$1="BL",0,'Peak Hours'!T181*Peak!Z182*IS!$B$2)</f>
        <v>0</v>
      </c>
      <c r="U181" s="183">
        <f>IF($A$1="BL",0,'Peak Hours'!U181*Peak!AA182*IS!$B$2)</f>
        <v>0</v>
      </c>
      <c r="V181" s="213"/>
      <c r="W181" s="211">
        <f>(IF($A$1="BL",0,Peak!C182*'Peak Hours'!V181*IS!$B$2))*-1</f>
        <v>0</v>
      </c>
      <c r="X181" s="213"/>
      <c r="Y181" s="211">
        <f>(IF($A$1="bl",0,Peak!D182*'Peak Hours'!V181*IS!$B$2))*-1</f>
        <v>0</v>
      </c>
      <c r="Z181" s="213"/>
      <c r="AA181" s="211">
        <f>(Peak!E182*'Peak Hours'!V181*IS!$B$2)*-1</f>
        <v>0</v>
      </c>
      <c r="AB181" s="210"/>
      <c r="AC181" s="211">
        <f>(Peak!F182*'Peak Hours'!V181*IS!$B$2)*-1</f>
        <v>0</v>
      </c>
      <c r="AD181" s="210"/>
    </row>
    <row r="182" spans="1:30" x14ac:dyDescent="0.2">
      <c r="A182" s="1">
        <f t="shared" si="2"/>
        <v>41771.72400000022</v>
      </c>
      <c r="B182" s="182">
        <f>IF($A$1="BL",0,'Peak Hours'!B182*Peak!H183*IS!$B$2)</f>
        <v>0</v>
      </c>
      <c r="C182" s="183">
        <f>IF($A$1="BL",0,'Peak Hours'!C182*Peak!I183*IS!$B$2)</f>
        <v>0</v>
      </c>
      <c r="D182" s="183">
        <f>IF($A$1="BL",0,'Peak Hours'!D182*Peak!J183*IS!$B$2)</f>
        <v>0</v>
      </c>
      <c r="E182" s="183">
        <f>IF($A$1="BL",0,'Peak Hours'!E182*Peak!K183*IS!$B$2)</f>
        <v>0</v>
      </c>
      <c r="F182" s="183">
        <f>IF($A$1="BL",0,'Peak Hours'!F182*Peak!L183*IS!$B$2)</f>
        <v>0</v>
      </c>
      <c r="G182" s="183">
        <f>IF($A$1="BL",0,'Peak Hours'!G182*Peak!M183*IS!$B$2)</f>
        <v>0</v>
      </c>
      <c r="H182" s="183">
        <f>IF($A$1="BL",0,'Peak Hours'!H182*Peak!N183*IS!$B$2)</f>
        <v>0</v>
      </c>
      <c r="I182" s="183">
        <f>IF($A$1="BL",0,'Peak Hours'!I182*Peak!O183*IS!$B$2)</f>
        <v>0</v>
      </c>
      <c r="J182" s="183">
        <f>IF($A$1="BL",0,'Peak Hours'!J182*Peak!P183*IS!$B$2)</f>
        <v>0</v>
      </c>
      <c r="K182" s="183">
        <f>IF($A$1="BL",0,'Peak Hours'!K182*Peak!Q183*IS!$B$2)</f>
        <v>0</v>
      </c>
      <c r="L182" s="183">
        <f>IF($A$1="BL",0,'Peak Hours'!L182*Peak!R183*IS!$B$2)</f>
        <v>0</v>
      </c>
      <c r="M182" s="183">
        <f>IF($A$1="BL",0,'Peak Hours'!M182*Peak!S183*IS!$B$2)</f>
        <v>0</v>
      </c>
      <c r="N182" s="183">
        <f>IF($A$1="BL",0,'Peak Hours'!N182*Peak!T183*IS!$B$2)</f>
        <v>0</v>
      </c>
      <c r="O182" s="183">
        <f>IF($A$1="BL",0,'Peak Hours'!O182*Peak!U183*IS!$B$2)</f>
        <v>0</v>
      </c>
      <c r="P182" s="183">
        <f>IF($A$1="BL",0,'Peak Hours'!P182*Peak!V183*IS!$B$2)</f>
        <v>0</v>
      </c>
      <c r="Q182" s="183">
        <f>IF($A$1="BL",0,'Peak Hours'!Q182*Peak!W183*IS!$B$2)</f>
        <v>0</v>
      </c>
      <c r="R182" s="183">
        <f>IF($A$1="BL",0,'Peak Hours'!R182*Peak!X183*IS!$B$2)</f>
        <v>0</v>
      </c>
      <c r="S182" s="183">
        <f>IF($A$1="BL",0,'Peak Hours'!S182*Peak!Y183*IS!$B$2)</f>
        <v>0</v>
      </c>
      <c r="T182" s="183">
        <f>IF($A$1="BL",0,'Peak Hours'!T182*Peak!Z183*IS!$B$2)</f>
        <v>0</v>
      </c>
      <c r="U182" s="183">
        <f>IF($A$1="BL",0,'Peak Hours'!U182*Peak!AA183*IS!$B$2)</f>
        <v>0</v>
      </c>
      <c r="V182" s="213"/>
      <c r="W182" s="211">
        <f>(IF($A$1="BL",0,Peak!C183*'Peak Hours'!V182*IS!$B$2))*-1</f>
        <v>0</v>
      </c>
      <c r="X182" s="213"/>
      <c r="Y182" s="211">
        <f>(IF($A$1="bl",0,Peak!D183*'Peak Hours'!V182*IS!$B$2))*-1</f>
        <v>0</v>
      </c>
      <c r="Z182" s="213"/>
      <c r="AA182" s="211">
        <f>(Peak!E183*'Peak Hours'!V182*IS!$B$2)*-1</f>
        <v>0</v>
      </c>
      <c r="AB182" s="210"/>
      <c r="AC182" s="211">
        <f>(Peak!F183*'Peak Hours'!V182*IS!$B$2)*-1</f>
        <v>0</v>
      </c>
      <c r="AD182" s="210"/>
    </row>
    <row r="183" spans="1:30" x14ac:dyDescent="0.2">
      <c r="A183" s="1">
        <f t="shared" si="2"/>
        <v>41802.141000000222</v>
      </c>
      <c r="B183" s="182">
        <f>IF($A$1="BL",0,'Peak Hours'!B183*Peak!H184*IS!$B$2)</f>
        <v>0</v>
      </c>
      <c r="C183" s="183">
        <f>IF($A$1="BL",0,'Peak Hours'!C183*Peak!I184*IS!$B$2)</f>
        <v>0</v>
      </c>
      <c r="D183" s="183">
        <f>IF($A$1="BL",0,'Peak Hours'!D183*Peak!J184*IS!$B$2)</f>
        <v>0</v>
      </c>
      <c r="E183" s="183">
        <f>IF($A$1="BL",0,'Peak Hours'!E183*Peak!K184*IS!$B$2)</f>
        <v>0</v>
      </c>
      <c r="F183" s="183">
        <f>IF($A$1="BL",0,'Peak Hours'!F183*Peak!L184*IS!$B$2)</f>
        <v>0</v>
      </c>
      <c r="G183" s="183">
        <f>IF($A$1="BL",0,'Peak Hours'!G183*Peak!M184*IS!$B$2)</f>
        <v>0</v>
      </c>
      <c r="H183" s="183">
        <f>IF($A$1="BL",0,'Peak Hours'!H183*Peak!N184*IS!$B$2)</f>
        <v>0</v>
      </c>
      <c r="I183" s="183">
        <f>IF($A$1="BL",0,'Peak Hours'!I183*Peak!O184*IS!$B$2)</f>
        <v>0</v>
      </c>
      <c r="J183" s="183">
        <f>IF($A$1="BL",0,'Peak Hours'!J183*Peak!P184*IS!$B$2)</f>
        <v>0</v>
      </c>
      <c r="K183" s="183">
        <f>IF($A$1="BL",0,'Peak Hours'!K183*Peak!Q184*IS!$B$2)</f>
        <v>0</v>
      </c>
      <c r="L183" s="183">
        <f>IF($A$1="BL",0,'Peak Hours'!L183*Peak!R184*IS!$B$2)</f>
        <v>0</v>
      </c>
      <c r="M183" s="183">
        <f>IF($A$1="BL",0,'Peak Hours'!M183*Peak!S184*IS!$B$2)</f>
        <v>0</v>
      </c>
      <c r="N183" s="183">
        <f>IF($A$1="BL",0,'Peak Hours'!N183*Peak!T184*IS!$B$2)</f>
        <v>0</v>
      </c>
      <c r="O183" s="183">
        <f>IF($A$1="BL",0,'Peak Hours'!O183*Peak!U184*IS!$B$2)</f>
        <v>0</v>
      </c>
      <c r="P183" s="183">
        <f>IF($A$1="BL",0,'Peak Hours'!P183*Peak!V184*IS!$B$2)</f>
        <v>0</v>
      </c>
      <c r="Q183" s="183">
        <f>IF($A$1="BL",0,'Peak Hours'!Q183*Peak!W184*IS!$B$2)</f>
        <v>0</v>
      </c>
      <c r="R183" s="183">
        <f>IF($A$1="BL",0,'Peak Hours'!R183*Peak!X184*IS!$B$2)</f>
        <v>0</v>
      </c>
      <c r="S183" s="183">
        <f>IF($A$1="BL",0,'Peak Hours'!S183*Peak!Y184*IS!$B$2)</f>
        <v>0</v>
      </c>
      <c r="T183" s="183">
        <f>IF($A$1="BL",0,'Peak Hours'!T183*Peak!Z184*IS!$B$2)</f>
        <v>0</v>
      </c>
      <c r="U183" s="183">
        <f>IF($A$1="BL",0,'Peak Hours'!U183*Peak!AA184*IS!$B$2)</f>
        <v>0</v>
      </c>
      <c r="V183" s="213"/>
      <c r="W183" s="211">
        <f>(IF($A$1="BL",0,Peak!C184*'Peak Hours'!V183*IS!$B$2))*-1</f>
        <v>0</v>
      </c>
      <c r="X183" s="213"/>
      <c r="Y183" s="211">
        <f>(IF($A$1="bl",0,Peak!D184*'Peak Hours'!V183*IS!$B$2))*-1</f>
        <v>0</v>
      </c>
      <c r="Z183" s="213"/>
      <c r="AA183" s="211">
        <f>(Peak!E184*'Peak Hours'!V183*IS!$B$2)*-1</f>
        <v>0</v>
      </c>
      <c r="AB183" s="210"/>
      <c r="AC183" s="211">
        <f>(Peak!F184*'Peak Hours'!V183*IS!$B$2)*-1</f>
        <v>0</v>
      </c>
      <c r="AD183" s="210"/>
    </row>
    <row r="184" spans="1:30" x14ac:dyDescent="0.2">
      <c r="A184" s="1">
        <f t="shared" si="2"/>
        <v>41832.558000000223</v>
      </c>
      <c r="B184" s="182">
        <f>IF($A$1="BL",0,'Peak Hours'!B184*Peak!H185*IS!$B$2)</f>
        <v>0</v>
      </c>
      <c r="C184" s="183">
        <f>IF($A$1="BL",0,'Peak Hours'!C184*Peak!I185*IS!$B$2)</f>
        <v>0</v>
      </c>
      <c r="D184" s="183">
        <f>IF($A$1="BL",0,'Peak Hours'!D184*Peak!J185*IS!$B$2)</f>
        <v>0</v>
      </c>
      <c r="E184" s="183">
        <f>IF($A$1="BL",0,'Peak Hours'!E184*Peak!K185*IS!$B$2)</f>
        <v>0</v>
      </c>
      <c r="F184" s="183">
        <f>IF($A$1="BL",0,'Peak Hours'!F184*Peak!L185*IS!$B$2)</f>
        <v>0</v>
      </c>
      <c r="G184" s="183">
        <f>IF($A$1="BL",0,'Peak Hours'!G184*Peak!M185*IS!$B$2)</f>
        <v>0</v>
      </c>
      <c r="H184" s="183">
        <f>IF($A$1="BL",0,'Peak Hours'!H184*Peak!N185*IS!$B$2)</f>
        <v>0</v>
      </c>
      <c r="I184" s="183">
        <f>IF($A$1="BL",0,'Peak Hours'!I184*Peak!O185*IS!$B$2)</f>
        <v>0</v>
      </c>
      <c r="J184" s="183">
        <f>IF($A$1="BL",0,'Peak Hours'!J184*Peak!P185*IS!$B$2)</f>
        <v>0</v>
      </c>
      <c r="K184" s="183">
        <f>IF($A$1="BL",0,'Peak Hours'!K184*Peak!Q185*IS!$B$2)</f>
        <v>0</v>
      </c>
      <c r="L184" s="183">
        <f>IF($A$1="BL",0,'Peak Hours'!L184*Peak!R185*IS!$B$2)</f>
        <v>0</v>
      </c>
      <c r="M184" s="183">
        <f>IF($A$1="BL",0,'Peak Hours'!M184*Peak!S185*IS!$B$2)</f>
        <v>0</v>
      </c>
      <c r="N184" s="183">
        <f>IF($A$1="BL",0,'Peak Hours'!N184*Peak!T185*IS!$B$2)</f>
        <v>0</v>
      </c>
      <c r="O184" s="183">
        <f>IF($A$1="BL",0,'Peak Hours'!O184*Peak!U185*IS!$B$2)</f>
        <v>0</v>
      </c>
      <c r="P184" s="183">
        <f>IF($A$1="BL",0,'Peak Hours'!P184*Peak!V185*IS!$B$2)</f>
        <v>0</v>
      </c>
      <c r="Q184" s="183">
        <f>IF($A$1="BL",0,'Peak Hours'!Q184*Peak!W185*IS!$B$2)</f>
        <v>0</v>
      </c>
      <c r="R184" s="183">
        <f>IF($A$1="BL",0,'Peak Hours'!R184*Peak!X185*IS!$B$2)</f>
        <v>0</v>
      </c>
      <c r="S184" s="183">
        <f>IF($A$1="BL",0,'Peak Hours'!S184*Peak!Y185*IS!$B$2)</f>
        <v>0</v>
      </c>
      <c r="T184" s="183">
        <f>IF($A$1="BL",0,'Peak Hours'!T184*Peak!Z185*IS!$B$2)</f>
        <v>0</v>
      </c>
      <c r="U184" s="183">
        <f>IF($A$1="BL",0,'Peak Hours'!U184*Peak!AA185*IS!$B$2)</f>
        <v>0</v>
      </c>
      <c r="V184" s="213"/>
      <c r="W184" s="211">
        <f>(IF($A$1="BL",0,Peak!C185*'Peak Hours'!V184*IS!$B$2))*-1</f>
        <v>0</v>
      </c>
      <c r="X184" s="213"/>
      <c r="Y184" s="211">
        <f>(IF($A$1="bl",0,Peak!D185*'Peak Hours'!V184*IS!$B$2))*-1</f>
        <v>0</v>
      </c>
      <c r="Z184" s="213"/>
      <c r="AA184" s="211">
        <f>(Peak!E185*'Peak Hours'!V184*IS!$B$2)*-1</f>
        <v>0</v>
      </c>
      <c r="AB184" s="210"/>
      <c r="AC184" s="211">
        <f>(Peak!F185*'Peak Hours'!V184*IS!$B$2)*-1</f>
        <v>0</v>
      </c>
      <c r="AD184" s="210"/>
    </row>
    <row r="185" spans="1:30" x14ac:dyDescent="0.2">
      <c r="A185" s="1">
        <f t="shared" si="2"/>
        <v>41862.975000000224</v>
      </c>
      <c r="B185" s="182">
        <f>IF($A$1="BL",0,'Peak Hours'!B185*Peak!H186*IS!$B$2)</f>
        <v>0</v>
      </c>
      <c r="C185" s="183">
        <f>IF($A$1="BL",0,'Peak Hours'!C185*Peak!I186*IS!$B$2)</f>
        <v>0</v>
      </c>
      <c r="D185" s="183">
        <f>IF($A$1="BL",0,'Peak Hours'!D185*Peak!J186*IS!$B$2)</f>
        <v>0</v>
      </c>
      <c r="E185" s="183">
        <f>IF($A$1="BL",0,'Peak Hours'!E185*Peak!K186*IS!$B$2)</f>
        <v>0</v>
      </c>
      <c r="F185" s="183">
        <f>IF($A$1="BL",0,'Peak Hours'!F185*Peak!L186*IS!$B$2)</f>
        <v>0</v>
      </c>
      <c r="G185" s="183">
        <f>IF($A$1="BL",0,'Peak Hours'!G185*Peak!M186*IS!$B$2)</f>
        <v>0</v>
      </c>
      <c r="H185" s="183">
        <f>IF($A$1="BL",0,'Peak Hours'!H185*Peak!N186*IS!$B$2)</f>
        <v>0</v>
      </c>
      <c r="I185" s="183">
        <f>IF($A$1="BL",0,'Peak Hours'!I185*Peak!O186*IS!$B$2)</f>
        <v>0</v>
      </c>
      <c r="J185" s="183">
        <f>IF($A$1="BL",0,'Peak Hours'!J185*Peak!P186*IS!$B$2)</f>
        <v>0</v>
      </c>
      <c r="K185" s="183">
        <f>IF($A$1="BL",0,'Peak Hours'!K185*Peak!Q186*IS!$B$2)</f>
        <v>0</v>
      </c>
      <c r="L185" s="183">
        <f>IF($A$1="BL",0,'Peak Hours'!L185*Peak!R186*IS!$B$2)</f>
        <v>0</v>
      </c>
      <c r="M185" s="183">
        <f>IF($A$1="BL",0,'Peak Hours'!M185*Peak!S186*IS!$B$2)</f>
        <v>0</v>
      </c>
      <c r="N185" s="183">
        <f>IF($A$1="BL",0,'Peak Hours'!N185*Peak!T186*IS!$B$2)</f>
        <v>0</v>
      </c>
      <c r="O185" s="183">
        <f>IF($A$1="BL",0,'Peak Hours'!O185*Peak!U186*IS!$B$2)</f>
        <v>0</v>
      </c>
      <c r="P185" s="183">
        <f>IF($A$1="BL",0,'Peak Hours'!P185*Peak!V186*IS!$B$2)</f>
        <v>0</v>
      </c>
      <c r="Q185" s="183">
        <f>IF($A$1="BL",0,'Peak Hours'!Q185*Peak!W186*IS!$B$2)</f>
        <v>0</v>
      </c>
      <c r="R185" s="183">
        <f>IF($A$1="BL",0,'Peak Hours'!R185*Peak!X186*IS!$B$2)</f>
        <v>0</v>
      </c>
      <c r="S185" s="183">
        <f>IF($A$1="BL",0,'Peak Hours'!S185*Peak!Y186*IS!$B$2)</f>
        <v>0</v>
      </c>
      <c r="T185" s="183">
        <f>IF($A$1="BL",0,'Peak Hours'!T185*Peak!Z186*IS!$B$2)</f>
        <v>0</v>
      </c>
      <c r="U185" s="183">
        <f>IF($A$1="BL",0,'Peak Hours'!U185*Peak!AA186*IS!$B$2)</f>
        <v>0</v>
      </c>
      <c r="V185" s="213"/>
      <c r="W185" s="211">
        <f>(IF($A$1="BL",0,Peak!C186*'Peak Hours'!V185*IS!$B$2))*-1</f>
        <v>0</v>
      </c>
      <c r="X185" s="213"/>
      <c r="Y185" s="211">
        <f>(IF($A$1="bl",0,Peak!D186*'Peak Hours'!V185*IS!$B$2))*-1</f>
        <v>0</v>
      </c>
      <c r="Z185" s="213"/>
      <c r="AA185" s="211">
        <f>(Peak!E186*'Peak Hours'!V185*IS!$B$2)*-1</f>
        <v>0</v>
      </c>
      <c r="AB185" s="210"/>
      <c r="AC185" s="211">
        <f>(Peak!F186*'Peak Hours'!V185*IS!$B$2)*-1</f>
        <v>0</v>
      </c>
      <c r="AD185" s="210"/>
    </row>
    <row r="186" spans="1:30" x14ac:dyDescent="0.2">
      <c r="A186" s="1">
        <f t="shared" si="2"/>
        <v>41893.392000000225</v>
      </c>
      <c r="B186" s="182">
        <f>IF($A$1="BL",0,'Peak Hours'!B186*Peak!H187*IS!$B$2)</f>
        <v>0</v>
      </c>
      <c r="C186" s="183">
        <f>IF($A$1="BL",0,'Peak Hours'!C186*Peak!I187*IS!$B$2)</f>
        <v>0</v>
      </c>
      <c r="D186" s="183">
        <f>IF($A$1="BL",0,'Peak Hours'!D186*Peak!J187*IS!$B$2)</f>
        <v>0</v>
      </c>
      <c r="E186" s="183">
        <f>IF($A$1="BL",0,'Peak Hours'!E186*Peak!K187*IS!$B$2)</f>
        <v>0</v>
      </c>
      <c r="F186" s="183">
        <f>IF($A$1="BL",0,'Peak Hours'!F186*Peak!L187*IS!$B$2)</f>
        <v>0</v>
      </c>
      <c r="G186" s="183">
        <f>IF($A$1="BL",0,'Peak Hours'!G186*Peak!M187*IS!$B$2)</f>
        <v>0</v>
      </c>
      <c r="H186" s="183">
        <f>IF($A$1="BL",0,'Peak Hours'!H186*Peak!N187*IS!$B$2)</f>
        <v>0</v>
      </c>
      <c r="I186" s="183">
        <f>IF($A$1="BL",0,'Peak Hours'!I186*Peak!O187*IS!$B$2)</f>
        <v>0</v>
      </c>
      <c r="J186" s="183">
        <f>IF($A$1="BL",0,'Peak Hours'!J186*Peak!P187*IS!$B$2)</f>
        <v>0</v>
      </c>
      <c r="K186" s="183">
        <f>IF($A$1="BL",0,'Peak Hours'!K186*Peak!Q187*IS!$B$2)</f>
        <v>0</v>
      </c>
      <c r="L186" s="183">
        <f>IF($A$1="BL",0,'Peak Hours'!L186*Peak!R187*IS!$B$2)</f>
        <v>0</v>
      </c>
      <c r="M186" s="183">
        <f>IF($A$1="BL",0,'Peak Hours'!M186*Peak!S187*IS!$B$2)</f>
        <v>0</v>
      </c>
      <c r="N186" s="183">
        <f>IF($A$1="BL",0,'Peak Hours'!N186*Peak!T187*IS!$B$2)</f>
        <v>0</v>
      </c>
      <c r="O186" s="183">
        <f>IF($A$1="BL",0,'Peak Hours'!O186*Peak!U187*IS!$B$2)</f>
        <v>0</v>
      </c>
      <c r="P186" s="183">
        <f>IF($A$1="BL",0,'Peak Hours'!P186*Peak!V187*IS!$B$2)</f>
        <v>0</v>
      </c>
      <c r="Q186" s="183">
        <f>IF($A$1="BL",0,'Peak Hours'!Q186*Peak!W187*IS!$B$2)</f>
        <v>0</v>
      </c>
      <c r="R186" s="183">
        <f>IF($A$1="BL",0,'Peak Hours'!R186*Peak!X187*IS!$B$2)</f>
        <v>0</v>
      </c>
      <c r="S186" s="183">
        <f>IF($A$1="BL",0,'Peak Hours'!S186*Peak!Y187*IS!$B$2)</f>
        <v>0</v>
      </c>
      <c r="T186" s="183">
        <f>IF($A$1="BL",0,'Peak Hours'!T186*Peak!Z187*IS!$B$2)</f>
        <v>0</v>
      </c>
      <c r="U186" s="183">
        <f>IF($A$1="BL",0,'Peak Hours'!U186*Peak!AA187*IS!$B$2)</f>
        <v>0</v>
      </c>
      <c r="V186" s="213"/>
      <c r="W186" s="211">
        <f>(IF($A$1="BL",0,Peak!C187*'Peak Hours'!V186*IS!$B$2))*-1</f>
        <v>0</v>
      </c>
      <c r="X186" s="213"/>
      <c r="Y186" s="211">
        <f>(IF($A$1="bl",0,Peak!D187*'Peak Hours'!V186*IS!$B$2))*-1</f>
        <v>0</v>
      </c>
      <c r="Z186" s="213"/>
      <c r="AA186" s="211">
        <f>(Peak!E187*'Peak Hours'!V186*IS!$B$2)*-1</f>
        <v>0</v>
      </c>
      <c r="AB186" s="210"/>
      <c r="AC186" s="211">
        <f>(Peak!F187*'Peak Hours'!V186*IS!$B$2)*-1</f>
        <v>0</v>
      </c>
      <c r="AD186" s="210"/>
    </row>
    <row r="187" spans="1:30" x14ac:dyDescent="0.2">
      <c r="A187" s="1">
        <f t="shared" si="2"/>
        <v>41923.809000000227</v>
      </c>
      <c r="B187" s="182">
        <f>IF($A$1="BL",0,'Peak Hours'!B187*Peak!H188*IS!$B$2)</f>
        <v>0</v>
      </c>
      <c r="C187" s="183">
        <f>IF($A$1="BL",0,'Peak Hours'!C187*Peak!I188*IS!$B$2)</f>
        <v>0</v>
      </c>
      <c r="D187" s="183">
        <f>IF($A$1="BL",0,'Peak Hours'!D187*Peak!J188*IS!$B$2)</f>
        <v>0</v>
      </c>
      <c r="E187" s="183">
        <f>IF($A$1="BL",0,'Peak Hours'!E187*Peak!K188*IS!$B$2)</f>
        <v>0</v>
      </c>
      <c r="F187" s="183">
        <f>IF($A$1="BL",0,'Peak Hours'!F187*Peak!L188*IS!$B$2)</f>
        <v>0</v>
      </c>
      <c r="G187" s="183">
        <f>IF($A$1="BL",0,'Peak Hours'!G187*Peak!M188*IS!$B$2)</f>
        <v>0</v>
      </c>
      <c r="H187" s="183">
        <f>IF($A$1="BL",0,'Peak Hours'!H187*Peak!N188*IS!$B$2)</f>
        <v>0</v>
      </c>
      <c r="I187" s="183">
        <f>IF($A$1="BL",0,'Peak Hours'!I187*Peak!O188*IS!$B$2)</f>
        <v>0</v>
      </c>
      <c r="J187" s="183">
        <f>IF($A$1="BL",0,'Peak Hours'!J187*Peak!P188*IS!$B$2)</f>
        <v>0</v>
      </c>
      <c r="K187" s="183">
        <f>IF($A$1="BL",0,'Peak Hours'!K187*Peak!Q188*IS!$B$2)</f>
        <v>0</v>
      </c>
      <c r="L187" s="183">
        <f>IF($A$1="BL",0,'Peak Hours'!L187*Peak!R188*IS!$B$2)</f>
        <v>0</v>
      </c>
      <c r="M187" s="183">
        <f>IF($A$1="BL",0,'Peak Hours'!M187*Peak!S188*IS!$B$2)</f>
        <v>0</v>
      </c>
      <c r="N187" s="183">
        <f>IF($A$1="BL",0,'Peak Hours'!N187*Peak!T188*IS!$B$2)</f>
        <v>0</v>
      </c>
      <c r="O187" s="183">
        <f>IF($A$1="BL",0,'Peak Hours'!O187*Peak!U188*IS!$B$2)</f>
        <v>0</v>
      </c>
      <c r="P187" s="183">
        <f>IF($A$1="BL",0,'Peak Hours'!P187*Peak!V188*IS!$B$2)</f>
        <v>0</v>
      </c>
      <c r="Q187" s="183">
        <f>IF($A$1="BL",0,'Peak Hours'!Q187*Peak!W188*IS!$B$2)</f>
        <v>0</v>
      </c>
      <c r="R187" s="183">
        <f>IF($A$1="BL",0,'Peak Hours'!R187*Peak!X188*IS!$B$2)</f>
        <v>0</v>
      </c>
      <c r="S187" s="183">
        <f>IF($A$1="BL",0,'Peak Hours'!S187*Peak!Y188*IS!$B$2)</f>
        <v>0</v>
      </c>
      <c r="T187" s="183">
        <f>IF($A$1="BL",0,'Peak Hours'!T187*Peak!Z188*IS!$B$2)</f>
        <v>0</v>
      </c>
      <c r="U187" s="183">
        <f>IF($A$1="BL",0,'Peak Hours'!U187*Peak!AA188*IS!$B$2)</f>
        <v>0</v>
      </c>
      <c r="V187" s="213"/>
      <c r="W187" s="211">
        <f>(IF($A$1="BL",0,Peak!C188*'Peak Hours'!V187*IS!$B$2))*-1</f>
        <v>0</v>
      </c>
      <c r="X187" s="213"/>
      <c r="Y187" s="211">
        <f>(IF($A$1="bl",0,Peak!D188*'Peak Hours'!V187*IS!$B$2))*-1</f>
        <v>0</v>
      </c>
      <c r="Z187" s="213"/>
      <c r="AA187" s="211">
        <f>(Peak!E188*'Peak Hours'!V187*IS!$B$2)*-1</f>
        <v>0</v>
      </c>
      <c r="AB187" s="210"/>
      <c r="AC187" s="211">
        <f>(Peak!F188*'Peak Hours'!V187*IS!$B$2)*-1</f>
        <v>0</v>
      </c>
      <c r="AD187" s="210"/>
    </row>
    <row r="188" spans="1:30" x14ac:dyDescent="0.2">
      <c r="A188" s="1">
        <f t="shared" si="2"/>
        <v>41954.226000000228</v>
      </c>
      <c r="B188" s="182">
        <f>IF($A$1="BL",0,'Peak Hours'!B188*Peak!H189*IS!$B$2)</f>
        <v>0</v>
      </c>
      <c r="C188" s="183">
        <f>IF($A$1="BL",0,'Peak Hours'!C188*Peak!I189*IS!$B$2)</f>
        <v>0</v>
      </c>
      <c r="D188" s="183">
        <f>IF($A$1="BL",0,'Peak Hours'!D188*Peak!J189*IS!$B$2)</f>
        <v>0</v>
      </c>
      <c r="E188" s="183">
        <f>IF($A$1="BL",0,'Peak Hours'!E188*Peak!K189*IS!$B$2)</f>
        <v>0</v>
      </c>
      <c r="F188" s="183">
        <f>IF($A$1="BL",0,'Peak Hours'!F188*Peak!L189*IS!$B$2)</f>
        <v>0</v>
      </c>
      <c r="G188" s="183">
        <f>IF($A$1="BL",0,'Peak Hours'!G188*Peak!M189*IS!$B$2)</f>
        <v>0</v>
      </c>
      <c r="H188" s="183">
        <f>IF($A$1="BL",0,'Peak Hours'!H188*Peak!N189*IS!$B$2)</f>
        <v>0</v>
      </c>
      <c r="I188" s="183">
        <f>IF($A$1="BL",0,'Peak Hours'!I188*Peak!O189*IS!$B$2)</f>
        <v>0</v>
      </c>
      <c r="J188" s="183">
        <f>IF($A$1="BL",0,'Peak Hours'!J188*Peak!P189*IS!$B$2)</f>
        <v>0</v>
      </c>
      <c r="K188" s="183">
        <f>IF($A$1="BL",0,'Peak Hours'!K188*Peak!Q189*IS!$B$2)</f>
        <v>0</v>
      </c>
      <c r="L188" s="183">
        <f>IF($A$1="BL",0,'Peak Hours'!L188*Peak!R189*IS!$B$2)</f>
        <v>0</v>
      </c>
      <c r="M188" s="183">
        <f>IF($A$1="BL",0,'Peak Hours'!M188*Peak!S189*IS!$B$2)</f>
        <v>0</v>
      </c>
      <c r="N188" s="183">
        <f>IF($A$1="BL",0,'Peak Hours'!N188*Peak!T189*IS!$B$2)</f>
        <v>0</v>
      </c>
      <c r="O188" s="183">
        <f>IF($A$1="BL",0,'Peak Hours'!O188*Peak!U189*IS!$B$2)</f>
        <v>0</v>
      </c>
      <c r="P188" s="183">
        <f>IF($A$1="BL",0,'Peak Hours'!P188*Peak!V189*IS!$B$2)</f>
        <v>0</v>
      </c>
      <c r="Q188" s="183">
        <f>IF($A$1="BL",0,'Peak Hours'!Q188*Peak!W189*IS!$B$2)</f>
        <v>0</v>
      </c>
      <c r="R188" s="183">
        <f>IF($A$1="BL",0,'Peak Hours'!R188*Peak!X189*IS!$B$2)</f>
        <v>0</v>
      </c>
      <c r="S188" s="183">
        <f>IF($A$1="BL",0,'Peak Hours'!S188*Peak!Y189*IS!$B$2)</f>
        <v>0</v>
      </c>
      <c r="T188" s="183">
        <f>IF($A$1="BL",0,'Peak Hours'!T188*Peak!Z189*IS!$B$2)</f>
        <v>0</v>
      </c>
      <c r="U188" s="183">
        <f>IF($A$1="BL",0,'Peak Hours'!U188*Peak!AA189*IS!$B$2)</f>
        <v>0</v>
      </c>
      <c r="V188" s="213"/>
      <c r="W188" s="211">
        <f>(IF($A$1="BL",0,Peak!C189*'Peak Hours'!V188*IS!$B$2))*-1</f>
        <v>0</v>
      </c>
      <c r="X188" s="213"/>
      <c r="Y188" s="211">
        <f>(IF($A$1="bl",0,Peak!D189*'Peak Hours'!V188*IS!$B$2))*-1</f>
        <v>0</v>
      </c>
      <c r="Z188" s="213"/>
      <c r="AA188" s="211">
        <f>(Peak!E189*'Peak Hours'!V188*IS!$B$2)*-1</f>
        <v>0</v>
      </c>
      <c r="AB188" s="210"/>
      <c r="AC188" s="211">
        <f>(Peak!F189*'Peak Hours'!V188*IS!$B$2)*-1</f>
        <v>0</v>
      </c>
      <c r="AD188" s="210"/>
    </row>
    <row r="189" spans="1:30" x14ac:dyDescent="0.2">
      <c r="A189" s="1">
        <f t="shared" si="2"/>
        <v>41984.643000000229</v>
      </c>
      <c r="B189" s="182">
        <f>IF($A$1="BL",0,'Peak Hours'!B189*Peak!H190*IS!$B$2)</f>
        <v>0</v>
      </c>
      <c r="C189" s="183">
        <f>IF($A$1="BL",0,'Peak Hours'!C189*Peak!I190*IS!$B$2)</f>
        <v>0</v>
      </c>
      <c r="D189" s="183">
        <f>IF($A$1="BL",0,'Peak Hours'!D189*Peak!J190*IS!$B$2)</f>
        <v>0</v>
      </c>
      <c r="E189" s="183">
        <f>IF($A$1="BL",0,'Peak Hours'!E189*Peak!K190*IS!$B$2)</f>
        <v>0</v>
      </c>
      <c r="F189" s="183">
        <f>IF($A$1="BL",0,'Peak Hours'!F189*Peak!L190*IS!$B$2)</f>
        <v>0</v>
      </c>
      <c r="G189" s="183">
        <f>IF($A$1="BL",0,'Peak Hours'!G189*Peak!M190*IS!$B$2)</f>
        <v>0</v>
      </c>
      <c r="H189" s="183">
        <f>IF($A$1="BL",0,'Peak Hours'!H189*Peak!N190*IS!$B$2)</f>
        <v>0</v>
      </c>
      <c r="I189" s="183">
        <f>IF($A$1="BL",0,'Peak Hours'!I189*Peak!O190*IS!$B$2)</f>
        <v>0</v>
      </c>
      <c r="J189" s="183">
        <f>IF($A$1="BL",0,'Peak Hours'!J189*Peak!P190*IS!$B$2)</f>
        <v>0</v>
      </c>
      <c r="K189" s="183">
        <f>IF($A$1="BL",0,'Peak Hours'!K189*Peak!Q190*IS!$B$2)</f>
        <v>0</v>
      </c>
      <c r="L189" s="183">
        <f>IF($A$1="BL",0,'Peak Hours'!L189*Peak!R190*IS!$B$2)</f>
        <v>0</v>
      </c>
      <c r="M189" s="183">
        <f>IF($A$1="BL",0,'Peak Hours'!M189*Peak!S190*IS!$B$2)</f>
        <v>0</v>
      </c>
      <c r="N189" s="183">
        <f>IF($A$1="BL",0,'Peak Hours'!N189*Peak!T190*IS!$B$2)</f>
        <v>0</v>
      </c>
      <c r="O189" s="183">
        <f>IF($A$1="BL",0,'Peak Hours'!O189*Peak!U190*IS!$B$2)</f>
        <v>0</v>
      </c>
      <c r="P189" s="183">
        <f>IF($A$1="BL",0,'Peak Hours'!P189*Peak!V190*IS!$B$2)</f>
        <v>0</v>
      </c>
      <c r="Q189" s="183">
        <f>IF($A$1="BL",0,'Peak Hours'!Q189*Peak!W190*IS!$B$2)</f>
        <v>0</v>
      </c>
      <c r="R189" s="183">
        <f>IF($A$1="BL",0,'Peak Hours'!R189*Peak!X190*IS!$B$2)</f>
        <v>0</v>
      </c>
      <c r="S189" s="183">
        <f>IF($A$1="BL",0,'Peak Hours'!S189*Peak!Y190*IS!$B$2)</f>
        <v>0</v>
      </c>
      <c r="T189" s="183">
        <f>IF($A$1="BL",0,'Peak Hours'!T189*Peak!Z190*IS!$B$2)</f>
        <v>0</v>
      </c>
      <c r="U189" s="183">
        <f>IF($A$1="BL",0,'Peak Hours'!U189*Peak!AA190*IS!$B$2)</f>
        <v>0</v>
      </c>
      <c r="V189" s="214">
        <f>SUM(B178:U189)</f>
        <v>0</v>
      </c>
      <c r="W189" s="211">
        <f>(IF($A$1="BL",0,Peak!C190*'Peak Hours'!V189*IS!$B$2))*-1</f>
        <v>0</v>
      </c>
      <c r="X189" s="214">
        <f>SUM(W178:W189)</f>
        <v>0</v>
      </c>
      <c r="Y189" s="211">
        <f>(IF($A$1="bl",0,Peak!D190*'Peak Hours'!V189*IS!$B$2))*-1</f>
        <v>0</v>
      </c>
      <c r="Z189" s="214">
        <f>SUM(Y178:Y189)</f>
        <v>0</v>
      </c>
      <c r="AA189" s="211">
        <f>(Peak!E190*'Peak Hours'!V189*IS!$B$2)*-1</f>
        <v>0</v>
      </c>
      <c r="AB189" s="211">
        <f>SUM(AA178:AA189)</f>
        <v>0</v>
      </c>
      <c r="AC189" s="211">
        <f>(Peak!F190*'Peak Hours'!V189*IS!$B$2)*-1</f>
        <v>0</v>
      </c>
      <c r="AD189" s="211">
        <f>SUM(AC178:AC189)</f>
        <v>0</v>
      </c>
    </row>
    <row r="190" spans="1:30" x14ac:dyDescent="0.2">
      <c r="A190" s="1">
        <f t="shared" si="2"/>
        <v>42015.060000000231</v>
      </c>
      <c r="B190" s="182">
        <f>IF($A$1="BL",0,'Peak Hours'!B190*Peak!H191*IS!$B$2)</f>
        <v>0</v>
      </c>
      <c r="C190" s="183">
        <f>IF($A$1="BL",0,'Peak Hours'!C190*Peak!I191*IS!$B$2)</f>
        <v>0</v>
      </c>
      <c r="D190" s="183">
        <f>IF($A$1="BL",0,'Peak Hours'!D190*Peak!J191*IS!$B$2)</f>
        <v>0</v>
      </c>
      <c r="E190" s="183">
        <f>IF($A$1="BL",0,'Peak Hours'!E190*Peak!K191*IS!$B$2)</f>
        <v>0</v>
      </c>
      <c r="F190" s="183">
        <f>IF($A$1="BL",0,'Peak Hours'!F190*Peak!L191*IS!$B$2)</f>
        <v>0</v>
      </c>
      <c r="G190" s="183">
        <f>IF($A$1="BL",0,'Peak Hours'!G190*Peak!M191*IS!$B$2)</f>
        <v>0</v>
      </c>
      <c r="H190" s="183">
        <f>IF($A$1="BL",0,'Peak Hours'!H190*Peak!N191*IS!$B$2)</f>
        <v>0</v>
      </c>
      <c r="I190" s="183">
        <f>IF($A$1="BL",0,'Peak Hours'!I190*Peak!O191*IS!$B$2)</f>
        <v>0</v>
      </c>
      <c r="J190" s="183">
        <f>IF($A$1="BL",0,'Peak Hours'!J190*Peak!P191*IS!$B$2)</f>
        <v>0</v>
      </c>
      <c r="K190" s="183">
        <f>IF($A$1="BL",0,'Peak Hours'!K190*Peak!Q191*IS!$B$2)</f>
        <v>0</v>
      </c>
      <c r="L190" s="183">
        <f>IF($A$1="BL",0,'Peak Hours'!L190*Peak!R191*IS!$B$2)</f>
        <v>0</v>
      </c>
      <c r="M190" s="183">
        <f>IF($A$1="BL",0,'Peak Hours'!M190*Peak!S191*IS!$B$2)</f>
        <v>0</v>
      </c>
      <c r="N190" s="183">
        <f>IF($A$1="BL",0,'Peak Hours'!N190*Peak!T191*IS!$B$2)</f>
        <v>0</v>
      </c>
      <c r="O190" s="183">
        <f>IF($A$1="BL",0,'Peak Hours'!O190*Peak!U191*IS!$B$2)</f>
        <v>0</v>
      </c>
      <c r="P190" s="183">
        <f>IF($A$1="BL",0,'Peak Hours'!P190*Peak!V191*IS!$B$2)</f>
        <v>0</v>
      </c>
      <c r="Q190" s="183">
        <f>IF($A$1="BL",0,'Peak Hours'!Q190*Peak!W191*IS!$B$2)</f>
        <v>0</v>
      </c>
      <c r="R190" s="183">
        <f>IF($A$1="BL",0,'Peak Hours'!R190*Peak!X191*IS!$B$2)</f>
        <v>0</v>
      </c>
      <c r="S190" s="183">
        <f>IF($A$1="BL",0,'Peak Hours'!S190*Peak!Y191*IS!$B$2)</f>
        <v>0</v>
      </c>
      <c r="T190" s="183">
        <f>IF($A$1="BL",0,'Peak Hours'!T190*Peak!Z191*IS!$B$2)</f>
        <v>0</v>
      </c>
      <c r="U190" s="183">
        <f>IF($A$1="BL",0,'Peak Hours'!U190*Peak!AA191*IS!$B$2)</f>
        <v>0</v>
      </c>
      <c r="V190" s="213"/>
      <c r="W190" s="211">
        <f>(IF($A$1="BL",0,Peak!C191*'Peak Hours'!V190*IS!$B$2))*-1</f>
        <v>0</v>
      </c>
      <c r="X190" s="213"/>
      <c r="Y190" s="211">
        <f>(IF($A$1="bl",0,Peak!D191*'Peak Hours'!V190*IS!$B$2))*-1</f>
        <v>0</v>
      </c>
      <c r="Z190" s="213"/>
      <c r="AA190" s="211">
        <f>(Peak!E191*'Peak Hours'!V190*IS!$B$2)*-1</f>
        <v>0</v>
      </c>
      <c r="AB190" s="210"/>
      <c r="AC190" s="211">
        <f>(Peak!F191*'Peak Hours'!V190*IS!$B$2)*-1</f>
        <v>0</v>
      </c>
      <c r="AD190" s="210"/>
    </row>
    <row r="191" spans="1:30" x14ac:dyDescent="0.2">
      <c r="A191" s="1">
        <f t="shared" si="2"/>
        <v>42045.477000000232</v>
      </c>
      <c r="B191" s="182">
        <f>IF($A$1="BL",0,'Peak Hours'!B191*Peak!H192*IS!$B$2)</f>
        <v>0</v>
      </c>
      <c r="C191" s="183">
        <f>IF($A$1="BL",0,'Peak Hours'!C191*Peak!I192*IS!$B$2)</f>
        <v>0</v>
      </c>
      <c r="D191" s="183">
        <f>IF($A$1="BL",0,'Peak Hours'!D191*Peak!J192*IS!$B$2)</f>
        <v>0</v>
      </c>
      <c r="E191" s="183">
        <f>IF($A$1="BL",0,'Peak Hours'!E191*Peak!K192*IS!$B$2)</f>
        <v>0</v>
      </c>
      <c r="F191" s="183">
        <f>IF($A$1="BL",0,'Peak Hours'!F191*Peak!L192*IS!$B$2)</f>
        <v>0</v>
      </c>
      <c r="G191" s="183">
        <f>IF($A$1="BL",0,'Peak Hours'!G191*Peak!M192*IS!$B$2)</f>
        <v>0</v>
      </c>
      <c r="H191" s="183">
        <f>IF($A$1="BL",0,'Peak Hours'!H191*Peak!N192*IS!$B$2)</f>
        <v>0</v>
      </c>
      <c r="I191" s="183">
        <f>IF($A$1="BL",0,'Peak Hours'!I191*Peak!O192*IS!$B$2)</f>
        <v>0</v>
      </c>
      <c r="J191" s="183">
        <f>IF($A$1="BL",0,'Peak Hours'!J191*Peak!P192*IS!$B$2)</f>
        <v>0</v>
      </c>
      <c r="K191" s="183">
        <f>IF($A$1="BL",0,'Peak Hours'!K191*Peak!Q192*IS!$B$2)</f>
        <v>0</v>
      </c>
      <c r="L191" s="183">
        <f>IF($A$1="BL",0,'Peak Hours'!L191*Peak!R192*IS!$B$2)</f>
        <v>0</v>
      </c>
      <c r="M191" s="183">
        <f>IF($A$1="BL",0,'Peak Hours'!M191*Peak!S192*IS!$B$2)</f>
        <v>0</v>
      </c>
      <c r="N191" s="183">
        <f>IF($A$1="BL",0,'Peak Hours'!N191*Peak!T192*IS!$B$2)</f>
        <v>0</v>
      </c>
      <c r="O191" s="183">
        <f>IF($A$1="BL",0,'Peak Hours'!O191*Peak!U192*IS!$B$2)</f>
        <v>0</v>
      </c>
      <c r="P191" s="183">
        <f>IF($A$1="BL",0,'Peak Hours'!P191*Peak!V192*IS!$B$2)</f>
        <v>0</v>
      </c>
      <c r="Q191" s="183">
        <f>IF($A$1="BL",0,'Peak Hours'!Q191*Peak!W192*IS!$B$2)</f>
        <v>0</v>
      </c>
      <c r="R191" s="183">
        <f>IF($A$1="BL",0,'Peak Hours'!R191*Peak!X192*IS!$B$2)</f>
        <v>0</v>
      </c>
      <c r="S191" s="183">
        <f>IF($A$1="BL",0,'Peak Hours'!S191*Peak!Y192*IS!$B$2)</f>
        <v>0</v>
      </c>
      <c r="T191" s="183">
        <f>IF($A$1="BL",0,'Peak Hours'!T191*Peak!Z192*IS!$B$2)</f>
        <v>0</v>
      </c>
      <c r="U191" s="183">
        <f>IF($A$1="BL",0,'Peak Hours'!U191*Peak!AA192*IS!$B$2)</f>
        <v>0</v>
      </c>
      <c r="V191" s="213"/>
      <c r="W191" s="211">
        <f>(IF($A$1="BL",0,Peak!C192*'Peak Hours'!V191*IS!$B$2))*-1</f>
        <v>0</v>
      </c>
      <c r="X191" s="213"/>
      <c r="Y191" s="211">
        <f>(IF($A$1="bl",0,Peak!D192*'Peak Hours'!V191*IS!$B$2))*-1</f>
        <v>0</v>
      </c>
      <c r="Z191" s="213"/>
      <c r="AA191" s="211">
        <f>(Peak!E192*'Peak Hours'!V191*IS!$B$2)*-1</f>
        <v>0</v>
      </c>
      <c r="AB191" s="210"/>
      <c r="AC191" s="211">
        <f>(Peak!F192*'Peak Hours'!V191*IS!$B$2)*-1</f>
        <v>0</v>
      </c>
      <c r="AD191" s="210"/>
    </row>
    <row r="192" spans="1:30" x14ac:dyDescent="0.2">
      <c r="A192" s="1">
        <f t="shared" si="2"/>
        <v>42075.894000000233</v>
      </c>
      <c r="B192" s="182">
        <f>IF($A$1="BL",0,'Peak Hours'!B192*Peak!H193*IS!$B$2)</f>
        <v>0</v>
      </c>
      <c r="C192" s="183">
        <f>IF($A$1="BL",0,'Peak Hours'!C192*Peak!I193*IS!$B$2)</f>
        <v>0</v>
      </c>
      <c r="D192" s="183">
        <f>IF($A$1="BL",0,'Peak Hours'!D192*Peak!J193*IS!$B$2)</f>
        <v>0</v>
      </c>
      <c r="E192" s="183">
        <f>IF($A$1="BL",0,'Peak Hours'!E192*Peak!K193*IS!$B$2)</f>
        <v>0</v>
      </c>
      <c r="F192" s="183">
        <f>IF($A$1="BL",0,'Peak Hours'!F192*Peak!L193*IS!$B$2)</f>
        <v>0</v>
      </c>
      <c r="G192" s="183">
        <f>IF($A$1="BL",0,'Peak Hours'!G192*Peak!M193*IS!$B$2)</f>
        <v>0</v>
      </c>
      <c r="H192" s="183">
        <f>IF($A$1="BL",0,'Peak Hours'!H192*Peak!N193*IS!$B$2)</f>
        <v>0</v>
      </c>
      <c r="I192" s="183">
        <f>IF($A$1="BL",0,'Peak Hours'!I192*Peak!O193*IS!$B$2)</f>
        <v>0</v>
      </c>
      <c r="J192" s="183">
        <f>IF($A$1="BL",0,'Peak Hours'!J192*Peak!P193*IS!$B$2)</f>
        <v>0</v>
      </c>
      <c r="K192" s="183">
        <f>IF($A$1="BL",0,'Peak Hours'!K192*Peak!Q193*IS!$B$2)</f>
        <v>0</v>
      </c>
      <c r="L192" s="183">
        <f>IF($A$1="BL",0,'Peak Hours'!L192*Peak!R193*IS!$B$2)</f>
        <v>0</v>
      </c>
      <c r="M192" s="183">
        <f>IF($A$1="BL",0,'Peak Hours'!M192*Peak!S193*IS!$B$2)</f>
        <v>0</v>
      </c>
      <c r="N192" s="183">
        <f>IF($A$1="BL",0,'Peak Hours'!N192*Peak!T193*IS!$B$2)</f>
        <v>0</v>
      </c>
      <c r="O192" s="183">
        <f>IF($A$1="BL",0,'Peak Hours'!O192*Peak!U193*IS!$B$2)</f>
        <v>0</v>
      </c>
      <c r="P192" s="183">
        <f>IF($A$1="BL",0,'Peak Hours'!P192*Peak!V193*IS!$B$2)</f>
        <v>0</v>
      </c>
      <c r="Q192" s="183">
        <f>IF($A$1="BL",0,'Peak Hours'!Q192*Peak!W193*IS!$B$2)</f>
        <v>0</v>
      </c>
      <c r="R192" s="183">
        <f>IF($A$1="BL",0,'Peak Hours'!R192*Peak!X193*IS!$B$2)</f>
        <v>0</v>
      </c>
      <c r="S192" s="183">
        <f>IF($A$1="BL",0,'Peak Hours'!S192*Peak!Y193*IS!$B$2)</f>
        <v>0</v>
      </c>
      <c r="T192" s="183">
        <f>IF($A$1="BL",0,'Peak Hours'!T192*Peak!Z193*IS!$B$2)</f>
        <v>0</v>
      </c>
      <c r="U192" s="183">
        <f>IF($A$1="BL",0,'Peak Hours'!U192*Peak!AA193*IS!$B$2)</f>
        <v>0</v>
      </c>
      <c r="V192" s="213"/>
      <c r="W192" s="211">
        <f>(IF($A$1="BL",0,Peak!C193*'Peak Hours'!V192*IS!$B$2))*-1</f>
        <v>0</v>
      </c>
      <c r="X192" s="213"/>
      <c r="Y192" s="211">
        <f>(IF($A$1="bl",0,Peak!D193*'Peak Hours'!V192*IS!$B$2))*-1</f>
        <v>0</v>
      </c>
      <c r="Z192" s="213"/>
      <c r="AA192" s="211">
        <f>(Peak!E193*'Peak Hours'!V192*IS!$B$2)*-1</f>
        <v>0</v>
      </c>
      <c r="AB192" s="210"/>
      <c r="AC192" s="211">
        <f>(Peak!F193*'Peak Hours'!V192*IS!$B$2)*-1</f>
        <v>0</v>
      </c>
      <c r="AD192" s="210"/>
    </row>
    <row r="193" spans="1:30" x14ac:dyDescent="0.2">
      <c r="A193" s="1">
        <f t="shared" si="2"/>
        <v>42106.311000000234</v>
      </c>
      <c r="B193" s="182">
        <f>IF($A$1="BL",0,'Peak Hours'!B193*Peak!H194*IS!$B$2)</f>
        <v>0</v>
      </c>
      <c r="C193" s="183">
        <f>IF($A$1="BL",0,'Peak Hours'!C193*Peak!I194*IS!$B$2)</f>
        <v>0</v>
      </c>
      <c r="D193" s="183">
        <f>IF($A$1="BL",0,'Peak Hours'!D193*Peak!J194*IS!$B$2)</f>
        <v>0</v>
      </c>
      <c r="E193" s="183">
        <f>IF($A$1="BL",0,'Peak Hours'!E193*Peak!K194*IS!$B$2)</f>
        <v>0</v>
      </c>
      <c r="F193" s="183">
        <f>IF($A$1="BL",0,'Peak Hours'!F193*Peak!L194*IS!$B$2)</f>
        <v>0</v>
      </c>
      <c r="G193" s="183">
        <f>IF($A$1="BL",0,'Peak Hours'!G193*Peak!M194*IS!$B$2)</f>
        <v>0</v>
      </c>
      <c r="H193" s="183">
        <f>IF($A$1="BL",0,'Peak Hours'!H193*Peak!N194*IS!$B$2)</f>
        <v>0</v>
      </c>
      <c r="I193" s="183">
        <f>IF($A$1="BL",0,'Peak Hours'!I193*Peak!O194*IS!$B$2)</f>
        <v>0</v>
      </c>
      <c r="J193" s="183">
        <f>IF($A$1="BL",0,'Peak Hours'!J193*Peak!P194*IS!$B$2)</f>
        <v>0</v>
      </c>
      <c r="K193" s="183">
        <f>IF($A$1="BL",0,'Peak Hours'!K193*Peak!Q194*IS!$B$2)</f>
        <v>0</v>
      </c>
      <c r="L193" s="183">
        <f>IF($A$1="BL",0,'Peak Hours'!L193*Peak!R194*IS!$B$2)</f>
        <v>0</v>
      </c>
      <c r="M193" s="183">
        <f>IF($A$1="BL",0,'Peak Hours'!M193*Peak!S194*IS!$B$2)</f>
        <v>0</v>
      </c>
      <c r="N193" s="183">
        <f>IF($A$1="BL",0,'Peak Hours'!N193*Peak!T194*IS!$B$2)</f>
        <v>0</v>
      </c>
      <c r="O193" s="183">
        <f>IF($A$1="BL",0,'Peak Hours'!O193*Peak!U194*IS!$B$2)</f>
        <v>0</v>
      </c>
      <c r="P193" s="183">
        <f>IF($A$1="BL",0,'Peak Hours'!P193*Peak!V194*IS!$B$2)</f>
        <v>0</v>
      </c>
      <c r="Q193" s="183">
        <f>IF($A$1="BL",0,'Peak Hours'!Q193*Peak!W194*IS!$B$2)</f>
        <v>0</v>
      </c>
      <c r="R193" s="183">
        <f>IF($A$1="BL",0,'Peak Hours'!R193*Peak!X194*IS!$B$2)</f>
        <v>0</v>
      </c>
      <c r="S193" s="183">
        <f>IF($A$1="BL",0,'Peak Hours'!S193*Peak!Y194*IS!$B$2)</f>
        <v>0</v>
      </c>
      <c r="T193" s="183">
        <f>IF($A$1="BL",0,'Peak Hours'!T193*Peak!Z194*IS!$B$2)</f>
        <v>0</v>
      </c>
      <c r="U193" s="183">
        <f>IF($A$1="BL",0,'Peak Hours'!U193*Peak!AA194*IS!$B$2)</f>
        <v>0</v>
      </c>
      <c r="V193" s="213"/>
      <c r="W193" s="211">
        <f>(IF($A$1="BL",0,Peak!C194*'Peak Hours'!V193*IS!$B$2))*-1</f>
        <v>0</v>
      </c>
      <c r="X193" s="213"/>
      <c r="Y193" s="211">
        <f>(IF($A$1="bl",0,Peak!D194*'Peak Hours'!V193*IS!$B$2))*-1</f>
        <v>0</v>
      </c>
      <c r="Z193" s="213"/>
      <c r="AA193" s="211">
        <f>(Peak!E194*'Peak Hours'!V193*IS!$B$2)*-1</f>
        <v>0</v>
      </c>
      <c r="AB193" s="210"/>
      <c r="AC193" s="211">
        <f>(Peak!F194*'Peak Hours'!V193*IS!$B$2)*-1</f>
        <v>0</v>
      </c>
      <c r="AD193" s="210"/>
    </row>
    <row r="194" spans="1:30" x14ac:dyDescent="0.2">
      <c r="A194" s="1">
        <f t="shared" si="2"/>
        <v>42136.728000000236</v>
      </c>
      <c r="B194" s="182">
        <f>IF($A$1="BL",0,'Peak Hours'!B194*Peak!H195*IS!$B$2)</f>
        <v>0</v>
      </c>
      <c r="C194" s="183">
        <f>IF($A$1="BL",0,'Peak Hours'!C194*Peak!I195*IS!$B$2)</f>
        <v>0</v>
      </c>
      <c r="D194" s="183">
        <f>IF($A$1="BL",0,'Peak Hours'!D194*Peak!J195*IS!$B$2)</f>
        <v>0</v>
      </c>
      <c r="E194" s="183">
        <f>IF($A$1="BL",0,'Peak Hours'!E194*Peak!K195*IS!$B$2)</f>
        <v>0</v>
      </c>
      <c r="F194" s="183">
        <f>IF($A$1="BL",0,'Peak Hours'!F194*Peak!L195*IS!$B$2)</f>
        <v>0</v>
      </c>
      <c r="G194" s="183">
        <f>IF($A$1="BL",0,'Peak Hours'!G194*Peak!M195*IS!$B$2)</f>
        <v>0</v>
      </c>
      <c r="H194" s="183">
        <f>IF($A$1="BL",0,'Peak Hours'!H194*Peak!N195*IS!$B$2)</f>
        <v>0</v>
      </c>
      <c r="I194" s="183">
        <f>IF($A$1="BL",0,'Peak Hours'!I194*Peak!O195*IS!$B$2)</f>
        <v>0</v>
      </c>
      <c r="J194" s="183">
        <f>IF($A$1="BL",0,'Peak Hours'!J194*Peak!P195*IS!$B$2)</f>
        <v>0</v>
      </c>
      <c r="K194" s="183">
        <f>IF($A$1="BL",0,'Peak Hours'!K194*Peak!Q195*IS!$B$2)</f>
        <v>0</v>
      </c>
      <c r="L194" s="183">
        <f>IF($A$1="BL",0,'Peak Hours'!L194*Peak!R195*IS!$B$2)</f>
        <v>0</v>
      </c>
      <c r="M194" s="183">
        <f>IF($A$1="BL",0,'Peak Hours'!M194*Peak!S195*IS!$B$2)</f>
        <v>0</v>
      </c>
      <c r="N194" s="183">
        <f>IF($A$1="BL",0,'Peak Hours'!N194*Peak!T195*IS!$B$2)</f>
        <v>0</v>
      </c>
      <c r="O194" s="183">
        <f>IF($A$1="BL",0,'Peak Hours'!O194*Peak!U195*IS!$B$2)</f>
        <v>0</v>
      </c>
      <c r="P194" s="183">
        <f>IF($A$1="BL",0,'Peak Hours'!P194*Peak!V195*IS!$B$2)</f>
        <v>0</v>
      </c>
      <c r="Q194" s="183">
        <f>IF($A$1="BL",0,'Peak Hours'!Q194*Peak!W195*IS!$B$2)</f>
        <v>0</v>
      </c>
      <c r="R194" s="183">
        <f>IF($A$1="BL",0,'Peak Hours'!R194*Peak!X195*IS!$B$2)</f>
        <v>0</v>
      </c>
      <c r="S194" s="183">
        <f>IF($A$1="BL",0,'Peak Hours'!S194*Peak!Y195*IS!$B$2)</f>
        <v>0</v>
      </c>
      <c r="T194" s="183">
        <f>IF($A$1="BL",0,'Peak Hours'!T194*Peak!Z195*IS!$B$2)</f>
        <v>0</v>
      </c>
      <c r="U194" s="183">
        <f>IF($A$1="BL",0,'Peak Hours'!U194*Peak!AA195*IS!$B$2)</f>
        <v>0</v>
      </c>
      <c r="V194" s="213"/>
      <c r="W194" s="211">
        <f>(IF($A$1="BL",0,Peak!C195*'Peak Hours'!V194*IS!$B$2))*-1</f>
        <v>0</v>
      </c>
      <c r="X194" s="213"/>
      <c r="Y194" s="211">
        <f>(IF($A$1="bl",0,Peak!D195*'Peak Hours'!V194*IS!$B$2))*-1</f>
        <v>0</v>
      </c>
      <c r="Z194" s="213"/>
      <c r="AA194" s="211">
        <f>(Peak!E195*'Peak Hours'!V194*IS!$B$2)*-1</f>
        <v>0</v>
      </c>
      <c r="AB194" s="210"/>
      <c r="AC194" s="211">
        <f>(Peak!F195*'Peak Hours'!V194*IS!$B$2)*-1</f>
        <v>0</v>
      </c>
      <c r="AD194" s="210"/>
    </row>
    <row r="195" spans="1:30" x14ac:dyDescent="0.2">
      <c r="A195" s="1">
        <f t="shared" si="2"/>
        <v>42167.145000000237</v>
      </c>
      <c r="B195" s="182">
        <f>IF($A$1="BL",0,'Peak Hours'!B195*Peak!H196*IS!$B$2)</f>
        <v>0</v>
      </c>
      <c r="C195" s="183">
        <f>IF($A$1="BL",0,'Peak Hours'!C195*Peak!I196*IS!$B$2)</f>
        <v>0</v>
      </c>
      <c r="D195" s="183">
        <f>IF($A$1="BL",0,'Peak Hours'!D195*Peak!J196*IS!$B$2)</f>
        <v>0</v>
      </c>
      <c r="E195" s="183">
        <f>IF($A$1="BL",0,'Peak Hours'!E195*Peak!K196*IS!$B$2)</f>
        <v>0</v>
      </c>
      <c r="F195" s="183">
        <f>IF($A$1="BL",0,'Peak Hours'!F195*Peak!L196*IS!$B$2)</f>
        <v>0</v>
      </c>
      <c r="G195" s="183">
        <f>IF($A$1="BL",0,'Peak Hours'!G195*Peak!M196*IS!$B$2)</f>
        <v>0</v>
      </c>
      <c r="H195" s="183">
        <f>IF($A$1="BL",0,'Peak Hours'!H195*Peak!N196*IS!$B$2)</f>
        <v>0</v>
      </c>
      <c r="I195" s="183">
        <f>IF($A$1="BL",0,'Peak Hours'!I195*Peak!O196*IS!$B$2)</f>
        <v>0</v>
      </c>
      <c r="J195" s="183">
        <f>IF($A$1="BL",0,'Peak Hours'!J195*Peak!P196*IS!$B$2)</f>
        <v>0</v>
      </c>
      <c r="K195" s="183">
        <f>IF($A$1="BL",0,'Peak Hours'!K195*Peak!Q196*IS!$B$2)</f>
        <v>0</v>
      </c>
      <c r="L195" s="183">
        <f>IF($A$1="BL",0,'Peak Hours'!L195*Peak!R196*IS!$B$2)</f>
        <v>0</v>
      </c>
      <c r="M195" s="183">
        <f>IF($A$1="BL",0,'Peak Hours'!M195*Peak!S196*IS!$B$2)</f>
        <v>0</v>
      </c>
      <c r="N195" s="183">
        <f>IF($A$1="BL",0,'Peak Hours'!N195*Peak!T196*IS!$B$2)</f>
        <v>0</v>
      </c>
      <c r="O195" s="183">
        <f>IF($A$1="BL",0,'Peak Hours'!O195*Peak!U196*IS!$B$2)</f>
        <v>0</v>
      </c>
      <c r="P195" s="183">
        <f>IF($A$1="BL",0,'Peak Hours'!P195*Peak!V196*IS!$B$2)</f>
        <v>0</v>
      </c>
      <c r="Q195" s="183">
        <f>IF($A$1="BL",0,'Peak Hours'!Q195*Peak!W196*IS!$B$2)</f>
        <v>0</v>
      </c>
      <c r="R195" s="183">
        <f>IF($A$1="BL",0,'Peak Hours'!R195*Peak!X196*IS!$B$2)</f>
        <v>0</v>
      </c>
      <c r="S195" s="183">
        <f>IF($A$1="BL",0,'Peak Hours'!S195*Peak!Y196*IS!$B$2)</f>
        <v>0</v>
      </c>
      <c r="T195" s="183">
        <f>IF($A$1="BL",0,'Peak Hours'!T195*Peak!Z196*IS!$B$2)</f>
        <v>0</v>
      </c>
      <c r="U195" s="183">
        <f>IF($A$1="BL",0,'Peak Hours'!U195*Peak!AA196*IS!$B$2)</f>
        <v>0</v>
      </c>
      <c r="V195" s="213"/>
      <c r="W195" s="211">
        <f>(IF($A$1="BL",0,Peak!C196*'Peak Hours'!V195*IS!$B$2))*-1</f>
        <v>0</v>
      </c>
      <c r="X195" s="213"/>
      <c r="Y195" s="211">
        <f>(IF($A$1="bl",0,Peak!D196*'Peak Hours'!V195*IS!$B$2))*-1</f>
        <v>0</v>
      </c>
      <c r="Z195" s="213"/>
      <c r="AA195" s="211">
        <f>(Peak!E196*'Peak Hours'!V195*IS!$B$2)*-1</f>
        <v>0</v>
      </c>
      <c r="AB195" s="210"/>
      <c r="AC195" s="211">
        <f>(Peak!F196*'Peak Hours'!V195*IS!$B$2)*-1</f>
        <v>0</v>
      </c>
      <c r="AD195" s="210"/>
    </row>
    <row r="196" spans="1:30" x14ac:dyDescent="0.2">
      <c r="A196" s="1">
        <f t="shared" si="2"/>
        <v>42197.562000000238</v>
      </c>
      <c r="B196" s="182">
        <f>IF($A$1="BL",0,'Peak Hours'!B196*Peak!H197*IS!$B$2)</f>
        <v>0</v>
      </c>
      <c r="C196" s="183">
        <f>IF($A$1="BL",0,'Peak Hours'!C196*Peak!I197*IS!$B$2)</f>
        <v>0</v>
      </c>
      <c r="D196" s="183">
        <f>IF($A$1="BL",0,'Peak Hours'!D196*Peak!J197*IS!$B$2)</f>
        <v>0</v>
      </c>
      <c r="E196" s="183">
        <f>IF($A$1="BL",0,'Peak Hours'!E196*Peak!K197*IS!$B$2)</f>
        <v>0</v>
      </c>
      <c r="F196" s="183">
        <f>IF($A$1="BL",0,'Peak Hours'!F196*Peak!L197*IS!$B$2)</f>
        <v>0</v>
      </c>
      <c r="G196" s="183">
        <f>IF($A$1="BL",0,'Peak Hours'!G196*Peak!M197*IS!$B$2)</f>
        <v>0</v>
      </c>
      <c r="H196" s="183">
        <f>IF($A$1="BL",0,'Peak Hours'!H196*Peak!N197*IS!$B$2)</f>
        <v>0</v>
      </c>
      <c r="I196" s="183">
        <f>IF($A$1="BL",0,'Peak Hours'!I196*Peak!O197*IS!$B$2)</f>
        <v>0</v>
      </c>
      <c r="J196" s="183">
        <f>IF($A$1="BL",0,'Peak Hours'!J196*Peak!P197*IS!$B$2)</f>
        <v>0</v>
      </c>
      <c r="K196" s="183">
        <f>IF($A$1="BL",0,'Peak Hours'!K196*Peak!Q197*IS!$B$2)</f>
        <v>0</v>
      </c>
      <c r="L196" s="183">
        <f>IF($A$1="BL",0,'Peak Hours'!L196*Peak!R197*IS!$B$2)</f>
        <v>0</v>
      </c>
      <c r="M196" s="183">
        <f>IF($A$1="BL",0,'Peak Hours'!M196*Peak!S197*IS!$B$2)</f>
        <v>0</v>
      </c>
      <c r="N196" s="183">
        <f>IF($A$1="BL",0,'Peak Hours'!N196*Peak!T197*IS!$B$2)</f>
        <v>0</v>
      </c>
      <c r="O196" s="183">
        <f>IF($A$1="BL",0,'Peak Hours'!O196*Peak!U197*IS!$B$2)</f>
        <v>0</v>
      </c>
      <c r="P196" s="183">
        <f>IF($A$1="BL",0,'Peak Hours'!P196*Peak!V197*IS!$B$2)</f>
        <v>0</v>
      </c>
      <c r="Q196" s="183">
        <f>IF($A$1="BL",0,'Peak Hours'!Q196*Peak!W197*IS!$B$2)</f>
        <v>0</v>
      </c>
      <c r="R196" s="183">
        <f>IF($A$1="BL",0,'Peak Hours'!R196*Peak!X197*IS!$B$2)</f>
        <v>0</v>
      </c>
      <c r="S196" s="183">
        <f>IF($A$1="BL",0,'Peak Hours'!S196*Peak!Y197*IS!$B$2)</f>
        <v>0</v>
      </c>
      <c r="T196" s="183">
        <f>IF($A$1="BL",0,'Peak Hours'!T196*Peak!Z197*IS!$B$2)</f>
        <v>0</v>
      </c>
      <c r="U196" s="183">
        <f>IF($A$1="BL",0,'Peak Hours'!U196*Peak!AA197*IS!$B$2)</f>
        <v>0</v>
      </c>
      <c r="V196" s="213"/>
      <c r="W196" s="211">
        <f>(IF($A$1="BL",0,Peak!C197*'Peak Hours'!V196*IS!$B$2))*-1</f>
        <v>0</v>
      </c>
      <c r="X196" s="213"/>
      <c r="Y196" s="211">
        <f>(IF($A$1="bl",0,Peak!D197*'Peak Hours'!V196*IS!$B$2))*-1</f>
        <v>0</v>
      </c>
      <c r="Z196" s="213"/>
      <c r="AA196" s="211">
        <f>(Peak!E197*'Peak Hours'!V196*IS!$B$2)*-1</f>
        <v>0</v>
      </c>
      <c r="AB196" s="210"/>
      <c r="AC196" s="211">
        <f>(Peak!F197*'Peak Hours'!V196*IS!$B$2)*-1</f>
        <v>0</v>
      </c>
      <c r="AD196" s="210"/>
    </row>
    <row r="197" spans="1:30" x14ac:dyDescent="0.2">
      <c r="A197" s="1">
        <f t="shared" si="2"/>
        <v>42227.979000000239</v>
      </c>
      <c r="B197" s="182">
        <f>IF($A$1="BL",0,'Peak Hours'!B197*Peak!H198*IS!$B$2)</f>
        <v>0</v>
      </c>
      <c r="C197" s="183">
        <f>IF($A$1="BL",0,'Peak Hours'!C197*Peak!I198*IS!$B$2)</f>
        <v>0</v>
      </c>
      <c r="D197" s="183">
        <f>IF($A$1="BL",0,'Peak Hours'!D197*Peak!J198*IS!$B$2)</f>
        <v>0</v>
      </c>
      <c r="E197" s="183">
        <f>IF($A$1="BL",0,'Peak Hours'!E197*Peak!K198*IS!$B$2)</f>
        <v>0</v>
      </c>
      <c r="F197" s="183">
        <f>IF($A$1="BL",0,'Peak Hours'!F197*Peak!L198*IS!$B$2)</f>
        <v>0</v>
      </c>
      <c r="G197" s="183">
        <f>IF($A$1="BL",0,'Peak Hours'!G197*Peak!M198*IS!$B$2)</f>
        <v>0</v>
      </c>
      <c r="H197" s="183">
        <f>IF($A$1="BL",0,'Peak Hours'!H197*Peak!N198*IS!$B$2)</f>
        <v>0</v>
      </c>
      <c r="I197" s="183">
        <f>IF($A$1="BL",0,'Peak Hours'!I197*Peak!O198*IS!$B$2)</f>
        <v>0</v>
      </c>
      <c r="J197" s="183">
        <f>IF($A$1="BL",0,'Peak Hours'!J197*Peak!P198*IS!$B$2)</f>
        <v>0</v>
      </c>
      <c r="K197" s="183">
        <f>IF($A$1="BL",0,'Peak Hours'!K197*Peak!Q198*IS!$B$2)</f>
        <v>0</v>
      </c>
      <c r="L197" s="183">
        <f>IF($A$1="BL",0,'Peak Hours'!L197*Peak!R198*IS!$B$2)</f>
        <v>0</v>
      </c>
      <c r="M197" s="183">
        <f>IF($A$1="BL",0,'Peak Hours'!M197*Peak!S198*IS!$B$2)</f>
        <v>0</v>
      </c>
      <c r="N197" s="183">
        <f>IF($A$1="BL",0,'Peak Hours'!N197*Peak!T198*IS!$B$2)</f>
        <v>0</v>
      </c>
      <c r="O197" s="183">
        <f>IF($A$1="BL",0,'Peak Hours'!O197*Peak!U198*IS!$B$2)</f>
        <v>0</v>
      </c>
      <c r="P197" s="183">
        <f>IF($A$1="BL",0,'Peak Hours'!P197*Peak!V198*IS!$B$2)</f>
        <v>0</v>
      </c>
      <c r="Q197" s="183">
        <f>IF($A$1="BL",0,'Peak Hours'!Q197*Peak!W198*IS!$B$2)</f>
        <v>0</v>
      </c>
      <c r="R197" s="183">
        <f>IF($A$1="BL",0,'Peak Hours'!R197*Peak!X198*IS!$B$2)</f>
        <v>0</v>
      </c>
      <c r="S197" s="183">
        <f>IF($A$1="BL",0,'Peak Hours'!S197*Peak!Y198*IS!$B$2)</f>
        <v>0</v>
      </c>
      <c r="T197" s="183">
        <f>IF($A$1="BL",0,'Peak Hours'!T197*Peak!Z198*IS!$B$2)</f>
        <v>0</v>
      </c>
      <c r="U197" s="183">
        <f>IF($A$1="BL",0,'Peak Hours'!U197*Peak!AA198*IS!$B$2)</f>
        <v>0</v>
      </c>
      <c r="V197" s="213"/>
      <c r="W197" s="211">
        <f>(IF($A$1="BL",0,Peak!C198*'Peak Hours'!V197*IS!$B$2))*-1</f>
        <v>0</v>
      </c>
      <c r="X197" s="213"/>
      <c r="Y197" s="211">
        <f>(IF($A$1="bl",0,Peak!D198*'Peak Hours'!V197*IS!$B$2))*-1</f>
        <v>0</v>
      </c>
      <c r="Z197" s="213"/>
      <c r="AA197" s="211">
        <f>(Peak!E198*'Peak Hours'!V197*IS!$B$2)*-1</f>
        <v>0</v>
      </c>
      <c r="AB197" s="210"/>
      <c r="AC197" s="211">
        <f>(Peak!F198*'Peak Hours'!V197*IS!$B$2)*-1</f>
        <v>0</v>
      </c>
      <c r="AD197" s="210"/>
    </row>
    <row r="198" spans="1:30" x14ac:dyDescent="0.2">
      <c r="A198" s="1">
        <f t="shared" si="2"/>
        <v>42258.396000000241</v>
      </c>
      <c r="B198" s="182">
        <f>IF($A$1="BL",0,'Peak Hours'!B198*Peak!H199*IS!$B$2)</f>
        <v>0</v>
      </c>
      <c r="C198" s="183">
        <f>IF($A$1="BL",0,'Peak Hours'!C198*Peak!I199*IS!$B$2)</f>
        <v>0</v>
      </c>
      <c r="D198" s="183">
        <f>IF($A$1="BL",0,'Peak Hours'!D198*Peak!J199*IS!$B$2)</f>
        <v>0</v>
      </c>
      <c r="E198" s="183">
        <f>IF($A$1="BL",0,'Peak Hours'!E198*Peak!K199*IS!$B$2)</f>
        <v>0</v>
      </c>
      <c r="F198" s="183">
        <f>IF($A$1="BL",0,'Peak Hours'!F198*Peak!L199*IS!$B$2)</f>
        <v>0</v>
      </c>
      <c r="G198" s="183">
        <f>IF($A$1="BL",0,'Peak Hours'!G198*Peak!M199*IS!$B$2)</f>
        <v>0</v>
      </c>
      <c r="H198" s="183">
        <f>IF($A$1="BL",0,'Peak Hours'!H198*Peak!N199*IS!$B$2)</f>
        <v>0</v>
      </c>
      <c r="I198" s="183">
        <f>IF($A$1="BL",0,'Peak Hours'!I198*Peak!O199*IS!$B$2)</f>
        <v>0</v>
      </c>
      <c r="J198" s="183">
        <f>IF($A$1="BL",0,'Peak Hours'!J198*Peak!P199*IS!$B$2)</f>
        <v>0</v>
      </c>
      <c r="K198" s="183">
        <f>IF($A$1="BL",0,'Peak Hours'!K198*Peak!Q199*IS!$B$2)</f>
        <v>0</v>
      </c>
      <c r="L198" s="183">
        <f>IF($A$1="BL",0,'Peak Hours'!L198*Peak!R199*IS!$B$2)</f>
        <v>0</v>
      </c>
      <c r="M198" s="183">
        <f>IF($A$1="BL",0,'Peak Hours'!M198*Peak!S199*IS!$B$2)</f>
        <v>0</v>
      </c>
      <c r="N198" s="183">
        <f>IF($A$1="BL",0,'Peak Hours'!N198*Peak!T199*IS!$B$2)</f>
        <v>0</v>
      </c>
      <c r="O198" s="183">
        <f>IF($A$1="BL",0,'Peak Hours'!O198*Peak!U199*IS!$B$2)</f>
        <v>0</v>
      </c>
      <c r="P198" s="183">
        <f>IF($A$1="BL",0,'Peak Hours'!P198*Peak!V199*IS!$B$2)</f>
        <v>0</v>
      </c>
      <c r="Q198" s="183">
        <f>IF($A$1="BL",0,'Peak Hours'!Q198*Peak!W199*IS!$B$2)</f>
        <v>0</v>
      </c>
      <c r="R198" s="183">
        <f>IF($A$1="BL",0,'Peak Hours'!R198*Peak!X199*IS!$B$2)</f>
        <v>0</v>
      </c>
      <c r="S198" s="183">
        <f>IF($A$1="BL",0,'Peak Hours'!S198*Peak!Y199*IS!$B$2)</f>
        <v>0</v>
      </c>
      <c r="T198" s="183">
        <f>IF($A$1="BL",0,'Peak Hours'!T198*Peak!Z199*IS!$B$2)</f>
        <v>0</v>
      </c>
      <c r="U198" s="183">
        <f>IF($A$1="BL",0,'Peak Hours'!U198*Peak!AA199*IS!$B$2)</f>
        <v>0</v>
      </c>
      <c r="V198" s="213"/>
      <c r="W198" s="211">
        <f>(IF($A$1="BL",0,Peak!C199*'Peak Hours'!V198*IS!$B$2))*-1</f>
        <v>0</v>
      </c>
      <c r="X198" s="213"/>
      <c r="Y198" s="211">
        <f>(IF($A$1="bl",0,Peak!D199*'Peak Hours'!V198*IS!$B$2))*-1</f>
        <v>0</v>
      </c>
      <c r="Z198" s="213"/>
      <c r="AA198" s="211">
        <f>(Peak!E199*'Peak Hours'!V198*IS!$B$2)*-1</f>
        <v>0</v>
      </c>
      <c r="AB198" s="210"/>
      <c r="AC198" s="211">
        <f>(Peak!F199*'Peak Hours'!V198*IS!$B$2)*-1</f>
        <v>0</v>
      </c>
      <c r="AD198" s="210"/>
    </row>
    <row r="199" spans="1:30" x14ac:dyDescent="0.2">
      <c r="A199" s="1">
        <f t="shared" si="2"/>
        <v>42288.813000000242</v>
      </c>
      <c r="B199" s="182">
        <f>IF($A$1="BL",0,'Peak Hours'!B199*Peak!H200*IS!$B$2)</f>
        <v>0</v>
      </c>
      <c r="C199" s="183">
        <f>IF($A$1="BL",0,'Peak Hours'!C199*Peak!I200*IS!$B$2)</f>
        <v>0</v>
      </c>
      <c r="D199" s="183">
        <f>IF($A$1="BL",0,'Peak Hours'!D199*Peak!J200*IS!$B$2)</f>
        <v>0</v>
      </c>
      <c r="E199" s="183">
        <f>IF($A$1="BL",0,'Peak Hours'!E199*Peak!K200*IS!$B$2)</f>
        <v>0</v>
      </c>
      <c r="F199" s="183">
        <f>IF($A$1="BL",0,'Peak Hours'!F199*Peak!L200*IS!$B$2)</f>
        <v>0</v>
      </c>
      <c r="G199" s="183">
        <f>IF($A$1="BL",0,'Peak Hours'!G199*Peak!M200*IS!$B$2)</f>
        <v>0</v>
      </c>
      <c r="H199" s="183">
        <f>IF($A$1="BL",0,'Peak Hours'!H199*Peak!N200*IS!$B$2)</f>
        <v>0</v>
      </c>
      <c r="I199" s="183">
        <f>IF($A$1="BL",0,'Peak Hours'!I199*Peak!O200*IS!$B$2)</f>
        <v>0</v>
      </c>
      <c r="J199" s="183">
        <f>IF($A$1="BL",0,'Peak Hours'!J199*Peak!P200*IS!$B$2)</f>
        <v>0</v>
      </c>
      <c r="K199" s="183">
        <f>IF($A$1="BL",0,'Peak Hours'!K199*Peak!Q200*IS!$B$2)</f>
        <v>0</v>
      </c>
      <c r="L199" s="183">
        <f>IF($A$1="BL",0,'Peak Hours'!L199*Peak!R200*IS!$B$2)</f>
        <v>0</v>
      </c>
      <c r="M199" s="183">
        <f>IF($A$1="BL",0,'Peak Hours'!M199*Peak!S200*IS!$B$2)</f>
        <v>0</v>
      </c>
      <c r="N199" s="183">
        <f>IF($A$1="BL",0,'Peak Hours'!N199*Peak!T200*IS!$B$2)</f>
        <v>0</v>
      </c>
      <c r="O199" s="183">
        <f>IF($A$1="BL",0,'Peak Hours'!O199*Peak!U200*IS!$B$2)</f>
        <v>0</v>
      </c>
      <c r="P199" s="183">
        <f>IF($A$1="BL",0,'Peak Hours'!P199*Peak!V200*IS!$B$2)</f>
        <v>0</v>
      </c>
      <c r="Q199" s="183">
        <f>IF($A$1="BL",0,'Peak Hours'!Q199*Peak!W200*IS!$B$2)</f>
        <v>0</v>
      </c>
      <c r="R199" s="183">
        <f>IF($A$1="BL",0,'Peak Hours'!R199*Peak!X200*IS!$B$2)</f>
        <v>0</v>
      </c>
      <c r="S199" s="183">
        <f>IF($A$1="BL",0,'Peak Hours'!S199*Peak!Y200*IS!$B$2)</f>
        <v>0</v>
      </c>
      <c r="T199" s="183">
        <f>IF($A$1="BL",0,'Peak Hours'!T199*Peak!Z200*IS!$B$2)</f>
        <v>0</v>
      </c>
      <c r="U199" s="183">
        <f>IF($A$1="BL",0,'Peak Hours'!U199*Peak!AA200*IS!$B$2)</f>
        <v>0</v>
      </c>
      <c r="V199" s="213"/>
      <c r="W199" s="211">
        <f>(IF($A$1="BL",0,Peak!C200*'Peak Hours'!V199*IS!$B$2))*-1</f>
        <v>0</v>
      </c>
      <c r="X199" s="213"/>
      <c r="Y199" s="211">
        <f>(IF($A$1="bl",0,Peak!D200*'Peak Hours'!V199*IS!$B$2))*-1</f>
        <v>0</v>
      </c>
      <c r="Z199" s="213"/>
      <c r="AA199" s="211">
        <f>(Peak!E200*'Peak Hours'!V199*IS!$B$2)*-1</f>
        <v>0</v>
      </c>
      <c r="AB199" s="210"/>
      <c r="AC199" s="211">
        <f>(Peak!F200*'Peak Hours'!V199*IS!$B$2)*-1</f>
        <v>0</v>
      </c>
      <c r="AD199" s="210"/>
    </row>
    <row r="200" spans="1:30" x14ac:dyDescent="0.2">
      <c r="A200" s="1">
        <f t="shared" si="2"/>
        <v>42319.230000000243</v>
      </c>
      <c r="B200" s="182">
        <f>IF($A$1="BL",0,'Peak Hours'!B200*Peak!H201*IS!$B$2)</f>
        <v>0</v>
      </c>
      <c r="C200" s="183">
        <f>IF($A$1="BL",0,'Peak Hours'!C200*Peak!I201*IS!$B$2)</f>
        <v>0</v>
      </c>
      <c r="D200" s="183">
        <f>IF($A$1="BL",0,'Peak Hours'!D200*Peak!J201*IS!$B$2)</f>
        <v>0</v>
      </c>
      <c r="E200" s="183">
        <f>IF($A$1="BL",0,'Peak Hours'!E200*Peak!K201*IS!$B$2)</f>
        <v>0</v>
      </c>
      <c r="F200" s="183">
        <f>IF($A$1="BL",0,'Peak Hours'!F200*Peak!L201*IS!$B$2)</f>
        <v>0</v>
      </c>
      <c r="G200" s="183">
        <f>IF($A$1="BL",0,'Peak Hours'!G200*Peak!M201*IS!$B$2)</f>
        <v>0</v>
      </c>
      <c r="H200" s="183">
        <f>IF($A$1="BL",0,'Peak Hours'!H200*Peak!N201*IS!$B$2)</f>
        <v>0</v>
      </c>
      <c r="I200" s="183">
        <f>IF($A$1="BL",0,'Peak Hours'!I200*Peak!O201*IS!$B$2)</f>
        <v>0</v>
      </c>
      <c r="J200" s="183">
        <f>IF($A$1="BL",0,'Peak Hours'!J200*Peak!P201*IS!$B$2)</f>
        <v>0</v>
      </c>
      <c r="K200" s="183">
        <f>IF($A$1="BL",0,'Peak Hours'!K200*Peak!Q201*IS!$B$2)</f>
        <v>0</v>
      </c>
      <c r="L200" s="183">
        <f>IF($A$1="BL",0,'Peak Hours'!L200*Peak!R201*IS!$B$2)</f>
        <v>0</v>
      </c>
      <c r="M200" s="183">
        <f>IF($A$1="BL",0,'Peak Hours'!M200*Peak!S201*IS!$B$2)</f>
        <v>0</v>
      </c>
      <c r="N200" s="183">
        <f>IF($A$1="BL",0,'Peak Hours'!N200*Peak!T201*IS!$B$2)</f>
        <v>0</v>
      </c>
      <c r="O200" s="183">
        <f>IF($A$1="BL",0,'Peak Hours'!O200*Peak!U201*IS!$B$2)</f>
        <v>0</v>
      </c>
      <c r="P200" s="183">
        <f>IF($A$1="BL",0,'Peak Hours'!P200*Peak!V201*IS!$B$2)</f>
        <v>0</v>
      </c>
      <c r="Q200" s="183">
        <f>IF($A$1="BL",0,'Peak Hours'!Q200*Peak!W201*IS!$B$2)</f>
        <v>0</v>
      </c>
      <c r="R200" s="183">
        <f>IF($A$1="BL",0,'Peak Hours'!R200*Peak!X201*IS!$B$2)</f>
        <v>0</v>
      </c>
      <c r="S200" s="183">
        <f>IF($A$1="BL",0,'Peak Hours'!S200*Peak!Y201*IS!$B$2)</f>
        <v>0</v>
      </c>
      <c r="T200" s="183">
        <f>IF($A$1="BL",0,'Peak Hours'!T200*Peak!Z201*IS!$B$2)</f>
        <v>0</v>
      </c>
      <c r="U200" s="183">
        <f>IF($A$1="BL",0,'Peak Hours'!U200*Peak!AA201*IS!$B$2)</f>
        <v>0</v>
      </c>
      <c r="V200" s="213"/>
      <c r="W200" s="211">
        <f>(IF($A$1="BL",0,Peak!C201*'Peak Hours'!V200*IS!$B$2))*-1</f>
        <v>0</v>
      </c>
      <c r="X200" s="213"/>
      <c r="Y200" s="211">
        <f>(IF($A$1="bl",0,Peak!D201*'Peak Hours'!V200*IS!$B$2))*-1</f>
        <v>0</v>
      </c>
      <c r="Z200" s="213"/>
      <c r="AA200" s="211">
        <f>(Peak!E201*'Peak Hours'!V200*IS!$B$2)*-1</f>
        <v>0</v>
      </c>
      <c r="AB200" s="210"/>
      <c r="AC200" s="211">
        <f>(Peak!F201*'Peak Hours'!V200*IS!$B$2)*-1</f>
        <v>0</v>
      </c>
      <c r="AD200" s="210"/>
    </row>
    <row r="201" spans="1:30" x14ac:dyDescent="0.2">
      <c r="A201" s="1">
        <f t="shared" si="2"/>
        <v>42349.647000000245</v>
      </c>
      <c r="B201" s="182">
        <f>IF($A$1="BL",0,'Peak Hours'!B201*Peak!H202*IS!$B$2)</f>
        <v>0</v>
      </c>
      <c r="C201" s="183">
        <f>IF($A$1="BL",0,'Peak Hours'!C201*Peak!I202*IS!$B$2)</f>
        <v>0</v>
      </c>
      <c r="D201" s="183">
        <f>IF($A$1="BL",0,'Peak Hours'!D201*Peak!J202*IS!$B$2)</f>
        <v>0</v>
      </c>
      <c r="E201" s="183">
        <f>IF($A$1="BL",0,'Peak Hours'!E201*Peak!K202*IS!$B$2)</f>
        <v>0</v>
      </c>
      <c r="F201" s="183">
        <f>IF($A$1="BL",0,'Peak Hours'!F201*Peak!L202*IS!$B$2)</f>
        <v>0</v>
      </c>
      <c r="G201" s="183">
        <f>IF($A$1="BL",0,'Peak Hours'!G201*Peak!M202*IS!$B$2)</f>
        <v>0</v>
      </c>
      <c r="H201" s="183">
        <f>IF($A$1="BL",0,'Peak Hours'!H201*Peak!N202*IS!$B$2)</f>
        <v>0</v>
      </c>
      <c r="I201" s="183">
        <f>IF($A$1="BL",0,'Peak Hours'!I201*Peak!O202*IS!$B$2)</f>
        <v>0</v>
      </c>
      <c r="J201" s="183">
        <f>IF($A$1="BL",0,'Peak Hours'!J201*Peak!P202*IS!$B$2)</f>
        <v>0</v>
      </c>
      <c r="K201" s="183">
        <f>IF($A$1="BL",0,'Peak Hours'!K201*Peak!Q202*IS!$B$2)</f>
        <v>0</v>
      </c>
      <c r="L201" s="183">
        <f>IF($A$1="BL",0,'Peak Hours'!L201*Peak!R202*IS!$B$2)</f>
        <v>0</v>
      </c>
      <c r="M201" s="183">
        <f>IF($A$1="BL",0,'Peak Hours'!M201*Peak!S202*IS!$B$2)</f>
        <v>0</v>
      </c>
      <c r="N201" s="183">
        <f>IF($A$1="BL",0,'Peak Hours'!N201*Peak!T202*IS!$B$2)</f>
        <v>0</v>
      </c>
      <c r="O201" s="183">
        <f>IF($A$1="BL",0,'Peak Hours'!O201*Peak!U202*IS!$B$2)</f>
        <v>0</v>
      </c>
      <c r="P201" s="183">
        <f>IF($A$1="BL",0,'Peak Hours'!P201*Peak!V202*IS!$B$2)</f>
        <v>0</v>
      </c>
      <c r="Q201" s="183">
        <f>IF($A$1="BL",0,'Peak Hours'!Q201*Peak!W202*IS!$B$2)</f>
        <v>0</v>
      </c>
      <c r="R201" s="183">
        <f>IF($A$1="BL",0,'Peak Hours'!R201*Peak!X202*IS!$B$2)</f>
        <v>0</v>
      </c>
      <c r="S201" s="183">
        <f>IF($A$1="BL",0,'Peak Hours'!S201*Peak!Y202*IS!$B$2)</f>
        <v>0</v>
      </c>
      <c r="T201" s="183">
        <f>IF($A$1="BL",0,'Peak Hours'!T201*Peak!Z202*IS!$B$2)</f>
        <v>0</v>
      </c>
      <c r="U201" s="183">
        <f>IF($A$1="BL",0,'Peak Hours'!U201*Peak!AA202*IS!$B$2)</f>
        <v>0</v>
      </c>
      <c r="V201" s="214">
        <f>SUM(B190:U201)</f>
        <v>0</v>
      </c>
      <c r="W201" s="211">
        <f>(IF($A$1="BL",0,Peak!C202*'Peak Hours'!V201*IS!$B$2))*-1</f>
        <v>0</v>
      </c>
      <c r="X201" s="214">
        <f>SUM(W190:W201)</f>
        <v>0</v>
      </c>
      <c r="Y201" s="211">
        <f>(IF($A$1="bl",0,Peak!D202*'Peak Hours'!V201*IS!$B$2))*-1</f>
        <v>0</v>
      </c>
      <c r="Z201" s="214">
        <f>SUM(Y190:Y201)</f>
        <v>0</v>
      </c>
      <c r="AA201" s="211">
        <f>(Peak!E202*'Peak Hours'!V201*IS!$B$2)*-1</f>
        <v>0</v>
      </c>
      <c r="AB201" s="211">
        <f>SUM(AA190:AA201)</f>
        <v>0</v>
      </c>
      <c r="AC201" s="211">
        <f>(Peak!F202*'Peak Hours'!V201*IS!$B$2)*-1</f>
        <v>0</v>
      </c>
      <c r="AD201" s="211">
        <f>SUM(AC190:AC201)</f>
        <v>0</v>
      </c>
    </row>
    <row r="202" spans="1:30" x14ac:dyDescent="0.2">
      <c r="A202" s="1">
        <f t="shared" si="2"/>
        <v>42380.064000000246</v>
      </c>
      <c r="B202" s="182">
        <f>IF($A$1="BL",0,'Peak Hours'!B202*Peak!H203*IS!$B$2)</f>
        <v>0</v>
      </c>
      <c r="C202" s="183">
        <f>IF($A$1="BL",0,'Peak Hours'!C202*Peak!I203*IS!$B$2)</f>
        <v>0</v>
      </c>
      <c r="D202" s="183">
        <f>IF($A$1="BL",0,'Peak Hours'!D202*Peak!J203*IS!$B$2)</f>
        <v>0</v>
      </c>
      <c r="E202" s="183">
        <f>IF($A$1="BL",0,'Peak Hours'!E202*Peak!K203*IS!$B$2)</f>
        <v>0</v>
      </c>
      <c r="F202" s="183">
        <f>IF($A$1="BL",0,'Peak Hours'!F202*Peak!L203*IS!$B$2)</f>
        <v>0</v>
      </c>
      <c r="G202" s="183">
        <f>IF($A$1="BL",0,'Peak Hours'!G202*Peak!M203*IS!$B$2)</f>
        <v>0</v>
      </c>
      <c r="H202" s="183">
        <f>IF($A$1="BL",0,'Peak Hours'!H202*Peak!N203*IS!$B$2)</f>
        <v>0</v>
      </c>
      <c r="I202" s="183">
        <f>IF($A$1="BL",0,'Peak Hours'!I202*Peak!O203*IS!$B$2)</f>
        <v>0</v>
      </c>
      <c r="J202" s="183">
        <f>IF($A$1="BL",0,'Peak Hours'!J202*Peak!P203*IS!$B$2)</f>
        <v>0</v>
      </c>
      <c r="K202" s="183">
        <f>IF($A$1="BL",0,'Peak Hours'!K202*Peak!Q203*IS!$B$2)</f>
        <v>0</v>
      </c>
      <c r="L202" s="183">
        <f>IF($A$1="BL",0,'Peak Hours'!L202*Peak!R203*IS!$B$2)</f>
        <v>0</v>
      </c>
      <c r="M202" s="183">
        <f>IF($A$1="BL",0,'Peak Hours'!M202*Peak!S203*IS!$B$2)</f>
        <v>0</v>
      </c>
      <c r="N202" s="183">
        <f>IF($A$1="BL",0,'Peak Hours'!N202*Peak!T203*IS!$B$2)</f>
        <v>0</v>
      </c>
      <c r="O202" s="183">
        <f>IF($A$1="BL",0,'Peak Hours'!O202*Peak!U203*IS!$B$2)</f>
        <v>0</v>
      </c>
      <c r="P202" s="183">
        <f>IF($A$1="BL",0,'Peak Hours'!P202*Peak!V203*IS!$B$2)</f>
        <v>0</v>
      </c>
      <c r="Q202" s="183">
        <f>IF($A$1="BL",0,'Peak Hours'!Q202*Peak!W203*IS!$B$2)</f>
        <v>0</v>
      </c>
      <c r="R202" s="183">
        <f>IF($A$1="BL",0,'Peak Hours'!R202*Peak!X203*IS!$B$2)</f>
        <v>0</v>
      </c>
      <c r="S202" s="183">
        <f>IF($A$1="BL",0,'Peak Hours'!S202*Peak!Y203*IS!$B$2)</f>
        <v>0</v>
      </c>
      <c r="T202" s="183">
        <f>IF($A$1="BL",0,'Peak Hours'!T202*Peak!Z203*IS!$B$2)</f>
        <v>0</v>
      </c>
      <c r="U202" s="183">
        <f>IF($A$1="BL",0,'Peak Hours'!U202*Peak!AA203*IS!$B$2)</f>
        <v>0</v>
      </c>
      <c r="V202" s="213"/>
      <c r="W202" s="211">
        <f>(IF($A$1="BL",0,Peak!C203*'Peak Hours'!V202*IS!$B$2))*-1</f>
        <v>0</v>
      </c>
      <c r="X202" s="213"/>
      <c r="Y202" s="211">
        <f>(IF($A$1="bl",0,Peak!D203*'Peak Hours'!V202*IS!$B$2))*-1</f>
        <v>0</v>
      </c>
      <c r="Z202" s="213"/>
      <c r="AA202" s="211">
        <f>(Peak!E203*'Peak Hours'!V202*IS!$B$2)*-1</f>
        <v>0</v>
      </c>
      <c r="AB202" s="210"/>
      <c r="AC202" s="211">
        <f>(Peak!F203*'Peak Hours'!V202*IS!$B$2)*-1</f>
        <v>0</v>
      </c>
      <c r="AD202" s="210"/>
    </row>
    <row r="203" spans="1:30" x14ac:dyDescent="0.2">
      <c r="A203" s="1">
        <f t="shared" si="2"/>
        <v>42410.481000000247</v>
      </c>
      <c r="B203" s="182">
        <f>IF($A$1="BL",0,'Peak Hours'!B203*Peak!H204*IS!$B$2)</f>
        <v>0</v>
      </c>
      <c r="C203" s="183">
        <f>IF($A$1="BL",0,'Peak Hours'!C203*Peak!I204*IS!$B$2)</f>
        <v>0</v>
      </c>
      <c r="D203" s="183">
        <f>IF($A$1="BL",0,'Peak Hours'!D203*Peak!J204*IS!$B$2)</f>
        <v>0</v>
      </c>
      <c r="E203" s="183">
        <f>IF($A$1="BL",0,'Peak Hours'!E203*Peak!K204*IS!$B$2)</f>
        <v>0</v>
      </c>
      <c r="F203" s="183">
        <f>IF($A$1="BL",0,'Peak Hours'!F203*Peak!L204*IS!$B$2)</f>
        <v>0</v>
      </c>
      <c r="G203" s="183">
        <f>IF($A$1="BL",0,'Peak Hours'!G203*Peak!M204*IS!$B$2)</f>
        <v>0</v>
      </c>
      <c r="H203" s="183">
        <f>IF($A$1="BL",0,'Peak Hours'!H203*Peak!N204*IS!$B$2)</f>
        <v>0</v>
      </c>
      <c r="I203" s="183">
        <f>IF($A$1="BL",0,'Peak Hours'!I203*Peak!O204*IS!$B$2)</f>
        <v>0</v>
      </c>
      <c r="J203" s="183">
        <f>IF($A$1="BL",0,'Peak Hours'!J203*Peak!P204*IS!$B$2)</f>
        <v>0</v>
      </c>
      <c r="K203" s="183">
        <f>IF($A$1="BL",0,'Peak Hours'!K203*Peak!Q204*IS!$B$2)</f>
        <v>0</v>
      </c>
      <c r="L203" s="183">
        <f>IF($A$1="BL",0,'Peak Hours'!L203*Peak!R204*IS!$B$2)</f>
        <v>0</v>
      </c>
      <c r="M203" s="183">
        <f>IF($A$1="BL",0,'Peak Hours'!M203*Peak!S204*IS!$B$2)</f>
        <v>0</v>
      </c>
      <c r="N203" s="183">
        <f>IF($A$1="BL",0,'Peak Hours'!N203*Peak!T204*IS!$B$2)</f>
        <v>0</v>
      </c>
      <c r="O203" s="183">
        <f>IF($A$1="BL",0,'Peak Hours'!O203*Peak!U204*IS!$B$2)</f>
        <v>0</v>
      </c>
      <c r="P203" s="183">
        <f>IF($A$1="BL",0,'Peak Hours'!P203*Peak!V204*IS!$B$2)</f>
        <v>0</v>
      </c>
      <c r="Q203" s="183">
        <f>IF($A$1="BL",0,'Peak Hours'!Q203*Peak!W204*IS!$B$2)</f>
        <v>0</v>
      </c>
      <c r="R203" s="183">
        <f>IF($A$1="BL",0,'Peak Hours'!R203*Peak!X204*IS!$B$2)</f>
        <v>0</v>
      </c>
      <c r="S203" s="183">
        <f>IF($A$1="BL",0,'Peak Hours'!S203*Peak!Y204*IS!$B$2)</f>
        <v>0</v>
      </c>
      <c r="T203" s="183">
        <f>IF($A$1="BL",0,'Peak Hours'!T203*Peak!Z204*IS!$B$2)</f>
        <v>0</v>
      </c>
      <c r="U203" s="183">
        <f>IF($A$1="BL",0,'Peak Hours'!U203*Peak!AA204*IS!$B$2)</f>
        <v>0</v>
      </c>
      <c r="V203" s="213"/>
      <c r="W203" s="211">
        <f>(IF($A$1="BL",0,Peak!C204*'Peak Hours'!V203*IS!$B$2))*-1</f>
        <v>0</v>
      </c>
      <c r="X203" s="213"/>
      <c r="Y203" s="211">
        <f>(IF($A$1="bl",0,Peak!D204*'Peak Hours'!V203*IS!$B$2))*-1</f>
        <v>0</v>
      </c>
      <c r="Z203" s="213"/>
      <c r="AA203" s="211">
        <f>(Peak!E204*'Peak Hours'!V203*IS!$B$2)*-1</f>
        <v>0</v>
      </c>
      <c r="AB203" s="210"/>
      <c r="AC203" s="211">
        <f>(Peak!F204*'Peak Hours'!V203*IS!$B$2)*-1</f>
        <v>0</v>
      </c>
      <c r="AD203" s="210"/>
    </row>
    <row r="204" spans="1:30" x14ac:dyDescent="0.2">
      <c r="A204" s="1">
        <f t="shared" ref="A204:A249" si="3">A203+30.417</f>
        <v>42440.898000000248</v>
      </c>
      <c r="B204" s="182">
        <f>IF($A$1="BL",0,'Peak Hours'!B204*Peak!H205*IS!$B$2)</f>
        <v>0</v>
      </c>
      <c r="C204" s="183">
        <f>IF($A$1="BL",0,'Peak Hours'!C204*Peak!I205*IS!$B$2)</f>
        <v>0</v>
      </c>
      <c r="D204" s="183">
        <f>IF($A$1="BL",0,'Peak Hours'!D204*Peak!J205*IS!$B$2)</f>
        <v>0</v>
      </c>
      <c r="E204" s="183">
        <f>IF($A$1="BL",0,'Peak Hours'!E204*Peak!K205*IS!$B$2)</f>
        <v>0</v>
      </c>
      <c r="F204" s="183">
        <f>IF($A$1="BL",0,'Peak Hours'!F204*Peak!L205*IS!$B$2)</f>
        <v>0</v>
      </c>
      <c r="G204" s="183">
        <f>IF($A$1="BL",0,'Peak Hours'!G204*Peak!M205*IS!$B$2)</f>
        <v>0</v>
      </c>
      <c r="H204" s="183">
        <f>IF($A$1="BL",0,'Peak Hours'!H204*Peak!N205*IS!$B$2)</f>
        <v>0</v>
      </c>
      <c r="I204" s="183">
        <f>IF($A$1="BL",0,'Peak Hours'!I204*Peak!O205*IS!$B$2)</f>
        <v>0</v>
      </c>
      <c r="J204" s="183">
        <f>IF($A$1="BL",0,'Peak Hours'!J204*Peak!P205*IS!$B$2)</f>
        <v>0</v>
      </c>
      <c r="K204" s="183">
        <f>IF($A$1="BL",0,'Peak Hours'!K204*Peak!Q205*IS!$B$2)</f>
        <v>0</v>
      </c>
      <c r="L204" s="183">
        <f>IF($A$1="BL",0,'Peak Hours'!L204*Peak!R205*IS!$B$2)</f>
        <v>0</v>
      </c>
      <c r="M204" s="183">
        <f>IF($A$1="BL",0,'Peak Hours'!M204*Peak!S205*IS!$B$2)</f>
        <v>0</v>
      </c>
      <c r="N204" s="183">
        <f>IF($A$1="BL",0,'Peak Hours'!N204*Peak!T205*IS!$B$2)</f>
        <v>0</v>
      </c>
      <c r="O204" s="183">
        <f>IF($A$1="BL",0,'Peak Hours'!O204*Peak!U205*IS!$B$2)</f>
        <v>0</v>
      </c>
      <c r="P204" s="183">
        <f>IF($A$1="BL",0,'Peak Hours'!P204*Peak!V205*IS!$B$2)</f>
        <v>0</v>
      </c>
      <c r="Q204" s="183">
        <f>IF($A$1="BL",0,'Peak Hours'!Q204*Peak!W205*IS!$B$2)</f>
        <v>0</v>
      </c>
      <c r="R204" s="183">
        <f>IF($A$1="BL",0,'Peak Hours'!R204*Peak!X205*IS!$B$2)</f>
        <v>0</v>
      </c>
      <c r="S204" s="183">
        <f>IF($A$1="BL",0,'Peak Hours'!S204*Peak!Y205*IS!$B$2)</f>
        <v>0</v>
      </c>
      <c r="T204" s="183">
        <f>IF($A$1="BL",0,'Peak Hours'!T204*Peak!Z205*IS!$B$2)</f>
        <v>0</v>
      </c>
      <c r="U204" s="183">
        <f>IF($A$1="BL",0,'Peak Hours'!U204*Peak!AA205*IS!$B$2)</f>
        <v>0</v>
      </c>
      <c r="V204" s="213"/>
      <c r="W204" s="211">
        <f>(IF($A$1="BL",0,Peak!C205*'Peak Hours'!V204*IS!$B$2))*-1</f>
        <v>0</v>
      </c>
      <c r="X204" s="213"/>
      <c r="Y204" s="211">
        <f>(IF($A$1="bl",0,Peak!D205*'Peak Hours'!V204*IS!$B$2))*-1</f>
        <v>0</v>
      </c>
      <c r="Z204" s="213"/>
      <c r="AA204" s="211">
        <f>(Peak!E205*'Peak Hours'!V204*IS!$B$2)*-1</f>
        <v>0</v>
      </c>
      <c r="AB204" s="210"/>
      <c r="AC204" s="211">
        <f>(Peak!F205*'Peak Hours'!V204*IS!$B$2)*-1</f>
        <v>0</v>
      </c>
      <c r="AD204" s="210"/>
    </row>
    <row r="205" spans="1:30" x14ac:dyDescent="0.2">
      <c r="A205" s="1">
        <f t="shared" si="3"/>
        <v>42471.31500000025</v>
      </c>
      <c r="B205" s="182">
        <f>IF($A$1="BL",0,'Peak Hours'!B205*Peak!H206*IS!$B$2)</f>
        <v>0</v>
      </c>
      <c r="C205" s="183">
        <f>IF($A$1="BL",0,'Peak Hours'!C205*Peak!I206*IS!$B$2)</f>
        <v>0</v>
      </c>
      <c r="D205" s="183">
        <f>IF($A$1="BL",0,'Peak Hours'!D205*Peak!J206*IS!$B$2)</f>
        <v>0</v>
      </c>
      <c r="E205" s="183">
        <f>IF($A$1="BL",0,'Peak Hours'!E205*Peak!K206*IS!$B$2)</f>
        <v>0</v>
      </c>
      <c r="F205" s="183">
        <f>IF($A$1="BL",0,'Peak Hours'!F205*Peak!L206*IS!$B$2)</f>
        <v>0</v>
      </c>
      <c r="G205" s="183">
        <f>IF($A$1="BL",0,'Peak Hours'!G205*Peak!M206*IS!$B$2)</f>
        <v>0</v>
      </c>
      <c r="H205" s="183">
        <f>IF($A$1="BL",0,'Peak Hours'!H205*Peak!N206*IS!$B$2)</f>
        <v>0</v>
      </c>
      <c r="I205" s="183">
        <f>IF($A$1="BL",0,'Peak Hours'!I205*Peak!O206*IS!$B$2)</f>
        <v>0</v>
      </c>
      <c r="J205" s="183">
        <f>IF($A$1="BL",0,'Peak Hours'!J205*Peak!P206*IS!$B$2)</f>
        <v>0</v>
      </c>
      <c r="K205" s="183">
        <f>IF($A$1="BL",0,'Peak Hours'!K205*Peak!Q206*IS!$B$2)</f>
        <v>0</v>
      </c>
      <c r="L205" s="183">
        <f>IF($A$1="BL",0,'Peak Hours'!L205*Peak!R206*IS!$B$2)</f>
        <v>0</v>
      </c>
      <c r="M205" s="183">
        <f>IF($A$1="BL",0,'Peak Hours'!M205*Peak!S206*IS!$B$2)</f>
        <v>0</v>
      </c>
      <c r="N205" s="183">
        <f>IF($A$1="BL",0,'Peak Hours'!N205*Peak!T206*IS!$B$2)</f>
        <v>0</v>
      </c>
      <c r="O205" s="183">
        <f>IF($A$1="BL",0,'Peak Hours'!O205*Peak!U206*IS!$B$2)</f>
        <v>0</v>
      </c>
      <c r="P205" s="183">
        <f>IF($A$1="BL",0,'Peak Hours'!P205*Peak!V206*IS!$B$2)</f>
        <v>0</v>
      </c>
      <c r="Q205" s="183">
        <f>IF($A$1="BL",0,'Peak Hours'!Q205*Peak!W206*IS!$B$2)</f>
        <v>0</v>
      </c>
      <c r="R205" s="183">
        <f>IF($A$1="BL",0,'Peak Hours'!R205*Peak!X206*IS!$B$2)</f>
        <v>0</v>
      </c>
      <c r="S205" s="183">
        <f>IF($A$1="BL",0,'Peak Hours'!S205*Peak!Y206*IS!$B$2)</f>
        <v>0</v>
      </c>
      <c r="T205" s="183">
        <f>IF($A$1="BL",0,'Peak Hours'!T205*Peak!Z206*IS!$B$2)</f>
        <v>0</v>
      </c>
      <c r="U205" s="183">
        <f>IF($A$1="BL",0,'Peak Hours'!U205*Peak!AA206*IS!$B$2)</f>
        <v>0</v>
      </c>
      <c r="V205" s="213"/>
      <c r="W205" s="211">
        <f>(IF($A$1="BL",0,Peak!C206*'Peak Hours'!V205*IS!$B$2))*-1</f>
        <v>0</v>
      </c>
      <c r="X205" s="213"/>
      <c r="Y205" s="211">
        <f>(IF($A$1="bl",0,Peak!D206*'Peak Hours'!V205*IS!$B$2))*-1</f>
        <v>0</v>
      </c>
      <c r="Z205" s="213"/>
      <c r="AA205" s="211">
        <f>(Peak!E206*'Peak Hours'!V205*IS!$B$2)*-1</f>
        <v>0</v>
      </c>
      <c r="AB205" s="210"/>
      <c r="AC205" s="211">
        <f>(Peak!F206*'Peak Hours'!V205*IS!$B$2)*-1</f>
        <v>0</v>
      </c>
      <c r="AD205" s="210"/>
    </row>
    <row r="206" spans="1:30" x14ac:dyDescent="0.2">
      <c r="A206" s="1">
        <f t="shared" si="3"/>
        <v>42501.732000000251</v>
      </c>
      <c r="B206" s="182">
        <f>IF($A$1="BL",0,'Peak Hours'!B206*Peak!H207*IS!$B$2)</f>
        <v>0</v>
      </c>
      <c r="C206" s="183">
        <f>IF($A$1="BL",0,'Peak Hours'!C206*Peak!I207*IS!$B$2)</f>
        <v>0</v>
      </c>
      <c r="D206" s="183">
        <f>IF($A$1="BL",0,'Peak Hours'!D206*Peak!J207*IS!$B$2)</f>
        <v>0</v>
      </c>
      <c r="E206" s="183">
        <f>IF($A$1="BL",0,'Peak Hours'!E206*Peak!K207*IS!$B$2)</f>
        <v>0</v>
      </c>
      <c r="F206" s="183">
        <f>IF($A$1="BL",0,'Peak Hours'!F206*Peak!L207*IS!$B$2)</f>
        <v>0</v>
      </c>
      <c r="G206" s="183">
        <f>IF($A$1="BL",0,'Peak Hours'!G206*Peak!M207*IS!$B$2)</f>
        <v>0</v>
      </c>
      <c r="H206" s="183">
        <f>IF($A$1="BL",0,'Peak Hours'!H206*Peak!N207*IS!$B$2)</f>
        <v>0</v>
      </c>
      <c r="I206" s="183">
        <f>IF($A$1="BL",0,'Peak Hours'!I206*Peak!O207*IS!$B$2)</f>
        <v>0</v>
      </c>
      <c r="J206" s="183">
        <f>IF($A$1="BL",0,'Peak Hours'!J206*Peak!P207*IS!$B$2)</f>
        <v>0</v>
      </c>
      <c r="K206" s="183">
        <f>IF($A$1="BL",0,'Peak Hours'!K206*Peak!Q207*IS!$B$2)</f>
        <v>0</v>
      </c>
      <c r="L206" s="183">
        <f>IF($A$1="BL",0,'Peak Hours'!L206*Peak!R207*IS!$B$2)</f>
        <v>0</v>
      </c>
      <c r="M206" s="183">
        <f>IF($A$1="BL",0,'Peak Hours'!M206*Peak!S207*IS!$B$2)</f>
        <v>0</v>
      </c>
      <c r="N206" s="183">
        <f>IF($A$1="BL",0,'Peak Hours'!N206*Peak!T207*IS!$B$2)</f>
        <v>0</v>
      </c>
      <c r="O206" s="183">
        <f>IF($A$1="BL",0,'Peak Hours'!O206*Peak!U207*IS!$B$2)</f>
        <v>0</v>
      </c>
      <c r="P206" s="183">
        <f>IF($A$1="BL",0,'Peak Hours'!P206*Peak!V207*IS!$B$2)</f>
        <v>0</v>
      </c>
      <c r="Q206" s="183">
        <f>IF($A$1="BL",0,'Peak Hours'!Q206*Peak!W207*IS!$B$2)</f>
        <v>0</v>
      </c>
      <c r="R206" s="183">
        <f>IF($A$1="BL",0,'Peak Hours'!R206*Peak!X207*IS!$B$2)</f>
        <v>0</v>
      </c>
      <c r="S206" s="183">
        <f>IF($A$1="BL",0,'Peak Hours'!S206*Peak!Y207*IS!$B$2)</f>
        <v>0</v>
      </c>
      <c r="T206" s="183">
        <f>IF($A$1="BL",0,'Peak Hours'!T206*Peak!Z207*IS!$B$2)</f>
        <v>0</v>
      </c>
      <c r="U206" s="183">
        <f>IF($A$1="BL",0,'Peak Hours'!U206*Peak!AA207*IS!$B$2)</f>
        <v>0</v>
      </c>
      <c r="V206" s="213"/>
      <c r="W206" s="211">
        <f>(IF($A$1="BL",0,Peak!C207*'Peak Hours'!V206*IS!$B$2))*-1</f>
        <v>0</v>
      </c>
      <c r="X206" s="213"/>
      <c r="Y206" s="211">
        <f>(IF($A$1="bl",0,Peak!D207*'Peak Hours'!V206*IS!$B$2))*-1</f>
        <v>0</v>
      </c>
      <c r="Z206" s="213"/>
      <c r="AA206" s="211">
        <f>(Peak!E207*'Peak Hours'!V206*IS!$B$2)*-1</f>
        <v>0</v>
      </c>
      <c r="AB206" s="210"/>
      <c r="AC206" s="211">
        <f>(Peak!F207*'Peak Hours'!V206*IS!$B$2)*-1</f>
        <v>0</v>
      </c>
      <c r="AD206" s="210"/>
    </row>
    <row r="207" spans="1:30" x14ac:dyDescent="0.2">
      <c r="A207" s="1">
        <f t="shared" si="3"/>
        <v>42532.149000000252</v>
      </c>
      <c r="B207" s="182">
        <f>IF($A$1="BL",0,'Peak Hours'!B207*Peak!H208*IS!$B$2)</f>
        <v>0</v>
      </c>
      <c r="C207" s="183">
        <f>IF($A$1="BL",0,'Peak Hours'!C207*Peak!I208*IS!$B$2)</f>
        <v>0</v>
      </c>
      <c r="D207" s="183">
        <f>IF($A$1="BL",0,'Peak Hours'!D207*Peak!J208*IS!$B$2)</f>
        <v>0</v>
      </c>
      <c r="E207" s="183">
        <f>IF($A$1="BL",0,'Peak Hours'!E207*Peak!K208*IS!$B$2)</f>
        <v>0</v>
      </c>
      <c r="F207" s="183">
        <f>IF($A$1="BL",0,'Peak Hours'!F207*Peak!L208*IS!$B$2)</f>
        <v>0</v>
      </c>
      <c r="G207" s="183">
        <f>IF($A$1="BL",0,'Peak Hours'!G207*Peak!M208*IS!$B$2)</f>
        <v>0</v>
      </c>
      <c r="H207" s="183">
        <f>IF($A$1="BL",0,'Peak Hours'!H207*Peak!N208*IS!$B$2)</f>
        <v>0</v>
      </c>
      <c r="I207" s="183">
        <f>IF($A$1="BL",0,'Peak Hours'!I207*Peak!O208*IS!$B$2)</f>
        <v>0</v>
      </c>
      <c r="J207" s="183">
        <f>IF($A$1="BL",0,'Peak Hours'!J207*Peak!P208*IS!$B$2)</f>
        <v>0</v>
      </c>
      <c r="K207" s="183">
        <f>IF($A$1="BL",0,'Peak Hours'!K207*Peak!Q208*IS!$B$2)</f>
        <v>0</v>
      </c>
      <c r="L207" s="183">
        <f>IF($A$1="BL",0,'Peak Hours'!L207*Peak!R208*IS!$B$2)</f>
        <v>0</v>
      </c>
      <c r="M207" s="183">
        <f>IF($A$1="BL",0,'Peak Hours'!M207*Peak!S208*IS!$B$2)</f>
        <v>0</v>
      </c>
      <c r="N207" s="183">
        <f>IF($A$1="BL",0,'Peak Hours'!N207*Peak!T208*IS!$B$2)</f>
        <v>0</v>
      </c>
      <c r="O207" s="183">
        <f>IF($A$1="BL",0,'Peak Hours'!O207*Peak!U208*IS!$B$2)</f>
        <v>0</v>
      </c>
      <c r="P207" s="183">
        <f>IF($A$1="BL",0,'Peak Hours'!P207*Peak!V208*IS!$B$2)</f>
        <v>0</v>
      </c>
      <c r="Q207" s="183">
        <f>IF($A$1="BL",0,'Peak Hours'!Q207*Peak!W208*IS!$B$2)</f>
        <v>0</v>
      </c>
      <c r="R207" s="183">
        <f>IF($A$1="BL",0,'Peak Hours'!R207*Peak!X208*IS!$B$2)</f>
        <v>0</v>
      </c>
      <c r="S207" s="183">
        <f>IF($A$1="BL",0,'Peak Hours'!S207*Peak!Y208*IS!$B$2)</f>
        <v>0</v>
      </c>
      <c r="T207" s="183">
        <f>IF($A$1="BL",0,'Peak Hours'!T207*Peak!Z208*IS!$B$2)</f>
        <v>0</v>
      </c>
      <c r="U207" s="183">
        <f>IF($A$1="BL",0,'Peak Hours'!U207*Peak!AA208*IS!$B$2)</f>
        <v>0</v>
      </c>
      <c r="V207" s="213"/>
      <c r="W207" s="211">
        <f>(IF($A$1="BL",0,Peak!C208*'Peak Hours'!V207*IS!$B$2))*-1</f>
        <v>0</v>
      </c>
      <c r="X207" s="213"/>
      <c r="Y207" s="211">
        <f>(IF($A$1="bl",0,Peak!D208*'Peak Hours'!V207*IS!$B$2))*-1</f>
        <v>0</v>
      </c>
      <c r="Z207" s="213"/>
      <c r="AA207" s="211">
        <f>(Peak!E208*'Peak Hours'!V207*IS!$B$2)*-1</f>
        <v>0</v>
      </c>
      <c r="AB207" s="210"/>
      <c r="AC207" s="211">
        <f>(Peak!F208*'Peak Hours'!V207*IS!$B$2)*-1</f>
        <v>0</v>
      </c>
      <c r="AD207" s="210"/>
    </row>
    <row r="208" spans="1:30" x14ac:dyDescent="0.2">
      <c r="A208" s="1">
        <f t="shared" si="3"/>
        <v>42562.566000000254</v>
      </c>
      <c r="B208" s="182">
        <f>IF($A$1="BL",0,'Peak Hours'!B208*Peak!H209*IS!$B$2)</f>
        <v>0</v>
      </c>
      <c r="C208" s="183">
        <f>IF($A$1="BL",0,'Peak Hours'!C208*Peak!I209*IS!$B$2)</f>
        <v>0</v>
      </c>
      <c r="D208" s="183">
        <f>IF($A$1="BL",0,'Peak Hours'!D208*Peak!J209*IS!$B$2)</f>
        <v>0</v>
      </c>
      <c r="E208" s="183">
        <f>IF($A$1="BL",0,'Peak Hours'!E208*Peak!K209*IS!$B$2)</f>
        <v>0</v>
      </c>
      <c r="F208" s="183">
        <f>IF($A$1="BL",0,'Peak Hours'!F208*Peak!L209*IS!$B$2)</f>
        <v>0</v>
      </c>
      <c r="G208" s="183">
        <f>IF($A$1="BL",0,'Peak Hours'!G208*Peak!M209*IS!$B$2)</f>
        <v>0</v>
      </c>
      <c r="H208" s="183">
        <f>IF($A$1="BL",0,'Peak Hours'!H208*Peak!N209*IS!$B$2)</f>
        <v>0</v>
      </c>
      <c r="I208" s="183">
        <f>IF($A$1="BL",0,'Peak Hours'!I208*Peak!O209*IS!$B$2)</f>
        <v>0</v>
      </c>
      <c r="J208" s="183">
        <f>IF($A$1="BL",0,'Peak Hours'!J208*Peak!P209*IS!$B$2)</f>
        <v>0</v>
      </c>
      <c r="K208" s="183">
        <f>IF($A$1="BL",0,'Peak Hours'!K208*Peak!Q209*IS!$B$2)</f>
        <v>0</v>
      </c>
      <c r="L208" s="183">
        <f>IF($A$1="BL",0,'Peak Hours'!L208*Peak!R209*IS!$B$2)</f>
        <v>0</v>
      </c>
      <c r="M208" s="183">
        <f>IF($A$1="BL",0,'Peak Hours'!M208*Peak!S209*IS!$B$2)</f>
        <v>0</v>
      </c>
      <c r="N208" s="183">
        <f>IF($A$1="BL",0,'Peak Hours'!N208*Peak!T209*IS!$B$2)</f>
        <v>0</v>
      </c>
      <c r="O208" s="183">
        <f>IF($A$1="BL",0,'Peak Hours'!O208*Peak!U209*IS!$B$2)</f>
        <v>0</v>
      </c>
      <c r="P208" s="183">
        <f>IF($A$1="BL",0,'Peak Hours'!P208*Peak!V209*IS!$B$2)</f>
        <v>0</v>
      </c>
      <c r="Q208" s="183">
        <f>IF($A$1="BL",0,'Peak Hours'!Q208*Peak!W209*IS!$B$2)</f>
        <v>0</v>
      </c>
      <c r="R208" s="183">
        <f>IF($A$1="BL",0,'Peak Hours'!R208*Peak!X209*IS!$B$2)</f>
        <v>0</v>
      </c>
      <c r="S208" s="183">
        <f>IF($A$1="BL",0,'Peak Hours'!S208*Peak!Y209*IS!$B$2)</f>
        <v>0</v>
      </c>
      <c r="T208" s="183">
        <f>IF($A$1="BL",0,'Peak Hours'!T208*Peak!Z209*IS!$B$2)</f>
        <v>0</v>
      </c>
      <c r="U208" s="183">
        <f>IF($A$1="BL",0,'Peak Hours'!U208*Peak!AA209*IS!$B$2)</f>
        <v>0</v>
      </c>
      <c r="V208" s="213"/>
      <c r="W208" s="211">
        <f>(IF($A$1="BL",0,Peak!C209*'Peak Hours'!V208*IS!$B$2))*-1</f>
        <v>0</v>
      </c>
      <c r="X208" s="213"/>
      <c r="Y208" s="211">
        <f>(IF($A$1="bl",0,Peak!D209*'Peak Hours'!V208*IS!$B$2))*-1</f>
        <v>0</v>
      </c>
      <c r="Z208" s="213"/>
      <c r="AA208" s="211">
        <f>(Peak!E209*'Peak Hours'!V208*IS!$B$2)*-1</f>
        <v>0</v>
      </c>
      <c r="AB208" s="210"/>
      <c r="AC208" s="211">
        <f>(Peak!F209*'Peak Hours'!V208*IS!$B$2)*-1</f>
        <v>0</v>
      </c>
      <c r="AD208" s="210"/>
    </row>
    <row r="209" spans="1:30" x14ac:dyDescent="0.2">
      <c r="A209" s="1">
        <f t="shared" si="3"/>
        <v>42592.983000000255</v>
      </c>
      <c r="B209" s="182">
        <f>IF($A$1="BL",0,'Peak Hours'!B209*Peak!H210*IS!$B$2)</f>
        <v>0</v>
      </c>
      <c r="C209" s="183">
        <f>IF($A$1="BL",0,'Peak Hours'!C209*Peak!I210*IS!$B$2)</f>
        <v>0</v>
      </c>
      <c r="D209" s="183">
        <f>IF($A$1="BL",0,'Peak Hours'!D209*Peak!J210*IS!$B$2)</f>
        <v>0</v>
      </c>
      <c r="E209" s="183">
        <f>IF($A$1="BL",0,'Peak Hours'!E209*Peak!K210*IS!$B$2)</f>
        <v>0</v>
      </c>
      <c r="F209" s="183">
        <f>IF($A$1="BL",0,'Peak Hours'!F209*Peak!L210*IS!$B$2)</f>
        <v>0</v>
      </c>
      <c r="G209" s="183">
        <f>IF($A$1="BL",0,'Peak Hours'!G209*Peak!M210*IS!$B$2)</f>
        <v>0</v>
      </c>
      <c r="H209" s="183">
        <f>IF($A$1="BL",0,'Peak Hours'!H209*Peak!N210*IS!$B$2)</f>
        <v>0</v>
      </c>
      <c r="I209" s="183">
        <f>IF($A$1="BL",0,'Peak Hours'!I209*Peak!O210*IS!$B$2)</f>
        <v>0</v>
      </c>
      <c r="J209" s="183">
        <f>IF($A$1="BL",0,'Peak Hours'!J209*Peak!P210*IS!$B$2)</f>
        <v>0</v>
      </c>
      <c r="K209" s="183">
        <f>IF($A$1="BL",0,'Peak Hours'!K209*Peak!Q210*IS!$B$2)</f>
        <v>0</v>
      </c>
      <c r="L209" s="183">
        <f>IF($A$1="BL",0,'Peak Hours'!L209*Peak!R210*IS!$B$2)</f>
        <v>0</v>
      </c>
      <c r="M209" s="183">
        <f>IF($A$1="BL",0,'Peak Hours'!M209*Peak!S210*IS!$B$2)</f>
        <v>0</v>
      </c>
      <c r="N209" s="183">
        <f>IF($A$1="BL",0,'Peak Hours'!N209*Peak!T210*IS!$B$2)</f>
        <v>0</v>
      </c>
      <c r="O209" s="183">
        <f>IF($A$1="BL",0,'Peak Hours'!O209*Peak!U210*IS!$B$2)</f>
        <v>0</v>
      </c>
      <c r="P209" s="183">
        <f>IF($A$1="BL",0,'Peak Hours'!P209*Peak!V210*IS!$B$2)</f>
        <v>0</v>
      </c>
      <c r="Q209" s="183">
        <f>IF($A$1="BL",0,'Peak Hours'!Q209*Peak!W210*IS!$B$2)</f>
        <v>0</v>
      </c>
      <c r="R209" s="183">
        <f>IF($A$1="BL",0,'Peak Hours'!R209*Peak!X210*IS!$B$2)</f>
        <v>0</v>
      </c>
      <c r="S209" s="183">
        <f>IF($A$1="BL",0,'Peak Hours'!S209*Peak!Y210*IS!$B$2)</f>
        <v>0</v>
      </c>
      <c r="T209" s="183">
        <f>IF($A$1="BL",0,'Peak Hours'!T209*Peak!Z210*IS!$B$2)</f>
        <v>0</v>
      </c>
      <c r="U209" s="183">
        <f>IF($A$1="BL",0,'Peak Hours'!U209*Peak!AA210*IS!$B$2)</f>
        <v>0</v>
      </c>
      <c r="V209" s="213"/>
      <c r="W209" s="211">
        <f>(IF($A$1="BL",0,Peak!C210*'Peak Hours'!V209*IS!$B$2))*-1</f>
        <v>0</v>
      </c>
      <c r="X209" s="213"/>
      <c r="Y209" s="211">
        <f>(IF($A$1="bl",0,Peak!D210*'Peak Hours'!V209*IS!$B$2))*-1</f>
        <v>0</v>
      </c>
      <c r="Z209" s="213"/>
      <c r="AA209" s="211">
        <f>(Peak!E210*'Peak Hours'!V209*IS!$B$2)*-1</f>
        <v>0</v>
      </c>
      <c r="AB209" s="210"/>
      <c r="AC209" s="211">
        <f>(Peak!F210*'Peak Hours'!V209*IS!$B$2)*-1</f>
        <v>0</v>
      </c>
      <c r="AD209" s="210"/>
    </row>
    <row r="210" spans="1:30" x14ac:dyDescent="0.2">
      <c r="A210" s="1">
        <f t="shared" si="3"/>
        <v>42623.400000000256</v>
      </c>
      <c r="B210" s="182">
        <f>IF($A$1="BL",0,'Peak Hours'!B210*Peak!H211*IS!$B$2)</f>
        <v>0</v>
      </c>
      <c r="C210" s="183">
        <f>IF($A$1="BL",0,'Peak Hours'!C210*Peak!I211*IS!$B$2)</f>
        <v>0</v>
      </c>
      <c r="D210" s="183">
        <f>IF($A$1="BL",0,'Peak Hours'!D210*Peak!J211*IS!$B$2)</f>
        <v>0</v>
      </c>
      <c r="E210" s="183">
        <f>IF($A$1="BL",0,'Peak Hours'!E210*Peak!K211*IS!$B$2)</f>
        <v>0</v>
      </c>
      <c r="F210" s="183">
        <f>IF($A$1="BL",0,'Peak Hours'!F210*Peak!L211*IS!$B$2)</f>
        <v>0</v>
      </c>
      <c r="G210" s="183">
        <f>IF($A$1="BL",0,'Peak Hours'!G210*Peak!M211*IS!$B$2)</f>
        <v>0</v>
      </c>
      <c r="H210" s="183">
        <f>IF($A$1="BL",0,'Peak Hours'!H210*Peak!N211*IS!$B$2)</f>
        <v>0</v>
      </c>
      <c r="I210" s="183">
        <f>IF($A$1="BL",0,'Peak Hours'!I210*Peak!O211*IS!$B$2)</f>
        <v>0</v>
      </c>
      <c r="J210" s="183">
        <f>IF($A$1="BL",0,'Peak Hours'!J210*Peak!P211*IS!$B$2)</f>
        <v>0</v>
      </c>
      <c r="K210" s="183">
        <f>IF($A$1="BL",0,'Peak Hours'!K210*Peak!Q211*IS!$B$2)</f>
        <v>0</v>
      </c>
      <c r="L210" s="183">
        <f>IF($A$1="BL",0,'Peak Hours'!L210*Peak!R211*IS!$B$2)</f>
        <v>0</v>
      </c>
      <c r="M210" s="183">
        <f>IF($A$1="BL",0,'Peak Hours'!M210*Peak!S211*IS!$B$2)</f>
        <v>0</v>
      </c>
      <c r="N210" s="183">
        <f>IF($A$1="BL",0,'Peak Hours'!N210*Peak!T211*IS!$B$2)</f>
        <v>0</v>
      </c>
      <c r="O210" s="183">
        <f>IF($A$1="BL",0,'Peak Hours'!O210*Peak!U211*IS!$B$2)</f>
        <v>0</v>
      </c>
      <c r="P210" s="183">
        <f>IF($A$1="BL",0,'Peak Hours'!P210*Peak!V211*IS!$B$2)</f>
        <v>0</v>
      </c>
      <c r="Q210" s="183">
        <f>IF($A$1="BL",0,'Peak Hours'!Q210*Peak!W211*IS!$B$2)</f>
        <v>0</v>
      </c>
      <c r="R210" s="183">
        <f>IF($A$1="BL",0,'Peak Hours'!R210*Peak!X211*IS!$B$2)</f>
        <v>0</v>
      </c>
      <c r="S210" s="183">
        <f>IF($A$1="BL",0,'Peak Hours'!S210*Peak!Y211*IS!$B$2)</f>
        <v>0</v>
      </c>
      <c r="T210" s="183">
        <f>IF($A$1="BL",0,'Peak Hours'!T210*Peak!Z211*IS!$B$2)</f>
        <v>0</v>
      </c>
      <c r="U210" s="183">
        <f>IF($A$1="BL",0,'Peak Hours'!U210*Peak!AA211*IS!$B$2)</f>
        <v>0</v>
      </c>
      <c r="V210" s="213"/>
      <c r="W210" s="211">
        <f>(IF($A$1="BL",0,Peak!C211*'Peak Hours'!V210*IS!$B$2))*-1</f>
        <v>0</v>
      </c>
      <c r="X210" s="213"/>
      <c r="Y210" s="211">
        <f>(IF($A$1="bl",0,Peak!D211*'Peak Hours'!V210*IS!$B$2))*-1</f>
        <v>0</v>
      </c>
      <c r="Z210" s="213"/>
      <c r="AA210" s="211">
        <f>(Peak!E211*'Peak Hours'!V210*IS!$B$2)*-1</f>
        <v>0</v>
      </c>
      <c r="AB210" s="210"/>
      <c r="AC210" s="211">
        <f>(Peak!F211*'Peak Hours'!V210*IS!$B$2)*-1</f>
        <v>0</v>
      </c>
      <c r="AD210" s="210"/>
    </row>
    <row r="211" spans="1:30" x14ac:dyDescent="0.2">
      <c r="A211" s="1">
        <f t="shared" si="3"/>
        <v>42653.817000000257</v>
      </c>
      <c r="B211" s="182">
        <f>IF($A$1="BL",0,'Peak Hours'!B211*Peak!H212*IS!$B$2)</f>
        <v>0</v>
      </c>
      <c r="C211" s="183">
        <f>IF($A$1="BL",0,'Peak Hours'!C211*Peak!I212*IS!$B$2)</f>
        <v>0</v>
      </c>
      <c r="D211" s="183">
        <f>IF($A$1="BL",0,'Peak Hours'!D211*Peak!J212*IS!$B$2)</f>
        <v>0</v>
      </c>
      <c r="E211" s="183">
        <f>IF($A$1="BL",0,'Peak Hours'!E211*Peak!K212*IS!$B$2)</f>
        <v>0</v>
      </c>
      <c r="F211" s="183">
        <f>IF($A$1="BL",0,'Peak Hours'!F211*Peak!L212*IS!$B$2)</f>
        <v>0</v>
      </c>
      <c r="G211" s="183">
        <f>IF($A$1="BL",0,'Peak Hours'!G211*Peak!M212*IS!$B$2)</f>
        <v>0</v>
      </c>
      <c r="H211" s="183">
        <f>IF($A$1="BL",0,'Peak Hours'!H211*Peak!N212*IS!$B$2)</f>
        <v>0</v>
      </c>
      <c r="I211" s="183">
        <f>IF($A$1="BL",0,'Peak Hours'!I211*Peak!O212*IS!$B$2)</f>
        <v>0</v>
      </c>
      <c r="J211" s="183">
        <f>IF($A$1="BL",0,'Peak Hours'!J211*Peak!P212*IS!$B$2)</f>
        <v>0</v>
      </c>
      <c r="K211" s="183">
        <f>IF($A$1="BL",0,'Peak Hours'!K211*Peak!Q212*IS!$B$2)</f>
        <v>0</v>
      </c>
      <c r="L211" s="183">
        <f>IF($A$1="BL",0,'Peak Hours'!L211*Peak!R212*IS!$B$2)</f>
        <v>0</v>
      </c>
      <c r="M211" s="183">
        <f>IF($A$1="BL",0,'Peak Hours'!M211*Peak!S212*IS!$B$2)</f>
        <v>0</v>
      </c>
      <c r="N211" s="183">
        <f>IF($A$1="BL",0,'Peak Hours'!N211*Peak!T212*IS!$B$2)</f>
        <v>0</v>
      </c>
      <c r="O211" s="183">
        <f>IF($A$1="BL",0,'Peak Hours'!O211*Peak!U212*IS!$B$2)</f>
        <v>0</v>
      </c>
      <c r="P211" s="183">
        <f>IF($A$1="BL",0,'Peak Hours'!P211*Peak!V212*IS!$B$2)</f>
        <v>0</v>
      </c>
      <c r="Q211" s="183">
        <f>IF($A$1="BL",0,'Peak Hours'!Q211*Peak!W212*IS!$B$2)</f>
        <v>0</v>
      </c>
      <c r="R211" s="183">
        <f>IF($A$1="BL",0,'Peak Hours'!R211*Peak!X212*IS!$B$2)</f>
        <v>0</v>
      </c>
      <c r="S211" s="183">
        <f>IF($A$1="BL",0,'Peak Hours'!S211*Peak!Y212*IS!$B$2)</f>
        <v>0</v>
      </c>
      <c r="T211" s="183">
        <f>IF($A$1="BL",0,'Peak Hours'!T211*Peak!Z212*IS!$B$2)</f>
        <v>0</v>
      </c>
      <c r="U211" s="183">
        <f>IF($A$1="BL",0,'Peak Hours'!U211*Peak!AA212*IS!$B$2)</f>
        <v>0</v>
      </c>
      <c r="V211" s="213"/>
      <c r="W211" s="211">
        <f>(IF($A$1="BL",0,Peak!C212*'Peak Hours'!V211*IS!$B$2))*-1</f>
        <v>0</v>
      </c>
      <c r="X211" s="213"/>
      <c r="Y211" s="211">
        <f>(IF($A$1="bl",0,Peak!D212*'Peak Hours'!V211*IS!$B$2))*-1</f>
        <v>0</v>
      </c>
      <c r="Z211" s="213"/>
      <c r="AA211" s="211">
        <f>(Peak!E212*'Peak Hours'!V211*IS!$B$2)*-1</f>
        <v>0</v>
      </c>
      <c r="AB211" s="210"/>
      <c r="AC211" s="211">
        <f>(Peak!F212*'Peak Hours'!V211*IS!$B$2)*-1</f>
        <v>0</v>
      </c>
      <c r="AD211" s="210"/>
    </row>
    <row r="212" spans="1:30" x14ac:dyDescent="0.2">
      <c r="A212" s="1">
        <f t="shared" si="3"/>
        <v>42684.234000000259</v>
      </c>
      <c r="B212" s="182">
        <f>IF($A$1="BL",0,'Peak Hours'!B212*Peak!H213*IS!$B$2)</f>
        <v>0</v>
      </c>
      <c r="C212" s="183">
        <f>IF($A$1="BL",0,'Peak Hours'!C212*Peak!I213*IS!$B$2)</f>
        <v>0</v>
      </c>
      <c r="D212" s="183">
        <f>IF($A$1="BL",0,'Peak Hours'!D212*Peak!J213*IS!$B$2)</f>
        <v>0</v>
      </c>
      <c r="E212" s="183">
        <f>IF($A$1="BL",0,'Peak Hours'!E212*Peak!K213*IS!$B$2)</f>
        <v>0</v>
      </c>
      <c r="F212" s="183">
        <f>IF($A$1="BL",0,'Peak Hours'!F212*Peak!L213*IS!$B$2)</f>
        <v>0</v>
      </c>
      <c r="G212" s="183">
        <f>IF($A$1="BL",0,'Peak Hours'!G212*Peak!M213*IS!$B$2)</f>
        <v>0</v>
      </c>
      <c r="H212" s="183">
        <f>IF($A$1="BL",0,'Peak Hours'!H212*Peak!N213*IS!$B$2)</f>
        <v>0</v>
      </c>
      <c r="I212" s="183">
        <f>IF($A$1="BL",0,'Peak Hours'!I212*Peak!O213*IS!$B$2)</f>
        <v>0</v>
      </c>
      <c r="J212" s="183">
        <f>IF($A$1="BL",0,'Peak Hours'!J212*Peak!P213*IS!$B$2)</f>
        <v>0</v>
      </c>
      <c r="K212" s="183">
        <f>IF($A$1="BL",0,'Peak Hours'!K212*Peak!Q213*IS!$B$2)</f>
        <v>0</v>
      </c>
      <c r="L212" s="183">
        <f>IF($A$1="BL",0,'Peak Hours'!L212*Peak!R213*IS!$B$2)</f>
        <v>0</v>
      </c>
      <c r="M212" s="183">
        <f>IF($A$1="BL",0,'Peak Hours'!M212*Peak!S213*IS!$B$2)</f>
        <v>0</v>
      </c>
      <c r="N212" s="183">
        <f>IF($A$1="BL",0,'Peak Hours'!N212*Peak!T213*IS!$B$2)</f>
        <v>0</v>
      </c>
      <c r="O212" s="183">
        <f>IF($A$1="BL",0,'Peak Hours'!O212*Peak!U213*IS!$B$2)</f>
        <v>0</v>
      </c>
      <c r="P212" s="183">
        <f>IF($A$1="BL",0,'Peak Hours'!P212*Peak!V213*IS!$B$2)</f>
        <v>0</v>
      </c>
      <c r="Q212" s="183">
        <f>IF($A$1="BL",0,'Peak Hours'!Q212*Peak!W213*IS!$B$2)</f>
        <v>0</v>
      </c>
      <c r="R212" s="183">
        <f>IF($A$1="BL",0,'Peak Hours'!R212*Peak!X213*IS!$B$2)</f>
        <v>0</v>
      </c>
      <c r="S212" s="183">
        <f>IF($A$1="BL",0,'Peak Hours'!S212*Peak!Y213*IS!$B$2)</f>
        <v>0</v>
      </c>
      <c r="T212" s="183">
        <f>IF($A$1="BL",0,'Peak Hours'!T212*Peak!Z213*IS!$B$2)</f>
        <v>0</v>
      </c>
      <c r="U212" s="183">
        <f>IF($A$1="BL",0,'Peak Hours'!U212*Peak!AA213*IS!$B$2)</f>
        <v>0</v>
      </c>
      <c r="V212" s="213"/>
      <c r="W212" s="211">
        <f>(IF($A$1="BL",0,Peak!C213*'Peak Hours'!V212*IS!$B$2))*-1</f>
        <v>0</v>
      </c>
      <c r="X212" s="213"/>
      <c r="Y212" s="211">
        <f>(IF($A$1="bl",0,Peak!D213*'Peak Hours'!V212*IS!$B$2))*-1</f>
        <v>0</v>
      </c>
      <c r="Z212" s="213"/>
      <c r="AA212" s="211">
        <f>(Peak!E213*'Peak Hours'!V212*IS!$B$2)*-1</f>
        <v>0</v>
      </c>
      <c r="AB212" s="210"/>
      <c r="AC212" s="211">
        <f>(Peak!F213*'Peak Hours'!V212*IS!$B$2)*-1</f>
        <v>0</v>
      </c>
      <c r="AD212" s="210"/>
    </row>
    <row r="213" spans="1:30" x14ac:dyDescent="0.2">
      <c r="A213" s="1">
        <f t="shared" si="3"/>
        <v>42714.65100000026</v>
      </c>
      <c r="B213" s="182">
        <f>IF($A$1="BL",0,'Peak Hours'!B213*Peak!H214*IS!$B$2)</f>
        <v>0</v>
      </c>
      <c r="C213" s="183">
        <f>IF($A$1="BL",0,'Peak Hours'!C213*Peak!I214*IS!$B$2)</f>
        <v>0</v>
      </c>
      <c r="D213" s="183">
        <f>IF($A$1="BL",0,'Peak Hours'!D213*Peak!J214*IS!$B$2)</f>
        <v>0</v>
      </c>
      <c r="E213" s="183">
        <f>IF($A$1="BL",0,'Peak Hours'!E213*Peak!K214*IS!$B$2)</f>
        <v>0</v>
      </c>
      <c r="F213" s="183">
        <f>IF($A$1="BL",0,'Peak Hours'!F213*Peak!L214*IS!$B$2)</f>
        <v>0</v>
      </c>
      <c r="G213" s="183">
        <f>IF($A$1="BL",0,'Peak Hours'!G213*Peak!M214*IS!$B$2)</f>
        <v>0</v>
      </c>
      <c r="H213" s="183">
        <f>IF($A$1="BL",0,'Peak Hours'!H213*Peak!N214*IS!$B$2)</f>
        <v>0</v>
      </c>
      <c r="I213" s="183">
        <f>IF($A$1="BL",0,'Peak Hours'!I213*Peak!O214*IS!$B$2)</f>
        <v>0</v>
      </c>
      <c r="J213" s="183">
        <f>IF($A$1="BL",0,'Peak Hours'!J213*Peak!P214*IS!$B$2)</f>
        <v>0</v>
      </c>
      <c r="K213" s="183">
        <f>IF($A$1="BL",0,'Peak Hours'!K213*Peak!Q214*IS!$B$2)</f>
        <v>0</v>
      </c>
      <c r="L213" s="183">
        <f>IF($A$1="BL",0,'Peak Hours'!L213*Peak!R214*IS!$B$2)</f>
        <v>0</v>
      </c>
      <c r="M213" s="183">
        <f>IF($A$1="BL",0,'Peak Hours'!M213*Peak!S214*IS!$B$2)</f>
        <v>0</v>
      </c>
      <c r="N213" s="183">
        <f>IF($A$1="BL",0,'Peak Hours'!N213*Peak!T214*IS!$B$2)</f>
        <v>0</v>
      </c>
      <c r="O213" s="183">
        <f>IF($A$1="BL",0,'Peak Hours'!O213*Peak!U214*IS!$B$2)</f>
        <v>0</v>
      </c>
      <c r="P213" s="183">
        <f>IF($A$1="BL",0,'Peak Hours'!P213*Peak!V214*IS!$B$2)</f>
        <v>0</v>
      </c>
      <c r="Q213" s="183">
        <f>IF($A$1="BL",0,'Peak Hours'!Q213*Peak!W214*IS!$B$2)</f>
        <v>0</v>
      </c>
      <c r="R213" s="183">
        <f>IF($A$1="BL",0,'Peak Hours'!R213*Peak!X214*IS!$B$2)</f>
        <v>0</v>
      </c>
      <c r="S213" s="183">
        <f>IF($A$1="BL",0,'Peak Hours'!S213*Peak!Y214*IS!$B$2)</f>
        <v>0</v>
      </c>
      <c r="T213" s="183">
        <f>IF($A$1="BL",0,'Peak Hours'!T213*Peak!Z214*IS!$B$2)</f>
        <v>0</v>
      </c>
      <c r="U213" s="183">
        <f>IF($A$1="BL",0,'Peak Hours'!U213*Peak!AA214*IS!$B$2)</f>
        <v>0</v>
      </c>
      <c r="V213" s="214">
        <f>SUM(B202:U213)</f>
        <v>0</v>
      </c>
      <c r="W213" s="211">
        <f>(IF($A$1="BL",0,Peak!C214*'Peak Hours'!V213*IS!$B$2))*-1</f>
        <v>0</v>
      </c>
      <c r="X213" s="214">
        <f>SUM(W202:W213)</f>
        <v>0</v>
      </c>
      <c r="Y213" s="211">
        <f>(IF($A$1="bl",0,Peak!D214*'Peak Hours'!V213*IS!$B$2))*-1</f>
        <v>0</v>
      </c>
      <c r="Z213" s="214">
        <f>SUM(Y202:Y213)</f>
        <v>0</v>
      </c>
      <c r="AA213" s="211">
        <f>(Peak!E214*'Peak Hours'!V213*IS!$B$2)*-1</f>
        <v>0</v>
      </c>
      <c r="AB213" s="211">
        <f>SUM(AA202:AA213)</f>
        <v>0</v>
      </c>
      <c r="AC213" s="211">
        <f>(Peak!F214*'Peak Hours'!V213*IS!$B$2)*-1</f>
        <v>0</v>
      </c>
      <c r="AD213" s="211">
        <f>SUM(AC202:AC213)</f>
        <v>0</v>
      </c>
    </row>
    <row r="214" spans="1:30" x14ac:dyDescent="0.2">
      <c r="A214" s="1">
        <f t="shared" si="3"/>
        <v>42745.068000000261</v>
      </c>
      <c r="B214" s="182">
        <f>IF($A$1="BL",0,'Peak Hours'!B214*Peak!H215*IS!$B$2)</f>
        <v>0</v>
      </c>
      <c r="C214" s="183">
        <f>IF($A$1="BL",0,'Peak Hours'!C214*Peak!I215*IS!$B$2)</f>
        <v>0</v>
      </c>
      <c r="D214" s="183">
        <f>IF($A$1="BL",0,'Peak Hours'!D214*Peak!J215*IS!$B$2)</f>
        <v>0</v>
      </c>
      <c r="E214" s="183">
        <f>IF($A$1="BL",0,'Peak Hours'!E214*Peak!K215*IS!$B$2)</f>
        <v>0</v>
      </c>
      <c r="F214" s="183">
        <f>IF($A$1="BL",0,'Peak Hours'!F214*Peak!L215*IS!$B$2)</f>
        <v>0</v>
      </c>
      <c r="G214" s="183">
        <f>IF($A$1="BL",0,'Peak Hours'!G214*Peak!M215*IS!$B$2)</f>
        <v>0</v>
      </c>
      <c r="H214" s="183">
        <f>IF($A$1="BL",0,'Peak Hours'!H214*Peak!N215*IS!$B$2)</f>
        <v>0</v>
      </c>
      <c r="I214" s="183">
        <f>IF($A$1="BL",0,'Peak Hours'!I214*Peak!O215*IS!$B$2)</f>
        <v>0</v>
      </c>
      <c r="J214" s="183">
        <f>IF($A$1="BL",0,'Peak Hours'!J214*Peak!P215*IS!$B$2)</f>
        <v>0</v>
      </c>
      <c r="K214" s="183">
        <f>IF($A$1="BL",0,'Peak Hours'!K214*Peak!Q215*IS!$B$2)</f>
        <v>0</v>
      </c>
      <c r="L214" s="183">
        <f>IF($A$1="BL",0,'Peak Hours'!L214*Peak!R215*IS!$B$2)</f>
        <v>0</v>
      </c>
      <c r="M214" s="183">
        <f>IF($A$1="BL",0,'Peak Hours'!M214*Peak!S215*IS!$B$2)</f>
        <v>0</v>
      </c>
      <c r="N214" s="183">
        <f>IF($A$1="BL",0,'Peak Hours'!N214*Peak!T215*IS!$B$2)</f>
        <v>0</v>
      </c>
      <c r="O214" s="183">
        <f>IF($A$1="BL",0,'Peak Hours'!O214*Peak!U215*IS!$B$2)</f>
        <v>0</v>
      </c>
      <c r="P214" s="183">
        <f>IF($A$1="BL",0,'Peak Hours'!P214*Peak!V215*IS!$B$2)</f>
        <v>0</v>
      </c>
      <c r="Q214" s="183">
        <f>IF($A$1="BL",0,'Peak Hours'!Q214*Peak!W215*IS!$B$2)</f>
        <v>0</v>
      </c>
      <c r="R214" s="183">
        <f>IF($A$1="BL",0,'Peak Hours'!R214*Peak!X215*IS!$B$2)</f>
        <v>0</v>
      </c>
      <c r="S214" s="183">
        <f>IF($A$1="BL",0,'Peak Hours'!S214*Peak!Y215*IS!$B$2)</f>
        <v>0</v>
      </c>
      <c r="T214" s="183">
        <f>IF($A$1="BL",0,'Peak Hours'!T214*Peak!Z215*IS!$B$2)</f>
        <v>0</v>
      </c>
      <c r="U214" s="183">
        <f>IF($A$1="BL",0,'Peak Hours'!U214*Peak!AA215*IS!$B$2)</f>
        <v>0</v>
      </c>
      <c r="V214" s="213"/>
      <c r="W214" s="211">
        <f>(IF($A$1="BL",0,Peak!C215*'Peak Hours'!V214*IS!$B$2))*-1</f>
        <v>0</v>
      </c>
      <c r="X214" s="213"/>
      <c r="Y214" s="211">
        <f>(IF($A$1="bl",0,Peak!D215*'Peak Hours'!V214*IS!$B$2))*-1</f>
        <v>0</v>
      </c>
      <c r="Z214" s="213"/>
      <c r="AA214" s="211">
        <f>(Peak!E215*'Peak Hours'!V214*IS!$B$2)*-1</f>
        <v>0</v>
      </c>
      <c r="AB214" s="210"/>
      <c r="AC214" s="211">
        <f>(Peak!F215*'Peak Hours'!V214*IS!$B$2)*-1</f>
        <v>0</v>
      </c>
      <c r="AD214" s="210"/>
    </row>
    <row r="215" spans="1:30" x14ac:dyDescent="0.2">
      <c r="A215" s="1">
        <f t="shared" si="3"/>
        <v>42775.485000000263</v>
      </c>
      <c r="B215" s="182">
        <f>IF($A$1="BL",0,'Peak Hours'!B215*Peak!H216*IS!$B$2)</f>
        <v>0</v>
      </c>
      <c r="C215" s="183">
        <f>IF($A$1="BL",0,'Peak Hours'!C215*Peak!I216*IS!$B$2)</f>
        <v>0</v>
      </c>
      <c r="D215" s="183">
        <f>IF($A$1="BL",0,'Peak Hours'!D215*Peak!J216*IS!$B$2)</f>
        <v>0</v>
      </c>
      <c r="E215" s="183">
        <f>IF($A$1="BL",0,'Peak Hours'!E215*Peak!K216*IS!$B$2)</f>
        <v>0</v>
      </c>
      <c r="F215" s="183">
        <f>IF($A$1="BL",0,'Peak Hours'!F215*Peak!L216*IS!$B$2)</f>
        <v>0</v>
      </c>
      <c r="G215" s="183">
        <f>IF($A$1="BL",0,'Peak Hours'!G215*Peak!M216*IS!$B$2)</f>
        <v>0</v>
      </c>
      <c r="H215" s="183">
        <f>IF($A$1="BL",0,'Peak Hours'!H215*Peak!N216*IS!$B$2)</f>
        <v>0</v>
      </c>
      <c r="I215" s="183">
        <f>IF($A$1="BL",0,'Peak Hours'!I215*Peak!O216*IS!$B$2)</f>
        <v>0</v>
      </c>
      <c r="J215" s="183">
        <f>IF($A$1="BL",0,'Peak Hours'!J215*Peak!P216*IS!$B$2)</f>
        <v>0</v>
      </c>
      <c r="K215" s="183">
        <f>IF($A$1="BL",0,'Peak Hours'!K215*Peak!Q216*IS!$B$2)</f>
        <v>0</v>
      </c>
      <c r="L215" s="183">
        <f>IF($A$1="BL",0,'Peak Hours'!L215*Peak!R216*IS!$B$2)</f>
        <v>0</v>
      </c>
      <c r="M215" s="183">
        <f>IF($A$1="BL",0,'Peak Hours'!M215*Peak!S216*IS!$B$2)</f>
        <v>0</v>
      </c>
      <c r="N215" s="183">
        <f>IF($A$1="BL",0,'Peak Hours'!N215*Peak!T216*IS!$B$2)</f>
        <v>0</v>
      </c>
      <c r="O215" s="183">
        <f>IF($A$1="BL",0,'Peak Hours'!O215*Peak!U216*IS!$B$2)</f>
        <v>0</v>
      </c>
      <c r="P215" s="183">
        <f>IF($A$1="BL",0,'Peak Hours'!P215*Peak!V216*IS!$B$2)</f>
        <v>0</v>
      </c>
      <c r="Q215" s="183">
        <f>IF($A$1="BL",0,'Peak Hours'!Q215*Peak!W216*IS!$B$2)</f>
        <v>0</v>
      </c>
      <c r="R215" s="183">
        <f>IF($A$1="BL",0,'Peak Hours'!R215*Peak!X216*IS!$B$2)</f>
        <v>0</v>
      </c>
      <c r="S215" s="183">
        <f>IF($A$1="BL",0,'Peak Hours'!S215*Peak!Y216*IS!$B$2)</f>
        <v>0</v>
      </c>
      <c r="T215" s="183">
        <f>IF($A$1="BL",0,'Peak Hours'!T215*Peak!Z216*IS!$B$2)</f>
        <v>0</v>
      </c>
      <c r="U215" s="183">
        <f>IF($A$1="BL",0,'Peak Hours'!U215*Peak!AA216*IS!$B$2)</f>
        <v>0</v>
      </c>
      <c r="V215" s="213"/>
      <c r="W215" s="211">
        <f>(IF($A$1="BL",0,Peak!C216*'Peak Hours'!V215*IS!$B$2))*-1</f>
        <v>0</v>
      </c>
      <c r="X215" s="213"/>
      <c r="Y215" s="211">
        <f>(IF($A$1="bl",0,Peak!D216*'Peak Hours'!V215*IS!$B$2))*-1</f>
        <v>0</v>
      </c>
      <c r="Z215" s="213"/>
      <c r="AA215" s="211">
        <f>(Peak!E216*'Peak Hours'!V215*IS!$B$2)*-1</f>
        <v>0</v>
      </c>
      <c r="AB215" s="210"/>
      <c r="AC215" s="211">
        <f>(Peak!F216*'Peak Hours'!V215*IS!$B$2)*-1</f>
        <v>0</v>
      </c>
      <c r="AD215" s="210"/>
    </row>
    <row r="216" spans="1:30" x14ac:dyDescent="0.2">
      <c r="A216" s="1">
        <f t="shared" si="3"/>
        <v>42805.902000000264</v>
      </c>
      <c r="B216" s="182">
        <f>IF($A$1="BL",0,'Peak Hours'!B216*Peak!H217*IS!$B$2)</f>
        <v>0</v>
      </c>
      <c r="C216" s="183">
        <f>IF($A$1="BL",0,'Peak Hours'!C216*Peak!I217*IS!$B$2)</f>
        <v>0</v>
      </c>
      <c r="D216" s="183">
        <f>IF($A$1="BL",0,'Peak Hours'!D216*Peak!J217*IS!$B$2)</f>
        <v>0</v>
      </c>
      <c r="E216" s="183">
        <f>IF($A$1="BL",0,'Peak Hours'!E216*Peak!K217*IS!$B$2)</f>
        <v>0</v>
      </c>
      <c r="F216" s="183">
        <f>IF($A$1="BL",0,'Peak Hours'!F216*Peak!L217*IS!$B$2)</f>
        <v>0</v>
      </c>
      <c r="G216" s="183">
        <f>IF($A$1="BL",0,'Peak Hours'!G216*Peak!M217*IS!$B$2)</f>
        <v>0</v>
      </c>
      <c r="H216" s="183">
        <f>IF($A$1="BL",0,'Peak Hours'!H216*Peak!N217*IS!$B$2)</f>
        <v>0</v>
      </c>
      <c r="I216" s="183">
        <f>IF($A$1="BL",0,'Peak Hours'!I216*Peak!O217*IS!$B$2)</f>
        <v>0</v>
      </c>
      <c r="J216" s="183">
        <f>IF($A$1="BL",0,'Peak Hours'!J216*Peak!P217*IS!$B$2)</f>
        <v>0</v>
      </c>
      <c r="K216" s="183">
        <f>IF($A$1="BL",0,'Peak Hours'!K216*Peak!Q217*IS!$B$2)</f>
        <v>0</v>
      </c>
      <c r="L216" s="183">
        <f>IF($A$1="BL",0,'Peak Hours'!L216*Peak!R217*IS!$B$2)</f>
        <v>0</v>
      </c>
      <c r="M216" s="183">
        <f>IF($A$1="BL",0,'Peak Hours'!M216*Peak!S217*IS!$B$2)</f>
        <v>0</v>
      </c>
      <c r="N216" s="183">
        <f>IF($A$1="BL",0,'Peak Hours'!N216*Peak!T217*IS!$B$2)</f>
        <v>0</v>
      </c>
      <c r="O216" s="183">
        <f>IF($A$1="BL",0,'Peak Hours'!O216*Peak!U217*IS!$B$2)</f>
        <v>0</v>
      </c>
      <c r="P216" s="183">
        <f>IF($A$1="BL",0,'Peak Hours'!P216*Peak!V217*IS!$B$2)</f>
        <v>0</v>
      </c>
      <c r="Q216" s="183">
        <f>IF($A$1="BL",0,'Peak Hours'!Q216*Peak!W217*IS!$B$2)</f>
        <v>0</v>
      </c>
      <c r="R216" s="183">
        <f>IF($A$1="BL",0,'Peak Hours'!R216*Peak!X217*IS!$B$2)</f>
        <v>0</v>
      </c>
      <c r="S216" s="183">
        <f>IF($A$1="BL",0,'Peak Hours'!S216*Peak!Y217*IS!$B$2)</f>
        <v>0</v>
      </c>
      <c r="T216" s="183">
        <f>IF($A$1="BL",0,'Peak Hours'!T216*Peak!Z217*IS!$B$2)</f>
        <v>0</v>
      </c>
      <c r="U216" s="183">
        <f>IF($A$1="BL",0,'Peak Hours'!U216*Peak!AA217*IS!$B$2)</f>
        <v>0</v>
      </c>
      <c r="V216" s="213"/>
      <c r="W216" s="211">
        <f>(IF($A$1="BL",0,Peak!C217*'Peak Hours'!V216*IS!$B$2))*-1</f>
        <v>0</v>
      </c>
      <c r="X216" s="213"/>
      <c r="Y216" s="211">
        <f>(IF($A$1="bl",0,Peak!D217*'Peak Hours'!V216*IS!$B$2))*-1</f>
        <v>0</v>
      </c>
      <c r="Z216" s="213"/>
      <c r="AA216" s="211">
        <f>(Peak!E217*'Peak Hours'!V216*IS!$B$2)*-1</f>
        <v>0</v>
      </c>
      <c r="AB216" s="210"/>
      <c r="AC216" s="211">
        <f>(Peak!F217*'Peak Hours'!V216*IS!$B$2)*-1</f>
        <v>0</v>
      </c>
      <c r="AD216" s="210"/>
    </row>
    <row r="217" spans="1:30" x14ac:dyDescent="0.2">
      <c r="A217" s="1">
        <f t="shared" si="3"/>
        <v>42836.319000000265</v>
      </c>
      <c r="B217" s="182">
        <f>IF($A$1="BL",0,'Peak Hours'!B217*Peak!H218*IS!$B$2)</f>
        <v>0</v>
      </c>
      <c r="C217" s="183">
        <f>IF($A$1="BL",0,'Peak Hours'!C217*Peak!I218*IS!$B$2)</f>
        <v>0</v>
      </c>
      <c r="D217" s="183">
        <f>IF($A$1="BL",0,'Peak Hours'!D217*Peak!J218*IS!$B$2)</f>
        <v>0</v>
      </c>
      <c r="E217" s="183">
        <f>IF($A$1="BL",0,'Peak Hours'!E217*Peak!K218*IS!$B$2)</f>
        <v>0</v>
      </c>
      <c r="F217" s="183">
        <f>IF($A$1="BL",0,'Peak Hours'!F217*Peak!L218*IS!$B$2)</f>
        <v>0</v>
      </c>
      <c r="G217" s="183">
        <f>IF($A$1="BL",0,'Peak Hours'!G217*Peak!M218*IS!$B$2)</f>
        <v>0</v>
      </c>
      <c r="H217" s="183">
        <f>IF($A$1="BL",0,'Peak Hours'!H217*Peak!N218*IS!$B$2)</f>
        <v>0</v>
      </c>
      <c r="I217" s="183">
        <f>IF($A$1="BL",0,'Peak Hours'!I217*Peak!O218*IS!$B$2)</f>
        <v>0</v>
      </c>
      <c r="J217" s="183">
        <f>IF($A$1="BL",0,'Peak Hours'!J217*Peak!P218*IS!$B$2)</f>
        <v>0</v>
      </c>
      <c r="K217" s="183">
        <f>IF($A$1="BL",0,'Peak Hours'!K217*Peak!Q218*IS!$B$2)</f>
        <v>0</v>
      </c>
      <c r="L217" s="183">
        <f>IF($A$1="BL",0,'Peak Hours'!L217*Peak!R218*IS!$B$2)</f>
        <v>0</v>
      </c>
      <c r="M217" s="183">
        <f>IF($A$1="BL",0,'Peak Hours'!M217*Peak!S218*IS!$B$2)</f>
        <v>0</v>
      </c>
      <c r="N217" s="183">
        <f>IF($A$1="BL",0,'Peak Hours'!N217*Peak!T218*IS!$B$2)</f>
        <v>0</v>
      </c>
      <c r="O217" s="183">
        <f>IF($A$1="BL",0,'Peak Hours'!O217*Peak!U218*IS!$B$2)</f>
        <v>0</v>
      </c>
      <c r="P217" s="183">
        <f>IF($A$1="BL",0,'Peak Hours'!P217*Peak!V218*IS!$B$2)</f>
        <v>0</v>
      </c>
      <c r="Q217" s="183">
        <f>IF($A$1="BL",0,'Peak Hours'!Q217*Peak!W218*IS!$B$2)</f>
        <v>0</v>
      </c>
      <c r="R217" s="183">
        <f>IF($A$1="BL",0,'Peak Hours'!R217*Peak!X218*IS!$B$2)</f>
        <v>0</v>
      </c>
      <c r="S217" s="183">
        <f>IF($A$1="BL",0,'Peak Hours'!S217*Peak!Y218*IS!$B$2)</f>
        <v>0</v>
      </c>
      <c r="T217" s="183">
        <f>IF($A$1="BL",0,'Peak Hours'!T217*Peak!Z218*IS!$B$2)</f>
        <v>0</v>
      </c>
      <c r="U217" s="183">
        <f>IF($A$1="BL",0,'Peak Hours'!U217*Peak!AA218*IS!$B$2)</f>
        <v>0</v>
      </c>
      <c r="V217" s="213"/>
      <c r="W217" s="211">
        <f>(IF($A$1="BL",0,Peak!C218*'Peak Hours'!V217*IS!$B$2))*-1</f>
        <v>0</v>
      </c>
      <c r="X217" s="213"/>
      <c r="Y217" s="211">
        <f>(IF($A$1="bl",0,Peak!D218*'Peak Hours'!V217*IS!$B$2))*-1</f>
        <v>0</v>
      </c>
      <c r="Z217" s="213"/>
      <c r="AA217" s="211">
        <f>(Peak!E218*'Peak Hours'!V217*IS!$B$2)*-1</f>
        <v>0</v>
      </c>
      <c r="AB217" s="210"/>
      <c r="AC217" s="211">
        <f>(Peak!F218*'Peak Hours'!V217*IS!$B$2)*-1</f>
        <v>0</v>
      </c>
      <c r="AD217" s="210"/>
    </row>
    <row r="218" spans="1:30" x14ac:dyDescent="0.2">
      <c r="A218" s="1">
        <f t="shared" si="3"/>
        <v>42866.736000000266</v>
      </c>
      <c r="B218" s="182">
        <f>IF($A$1="BL",0,'Peak Hours'!B218*Peak!H219*IS!$B$2)</f>
        <v>0</v>
      </c>
      <c r="C218" s="183">
        <f>IF($A$1="BL",0,'Peak Hours'!C218*Peak!I219*IS!$B$2)</f>
        <v>0</v>
      </c>
      <c r="D218" s="183">
        <f>IF($A$1="BL",0,'Peak Hours'!D218*Peak!J219*IS!$B$2)</f>
        <v>0</v>
      </c>
      <c r="E218" s="183">
        <f>IF($A$1="BL",0,'Peak Hours'!E218*Peak!K219*IS!$B$2)</f>
        <v>0</v>
      </c>
      <c r="F218" s="183">
        <f>IF($A$1="BL",0,'Peak Hours'!F218*Peak!L219*IS!$B$2)</f>
        <v>0</v>
      </c>
      <c r="G218" s="183">
        <f>IF($A$1="BL",0,'Peak Hours'!G218*Peak!M219*IS!$B$2)</f>
        <v>0</v>
      </c>
      <c r="H218" s="183">
        <f>IF($A$1="BL",0,'Peak Hours'!H218*Peak!N219*IS!$B$2)</f>
        <v>0</v>
      </c>
      <c r="I218" s="183">
        <f>IF($A$1="BL",0,'Peak Hours'!I218*Peak!O219*IS!$B$2)</f>
        <v>0</v>
      </c>
      <c r="J218" s="183">
        <f>IF($A$1="BL",0,'Peak Hours'!J218*Peak!P219*IS!$B$2)</f>
        <v>0</v>
      </c>
      <c r="K218" s="183">
        <f>IF($A$1="BL",0,'Peak Hours'!K218*Peak!Q219*IS!$B$2)</f>
        <v>0</v>
      </c>
      <c r="L218" s="183">
        <f>IF($A$1="BL",0,'Peak Hours'!L218*Peak!R219*IS!$B$2)</f>
        <v>0</v>
      </c>
      <c r="M218" s="183">
        <f>IF($A$1="BL",0,'Peak Hours'!M218*Peak!S219*IS!$B$2)</f>
        <v>0</v>
      </c>
      <c r="N218" s="183">
        <f>IF($A$1="BL",0,'Peak Hours'!N218*Peak!T219*IS!$B$2)</f>
        <v>0</v>
      </c>
      <c r="O218" s="183">
        <f>IF($A$1="BL",0,'Peak Hours'!O218*Peak!U219*IS!$B$2)</f>
        <v>0</v>
      </c>
      <c r="P218" s="183">
        <f>IF($A$1="BL",0,'Peak Hours'!P218*Peak!V219*IS!$B$2)</f>
        <v>0</v>
      </c>
      <c r="Q218" s="183">
        <f>IF($A$1="BL",0,'Peak Hours'!Q218*Peak!W219*IS!$B$2)</f>
        <v>0</v>
      </c>
      <c r="R218" s="183">
        <f>IF($A$1="BL",0,'Peak Hours'!R218*Peak!X219*IS!$B$2)</f>
        <v>0</v>
      </c>
      <c r="S218" s="183">
        <f>IF($A$1="BL",0,'Peak Hours'!S218*Peak!Y219*IS!$B$2)</f>
        <v>0</v>
      </c>
      <c r="T218" s="183">
        <f>IF($A$1="BL",0,'Peak Hours'!T218*Peak!Z219*IS!$B$2)</f>
        <v>0</v>
      </c>
      <c r="U218" s="183">
        <f>IF($A$1="BL",0,'Peak Hours'!U218*Peak!AA219*IS!$B$2)</f>
        <v>0</v>
      </c>
      <c r="V218" s="213"/>
      <c r="W218" s="211">
        <f>(IF($A$1="BL",0,Peak!C219*'Peak Hours'!V218*IS!$B$2))*-1</f>
        <v>0</v>
      </c>
      <c r="X218" s="213"/>
      <c r="Y218" s="211">
        <f>(IF($A$1="bl",0,Peak!D219*'Peak Hours'!V218*IS!$B$2))*-1</f>
        <v>0</v>
      </c>
      <c r="Z218" s="213"/>
      <c r="AA218" s="211">
        <f>(Peak!E219*'Peak Hours'!V218*IS!$B$2)*-1</f>
        <v>0</v>
      </c>
      <c r="AB218" s="210"/>
      <c r="AC218" s="211">
        <f>(Peak!F219*'Peak Hours'!V218*IS!$B$2)*-1</f>
        <v>0</v>
      </c>
      <c r="AD218" s="210"/>
    </row>
    <row r="219" spans="1:30" x14ac:dyDescent="0.2">
      <c r="A219" s="1">
        <f t="shared" si="3"/>
        <v>42897.153000000268</v>
      </c>
      <c r="B219" s="182">
        <f>IF($A$1="BL",0,'Peak Hours'!B219*Peak!H220*IS!$B$2)</f>
        <v>0</v>
      </c>
      <c r="C219" s="183">
        <f>IF($A$1="BL",0,'Peak Hours'!C219*Peak!I220*IS!$B$2)</f>
        <v>0</v>
      </c>
      <c r="D219" s="183">
        <f>IF($A$1="BL",0,'Peak Hours'!D219*Peak!J220*IS!$B$2)</f>
        <v>0</v>
      </c>
      <c r="E219" s="183">
        <f>IF($A$1="BL",0,'Peak Hours'!E219*Peak!K220*IS!$B$2)</f>
        <v>0</v>
      </c>
      <c r="F219" s="183">
        <f>IF($A$1="BL",0,'Peak Hours'!F219*Peak!L220*IS!$B$2)</f>
        <v>0</v>
      </c>
      <c r="G219" s="183">
        <f>IF($A$1="BL",0,'Peak Hours'!G219*Peak!M220*IS!$B$2)</f>
        <v>0</v>
      </c>
      <c r="H219" s="183">
        <f>IF($A$1="BL",0,'Peak Hours'!H219*Peak!N220*IS!$B$2)</f>
        <v>0</v>
      </c>
      <c r="I219" s="183">
        <f>IF($A$1="BL",0,'Peak Hours'!I219*Peak!O220*IS!$B$2)</f>
        <v>0</v>
      </c>
      <c r="J219" s="183">
        <f>IF($A$1="BL",0,'Peak Hours'!J219*Peak!P220*IS!$B$2)</f>
        <v>0</v>
      </c>
      <c r="K219" s="183">
        <f>IF($A$1="BL",0,'Peak Hours'!K219*Peak!Q220*IS!$B$2)</f>
        <v>0</v>
      </c>
      <c r="L219" s="183">
        <f>IF($A$1="BL",0,'Peak Hours'!L219*Peak!R220*IS!$B$2)</f>
        <v>0</v>
      </c>
      <c r="M219" s="183">
        <f>IF($A$1="BL",0,'Peak Hours'!M219*Peak!S220*IS!$B$2)</f>
        <v>0</v>
      </c>
      <c r="N219" s="183">
        <f>IF($A$1="BL",0,'Peak Hours'!N219*Peak!T220*IS!$B$2)</f>
        <v>0</v>
      </c>
      <c r="O219" s="183">
        <f>IF($A$1="BL",0,'Peak Hours'!O219*Peak!U220*IS!$B$2)</f>
        <v>0</v>
      </c>
      <c r="P219" s="183">
        <f>IF($A$1="BL",0,'Peak Hours'!P219*Peak!V220*IS!$B$2)</f>
        <v>0</v>
      </c>
      <c r="Q219" s="183">
        <f>IF($A$1="BL",0,'Peak Hours'!Q219*Peak!W220*IS!$B$2)</f>
        <v>0</v>
      </c>
      <c r="R219" s="183">
        <f>IF($A$1="BL",0,'Peak Hours'!R219*Peak!X220*IS!$B$2)</f>
        <v>0</v>
      </c>
      <c r="S219" s="183">
        <f>IF($A$1="BL",0,'Peak Hours'!S219*Peak!Y220*IS!$B$2)</f>
        <v>0</v>
      </c>
      <c r="T219" s="183">
        <f>IF($A$1="BL",0,'Peak Hours'!T219*Peak!Z220*IS!$B$2)</f>
        <v>0</v>
      </c>
      <c r="U219" s="183">
        <f>IF($A$1="BL",0,'Peak Hours'!U219*Peak!AA220*IS!$B$2)</f>
        <v>0</v>
      </c>
      <c r="V219" s="213"/>
      <c r="W219" s="211">
        <f>(IF($A$1="BL",0,Peak!C220*'Peak Hours'!V219*IS!$B$2))*-1</f>
        <v>0</v>
      </c>
      <c r="X219" s="213"/>
      <c r="Y219" s="211">
        <f>(IF($A$1="bl",0,Peak!D220*'Peak Hours'!V219*IS!$B$2))*-1</f>
        <v>0</v>
      </c>
      <c r="Z219" s="213"/>
      <c r="AA219" s="211">
        <f>(Peak!E220*'Peak Hours'!V219*IS!$B$2)*-1</f>
        <v>0</v>
      </c>
      <c r="AB219" s="210"/>
      <c r="AC219" s="211">
        <f>(Peak!F220*'Peak Hours'!V219*IS!$B$2)*-1</f>
        <v>0</v>
      </c>
      <c r="AD219" s="210"/>
    </row>
    <row r="220" spans="1:30" x14ac:dyDescent="0.2">
      <c r="A220" s="1">
        <f t="shared" si="3"/>
        <v>42927.570000000269</v>
      </c>
      <c r="B220" s="182">
        <f>IF($A$1="BL",0,'Peak Hours'!B220*Peak!H221*IS!$B$2)</f>
        <v>0</v>
      </c>
      <c r="C220" s="183">
        <f>IF($A$1="BL",0,'Peak Hours'!C220*Peak!I221*IS!$B$2)</f>
        <v>0</v>
      </c>
      <c r="D220" s="183">
        <f>IF($A$1="BL",0,'Peak Hours'!D220*Peak!J221*IS!$B$2)</f>
        <v>0</v>
      </c>
      <c r="E220" s="183">
        <f>IF($A$1="BL",0,'Peak Hours'!E220*Peak!K221*IS!$B$2)</f>
        <v>0</v>
      </c>
      <c r="F220" s="183">
        <f>IF($A$1="BL",0,'Peak Hours'!F220*Peak!L221*IS!$B$2)</f>
        <v>0</v>
      </c>
      <c r="G220" s="183">
        <f>IF($A$1="BL",0,'Peak Hours'!G220*Peak!M221*IS!$B$2)</f>
        <v>0</v>
      </c>
      <c r="H220" s="183">
        <f>IF($A$1="BL",0,'Peak Hours'!H220*Peak!N221*IS!$B$2)</f>
        <v>0</v>
      </c>
      <c r="I220" s="183">
        <f>IF($A$1="BL",0,'Peak Hours'!I220*Peak!O221*IS!$B$2)</f>
        <v>0</v>
      </c>
      <c r="J220" s="183">
        <f>IF($A$1="BL",0,'Peak Hours'!J220*Peak!P221*IS!$B$2)</f>
        <v>0</v>
      </c>
      <c r="K220" s="183">
        <f>IF($A$1="BL",0,'Peak Hours'!K220*Peak!Q221*IS!$B$2)</f>
        <v>0</v>
      </c>
      <c r="L220" s="183">
        <f>IF($A$1="BL",0,'Peak Hours'!L220*Peak!R221*IS!$B$2)</f>
        <v>0</v>
      </c>
      <c r="M220" s="183">
        <f>IF($A$1="BL",0,'Peak Hours'!M220*Peak!S221*IS!$B$2)</f>
        <v>0</v>
      </c>
      <c r="N220" s="183">
        <f>IF($A$1="BL",0,'Peak Hours'!N220*Peak!T221*IS!$B$2)</f>
        <v>0</v>
      </c>
      <c r="O220" s="183">
        <f>IF($A$1="BL",0,'Peak Hours'!O220*Peak!U221*IS!$B$2)</f>
        <v>0</v>
      </c>
      <c r="P220" s="183">
        <f>IF($A$1="BL",0,'Peak Hours'!P220*Peak!V221*IS!$B$2)</f>
        <v>0</v>
      </c>
      <c r="Q220" s="183">
        <f>IF($A$1="BL",0,'Peak Hours'!Q220*Peak!W221*IS!$B$2)</f>
        <v>0</v>
      </c>
      <c r="R220" s="183">
        <f>IF($A$1="BL",0,'Peak Hours'!R220*Peak!X221*IS!$B$2)</f>
        <v>0</v>
      </c>
      <c r="S220" s="183">
        <f>IF($A$1="BL",0,'Peak Hours'!S220*Peak!Y221*IS!$B$2)</f>
        <v>0</v>
      </c>
      <c r="T220" s="183">
        <f>IF($A$1="BL",0,'Peak Hours'!T220*Peak!Z221*IS!$B$2)</f>
        <v>0</v>
      </c>
      <c r="U220" s="183">
        <f>IF($A$1="BL",0,'Peak Hours'!U220*Peak!AA221*IS!$B$2)</f>
        <v>0</v>
      </c>
      <c r="V220" s="213"/>
      <c r="W220" s="211">
        <f>(IF($A$1="BL",0,Peak!C221*'Peak Hours'!V220*IS!$B$2))*-1</f>
        <v>0</v>
      </c>
      <c r="X220" s="213"/>
      <c r="Y220" s="211">
        <f>(IF($A$1="bl",0,Peak!D221*'Peak Hours'!V220*IS!$B$2))*-1</f>
        <v>0</v>
      </c>
      <c r="Z220" s="213"/>
      <c r="AA220" s="211">
        <f>(Peak!E221*'Peak Hours'!V220*IS!$B$2)*-1</f>
        <v>0</v>
      </c>
      <c r="AB220" s="210"/>
      <c r="AC220" s="211">
        <f>(Peak!F221*'Peak Hours'!V220*IS!$B$2)*-1</f>
        <v>0</v>
      </c>
      <c r="AD220" s="210"/>
    </row>
    <row r="221" spans="1:30" x14ac:dyDescent="0.2">
      <c r="A221" s="1">
        <f t="shared" si="3"/>
        <v>42957.98700000027</v>
      </c>
      <c r="B221" s="182">
        <f>IF($A$1="BL",0,'Peak Hours'!B221*Peak!H222*IS!$B$2)</f>
        <v>0</v>
      </c>
      <c r="C221" s="183">
        <f>IF($A$1="BL",0,'Peak Hours'!C221*Peak!I222*IS!$B$2)</f>
        <v>0</v>
      </c>
      <c r="D221" s="183">
        <f>IF($A$1="BL",0,'Peak Hours'!D221*Peak!J222*IS!$B$2)</f>
        <v>0</v>
      </c>
      <c r="E221" s="183">
        <f>IF($A$1="BL",0,'Peak Hours'!E221*Peak!K222*IS!$B$2)</f>
        <v>0</v>
      </c>
      <c r="F221" s="183">
        <f>IF($A$1="BL",0,'Peak Hours'!F221*Peak!L222*IS!$B$2)</f>
        <v>0</v>
      </c>
      <c r="G221" s="183">
        <f>IF($A$1="BL",0,'Peak Hours'!G221*Peak!M222*IS!$B$2)</f>
        <v>0</v>
      </c>
      <c r="H221" s="183">
        <f>IF($A$1="BL",0,'Peak Hours'!H221*Peak!N222*IS!$B$2)</f>
        <v>0</v>
      </c>
      <c r="I221" s="183">
        <f>IF($A$1="BL",0,'Peak Hours'!I221*Peak!O222*IS!$B$2)</f>
        <v>0</v>
      </c>
      <c r="J221" s="183">
        <f>IF($A$1="BL",0,'Peak Hours'!J221*Peak!P222*IS!$B$2)</f>
        <v>0</v>
      </c>
      <c r="K221" s="183">
        <f>IF($A$1="BL",0,'Peak Hours'!K221*Peak!Q222*IS!$B$2)</f>
        <v>0</v>
      </c>
      <c r="L221" s="183">
        <f>IF($A$1="BL",0,'Peak Hours'!L221*Peak!R222*IS!$B$2)</f>
        <v>0</v>
      </c>
      <c r="M221" s="183">
        <f>IF($A$1="BL",0,'Peak Hours'!M221*Peak!S222*IS!$B$2)</f>
        <v>0</v>
      </c>
      <c r="N221" s="183">
        <f>IF($A$1="BL",0,'Peak Hours'!N221*Peak!T222*IS!$B$2)</f>
        <v>0</v>
      </c>
      <c r="O221" s="183">
        <f>IF($A$1="BL",0,'Peak Hours'!O221*Peak!U222*IS!$B$2)</f>
        <v>0</v>
      </c>
      <c r="P221" s="183">
        <f>IF($A$1="BL",0,'Peak Hours'!P221*Peak!V222*IS!$B$2)</f>
        <v>0</v>
      </c>
      <c r="Q221" s="183">
        <f>IF($A$1="BL",0,'Peak Hours'!Q221*Peak!W222*IS!$B$2)</f>
        <v>0</v>
      </c>
      <c r="R221" s="183">
        <f>IF($A$1="BL",0,'Peak Hours'!R221*Peak!X222*IS!$B$2)</f>
        <v>0</v>
      </c>
      <c r="S221" s="183">
        <f>IF($A$1="BL",0,'Peak Hours'!S221*Peak!Y222*IS!$B$2)</f>
        <v>0</v>
      </c>
      <c r="T221" s="183">
        <f>IF($A$1="BL",0,'Peak Hours'!T221*Peak!Z222*IS!$B$2)</f>
        <v>0</v>
      </c>
      <c r="U221" s="183">
        <f>IF($A$1="BL",0,'Peak Hours'!U221*Peak!AA222*IS!$B$2)</f>
        <v>0</v>
      </c>
      <c r="V221" s="213"/>
      <c r="W221" s="211">
        <f>(IF($A$1="BL",0,Peak!C222*'Peak Hours'!V221*IS!$B$2))*-1</f>
        <v>0</v>
      </c>
      <c r="X221" s="213"/>
      <c r="Y221" s="211">
        <f>(IF($A$1="bl",0,Peak!D222*'Peak Hours'!V221*IS!$B$2))*-1</f>
        <v>0</v>
      </c>
      <c r="Z221" s="213"/>
      <c r="AA221" s="211">
        <f>(Peak!E222*'Peak Hours'!V221*IS!$B$2)*-1</f>
        <v>0</v>
      </c>
      <c r="AB221" s="210"/>
      <c r="AC221" s="211">
        <f>(Peak!F222*'Peak Hours'!V221*IS!$B$2)*-1</f>
        <v>0</v>
      </c>
      <c r="AD221" s="210"/>
    </row>
    <row r="222" spans="1:30" x14ac:dyDescent="0.2">
      <c r="A222" s="1">
        <f t="shared" si="3"/>
        <v>42988.404000000271</v>
      </c>
      <c r="B222" s="182">
        <f>IF($A$1="BL",0,'Peak Hours'!B222*Peak!H223*IS!$B$2)</f>
        <v>0</v>
      </c>
      <c r="C222" s="183">
        <f>IF($A$1="BL",0,'Peak Hours'!C222*Peak!I223*IS!$B$2)</f>
        <v>0</v>
      </c>
      <c r="D222" s="183">
        <f>IF($A$1="BL",0,'Peak Hours'!D222*Peak!J223*IS!$B$2)</f>
        <v>0</v>
      </c>
      <c r="E222" s="183">
        <f>IF($A$1="BL",0,'Peak Hours'!E222*Peak!K223*IS!$B$2)</f>
        <v>0</v>
      </c>
      <c r="F222" s="183">
        <f>IF($A$1="BL",0,'Peak Hours'!F222*Peak!L223*IS!$B$2)</f>
        <v>0</v>
      </c>
      <c r="G222" s="183">
        <f>IF($A$1="BL",0,'Peak Hours'!G222*Peak!M223*IS!$B$2)</f>
        <v>0</v>
      </c>
      <c r="H222" s="183">
        <f>IF($A$1="BL",0,'Peak Hours'!H222*Peak!N223*IS!$B$2)</f>
        <v>0</v>
      </c>
      <c r="I222" s="183">
        <f>IF($A$1="BL",0,'Peak Hours'!I222*Peak!O223*IS!$B$2)</f>
        <v>0</v>
      </c>
      <c r="J222" s="183">
        <f>IF($A$1="BL",0,'Peak Hours'!J222*Peak!P223*IS!$B$2)</f>
        <v>0</v>
      </c>
      <c r="K222" s="183">
        <f>IF($A$1="BL",0,'Peak Hours'!K222*Peak!Q223*IS!$B$2)</f>
        <v>0</v>
      </c>
      <c r="L222" s="183">
        <f>IF($A$1="BL",0,'Peak Hours'!L222*Peak!R223*IS!$B$2)</f>
        <v>0</v>
      </c>
      <c r="M222" s="183">
        <f>IF($A$1="BL",0,'Peak Hours'!M222*Peak!S223*IS!$B$2)</f>
        <v>0</v>
      </c>
      <c r="N222" s="183">
        <f>IF($A$1="BL",0,'Peak Hours'!N222*Peak!T223*IS!$B$2)</f>
        <v>0</v>
      </c>
      <c r="O222" s="183">
        <f>IF($A$1="BL",0,'Peak Hours'!O222*Peak!U223*IS!$B$2)</f>
        <v>0</v>
      </c>
      <c r="P222" s="183">
        <f>IF($A$1="BL",0,'Peak Hours'!P222*Peak!V223*IS!$B$2)</f>
        <v>0</v>
      </c>
      <c r="Q222" s="183">
        <f>IF($A$1="BL",0,'Peak Hours'!Q222*Peak!W223*IS!$B$2)</f>
        <v>0</v>
      </c>
      <c r="R222" s="183">
        <f>IF($A$1="BL",0,'Peak Hours'!R222*Peak!X223*IS!$B$2)</f>
        <v>0</v>
      </c>
      <c r="S222" s="183">
        <f>IF($A$1="BL",0,'Peak Hours'!S222*Peak!Y223*IS!$B$2)</f>
        <v>0</v>
      </c>
      <c r="T222" s="183">
        <f>IF($A$1="BL",0,'Peak Hours'!T222*Peak!Z223*IS!$B$2)</f>
        <v>0</v>
      </c>
      <c r="U222" s="183">
        <f>IF($A$1="BL",0,'Peak Hours'!U222*Peak!AA223*IS!$B$2)</f>
        <v>0</v>
      </c>
      <c r="V222" s="213"/>
      <c r="W222" s="211">
        <f>(IF($A$1="BL",0,Peak!C223*'Peak Hours'!V222*IS!$B$2))*-1</f>
        <v>0</v>
      </c>
      <c r="X222" s="213"/>
      <c r="Y222" s="211">
        <f>(IF($A$1="bl",0,Peak!D223*'Peak Hours'!V222*IS!$B$2))*-1</f>
        <v>0</v>
      </c>
      <c r="Z222" s="213"/>
      <c r="AA222" s="211">
        <f>(Peak!E223*'Peak Hours'!V222*IS!$B$2)*-1</f>
        <v>0</v>
      </c>
      <c r="AB222" s="210"/>
      <c r="AC222" s="211">
        <f>(Peak!F223*'Peak Hours'!V222*IS!$B$2)*-1</f>
        <v>0</v>
      </c>
      <c r="AD222" s="210"/>
    </row>
    <row r="223" spans="1:30" x14ac:dyDescent="0.2">
      <c r="A223" s="1">
        <f t="shared" si="3"/>
        <v>43018.821000000273</v>
      </c>
      <c r="B223" s="182">
        <f>IF($A$1="BL",0,'Peak Hours'!B223*Peak!H224*IS!$B$2)</f>
        <v>0</v>
      </c>
      <c r="C223" s="183">
        <f>IF($A$1="BL",0,'Peak Hours'!C223*Peak!I224*IS!$B$2)</f>
        <v>0</v>
      </c>
      <c r="D223" s="183">
        <f>IF($A$1="BL",0,'Peak Hours'!D223*Peak!J224*IS!$B$2)</f>
        <v>0</v>
      </c>
      <c r="E223" s="183">
        <f>IF($A$1="BL",0,'Peak Hours'!E223*Peak!K224*IS!$B$2)</f>
        <v>0</v>
      </c>
      <c r="F223" s="183">
        <f>IF($A$1="BL",0,'Peak Hours'!F223*Peak!L224*IS!$B$2)</f>
        <v>0</v>
      </c>
      <c r="G223" s="183">
        <f>IF($A$1="BL",0,'Peak Hours'!G223*Peak!M224*IS!$B$2)</f>
        <v>0</v>
      </c>
      <c r="H223" s="183">
        <f>IF($A$1="BL",0,'Peak Hours'!H223*Peak!N224*IS!$B$2)</f>
        <v>0</v>
      </c>
      <c r="I223" s="183">
        <f>IF($A$1="BL",0,'Peak Hours'!I223*Peak!O224*IS!$B$2)</f>
        <v>0</v>
      </c>
      <c r="J223" s="183">
        <f>IF($A$1="BL",0,'Peak Hours'!J223*Peak!P224*IS!$B$2)</f>
        <v>0</v>
      </c>
      <c r="K223" s="183">
        <f>IF($A$1="BL",0,'Peak Hours'!K223*Peak!Q224*IS!$B$2)</f>
        <v>0</v>
      </c>
      <c r="L223" s="183">
        <f>IF($A$1="BL",0,'Peak Hours'!L223*Peak!R224*IS!$B$2)</f>
        <v>0</v>
      </c>
      <c r="M223" s="183">
        <f>IF($A$1="BL",0,'Peak Hours'!M223*Peak!S224*IS!$B$2)</f>
        <v>0</v>
      </c>
      <c r="N223" s="183">
        <f>IF($A$1="BL",0,'Peak Hours'!N223*Peak!T224*IS!$B$2)</f>
        <v>0</v>
      </c>
      <c r="O223" s="183">
        <f>IF($A$1="BL",0,'Peak Hours'!O223*Peak!U224*IS!$B$2)</f>
        <v>0</v>
      </c>
      <c r="P223" s="183">
        <f>IF($A$1="BL",0,'Peak Hours'!P223*Peak!V224*IS!$B$2)</f>
        <v>0</v>
      </c>
      <c r="Q223" s="183">
        <f>IF($A$1="BL",0,'Peak Hours'!Q223*Peak!W224*IS!$B$2)</f>
        <v>0</v>
      </c>
      <c r="R223" s="183">
        <f>IF($A$1="BL",0,'Peak Hours'!R223*Peak!X224*IS!$B$2)</f>
        <v>0</v>
      </c>
      <c r="S223" s="183">
        <f>IF($A$1="BL",0,'Peak Hours'!S223*Peak!Y224*IS!$B$2)</f>
        <v>0</v>
      </c>
      <c r="T223" s="183">
        <f>IF($A$1="BL",0,'Peak Hours'!T223*Peak!Z224*IS!$B$2)</f>
        <v>0</v>
      </c>
      <c r="U223" s="183">
        <f>IF($A$1="BL",0,'Peak Hours'!U223*Peak!AA224*IS!$B$2)</f>
        <v>0</v>
      </c>
      <c r="V223" s="213"/>
      <c r="W223" s="211">
        <f>(IF($A$1="BL",0,Peak!C224*'Peak Hours'!V223*IS!$B$2))*-1</f>
        <v>0</v>
      </c>
      <c r="X223" s="213"/>
      <c r="Y223" s="211">
        <f>(IF($A$1="bl",0,Peak!D224*'Peak Hours'!V223*IS!$B$2))*-1</f>
        <v>0</v>
      </c>
      <c r="Z223" s="213"/>
      <c r="AA223" s="211">
        <f>(Peak!E224*'Peak Hours'!V223*IS!$B$2)*-1</f>
        <v>0</v>
      </c>
      <c r="AB223" s="210"/>
      <c r="AC223" s="211">
        <f>(Peak!F224*'Peak Hours'!V223*IS!$B$2)*-1</f>
        <v>0</v>
      </c>
      <c r="AD223" s="210"/>
    </row>
    <row r="224" spans="1:30" x14ac:dyDescent="0.2">
      <c r="A224" s="1">
        <f t="shared" si="3"/>
        <v>43049.238000000274</v>
      </c>
      <c r="B224" s="182">
        <f>IF($A$1="BL",0,'Peak Hours'!B224*Peak!H225*IS!$B$2)</f>
        <v>0</v>
      </c>
      <c r="C224" s="183">
        <f>IF($A$1="BL",0,'Peak Hours'!C224*Peak!I225*IS!$B$2)</f>
        <v>0</v>
      </c>
      <c r="D224" s="183">
        <f>IF($A$1="BL",0,'Peak Hours'!D224*Peak!J225*IS!$B$2)</f>
        <v>0</v>
      </c>
      <c r="E224" s="183">
        <f>IF($A$1="BL",0,'Peak Hours'!E224*Peak!K225*IS!$B$2)</f>
        <v>0</v>
      </c>
      <c r="F224" s="183">
        <f>IF($A$1="BL",0,'Peak Hours'!F224*Peak!L225*IS!$B$2)</f>
        <v>0</v>
      </c>
      <c r="G224" s="183">
        <f>IF($A$1="BL",0,'Peak Hours'!G224*Peak!M225*IS!$B$2)</f>
        <v>0</v>
      </c>
      <c r="H224" s="183">
        <f>IF($A$1="BL",0,'Peak Hours'!H224*Peak!N225*IS!$B$2)</f>
        <v>0</v>
      </c>
      <c r="I224" s="183">
        <f>IF($A$1="BL",0,'Peak Hours'!I224*Peak!O225*IS!$B$2)</f>
        <v>0</v>
      </c>
      <c r="J224" s="183">
        <f>IF($A$1="BL",0,'Peak Hours'!J224*Peak!P225*IS!$B$2)</f>
        <v>0</v>
      </c>
      <c r="K224" s="183">
        <f>IF($A$1="BL",0,'Peak Hours'!K224*Peak!Q225*IS!$B$2)</f>
        <v>0</v>
      </c>
      <c r="L224" s="183">
        <f>IF($A$1="BL",0,'Peak Hours'!L224*Peak!R225*IS!$B$2)</f>
        <v>0</v>
      </c>
      <c r="M224" s="183">
        <f>IF($A$1="BL",0,'Peak Hours'!M224*Peak!S225*IS!$B$2)</f>
        <v>0</v>
      </c>
      <c r="N224" s="183">
        <f>IF($A$1="BL",0,'Peak Hours'!N224*Peak!T225*IS!$B$2)</f>
        <v>0</v>
      </c>
      <c r="O224" s="183">
        <f>IF($A$1="BL",0,'Peak Hours'!O224*Peak!U225*IS!$B$2)</f>
        <v>0</v>
      </c>
      <c r="P224" s="183">
        <f>IF($A$1="BL",0,'Peak Hours'!P224*Peak!V225*IS!$B$2)</f>
        <v>0</v>
      </c>
      <c r="Q224" s="183">
        <f>IF($A$1="BL",0,'Peak Hours'!Q224*Peak!W225*IS!$B$2)</f>
        <v>0</v>
      </c>
      <c r="R224" s="183">
        <f>IF($A$1="BL",0,'Peak Hours'!R224*Peak!X225*IS!$B$2)</f>
        <v>0</v>
      </c>
      <c r="S224" s="183">
        <f>IF($A$1="BL",0,'Peak Hours'!S224*Peak!Y225*IS!$B$2)</f>
        <v>0</v>
      </c>
      <c r="T224" s="183">
        <f>IF($A$1="BL",0,'Peak Hours'!T224*Peak!Z225*IS!$B$2)</f>
        <v>0</v>
      </c>
      <c r="U224" s="183">
        <f>IF($A$1="BL",0,'Peak Hours'!U224*Peak!AA225*IS!$B$2)</f>
        <v>0</v>
      </c>
      <c r="V224" s="213"/>
      <c r="W224" s="211">
        <f>(IF($A$1="BL",0,Peak!C225*'Peak Hours'!V224*IS!$B$2))*-1</f>
        <v>0</v>
      </c>
      <c r="X224" s="213"/>
      <c r="Y224" s="211">
        <f>(IF($A$1="bl",0,Peak!D225*'Peak Hours'!V224*IS!$B$2))*-1</f>
        <v>0</v>
      </c>
      <c r="Z224" s="213"/>
      <c r="AA224" s="211">
        <f>(Peak!E225*'Peak Hours'!V224*IS!$B$2)*-1</f>
        <v>0</v>
      </c>
      <c r="AB224" s="210"/>
      <c r="AC224" s="211">
        <f>(Peak!F225*'Peak Hours'!V224*IS!$B$2)*-1</f>
        <v>0</v>
      </c>
      <c r="AD224" s="210"/>
    </row>
    <row r="225" spans="1:30" x14ac:dyDescent="0.2">
      <c r="A225" s="1">
        <f t="shared" si="3"/>
        <v>43079.655000000275</v>
      </c>
      <c r="B225" s="182">
        <f>IF($A$1="BL",0,'Peak Hours'!B225*Peak!H226*IS!$B$2)</f>
        <v>0</v>
      </c>
      <c r="C225" s="183">
        <f>IF($A$1="BL",0,'Peak Hours'!C225*Peak!I226*IS!$B$2)</f>
        <v>0</v>
      </c>
      <c r="D225" s="183">
        <f>IF($A$1="BL",0,'Peak Hours'!D225*Peak!J226*IS!$B$2)</f>
        <v>0</v>
      </c>
      <c r="E225" s="183">
        <f>IF($A$1="BL",0,'Peak Hours'!E225*Peak!K226*IS!$B$2)</f>
        <v>0</v>
      </c>
      <c r="F225" s="183">
        <f>IF($A$1="BL",0,'Peak Hours'!F225*Peak!L226*IS!$B$2)</f>
        <v>0</v>
      </c>
      <c r="G225" s="183">
        <f>IF($A$1="BL",0,'Peak Hours'!G225*Peak!M226*IS!$B$2)</f>
        <v>0</v>
      </c>
      <c r="H225" s="183">
        <f>IF($A$1="BL",0,'Peak Hours'!H225*Peak!N226*IS!$B$2)</f>
        <v>0</v>
      </c>
      <c r="I225" s="183">
        <f>IF($A$1="BL",0,'Peak Hours'!I225*Peak!O226*IS!$B$2)</f>
        <v>0</v>
      </c>
      <c r="J225" s="183">
        <f>IF($A$1="BL",0,'Peak Hours'!J225*Peak!P226*IS!$B$2)</f>
        <v>0</v>
      </c>
      <c r="K225" s="183">
        <f>IF($A$1="BL",0,'Peak Hours'!K225*Peak!Q226*IS!$B$2)</f>
        <v>0</v>
      </c>
      <c r="L225" s="183">
        <f>IF($A$1="BL",0,'Peak Hours'!L225*Peak!R226*IS!$B$2)</f>
        <v>0</v>
      </c>
      <c r="M225" s="183">
        <f>IF($A$1="BL",0,'Peak Hours'!M225*Peak!S226*IS!$B$2)</f>
        <v>0</v>
      </c>
      <c r="N225" s="183">
        <f>IF($A$1="BL",0,'Peak Hours'!N225*Peak!T226*IS!$B$2)</f>
        <v>0</v>
      </c>
      <c r="O225" s="183">
        <f>IF($A$1="BL",0,'Peak Hours'!O225*Peak!U226*IS!$B$2)</f>
        <v>0</v>
      </c>
      <c r="P225" s="183">
        <f>IF($A$1="BL",0,'Peak Hours'!P225*Peak!V226*IS!$B$2)</f>
        <v>0</v>
      </c>
      <c r="Q225" s="183">
        <f>IF($A$1="BL",0,'Peak Hours'!Q225*Peak!W226*IS!$B$2)</f>
        <v>0</v>
      </c>
      <c r="R225" s="183">
        <f>IF($A$1="BL",0,'Peak Hours'!R225*Peak!X226*IS!$B$2)</f>
        <v>0</v>
      </c>
      <c r="S225" s="183">
        <f>IF($A$1="BL",0,'Peak Hours'!S225*Peak!Y226*IS!$B$2)</f>
        <v>0</v>
      </c>
      <c r="T225" s="183">
        <f>IF($A$1="BL",0,'Peak Hours'!T225*Peak!Z226*IS!$B$2)</f>
        <v>0</v>
      </c>
      <c r="U225" s="183">
        <f>IF($A$1="BL",0,'Peak Hours'!U225*Peak!AA226*IS!$B$2)</f>
        <v>0</v>
      </c>
      <c r="V225" s="214">
        <f>SUM(B214:U225)</f>
        <v>0</v>
      </c>
      <c r="W225" s="211">
        <f>(IF($A$1="BL",0,Peak!C226*'Peak Hours'!V225*IS!$B$2))*-1</f>
        <v>0</v>
      </c>
      <c r="X225" s="214">
        <f>SUM(W214:W225)</f>
        <v>0</v>
      </c>
      <c r="Y225" s="211">
        <f>(IF($A$1="bl",0,Peak!D226*'Peak Hours'!V225*IS!$B$2))*-1</f>
        <v>0</v>
      </c>
      <c r="Z225" s="214">
        <f>SUM(Y214:Y225)</f>
        <v>0</v>
      </c>
      <c r="AA225" s="211">
        <f>(Peak!E226*'Peak Hours'!V225*IS!$B$2)*-1</f>
        <v>0</v>
      </c>
      <c r="AB225" s="211">
        <f>SUM(AA214:AA225)</f>
        <v>0</v>
      </c>
      <c r="AC225" s="211">
        <f>(Peak!F226*'Peak Hours'!V225*IS!$B$2)*-1</f>
        <v>0</v>
      </c>
      <c r="AD225" s="211">
        <f>SUM(AC214:AC225)</f>
        <v>0</v>
      </c>
    </row>
    <row r="226" spans="1:30" x14ac:dyDescent="0.2">
      <c r="A226" s="1">
        <f t="shared" si="3"/>
        <v>43110.072000000277</v>
      </c>
      <c r="B226" s="182">
        <f>IF($A$1="BL",0,'Peak Hours'!B226*Peak!H227*IS!$B$2)</f>
        <v>0</v>
      </c>
      <c r="C226" s="183">
        <f>IF($A$1="BL",0,'Peak Hours'!C226*Peak!I227*IS!$B$2)</f>
        <v>0</v>
      </c>
      <c r="D226" s="183">
        <f>IF($A$1="BL",0,'Peak Hours'!D226*Peak!J227*IS!$B$2)</f>
        <v>0</v>
      </c>
      <c r="E226" s="183">
        <f>IF($A$1="BL",0,'Peak Hours'!E226*Peak!K227*IS!$B$2)</f>
        <v>0</v>
      </c>
      <c r="F226" s="183">
        <f>IF($A$1="BL",0,'Peak Hours'!F226*Peak!L227*IS!$B$2)</f>
        <v>0</v>
      </c>
      <c r="G226" s="183">
        <f>IF($A$1="BL",0,'Peak Hours'!G226*Peak!M227*IS!$B$2)</f>
        <v>0</v>
      </c>
      <c r="H226" s="183">
        <f>IF($A$1="BL",0,'Peak Hours'!H226*Peak!N227*IS!$B$2)</f>
        <v>0</v>
      </c>
      <c r="I226" s="183">
        <f>IF($A$1="BL",0,'Peak Hours'!I226*Peak!O227*IS!$B$2)</f>
        <v>0</v>
      </c>
      <c r="J226" s="183">
        <f>IF($A$1="BL",0,'Peak Hours'!J226*Peak!P227*IS!$B$2)</f>
        <v>0</v>
      </c>
      <c r="K226" s="183">
        <f>IF($A$1="BL",0,'Peak Hours'!K226*Peak!Q227*IS!$B$2)</f>
        <v>0</v>
      </c>
      <c r="L226" s="183">
        <f>IF($A$1="BL",0,'Peak Hours'!L226*Peak!R227*IS!$B$2)</f>
        <v>0</v>
      </c>
      <c r="M226" s="183">
        <f>IF($A$1="BL",0,'Peak Hours'!M226*Peak!S227*IS!$B$2)</f>
        <v>0</v>
      </c>
      <c r="N226" s="183">
        <f>IF($A$1="BL",0,'Peak Hours'!N226*Peak!T227*IS!$B$2)</f>
        <v>0</v>
      </c>
      <c r="O226" s="183">
        <f>IF($A$1="BL",0,'Peak Hours'!O226*Peak!U227*IS!$B$2)</f>
        <v>0</v>
      </c>
      <c r="P226" s="183">
        <f>IF($A$1="BL",0,'Peak Hours'!P226*Peak!V227*IS!$B$2)</f>
        <v>0</v>
      </c>
      <c r="Q226" s="183">
        <f>IF($A$1="BL",0,'Peak Hours'!Q226*Peak!W227*IS!$B$2)</f>
        <v>0</v>
      </c>
      <c r="R226" s="183">
        <f>IF($A$1="BL",0,'Peak Hours'!R226*Peak!X227*IS!$B$2)</f>
        <v>0</v>
      </c>
      <c r="S226" s="183">
        <f>IF($A$1="BL",0,'Peak Hours'!S226*Peak!Y227*IS!$B$2)</f>
        <v>0</v>
      </c>
      <c r="T226" s="183">
        <f>IF($A$1="BL",0,'Peak Hours'!T226*Peak!Z227*IS!$B$2)</f>
        <v>0</v>
      </c>
      <c r="U226" s="183">
        <f>IF($A$1="BL",0,'Peak Hours'!U226*Peak!AA227*IS!$B$2)</f>
        <v>0</v>
      </c>
      <c r="V226" s="213"/>
      <c r="W226" s="211">
        <f>(IF($A$1="BL",0,Peak!C227*'Peak Hours'!V226*IS!$B$2))*-1</f>
        <v>0</v>
      </c>
      <c r="X226" s="213"/>
      <c r="Y226" s="211">
        <f>(IF($A$1="bl",0,Peak!D227*'Peak Hours'!V226*IS!$B$2))*-1</f>
        <v>0</v>
      </c>
      <c r="Z226" s="213"/>
      <c r="AA226" s="211">
        <f>(Peak!E227*'Peak Hours'!V226*IS!$B$2)*-1</f>
        <v>0</v>
      </c>
      <c r="AB226" s="210"/>
      <c r="AC226" s="211">
        <f>(Peak!F227*'Peak Hours'!V226*IS!$B$2)*-1</f>
        <v>0</v>
      </c>
      <c r="AD226" s="210"/>
    </row>
    <row r="227" spans="1:30" x14ac:dyDescent="0.2">
      <c r="A227" s="1">
        <f t="shared" si="3"/>
        <v>43140.489000000278</v>
      </c>
      <c r="B227" s="182">
        <f>IF($A$1="BL",0,'Peak Hours'!B227*Peak!H228*IS!$B$2)</f>
        <v>0</v>
      </c>
      <c r="C227" s="183">
        <f>IF($A$1="BL",0,'Peak Hours'!C227*Peak!I228*IS!$B$2)</f>
        <v>0</v>
      </c>
      <c r="D227" s="183">
        <f>IF($A$1="BL",0,'Peak Hours'!D227*Peak!J228*IS!$B$2)</f>
        <v>0</v>
      </c>
      <c r="E227" s="183">
        <f>IF($A$1="BL",0,'Peak Hours'!E227*Peak!K228*IS!$B$2)</f>
        <v>0</v>
      </c>
      <c r="F227" s="183">
        <f>IF($A$1="BL",0,'Peak Hours'!F227*Peak!L228*IS!$B$2)</f>
        <v>0</v>
      </c>
      <c r="G227" s="183">
        <f>IF($A$1="BL",0,'Peak Hours'!G227*Peak!M228*IS!$B$2)</f>
        <v>0</v>
      </c>
      <c r="H227" s="183">
        <f>IF($A$1="BL",0,'Peak Hours'!H227*Peak!N228*IS!$B$2)</f>
        <v>0</v>
      </c>
      <c r="I227" s="183">
        <f>IF($A$1="BL",0,'Peak Hours'!I227*Peak!O228*IS!$B$2)</f>
        <v>0</v>
      </c>
      <c r="J227" s="183">
        <f>IF($A$1="BL",0,'Peak Hours'!J227*Peak!P228*IS!$B$2)</f>
        <v>0</v>
      </c>
      <c r="K227" s="183">
        <f>IF($A$1="BL",0,'Peak Hours'!K227*Peak!Q228*IS!$B$2)</f>
        <v>0</v>
      </c>
      <c r="L227" s="183">
        <f>IF($A$1="BL",0,'Peak Hours'!L227*Peak!R228*IS!$B$2)</f>
        <v>0</v>
      </c>
      <c r="M227" s="183">
        <f>IF($A$1="BL",0,'Peak Hours'!M227*Peak!S228*IS!$B$2)</f>
        <v>0</v>
      </c>
      <c r="N227" s="183">
        <f>IF($A$1="BL",0,'Peak Hours'!N227*Peak!T228*IS!$B$2)</f>
        <v>0</v>
      </c>
      <c r="O227" s="183">
        <f>IF($A$1="BL",0,'Peak Hours'!O227*Peak!U228*IS!$B$2)</f>
        <v>0</v>
      </c>
      <c r="P227" s="183">
        <f>IF($A$1="BL",0,'Peak Hours'!P227*Peak!V228*IS!$B$2)</f>
        <v>0</v>
      </c>
      <c r="Q227" s="183">
        <f>IF($A$1="BL",0,'Peak Hours'!Q227*Peak!W228*IS!$B$2)</f>
        <v>0</v>
      </c>
      <c r="R227" s="183">
        <f>IF($A$1="BL",0,'Peak Hours'!R227*Peak!X228*IS!$B$2)</f>
        <v>0</v>
      </c>
      <c r="S227" s="183">
        <f>IF($A$1="BL",0,'Peak Hours'!S227*Peak!Y228*IS!$B$2)</f>
        <v>0</v>
      </c>
      <c r="T227" s="183">
        <f>IF($A$1="BL",0,'Peak Hours'!T227*Peak!Z228*IS!$B$2)</f>
        <v>0</v>
      </c>
      <c r="U227" s="183">
        <f>IF($A$1="BL",0,'Peak Hours'!U227*Peak!AA228*IS!$B$2)</f>
        <v>0</v>
      </c>
      <c r="V227" s="213"/>
      <c r="W227" s="211">
        <f>(IF($A$1="BL",0,Peak!C228*'Peak Hours'!V227*IS!$B$2))*-1</f>
        <v>0</v>
      </c>
      <c r="X227" s="213"/>
      <c r="Y227" s="211">
        <f>(IF($A$1="bl",0,Peak!D228*'Peak Hours'!V227*IS!$B$2))*-1</f>
        <v>0</v>
      </c>
      <c r="Z227" s="213"/>
      <c r="AA227" s="211">
        <f>(Peak!E228*'Peak Hours'!V227*IS!$B$2)*-1</f>
        <v>0</v>
      </c>
      <c r="AB227" s="210"/>
      <c r="AC227" s="211">
        <f>(Peak!F228*'Peak Hours'!V227*IS!$B$2)*-1</f>
        <v>0</v>
      </c>
      <c r="AD227" s="210"/>
    </row>
    <row r="228" spans="1:30" x14ac:dyDescent="0.2">
      <c r="A228" s="1">
        <f t="shared" si="3"/>
        <v>43170.906000000279</v>
      </c>
      <c r="B228" s="182">
        <f>IF($A$1="BL",0,'Peak Hours'!B228*Peak!H229*IS!$B$2)</f>
        <v>0</v>
      </c>
      <c r="C228" s="183">
        <f>IF($A$1="BL",0,'Peak Hours'!C228*Peak!I229*IS!$B$2)</f>
        <v>0</v>
      </c>
      <c r="D228" s="183">
        <f>IF($A$1="BL",0,'Peak Hours'!D228*Peak!J229*IS!$B$2)</f>
        <v>0</v>
      </c>
      <c r="E228" s="183">
        <f>IF($A$1="BL",0,'Peak Hours'!E228*Peak!K229*IS!$B$2)</f>
        <v>0</v>
      </c>
      <c r="F228" s="183">
        <f>IF($A$1="BL",0,'Peak Hours'!F228*Peak!L229*IS!$B$2)</f>
        <v>0</v>
      </c>
      <c r="G228" s="183">
        <f>IF($A$1="BL",0,'Peak Hours'!G228*Peak!M229*IS!$B$2)</f>
        <v>0</v>
      </c>
      <c r="H228" s="183">
        <f>IF($A$1="BL",0,'Peak Hours'!H228*Peak!N229*IS!$B$2)</f>
        <v>0</v>
      </c>
      <c r="I228" s="183">
        <f>IF($A$1="BL",0,'Peak Hours'!I228*Peak!O229*IS!$B$2)</f>
        <v>0</v>
      </c>
      <c r="J228" s="183">
        <f>IF($A$1="BL",0,'Peak Hours'!J228*Peak!P229*IS!$B$2)</f>
        <v>0</v>
      </c>
      <c r="K228" s="183">
        <f>IF($A$1="BL",0,'Peak Hours'!K228*Peak!Q229*IS!$B$2)</f>
        <v>0</v>
      </c>
      <c r="L228" s="183">
        <f>IF($A$1="BL",0,'Peak Hours'!L228*Peak!R229*IS!$B$2)</f>
        <v>0</v>
      </c>
      <c r="M228" s="183">
        <f>IF($A$1="BL",0,'Peak Hours'!M228*Peak!S229*IS!$B$2)</f>
        <v>0</v>
      </c>
      <c r="N228" s="183">
        <f>IF($A$1="BL",0,'Peak Hours'!N228*Peak!T229*IS!$B$2)</f>
        <v>0</v>
      </c>
      <c r="O228" s="183">
        <f>IF($A$1="BL",0,'Peak Hours'!O228*Peak!U229*IS!$B$2)</f>
        <v>0</v>
      </c>
      <c r="P228" s="183">
        <f>IF($A$1="BL",0,'Peak Hours'!P228*Peak!V229*IS!$B$2)</f>
        <v>0</v>
      </c>
      <c r="Q228" s="183">
        <f>IF($A$1="BL",0,'Peak Hours'!Q228*Peak!W229*IS!$B$2)</f>
        <v>0</v>
      </c>
      <c r="R228" s="183">
        <f>IF($A$1="BL",0,'Peak Hours'!R228*Peak!X229*IS!$B$2)</f>
        <v>0</v>
      </c>
      <c r="S228" s="183">
        <f>IF($A$1="BL",0,'Peak Hours'!S228*Peak!Y229*IS!$B$2)</f>
        <v>0</v>
      </c>
      <c r="T228" s="183">
        <f>IF($A$1="BL",0,'Peak Hours'!T228*Peak!Z229*IS!$B$2)</f>
        <v>0</v>
      </c>
      <c r="U228" s="183">
        <f>IF($A$1="BL",0,'Peak Hours'!U228*Peak!AA229*IS!$B$2)</f>
        <v>0</v>
      </c>
      <c r="V228" s="213"/>
      <c r="W228" s="211">
        <f>(IF($A$1="BL",0,Peak!C229*'Peak Hours'!V228*IS!$B$2))*-1</f>
        <v>0</v>
      </c>
      <c r="X228" s="213"/>
      <c r="Y228" s="211">
        <f>(IF($A$1="bl",0,Peak!D229*'Peak Hours'!V228*IS!$B$2))*-1</f>
        <v>0</v>
      </c>
      <c r="Z228" s="213"/>
      <c r="AA228" s="211">
        <f>(Peak!E229*'Peak Hours'!V228*IS!$B$2)*-1</f>
        <v>0</v>
      </c>
      <c r="AB228" s="210"/>
      <c r="AC228" s="211">
        <f>(Peak!F229*'Peak Hours'!V228*IS!$B$2)*-1</f>
        <v>0</v>
      </c>
      <c r="AD228" s="210"/>
    </row>
    <row r="229" spans="1:30" x14ac:dyDescent="0.2">
      <c r="A229" s="1">
        <f t="shared" si="3"/>
        <v>43201.32300000028</v>
      </c>
      <c r="B229" s="182">
        <f>IF($A$1="BL",0,'Peak Hours'!B229*Peak!H230*IS!$B$2)</f>
        <v>0</v>
      </c>
      <c r="C229" s="183">
        <f>IF($A$1="BL",0,'Peak Hours'!C229*Peak!I230*IS!$B$2)</f>
        <v>0</v>
      </c>
      <c r="D229" s="183">
        <f>IF($A$1="BL",0,'Peak Hours'!D229*Peak!J230*IS!$B$2)</f>
        <v>0</v>
      </c>
      <c r="E229" s="183">
        <f>IF($A$1="BL",0,'Peak Hours'!E229*Peak!K230*IS!$B$2)</f>
        <v>0</v>
      </c>
      <c r="F229" s="183">
        <f>IF($A$1="BL",0,'Peak Hours'!F229*Peak!L230*IS!$B$2)</f>
        <v>0</v>
      </c>
      <c r="G229" s="183">
        <f>IF($A$1="BL",0,'Peak Hours'!G229*Peak!M230*IS!$B$2)</f>
        <v>0</v>
      </c>
      <c r="H229" s="183">
        <f>IF($A$1="BL",0,'Peak Hours'!H229*Peak!N230*IS!$B$2)</f>
        <v>0</v>
      </c>
      <c r="I229" s="183">
        <f>IF($A$1="BL",0,'Peak Hours'!I229*Peak!O230*IS!$B$2)</f>
        <v>0</v>
      </c>
      <c r="J229" s="183">
        <f>IF($A$1="BL",0,'Peak Hours'!J229*Peak!P230*IS!$B$2)</f>
        <v>0</v>
      </c>
      <c r="K229" s="183">
        <f>IF($A$1="BL",0,'Peak Hours'!K229*Peak!Q230*IS!$B$2)</f>
        <v>0</v>
      </c>
      <c r="L229" s="183">
        <f>IF($A$1="BL",0,'Peak Hours'!L229*Peak!R230*IS!$B$2)</f>
        <v>0</v>
      </c>
      <c r="M229" s="183">
        <f>IF($A$1="BL",0,'Peak Hours'!M229*Peak!S230*IS!$B$2)</f>
        <v>0</v>
      </c>
      <c r="N229" s="183">
        <f>IF($A$1="BL",0,'Peak Hours'!N229*Peak!T230*IS!$B$2)</f>
        <v>0</v>
      </c>
      <c r="O229" s="183">
        <f>IF($A$1="BL",0,'Peak Hours'!O229*Peak!U230*IS!$B$2)</f>
        <v>0</v>
      </c>
      <c r="P229" s="183">
        <f>IF($A$1="BL",0,'Peak Hours'!P229*Peak!V230*IS!$B$2)</f>
        <v>0</v>
      </c>
      <c r="Q229" s="183">
        <f>IF($A$1="BL",0,'Peak Hours'!Q229*Peak!W230*IS!$B$2)</f>
        <v>0</v>
      </c>
      <c r="R229" s="183">
        <f>IF($A$1="BL",0,'Peak Hours'!R229*Peak!X230*IS!$B$2)</f>
        <v>0</v>
      </c>
      <c r="S229" s="183">
        <f>IF($A$1="BL",0,'Peak Hours'!S229*Peak!Y230*IS!$B$2)</f>
        <v>0</v>
      </c>
      <c r="T229" s="183">
        <f>IF($A$1="BL",0,'Peak Hours'!T229*Peak!Z230*IS!$B$2)</f>
        <v>0</v>
      </c>
      <c r="U229" s="183">
        <f>IF($A$1="BL",0,'Peak Hours'!U229*Peak!AA230*IS!$B$2)</f>
        <v>0</v>
      </c>
      <c r="V229" s="213"/>
      <c r="W229" s="211">
        <f>(IF($A$1="BL",0,Peak!C230*'Peak Hours'!V229*IS!$B$2))*-1</f>
        <v>0</v>
      </c>
      <c r="X229" s="213"/>
      <c r="Y229" s="211">
        <f>(IF($A$1="bl",0,Peak!D230*'Peak Hours'!V229*IS!$B$2))*-1</f>
        <v>0</v>
      </c>
      <c r="Z229" s="213"/>
      <c r="AA229" s="211">
        <f>(Peak!E230*'Peak Hours'!V229*IS!$B$2)*-1</f>
        <v>0</v>
      </c>
      <c r="AB229" s="210"/>
      <c r="AC229" s="211">
        <f>(Peak!F230*'Peak Hours'!V229*IS!$B$2)*-1</f>
        <v>0</v>
      </c>
      <c r="AD229" s="210"/>
    </row>
    <row r="230" spans="1:30" x14ac:dyDescent="0.2">
      <c r="A230" s="1">
        <f t="shared" si="3"/>
        <v>43231.740000000282</v>
      </c>
      <c r="B230" s="182">
        <f>IF($A$1="BL",0,'Peak Hours'!B230*Peak!H231*IS!$B$2)</f>
        <v>0</v>
      </c>
      <c r="C230" s="183">
        <f>IF($A$1="BL",0,'Peak Hours'!C230*Peak!I231*IS!$B$2)</f>
        <v>0</v>
      </c>
      <c r="D230" s="183">
        <f>IF($A$1="BL",0,'Peak Hours'!D230*Peak!J231*IS!$B$2)</f>
        <v>0</v>
      </c>
      <c r="E230" s="183">
        <f>IF($A$1="BL",0,'Peak Hours'!E230*Peak!K231*IS!$B$2)</f>
        <v>0</v>
      </c>
      <c r="F230" s="183">
        <f>IF($A$1="BL",0,'Peak Hours'!F230*Peak!L231*IS!$B$2)</f>
        <v>0</v>
      </c>
      <c r="G230" s="183">
        <f>IF($A$1="BL",0,'Peak Hours'!G230*Peak!M231*IS!$B$2)</f>
        <v>0</v>
      </c>
      <c r="H230" s="183">
        <f>IF($A$1="BL",0,'Peak Hours'!H230*Peak!N231*IS!$B$2)</f>
        <v>0</v>
      </c>
      <c r="I230" s="183">
        <f>IF($A$1="BL",0,'Peak Hours'!I230*Peak!O231*IS!$B$2)</f>
        <v>0</v>
      </c>
      <c r="J230" s="183">
        <f>IF($A$1="BL",0,'Peak Hours'!J230*Peak!P231*IS!$B$2)</f>
        <v>0</v>
      </c>
      <c r="K230" s="183">
        <f>IF($A$1="BL",0,'Peak Hours'!K230*Peak!Q231*IS!$B$2)</f>
        <v>0</v>
      </c>
      <c r="L230" s="183">
        <f>IF($A$1="BL",0,'Peak Hours'!L230*Peak!R231*IS!$B$2)</f>
        <v>0</v>
      </c>
      <c r="M230" s="183">
        <f>IF($A$1="BL",0,'Peak Hours'!M230*Peak!S231*IS!$B$2)</f>
        <v>0</v>
      </c>
      <c r="N230" s="183">
        <f>IF($A$1="BL",0,'Peak Hours'!N230*Peak!T231*IS!$B$2)</f>
        <v>0</v>
      </c>
      <c r="O230" s="183">
        <f>IF($A$1="BL",0,'Peak Hours'!O230*Peak!U231*IS!$B$2)</f>
        <v>0</v>
      </c>
      <c r="P230" s="183">
        <f>IF($A$1="BL",0,'Peak Hours'!P230*Peak!V231*IS!$B$2)</f>
        <v>0</v>
      </c>
      <c r="Q230" s="183">
        <f>IF($A$1="BL",0,'Peak Hours'!Q230*Peak!W231*IS!$B$2)</f>
        <v>0</v>
      </c>
      <c r="R230" s="183">
        <f>IF($A$1="BL",0,'Peak Hours'!R230*Peak!X231*IS!$B$2)</f>
        <v>0</v>
      </c>
      <c r="S230" s="183">
        <f>IF($A$1="BL",0,'Peak Hours'!S230*Peak!Y231*IS!$B$2)</f>
        <v>0</v>
      </c>
      <c r="T230" s="183">
        <f>IF($A$1="BL",0,'Peak Hours'!T230*Peak!Z231*IS!$B$2)</f>
        <v>0</v>
      </c>
      <c r="U230" s="183">
        <f>IF($A$1="BL",0,'Peak Hours'!U230*Peak!AA231*IS!$B$2)</f>
        <v>0</v>
      </c>
      <c r="V230" s="213"/>
      <c r="W230" s="211">
        <f>(IF($A$1="BL",0,Peak!C231*'Peak Hours'!V230*IS!$B$2))*-1</f>
        <v>0</v>
      </c>
      <c r="X230" s="213"/>
      <c r="Y230" s="211">
        <f>(IF($A$1="bl",0,Peak!D231*'Peak Hours'!V230*IS!$B$2))*-1</f>
        <v>0</v>
      </c>
      <c r="Z230" s="213"/>
      <c r="AA230" s="211">
        <f>(Peak!E231*'Peak Hours'!V230*IS!$B$2)*-1</f>
        <v>0</v>
      </c>
      <c r="AB230" s="210"/>
      <c r="AC230" s="211">
        <f>(Peak!F231*'Peak Hours'!V230*IS!$B$2)*-1</f>
        <v>0</v>
      </c>
      <c r="AD230" s="210"/>
    </row>
    <row r="231" spans="1:30" x14ac:dyDescent="0.2">
      <c r="A231" s="1">
        <f t="shared" si="3"/>
        <v>43262.157000000283</v>
      </c>
      <c r="B231" s="182">
        <f>IF($A$1="BL",0,'Peak Hours'!B231*Peak!H232*IS!$B$2)</f>
        <v>0</v>
      </c>
      <c r="C231" s="183">
        <f>IF($A$1="BL",0,'Peak Hours'!C231*Peak!I232*IS!$B$2)</f>
        <v>0</v>
      </c>
      <c r="D231" s="183">
        <f>IF($A$1="BL",0,'Peak Hours'!D231*Peak!J232*IS!$B$2)</f>
        <v>0</v>
      </c>
      <c r="E231" s="183">
        <f>IF($A$1="BL",0,'Peak Hours'!E231*Peak!K232*IS!$B$2)</f>
        <v>0</v>
      </c>
      <c r="F231" s="183">
        <f>IF($A$1="BL",0,'Peak Hours'!F231*Peak!L232*IS!$B$2)</f>
        <v>0</v>
      </c>
      <c r="G231" s="183">
        <f>IF($A$1="BL",0,'Peak Hours'!G231*Peak!M232*IS!$B$2)</f>
        <v>0</v>
      </c>
      <c r="H231" s="183">
        <f>IF($A$1="BL",0,'Peak Hours'!H231*Peak!N232*IS!$B$2)</f>
        <v>0</v>
      </c>
      <c r="I231" s="183">
        <f>IF($A$1="BL",0,'Peak Hours'!I231*Peak!O232*IS!$B$2)</f>
        <v>0</v>
      </c>
      <c r="J231" s="183">
        <f>IF($A$1="BL",0,'Peak Hours'!J231*Peak!P232*IS!$B$2)</f>
        <v>0</v>
      </c>
      <c r="K231" s="183">
        <f>IF($A$1="BL",0,'Peak Hours'!K231*Peak!Q232*IS!$B$2)</f>
        <v>0</v>
      </c>
      <c r="L231" s="183">
        <f>IF($A$1="BL",0,'Peak Hours'!L231*Peak!R232*IS!$B$2)</f>
        <v>0</v>
      </c>
      <c r="M231" s="183">
        <f>IF($A$1="BL",0,'Peak Hours'!M231*Peak!S232*IS!$B$2)</f>
        <v>0</v>
      </c>
      <c r="N231" s="183">
        <f>IF($A$1="BL",0,'Peak Hours'!N231*Peak!T232*IS!$B$2)</f>
        <v>0</v>
      </c>
      <c r="O231" s="183">
        <f>IF($A$1="BL",0,'Peak Hours'!O231*Peak!U232*IS!$B$2)</f>
        <v>0</v>
      </c>
      <c r="P231" s="183">
        <f>IF($A$1="BL",0,'Peak Hours'!P231*Peak!V232*IS!$B$2)</f>
        <v>0</v>
      </c>
      <c r="Q231" s="183">
        <f>IF($A$1="BL",0,'Peak Hours'!Q231*Peak!W232*IS!$B$2)</f>
        <v>0</v>
      </c>
      <c r="R231" s="183">
        <f>IF($A$1="BL",0,'Peak Hours'!R231*Peak!X232*IS!$B$2)</f>
        <v>0</v>
      </c>
      <c r="S231" s="183">
        <f>IF($A$1="BL",0,'Peak Hours'!S231*Peak!Y232*IS!$B$2)</f>
        <v>0</v>
      </c>
      <c r="T231" s="183">
        <f>IF($A$1="BL",0,'Peak Hours'!T231*Peak!Z232*IS!$B$2)</f>
        <v>0</v>
      </c>
      <c r="U231" s="183">
        <f>IF($A$1="BL",0,'Peak Hours'!U231*Peak!AA232*IS!$B$2)</f>
        <v>0</v>
      </c>
      <c r="V231" s="213"/>
      <c r="W231" s="211">
        <f>(IF($A$1="BL",0,Peak!C232*'Peak Hours'!V231*IS!$B$2))*-1</f>
        <v>0</v>
      </c>
      <c r="X231" s="213"/>
      <c r="Y231" s="211">
        <f>(IF($A$1="bl",0,Peak!D232*'Peak Hours'!V231*IS!$B$2))*-1</f>
        <v>0</v>
      </c>
      <c r="Z231" s="213"/>
      <c r="AA231" s="211">
        <f>(Peak!E232*'Peak Hours'!V231*IS!$B$2)*-1</f>
        <v>0</v>
      </c>
      <c r="AB231" s="210"/>
      <c r="AC231" s="211">
        <f>(Peak!F232*'Peak Hours'!V231*IS!$B$2)*-1</f>
        <v>0</v>
      </c>
      <c r="AD231" s="210"/>
    </row>
    <row r="232" spans="1:30" x14ac:dyDescent="0.2">
      <c r="A232" s="1">
        <f t="shared" si="3"/>
        <v>43292.574000000284</v>
      </c>
      <c r="B232" s="182">
        <f>IF($A$1="BL",0,'Peak Hours'!B232*Peak!H233*IS!$B$2)</f>
        <v>0</v>
      </c>
      <c r="C232" s="183">
        <f>IF($A$1="BL",0,'Peak Hours'!C232*Peak!I233*IS!$B$2)</f>
        <v>0</v>
      </c>
      <c r="D232" s="183">
        <f>IF($A$1="BL",0,'Peak Hours'!D232*Peak!J233*IS!$B$2)</f>
        <v>0</v>
      </c>
      <c r="E232" s="183">
        <f>IF($A$1="BL",0,'Peak Hours'!E232*Peak!K233*IS!$B$2)</f>
        <v>0</v>
      </c>
      <c r="F232" s="183">
        <f>IF($A$1="BL",0,'Peak Hours'!F232*Peak!L233*IS!$B$2)</f>
        <v>0</v>
      </c>
      <c r="G232" s="183">
        <f>IF($A$1="BL",0,'Peak Hours'!G232*Peak!M233*IS!$B$2)</f>
        <v>0</v>
      </c>
      <c r="H232" s="183">
        <f>IF($A$1="BL",0,'Peak Hours'!H232*Peak!N233*IS!$B$2)</f>
        <v>0</v>
      </c>
      <c r="I232" s="183">
        <f>IF($A$1="BL",0,'Peak Hours'!I232*Peak!O233*IS!$B$2)</f>
        <v>0</v>
      </c>
      <c r="J232" s="183">
        <f>IF($A$1="BL",0,'Peak Hours'!J232*Peak!P233*IS!$B$2)</f>
        <v>0</v>
      </c>
      <c r="K232" s="183">
        <f>IF($A$1="BL",0,'Peak Hours'!K232*Peak!Q233*IS!$B$2)</f>
        <v>0</v>
      </c>
      <c r="L232" s="183">
        <f>IF($A$1="BL",0,'Peak Hours'!L232*Peak!R233*IS!$B$2)</f>
        <v>0</v>
      </c>
      <c r="M232" s="183">
        <f>IF($A$1="BL",0,'Peak Hours'!M232*Peak!S233*IS!$B$2)</f>
        <v>0</v>
      </c>
      <c r="N232" s="183">
        <f>IF($A$1="BL",0,'Peak Hours'!N232*Peak!T233*IS!$B$2)</f>
        <v>0</v>
      </c>
      <c r="O232" s="183">
        <f>IF($A$1="BL",0,'Peak Hours'!O232*Peak!U233*IS!$B$2)</f>
        <v>0</v>
      </c>
      <c r="P232" s="183">
        <f>IF($A$1="BL",0,'Peak Hours'!P232*Peak!V233*IS!$B$2)</f>
        <v>0</v>
      </c>
      <c r="Q232" s="183">
        <f>IF($A$1="BL",0,'Peak Hours'!Q232*Peak!W233*IS!$B$2)</f>
        <v>0</v>
      </c>
      <c r="R232" s="183">
        <f>IF($A$1="BL",0,'Peak Hours'!R232*Peak!X233*IS!$B$2)</f>
        <v>0</v>
      </c>
      <c r="S232" s="183">
        <f>IF($A$1="BL",0,'Peak Hours'!S232*Peak!Y233*IS!$B$2)</f>
        <v>0</v>
      </c>
      <c r="T232" s="183">
        <f>IF($A$1="BL",0,'Peak Hours'!T232*Peak!Z233*IS!$B$2)</f>
        <v>0</v>
      </c>
      <c r="U232" s="183">
        <f>IF($A$1="BL",0,'Peak Hours'!U232*Peak!AA233*IS!$B$2)</f>
        <v>0</v>
      </c>
      <c r="V232" s="213"/>
      <c r="W232" s="211">
        <f>(IF($A$1="BL",0,Peak!C233*'Peak Hours'!V232*IS!$B$2))*-1</f>
        <v>0</v>
      </c>
      <c r="X232" s="213"/>
      <c r="Y232" s="211">
        <f>(IF($A$1="bl",0,Peak!D233*'Peak Hours'!V232*IS!$B$2))*-1</f>
        <v>0</v>
      </c>
      <c r="Z232" s="213"/>
      <c r="AA232" s="211">
        <f>(Peak!E233*'Peak Hours'!V232*IS!$B$2)*-1</f>
        <v>0</v>
      </c>
      <c r="AB232" s="210"/>
      <c r="AC232" s="211">
        <f>(Peak!F233*'Peak Hours'!V232*IS!$B$2)*-1</f>
        <v>0</v>
      </c>
      <c r="AD232" s="210"/>
    </row>
    <row r="233" spans="1:30" x14ac:dyDescent="0.2">
      <c r="A233" s="1">
        <f t="shared" si="3"/>
        <v>43322.991000000286</v>
      </c>
      <c r="B233" s="182">
        <f>IF($A$1="BL",0,'Peak Hours'!B233*Peak!H234*IS!$B$2)</f>
        <v>0</v>
      </c>
      <c r="C233" s="183">
        <f>IF($A$1="BL",0,'Peak Hours'!C233*Peak!I234*IS!$B$2)</f>
        <v>0</v>
      </c>
      <c r="D233" s="183">
        <f>IF($A$1="BL",0,'Peak Hours'!D233*Peak!J234*IS!$B$2)</f>
        <v>0</v>
      </c>
      <c r="E233" s="183">
        <f>IF($A$1="BL",0,'Peak Hours'!E233*Peak!K234*IS!$B$2)</f>
        <v>0</v>
      </c>
      <c r="F233" s="183">
        <f>IF($A$1="BL",0,'Peak Hours'!F233*Peak!L234*IS!$B$2)</f>
        <v>0</v>
      </c>
      <c r="G233" s="183">
        <f>IF($A$1="BL",0,'Peak Hours'!G233*Peak!M234*IS!$B$2)</f>
        <v>0</v>
      </c>
      <c r="H233" s="183">
        <f>IF($A$1="BL",0,'Peak Hours'!H233*Peak!N234*IS!$B$2)</f>
        <v>0</v>
      </c>
      <c r="I233" s="183">
        <f>IF($A$1="BL",0,'Peak Hours'!I233*Peak!O234*IS!$B$2)</f>
        <v>0</v>
      </c>
      <c r="J233" s="183">
        <f>IF($A$1="BL",0,'Peak Hours'!J233*Peak!P234*IS!$B$2)</f>
        <v>0</v>
      </c>
      <c r="K233" s="183">
        <f>IF($A$1="BL",0,'Peak Hours'!K233*Peak!Q234*IS!$B$2)</f>
        <v>0</v>
      </c>
      <c r="L233" s="183">
        <f>IF($A$1="BL",0,'Peak Hours'!L233*Peak!R234*IS!$B$2)</f>
        <v>0</v>
      </c>
      <c r="M233" s="183">
        <f>IF($A$1="BL",0,'Peak Hours'!M233*Peak!S234*IS!$B$2)</f>
        <v>0</v>
      </c>
      <c r="N233" s="183">
        <f>IF($A$1="BL",0,'Peak Hours'!N233*Peak!T234*IS!$B$2)</f>
        <v>0</v>
      </c>
      <c r="O233" s="183">
        <f>IF($A$1="BL",0,'Peak Hours'!O233*Peak!U234*IS!$B$2)</f>
        <v>0</v>
      </c>
      <c r="P233" s="183">
        <f>IF($A$1="BL",0,'Peak Hours'!P233*Peak!V234*IS!$B$2)</f>
        <v>0</v>
      </c>
      <c r="Q233" s="183">
        <f>IF($A$1="BL",0,'Peak Hours'!Q233*Peak!W234*IS!$B$2)</f>
        <v>0</v>
      </c>
      <c r="R233" s="183">
        <f>IF($A$1="BL",0,'Peak Hours'!R233*Peak!X234*IS!$B$2)</f>
        <v>0</v>
      </c>
      <c r="S233" s="183">
        <f>IF($A$1="BL",0,'Peak Hours'!S233*Peak!Y234*IS!$B$2)</f>
        <v>0</v>
      </c>
      <c r="T233" s="183">
        <f>IF($A$1="BL",0,'Peak Hours'!T233*Peak!Z234*IS!$B$2)</f>
        <v>0</v>
      </c>
      <c r="U233" s="183">
        <f>IF($A$1="BL",0,'Peak Hours'!U233*Peak!AA234*IS!$B$2)</f>
        <v>0</v>
      </c>
      <c r="V233" s="213"/>
      <c r="W233" s="211">
        <f>(IF($A$1="BL",0,Peak!C234*'Peak Hours'!V233*IS!$B$2))*-1</f>
        <v>0</v>
      </c>
      <c r="X233" s="213"/>
      <c r="Y233" s="211">
        <f>(IF($A$1="bl",0,Peak!D234*'Peak Hours'!V233*IS!$B$2))*-1</f>
        <v>0</v>
      </c>
      <c r="Z233" s="213"/>
      <c r="AA233" s="211">
        <f>(Peak!E234*'Peak Hours'!V233*IS!$B$2)*-1</f>
        <v>0</v>
      </c>
      <c r="AB233" s="210"/>
      <c r="AC233" s="211">
        <f>(Peak!F234*'Peak Hours'!V233*IS!$B$2)*-1</f>
        <v>0</v>
      </c>
      <c r="AD233" s="210"/>
    </row>
    <row r="234" spans="1:30" x14ac:dyDescent="0.2">
      <c r="A234" s="1">
        <f t="shared" si="3"/>
        <v>43353.408000000287</v>
      </c>
      <c r="B234" s="182">
        <f>IF($A$1="BL",0,'Peak Hours'!B234*Peak!H235*IS!$B$2)</f>
        <v>0</v>
      </c>
      <c r="C234" s="183">
        <f>IF($A$1="BL",0,'Peak Hours'!C234*Peak!I235*IS!$B$2)</f>
        <v>0</v>
      </c>
      <c r="D234" s="183">
        <f>IF($A$1="BL",0,'Peak Hours'!D234*Peak!J235*IS!$B$2)</f>
        <v>0</v>
      </c>
      <c r="E234" s="183">
        <f>IF($A$1="BL",0,'Peak Hours'!E234*Peak!K235*IS!$B$2)</f>
        <v>0</v>
      </c>
      <c r="F234" s="183">
        <f>IF($A$1="BL",0,'Peak Hours'!F234*Peak!L235*IS!$B$2)</f>
        <v>0</v>
      </c>
      <c r="G234" s="183">
        <f>IF($A$1="BL",0,'Peak Hours'!G234*Peak!M235*IS!$B$2)</f>
        <v>0</v>
      </c>
      <c r="H234" s="183">
        <f>IF($A$1="BL",0,'Peak Hours'!H234*Peak!N235*IS!$B$2)</f>
        <v>0</v>
      </c>
      <c r="I234" s="183">
        <f>IF($A$1="BL",0,'Peak Hours'!I234*Peak!O235*IS!$B$2)</f>
        <v>0</v>
      </c>
      <c r="J234" s="183">
        <f>IF($A$1="BL",0,'Peak Hours'!J234*Peak!P235*IS!$B$2)</f>
        <v>0</v>
      </c>
      <c r="K234" s="183">
        <f>IF($A$1="BL",0,'Peak Hours'!K234*Peak!Q235*IS!$B$2)</f>
        <v>0</v>
      </c>
      <c r="L234" s="183">
        <f>IF($A$1="BL",0,'Peak Hours'!L234*Peak!R235*IS!$B$2)</f>
        <v>0</v>
      </c>
      <c r="M234" s="183">
        <f>IF($A$1="BL",0,'Peak Hours'!M234*Peak!S235*IS!$B$2)</f>
        <v>0</v>
      </c>
      <c r="N234" s="183">
        <f>IF($A$1="BL",0,'Peak Hours'!N234*Peak!T235*IS!$B$2)</f>
        <v>0</v>
      </c>
      <c r="O234" s="183">
        <f>IF($A$1="BL",0,'Peak Hours'!O234*Peak!U235*IS!$B$2)</f>
        <v>0</v>
      </c>
      <c r="P234" s="183">
        <f>IF($A$1="BL",0,'Peak Hours'!P234*Peak!V235*IS!$B$2)</f>
        <v>0</v>
      </c>
      <c r="Q234" s="183">
        <f>IF($A$1="BL",0,'Peak Hours'!Q234*Peak!W235*IS!$B$2)</f>
        <v>0</v>
      </c>
      <c r="R234" s="183">
        <f>IF($A$1="BL",0,'Peak Hours'!R234*Peak!X235*IS!$B$2)</f>
        <v>0</v>
      </c>
      <c r="S234" s="183">
        <f>IF($A$1="BL",0,'Peak Hours'!S234*Peak!Y235*IS!$B$2)</f>
        <v>0</v>
      </c>
      <c r="T234" s="183">
        <f>IF($A$1="BL",0,'Peak Hours'!T234*Peak!Z235*IS!$B$2)</f>
        <v>0</v>
      </c>
      <c r="U234" s="183">
        <f>IF($A$1="BL",0,'Peak Hours'!U234*Peak!AA235*IS!$B$2)</f>
        <v>0</v>
      </c>
      <c r="V234" s="213"/>
      <c r="W234" s="211">
        <f>(IF($A$1="BL",0,Peak!C235*'Peak Hours'!V234*IS!$B$2))*-1</f>
        <v>0</v>
      </c>
      <c r="X234" s="213"/>
      <c r="Y234" s="211">
        <f>(IF($A$1="bl",0,Peak!D235*'Peak Hours'!V234*IS!$B$2))*-1</f>
        <v>0</v>
      </c>
      <c r="Z234" s="213"/>
      <c r="AA234" s="211">
        <f>(Peak!E235*'Peak Hours'!V234*IS!$B$2)*-1</f>
        <v>0</v>
      </c>
      <c r="AB234" s="210"/>
      <c r="AC234" s="211">
        <f>(Peak!F235*'Peak Hours'!V234*IS!$B$2)*-1</f>
        <v>0</v>
      </c>
      <c r="AD234" s="210"/>
    </row>
    <row r="235" spans="1:30" x14ac:dyDescent="0.2">
      <c r="A235" s="1">
        <f t="shared" si="3"/>
        <v>43383.825000000288</v>
      </c>
      <c r="B235" s="182">
        <f>IF($A$1="BL",0,'Peak Hours'!B235*Peak!H236*IS!$B$2)</f>
        <v>0</v>
      </c>
      <c r="C235" s="183">
        <f>IF($A$1="BL",0,'Peak Hours'!C235*Peak!I236*IS!$B$2)</f>
        <v>0</v>
      </c>
      <c r="D235" s="183">
        <f>IF($A$1="BL",0,'Peak Hours'!D235*Peak!J236*IS!$B$2)</f>
        <v>0</v>
      </c>
      <c r="E235" s="183">
        <f>IF($A$1="BL",0,'Peak Hours'!E235*Peak!K236*IS!$B$2)</f>
        <v>0</v>
      </c>
      <c r="F235" s="183">
        <f>IF($A$1="BL",0,'Peak Hours'!F235*Peak!L236*IS!$B$2)</f>
        <v>0</v>
      </c>
      <c r="G235" s="183">
        <f>IF($A$1="BL",0,'Peak Hours'!G235*Peak!M236*IS!$B$2)</f>
        <v>0</v>
      </c>
      <c r="H235" s="183">
        <f>IF($A$1="BL",0,'Peak Hours'!H235*Peak!N236*IS!$B$2)</f>
        <v>0</v>
      </c>
      <c r="I235" s="183">
        <f>IF($A$1="BL",0,'Peak Hours'!I235*Peak!O236*IS!$B$2)</f>
        <v>0</v>
      </c>
      <c r="J235" s="183">
        <f>IF($A$1="BL",0,'Peak Hours'!J235*Peak!P236*IS!$B$2)</f>
        <v>0</v>
      </c>
      <c r="K235" s="183">
        <f>IF($A$1="BL",0,'Peak Hours'!K235*Peak!Q236*IS!$B$2)</f>
        <v>0</v>
      </c>
      <c r="L235" s="183">
        <f>IF($A$1="BL",0,'Peak Hours'!L235*Peak!R236*IS!$B$2)</f>
        <v>0</v>
      </c>
      <c r="M235" s="183">
        <f>IF($A$1="BL",0,'Peak Hours'!M235*Peak!S236*IS!$B$2)</f>
        <v>0</v>
      </c>
      <c r="N235" s="183">
        <f>IF($A$1="BL",0,'Peak Hours'!N235*Peak!T236*IS!$B$2)</f>
        <v>0</v>
      </c>
      <c r="O235" s="183">
        <f>IF($A$1="BL",0,'Peak Hours'!O235*Peak!U236*IS!$B$2)</f>
        <v>0</v>
      </c>
      <c r="P235" s="183">
        <f>IF($A$1="BL",0,'Peak Hours'!P235*Peak!V236*IS!$B$2)</f>
        <v>0</v>
      </c>
      <c r="Q235" s="183">
        <f>IF($A$1="BL",0,'Peak Hours'!Q235*Peak!W236*IS!$B$2)</f>
        <v>0</v>
      </c>
      <c r="R235" s="183">
        <f>IF($A$1="BL",0,'Peak Hours'!R235*Peak!X236*IS!$B$2)</f>
        <v>0</v>
      </c>
      <c r="S235" s="183">
        <f>IF($A$1="BL",0,'Peak Hours'!S235*Peak!Y236*IS!$B$2)</f>
        <v>0</v>
      </c>
      <c r="T235" s="183">
        <f>IF($A$1="BL",0,'Peak Hours'!T235*Peak!Z236*IS!$B$2)</f>
        <v>0</v>
      </c>
      <c r="U235" s="183">
        <f>IF($A$1="BL",0,'Peak Hours'!U235*Peak!AA236*IS!$B$2)</f>
        <v>0</v>
      </c>
      <c r="V235" s="213"/>
      <c r="W235" s="211">
        <f>(IF($A$1="BL",0,Peak!C236*'Peak Hours'!V235*IS!$B$2))*-1</f>
        <v>0</v>
      </c>
      <c r="X235" s="213"/>
      <c r="Y235" s="211">
        <f>(IF($A$1="bl",0,Peak!D236*'Peak Hours'!V235*IS!$B$2))*-1</f>
        <v>0</v>
      </c>
      <c r="Z235" s="213"/>
      <c r="AA235" s="211">
        <f>(Peak!E236*'Peak Hours'!V235*IS!$B$2)*-1</f>
        <v>0</v>
      </c>
      <c r="AB235" s="210"/>
      <c r="AC235" s="211">
        <f>(Peak!F236*'Peak Hours'!V235*IS!$B$2)*-1</f>
        <v>0</v>
      </c>
      <c r="AD235" s="210"/>
    </row>
    <row r="236" spans="1:30" x14ac:dyDescent="0.2">
      <c r="A236" s="1">
        <f t="shared" si="3"/>
        <v>43414.242000000289</v>
      </c>
      <c r="B236" s="182">
        <f>IF($A$1="BL",0,'Peak Hours'!B236*Peak!H237*IS!$B$2)</f>
        <v>0</v>
      </c>
      <c r="C236" s="183">
        <f>IF($A$1="BL",0,'Peak Hours'!C236*Peak!I237*IS!$B$2)</f>
        <v>0</v>
      </c>
      <c r="D236" s="183">
        <f>IF($A$1="BL",0,'Peak Hours'!D236*Peak!J237*IS!$B$2)</f>
        <v>0</v>
      </c>
      <c r="E236" s="183">
        <f>IF($A$1="BL",0,'Peak Hours'!E236*Peak!K237*IS!$B$2)</f>
        <v>0</v>
      </c>
      <c r="F236" s="183">
        <f>IF($A$1="BL",0,'Peak Hours'!F236*Peak!L237*IS!$B$2)</f>
        <v>0</v>
      </c>
      <c r="G236" s="183">
        <f>IF($A$1="BL",0,'Peak Hours'!G236*Peak!M237*IS!$B$2)</f>
        <v>0</v>
      </c>
      <c r="H236" s="183">
        <f>IF($A$1="BL",0,'Peak Hours'!H236*Peak!N237*IS!$B$2)</f>
        <v>0</v>
      </c>
      <c r="I236" s="183">
        <f>IF($A$1="BL",0,'Peak Hours'!I236*Peak!O237*IS!$B$2)</f>
        <v>0</v>
      </c>
      <c r="J236" s="183">
        <f>IF($A$1="BL",0,'Peak Hours'!J236*Peak!P237*IS!$B$2)</f>
        <v>0</v>
      </c>
      <c r="K236" s="183">
        <f>IF($A$1="BL",0,'Peak Hours'!K236*Peak!Q237*IS!$B$2)</f>
        <v>0</v>
      </c>
      <c r="L236" s="183">
        <f>IF($A$1="BL",0,'Peak Hours'!L236*Peak!R237*IS!$B$2)</f>
        <v>0</v>
      </c>
      <c r="M236" s="183">
        <f>IF($A$1="BL",0,'Peak Hours'!M236*Peak!S237*IS!$B$2)</f>
        <v>0</v>
      </c>
      <c r="N236" s="183">
        <f>IF($A$1="BL",0,'Peak Hours'!N236*Peak!T237*IS!$B$2)</f>
        <v>0</v>
      </c>
      <c r="O236" s="183">
        <f>IF($A$1="BL",0,'Peak Hours'!O236*Peak!U237*IS!$B$2)</f>
        <v>0</v>
      </c>
      <c r="P236" s="183">
        <f>IF($A$1="BL",0,'Peak Hours'!P236*Peak!V237*IS!$B$2)</f>
        <v>0</v>
      </c>
      <c r="Q236" s="183">
        <f>IF($A$1="BL",0,'Peak Hours'!Q236*Peak!W237*IS!$B$2)</f>
        <v>0</v>
      </c>
      <c r="R236" s="183">
        <f>IF($A$1="BL",0,'Peak Hours'!R236*Peak!X237*IS!$B$2)</f>
        <v>0</v>
      </c>
      <c r="S236" s="183">
        <f>IF($A$1="BL",0,'Peak Hours'!S236*Peak!Y237*IS!$B$2)</f>
        <v>0</v>
      </c>
      <c r="T236" s="183">
        <f>IF($A$1="BL",0,'Peak Hours'!T236*Peak!Z237*IS!$B$2)</f>
        <v>0</v>
      </c>
      <c r="U236" s="183">
        <f>IF($A$1="BL",0,'Peak Hours'!U236*Peak!AA237*IS!$B$2)</f>
        <v>0</v>
      </c>
      <c r="V236" s="213"/>
      <c r="W236" s="211">
        <f>(IF($A$1="BL",0,Peak!C237*'Peak Hours'!V236*IS!$B$2))*-1</f>
        <v>0</v>
      </c>
      <c r="X236" s="213"/>
      <c r="Y236" s="211">
        <f>(IF($A$1="bl",0,Peak!D237*'Peak Hours'!V236*IS!$B$2))*-1</f>
        <v>0</v>
      </c>
      <c r="Z236" s="213"/>
      <c r="AA236" s="211">
        <f>(Peak!E237*'Peak Hours'!V236*IS!$B$2)*-1</f>
        <v>0</v>
      </c>
      <c r="AB236" s="210"/>
      <c r="AC236" s="211">
        <f>(Peak!F237*'Peak Hours'!V236*IS!$B$2)*-1</f>
        <v>0</v>
      </c>
      <c r="AD236" s="210"/>
    </row>
    <row r="237" spans="1:30" x14ac:dyDescent="0.2">
      <c r="A237" s="1">
        <f t="shared" si="3"/>
        <v>43444.659000000291</v>
      </c>
      <c r="B237" s="182">
        <f>IF($A$1="BL",0,'Peak Hours'!B237*Peak!H238*IS!$B$2)</f>
        <v>0</v>
      </c>
      <c r="C237" s="183">
        <f>IF($A$1="BL",0,'Peak Hours'!C237*Peak!I238*IS!$B$2)</f>
        <v>0</v>
      </c>
      <c r="D237" s="183">
        <f>IF($A$1="BL",0,'Peak Hours'!D237*Peak!J238*IS!$B$2)</f>
        <v>0</v>
      </c>
      <c r="E237" s="183">
        <f>IF($A$1="BL",0,'Peak Hours'!E237*Peak!K238*IS!$B$2)</f>
        <v>0</v>
      </c>
      <c r="F237" s="183">
        <f>IF($A$1="BL",0,'Peak Hours'!F237*Peak!L238*IS!$B$2)</f>
        <v>0</v>
      </c>
      <c r="G237" s="183">
        <f>IF($A$1="BL",0,'Peak Hours'!G237*Peak!M238*IS!$B$2)</f>
        <v>0</v>
      </c>
      <c r="H237" s="183">
        <f>IF($A$1="BL",0,'Peak Hours'!H237*Peak!N238*IS!$B$2)</f>
        <v>0</v>
      </c>
      <c r="I237" s="183">
        <f>IF($A$1="BL",0,'Peak Hours'!I237*Peak!O238*IS!$B$2)</f>
        <v>0</v>
      </c>
      <c r="J237" s="183">
        <f>IF($A$1="BL",0,'Peak Hours'!J237*Peak!P238*IS!$B$2)</f>
        <v>0</v>
      </c>
      <c r="K237" s="183">
        <f>IF($A$1="BL",0,'Peak Hours'!K237*Peak!Q238*IS!$B$2)</f>
        <v>0</v>
      </c>
      <c r="L237" s="183">
        <f>IF($A$1="BL",0,'Peak Hours'!L237*Peak!R238*IS!$B$2)</f>
        <v>0</v>
      </c>
      <c r="M237" s="183">
        <f>IF($A$1="BL",0,'Peak Hours'!M237*Peak!S238*IS!$B$2)</f>
        <v>0</v>
      </c>
      <c r="N237" s="183">
        <f>IF($A$1="BL",0,'Peak Hours'!N237*Peak!T238*IS!$B$2)</f>
        <v>0</v>
      </c>
      <c r="O237" s="183">
        <f>IF($A$1="BL",0,'Peak Hours'!O237*Peak!U238*IS!$B$2)</f>
        <v>0</v>
      </c>
      <c r="P237" s="183">
        <f>IF($A$1="BL",0,'Peak Hours'!P237*Peak!V238*IS!$B$2)</f>
        <v>0</v>
      </c>
      <c r="Q237" s="183">
        <f>IF($A$1="BL",0,'Peak Hours'!Q237*Peak!W238*IS!$B$2)</f>
        <v>0</v>
      </c>
      <c r="R237" s="183">
        <f>IF($A$1="BL",0,'Peak Hours'!R237*Peak!X238*IS!$B$2)</f>
        <v>0</v>
      </c>
      <c r="S237" s="183">
        <f>IF($A$1="BL",0,'Peak Hours'!S237*Peak!Y238*IS!$B$2)</f>
        <v>0</v>
      </c>
      <c r="T237" s="183">
        <f>IF($A$1="BL",0,'Peak Hours'!T237*Peak!Z238*IS!$B$2)</f>
        <v>0</v>
      </c>
      <c r="U237" s="183">
        <f>IF($A$1="BL",0,'Peak Hours'!U237*Peak!AA238*IS!$B$2)</f>
        <v>0</v>
      </c>
      <c r="V237" s="214">
        <f>SUM(B226:U237)</f>
        <v>0</v>
      </c>
      <c r="W237" s="211">
        <f>(IF($A$1="BL",0,Peak!C238*'Peak Hours'!V237*IS!$B$2))*-1</f>
        <v>0</v>
      </c>
      <c r="X237" s="214">
        <f>SUM(W226:W237)</f>
        <v>0</v>
      </c>
      <c r="Y237" s="211">
        <f>(IF($A$1="bl",0,Peak!D238*'Peak Hours'!V237*IS!$B$2))*-1</f>
        <v>0</v>
      </c>
      <c r="Z237" s="214">
        <f>SUM(Y226:Y237)</f>
        <v>0</v>
      </c>
      <c r="AA237" s="211">
        <f>(Peak!E238*'Peak Hours'!V237*IS!$B$2)*-1</f>
        <v>0</v>
      </c>
      <c r="AB237" s="211">
        <f>SUM(AA226:AA237)</f>
        <v>0</v>
      </c>
      <c r="AC237" s="211">
        <f>(Peak!F238*'Peak Hours'!V237*IS!$B$2)*-1</f>
        <v>0</v>
      </c>
      <c r="AD237" s="211">
        <f>SUM(AC226:AC237)</f>
        <v>0</v>
      </c>
    </row>
    <row r="238" spans="1:30" x14ac:dyDescent="0.2">
      <c r="A238" s="1">
        <f t="shared" si="3"/>
        <v>43475.076000000292</v>
      </c>
      <c r="B238" s="182">
        <f>IF($A$1="BL",0,'Peak Hours'!B238*Peak!H239*IS!$B$2)</f>
        <v>0</v>
      </c>
      <c r="C238" s="183">
        <f>IF($A$1="BL",0,'Peak Hours'!C238*Peak!I239*IS!$B$2)</f>
        <v>0</v>
      </c>
      <c r="D238" s="183">
        <f>IF($A$1="BL",0,'Peak Hours'!D238*Peak!J239*IS!$B$2)</f>
        <v>0</v>
      </c>
      <c r="E238" s="183">
        <f>IF($A$1="BL",0,'Peak Hours'!E238*Peak!K239*IS!$B$2)</f>
        <v>0</v>
      </c>
      <c r="F238" s="183">
        <f>IF($A$1="BL",0,'Peak Hours'!F238*Peak!L239*IS!$B$2)</f>
        <v>0</v>
      </c>
      <c r="G238" s="183">
        <f>IF($A$1="BL",0,'Peak Hours'!G238*Peak!M239*IS!$B$2)</f>
        <v>0</v>
      </c>
      <c r="H238" s="183">
        <f>IF($A$1="BL",0,'Peak Hours'!H238*Peak!N239*IS!$B$2)</f>
        <v>0</v>
      </c>
      <c r="I238" s="183">
        <f>IF($A$1="BL",0,'Peak Hours'!I238*Peak!O239*IS!$B$2)</f>
        <v>0</v>
      </c>
      <c r="J238" s="183">
        <f>IF($A$1="BL",0,'Peak Hours'!J238*Peak!P239*IS!$B$2)</f>
        <v>0</v>
      </c>
      <c r="K238" s="183">
        <f>IF($A$1="BL",0,'Peak Hours'!K238*Peak!Q239*IS!$B$2)</f>
        <v>0</v>
      </c>
      <c r="L238" s="183">
        <f>IF($A$1="BL",0,'Peak Hours'!L238*Peak!R239*IS!$B$2)</f>
        <v>0</v>
      </c>
      <c r="M238" s="183">
        <f>IF($A$1="BL",0,'Peak Hours'!M238*Peak!S239*IS!$B$2)</f>
        <v>0</v>
      </c>
      <c r="N238" s="183">
        <f>IF($A$1="BL",0,'Peak Hours'!N238*Peak!T239*IS!$B$2)</f>
        <v>0</v>
      </c>
      <c r="O238" s="183">
        <f>IF($A$1="BL",0,'Peak Hours'!O238*Peak!U239*IS!$B$2)</f>
        <v>0</v>
      </c>
      <c r="P238" s="183">
        <f>IF($A$1="BL",0,'Peak Hours'!P238*Peak!V239*IS!$B$2)</f>
        <v>0</v>
      </c>
      <c r="Q238" s="183">
        <f>IF($A$1="BL",0,'Peak Hours'!Q238*Peak!W239*IS!$B$2)</f>
        <v>0</v>
      </c>
      <c r="R238" s="183">
        <f>IF($A$1="BL",0,'Peak Hours'!R238*Peak!X239*IS!$B$2)</f>
        <v>0</v>
      </c>
      <c r="S238" s="183">
        <f>IF($A$1="BL",0,'Peak Hours'!S238*Peak!Y239*IS!$B$2)</f>
        <v>0</v>
      </c>
      <c r="T238" s="183">
        <f>IF($A$1="BL",0,'Peak Hours'!T238*Peak!Z239*IS!$B$2)</f>
        <v>0</v>
      </c>
      <c r="U238" s="183">
        <f>IF($A$1="BL",0,'Peak Hours'!U238*Peak!AA239*IS!$B$2)</f>
        <v>0</v>
      </c>
      <c r="V238" s="213"/>
      <c r="W238" s="211">
        <f>(IF($A$1="BL",0,Peak!C239*'Peak Hours'!V238*IS!$B$2))*-1</f>
        <v>0</v>
      </c>
      <c r="X238" s="213"/>
      <c r="Y238" s="211">
        <f>(IF($A$1="bl",0,Peak!D239*'Peak Hours'!V238*IS!$B$2))*-1</f>
        <v>0</v>
      </c>
      <c r="Z238" s="213"/>
      <c r="AA238" s="211">
        <f>(Peak!E239*'Peak Hours'!V238*IS!$B$2)*-1</f>
        <v>0</v>
      </c>
      <c r="AB238" s="210"/>
      <c r="AC238" s="211">
        <f>(Peak!F239*'Peak Hours'!V238*IS!$B$2)*-1</f>
        <v>0</v>
      </c>
      <c r="AD238" s="210"/>
    </row>
    <row r="239" spans="1:30" x14ac:dyDescent="0.2">
      <c r="A239" s="1">
        <f t="shared" si="3"/>
        <v>43505.493000000293</v>
      </c>
      <c r="B239" s="182">
        <f>IF($A$1="BL",0,'Peak Hours'!B239*Peak!H240*IS!$B$2)</f>
        <v>0</v>
      </c>
      <c r="C239" s="183">
        <f>IF($A$1="BL",0,'Peak Hours'!C239*Peak!I240*IS!$B$2)</f>
        <v>0</v>
      </c>
      <c r="D239" s="183">
        <f>IF($A$1="BL",0,'Peak Hours'!D239*Peak!J240*IS!$B$2)</f>
        <v>0</v>
      </c>
      <c r="E239" s="183">
        <f>IF($A$1="BL",0,'Peak Hours'!E239*Peak!K240*IS!$B$2)</f>
        <v>0</v>
      </c>
      <c r="F239" s="183">
        <f>IF($A$1="BL",0,'Peak Hours'!F239*Peak!L240*IS!$B$2)</f>
        <v>0</v>
      </c>
      <c r="G239" s="183">
        <f>IF($A$1="BL",0,'Peak Hours'!G239*Peak!M240*IS!$B$2)</f>
        <v>0</v>
      </c>
      <c r="H239" s="183">
        <f>IF($A$1="BL",0,'Peak Hours'!H239*Peak!N240*IS!$B$2)</f>
        <v>0</v>
      </c>
      <c r="I239" s="183">
        <f>IF($A$1="BL",0,'Peak Hours'!I239*Peak!O240*IS!$B$2)</f>
        <v>0</v>
      </c>
      <c r="J239" s="183">
        <f>IF($A$1="BL",0,'Peak Hours'!J239*Peak!P240*IS!$B$2)</f>
        <v>0</v>
      </c>
      <c r="K239" s="183">
        <f>IF($A$1="BL",0,'Peak Hours'!K239*Peak!Q240*IS!$B$2)</f>
        <v>0</v>
      </c>
      <c r="L239" s="183">
        <f>IF($A$1="BL",0,'Peak Hours'!L239*Peak!R240*IS!$B$2)</f>
        <v>0</v>
      </c>
      <c r="M239" s="183">
        <f>IF($A$1="BL",0,'Peak Hours'!M239*Peak!S240*IS!$B$2)</f>
        <v>0</v>
      </c>
      <c r="N239" s="183">
        <f>IF($A$1="BL",0,'Peak Hours'!N239*Peak!T240*IS!$B$2)</f>
        <v>0</v>
      </c>
      <c r="O239" s="183">
        <f>IF($A$1="BL",0,'Peak Hours'!O239*Peak!U240*IS!$B$2)</f>
        <v>0</v>
      </c>
      <c r="P239" s="183">
        <f>IF($A$1="BL",0,'Peak Hours'!P239*Peak!V240*IS!$B$2)</f>
        <v>0</v>
      </c>
      <c r="Q239" s="183">
        <f>IF($A$1="BL",0,'Peak Hours'!Q239*Peak!W240*IS!$B$2)</f>
        <v>0</v>
      </c>
      <c r="R239" s="183">
        <f>IF($A$1="BL",0,'Peak Hours'!R239*Peak!X240*IS!$B$2)</f>
        <v>0</v>
      </c>
      <c r="S239" s="183">
        <f>IF($A$1="BL",0,'Peak Hours'!S239*Peak!Y240*IS!$B$2)</f>
        <v>0</v>
      </c>
      <c r="T239" s="183">
        <f>IF($A$1="BL",0,'Peak Hours'!T239*Peak!Z240*IS!$B$2)</f>
        <v>0</v>
      </c>
      <c r="U239" s="183">
        <f>IF($A$1="BL",0,'Peak Hours'!U239*Peak!AA240*IS!$B$2)</f>
        <v>0</v>
      </c>
      <c r="V239" s="213"/>
      <c r="W239" s="211">
        <f>(IF($A$1="BL",0,Peak!C240*'Peak Hours'!V239*IS!$B$2))*-1</f>
        <v>0</v>
      </c>
      <c r="X239" s="213"/>
      <c r="Y239" s="211">
        <f>(IF($A$1="bl",0,Peak!D240*'Peak Hours'!V239*IS!$B$2))*-1</f>
        <v>0</v>
      </c>
      <c r="Z239" s="213"/>
      <c r="AA239" s="211">
        <f>(Peak!E240*'Peak Hours'!V239*IS!$B$2)*-1</f>
        <v>0</v>
      </c>
      <c r="AB239" s="210"/>
      <c r="AC239" s="211">
        <f>(Peak!F240*'Peak Hours'!V239*IS!$B$2)*-1</f>
        <v>0</v>
      </c>
      <c r="AD239" s="210"/>
    </row>
    <row r="240" spans="1:30" x14ac:dyDescent="0.2">
      <c r="A240" s="1">
        <f t="shared" si="3"/>
        <v>43535.910000000295</v>
      </c>
      <c r="B240" s="182">
        <f>IF($A$1="BL",0,'Peak Hours'!B240*Peak!H241*IS!$B$2)</f>
        <v>0</v>
      </c>
      <c r="C240" s="183">
        <f>IF($A$1="BL",0,'Peak Hours'!C240*Peak!I241*IS!$B$2)</f>
        <v>0</v>
      </c>
      <c r="D240" s="183">
        <f>IF($A$1="BL",0,'Peak Hours'!D240*Peak!J241*IS!$B$2)</f>
        <v>0</v>
      </c>
      <c r="E240" s="183">
        <f>IF($A$1="BL",0,'Peak Hours'!E240*Peak!K241*IS!$B$2)</f>
        <v>0</v>
      </c>
      <c r="F240" s="183">
        <f>IF($A$1="BL",0,'Peak Hours'!F240*Peak!L241*IS!$B$2)</f>
        <v>0</v>
      </c>
      <c r="G240" s="183">
        <f>IF($A$1="BL",0,'Peak Hours'!G240*Peak!M241*IS!$B$2)</f>
        <v>0</v>
      </c>
      <c r="H240" s="183">
        <f>IF($A$1="BL",0,'Peak Hours'!H240*Peak!N241*IS!$B$2)</f>
        <v>0</v>
      </c>
      <c r="I240" s="183">
        <f>IF($A$1="BL",0,'Peak Hours'!I240*Peak!O241*IS!$B$2)</f>
        <v>0</v>
      </c>
      <c r="J240" s="183">
        <f>IF($A$1="BL",0,'Peak Hours'!J240*Peak!P241*IS!$B$2)</f>
        <v>0</v>
      </c>
      <c r="K240" s="183">
        <f>IF($A$1="BL",0,'Peak Hours'!K240*Peak!Q241*IS!$B$2)</f>
        <v>0</v>
      </c>
      <c r="L240" s="183">
        <f>IF($A$1="BL",0,'Peak Hours'!L240*Peak!R241*IS!$B$2)</f>
        <v>0</v>
      </c>
      <c r="M240" s="183">
        <f>IF($A$1="BL",0,'Peak Hours'!M240*Peak!S241*IS!$B$2)</f>
        <v>0</v>
      </c>
      <c r="N240" s="183">
        <f>IF($A$1="BL",0,'Peak Hours'!N240*Peak!T241*IS!$B$2)</f>
        <v>0</v>
      </c>
      <c r="O240" s="183">
        <f>IF($A$1="BL",0,'Peak Hours'!O240*Peak!U241*IS!$B$2)</f>
        <v>0</v>
      </c>
      <c r="P240" s="183">
        <f>IF($A$1="BL",0,'Peak Hours'!P240*Peak!V241*IS!$B$2)</f>
        <v>0</v>
      </c>
      <c r="Q240" s="183">
        <f>IF($A$1="BL",0,'Peak Hours'!Q240*Peak!W241*IS!$B$2)</f>
        <v>0</v>
      </c>
      <c r="R240" s="183">
        <f>IF($A$1="BL",0,'Peak Hours'!R240*Peak!X241*IS!$B$2)</f>
        <v>0</v>
      </c>
      <c r="S240" s="183">
        <f>IF($A$1="BL",0,'Peak Hours'!S240*Peak!Y241*IS!$B$2)</f>
        <v>0</v>
      </c>
      <c r="T240" s="183">
        <f>IF($A$1="BL",0,'Peak Hours'!T240*Peak!Z241*IS!$B$2)</f>
        <v>0</v>
      </c>
      <c r="U240" s="183">
        <f>IF($A$1="BL",0,'Peak Hours'!U240*Peak!AA241*IS!$B$2)</f>
        <v>0</v>
      </c>
      <c r="V240" s="213"/>
      <c r="W240" s="211">
        <f>(IF($A$1="BL",0,Peak!C241*'Peak Hours'!V240*IS!$B$2))*-1</f>
        <v>0</v>
      </c>
      <c r="X240" s="213"/>
      <c r="Y240" s="211">
        <f>(IF($A$1="bl",0,Peak!D241*'Peak Hours'!V240*IS!$B$2))*-1</f>
        <v>0</v>
      </c>
      <c r="Z240" s="213"/>
      <c r="AA240" s="211">
        <f>(Peak!E241*'Peak Hours'!V240*IS!$B$2)*-1</f>
        <v>0</v>
      </c>
      <c r="AB240" s="210"/>
      <c r="AC240" s="211">
        <f>(Peak!F241*'Peak Hours'!V240*IS!$B$2)*-1</f>
        <v>0</v>
      </c>
      <c r="AD240" s="210"/>
    </row>
    <row r="241" spans="1:30" x14ac:dyDescent="0.2">
      <c r="A241" s="1">
        <f t="shared" si="3"/>
        <v>43566.327000000296</v>
      </c>
      <c r="B241" s="182">
        <f>IF($A$1="BL",0,'Peak Hours'!B241*Peak!H242*IS!$B$2)</f>
        <v>0</v>
      </c>
      <c r="C241" s="183">
        <f>IF($A$1="BL",0,'Peak Hours'!C241*Peak!I242*IS!$B$2)</f>
        <v>0</v>
      </c>
      <c r="D241" s="183">
        <f>IF($A$1="BL",0,'Peak Hours'!D241*Peak!J242*IS!$B$2)</f>
        <v>0</v>
      </c>
      <c r="E241" s="183">
        <f>IF($A$1="BL",0,'Peak Hours'!E241*Peak!K242*IS!$B$2)</f>
        <v>0</v>
      </c>
      <c r="F241" s="183">
        <f>IF($A$1="BL",0,'Peak Hours'!F241*Peak!L242*IS!$B$2)</f>
        <v>0</v>
      </c>
      <c r="G241" s="183">
        <f>IF($A$1="BL",0,'Peak Hours'!G241*Peak!M242*IS!$B$2)</f>
        <v>0</v>
      </c>
      <c r="H241" s="183">
        <f>IF($A$1="BL",0,'Peak Hours'!H241*Peak!N242*IS!$B$2)</f>
        <v>0</v>
      </c>
      <c r="I241" s="183">
        <f>IF($A$1="BL",0,'Peak Hours'!I241*Peak!O242*IS!$B$2)</f>
        <v>0</v>
      </c>
      <c r="J241" s="183">
        <f>IF($A$1="BL",0,'Peak Hours'!J241*Peak!P242*IS!$B$2)</f>
        <v>0</v>
      </c>
      <c r="K241" s="183">
        <f>IF($A$1="BL",0,'Peak Hours'!K241*Peak!Q242*IS!$B$2)</f>
        <v>0</v>
      </c>
      <c r="L241" s="183">
        <f>IF($A$1="BL",0,'Peak Hours'!L241*Peak!R242*IS!$B$2)</f>
        <v>0</v>
      </c>
      <c r="M241" s="183">
        <f>IF($A$1="BL",0,'Peak Hours'!M241*Peak!S242*IS!$B$2)</f>
        <v>0</v>
      </c>
      <c r="N241" s="183">
        <f>IF($A$1="BL",0,'Peak Hours'!N241*Peak!T242*IS!$B$2)</f>
        <v>0</v>
      </c>
      <c r="O241" s="183">
        <f>IF($A$1="BL",0,'Peak Hours'!O241*Peak!U242*IS!$B$2)</f>
        <v>0</v>
      </c>
      <c r="P241" s="183">
        <f>IF($A$1="BL",0,'Peak Hours'!P241*Peak!V242*IS!$B$2)</f>
        <v>0</v>
      </c>
      <c r="Q241" s="183">
        <f>IF($A$1="BL",0,'Peak Hours'!Q241*Peak!W242*IS!$B$2)</f>
        <v>0</v>
      </c>
      <c r="R241" s="183">
        <f>IF($A$1="BL",0,'Peak Hours'!R241*Peak!X242*IS!$B$2)</f>
        <v>0</v>
      </c>
      <c r="S241" s="183">
        <f>IF($A$1="BL",0,'Peak Hours'!S241*Peak!Y242*IS!$B$2)</f>
        <v>0</v>
      </c>
      <c r="T241" s="183">
        <f>IF($A$1="BL",0,'Peak Hours'!T241*Peak!Z242*IS!$B$2)</f>
        <v>0</v>
      </c>
      <c r="U241" s="183">
        <f>IF($A$1="BL",0,'Peak Hours'!U241*Peak!AA242*IS!$B$2)</f>
        <v>0</v>
      </c>
      <c r="V241" s="213"/>
      <c r="W241" s="211">
        <f>(IF($A$1="BL",0,Peak!C242*'Peak Hours'!V241*IS!$B$2))*-1</f>
        <v>0</v>
      </c>
      <c r="X241" s="213"/>
      <c r="Y241" s="211">
        <f>(IF($A$1="bl",0,Peak!D242*'Peak Hours'!V241*IS!$B$2))*-1</f>
        <v>0</v>
      </c>
      <c r="Z241" s="213"/>
      <c r="AA241" s="211">
        <f>(Peak!E242*'Peak Hours'!V241*IS!$B$2)*-1</f>
        <v>0</v>
      </c>
      <c r="AB241" s="210"/>
      <c r="AC241" s="211">
        <f>(Peak!F242*'Peak Hours'!V241*IS!$B$2)*-1</f>
        <v>0</v>
      </c>
      <c r="AD241" s="210"/>
    </row>
    <row r="242" spans="1:30" x14ac:dyDescent="0.2">
      <c r="A242" s="1">
        <f t="shared" si="3"/>
        <v>43596.744000000297</v>
      </c>
      <c r="B242" s="182">
        <f>IF($A$1="BL",0,'Peak Hours'!B242*Peak!H243*IS!$B$2)</f>
        <v>0</v>
      </c>
      <c r="C242" s="183">
        <f>IF($A$1="BL",0,'Peak Hours'!C242*Peak!I243*IS!$B$2)</f>
        <v>0</v>
      </c>
      <c r="D242" s="183">
        <f>IF($A$1="BL",0,'Peak Hours'!D242*Peak!J243*IS!$B$2)</f>
        <v>0</v>
      </c>
      <c r="E242" s="183">
        <f>IF($A$1="BL",0,'Peak Hours'!E242*Peak!K243*IS!$B$2)</f>
        <v>0</v>
      </c>
      <c r="F242" s="183">
        <f>IF($A$1="BL",0,'Peak Hours'!F242*Peak!L243*IS!$B$2)</f>
        <v>0</v>
      </c>
      <c r="G242" s="183">
        <f>IF($A$1="BL",0,'Peak Hours'!G242*Peak!M243*IS!$B$2)</f>
        <v>0</v>
      </c>
      <c r="H242" s="183">
        <f>IF($A$1="BL",0,'Peak Hours'!H242*Peak!N243*IS!$B$2)</f>
        <v>0</v>
      </c>
      <c r="I242" s="183">
        <f>IF($A$1="BL",0,'Peak Hours'!I242*Peak!O243*IS!$B$2)</f>
        <v>0</v>
      </c>
      <c r="J242" s="183">
        <f>IF($A$1="BL",0,'Peak Hours'!J242*Peak!P243*IS!$B$2)</f>
        <v>0</v>
      </c>
      <c r="K242" s="183">
        <f>IF($A$1="BL",0,'Peak Hours'!K242*Peak!Q243*IS!$B$2)</f>
        <v>0</v>
      </c>
      <c r="L242" s="183">
        <f>IF($A$1="BL",0,'Peak Hours'!L242*Peak!R243*IS!$B$2)</f>
        <v>0</v>
      </c>
      <c r="M242" s="183">
        <f>IF($A$1="BL",0,'Peak Hours'!M242*Peak!S243*IS!$B$2)</f>
        <v>0</v>
      </c>
      <c r="N242" s="183">
        <f>IF($A$1="BL",0,'Peak Hours'!N242*Peak!T243*IS!$B$2)</f>
        <v>0</v>
      </c>
      <c r="O242" s="183">
        <f>IF($A$1="BL",0,'Peak Hours'!O242*Peak!U243*IS!$B$2)</f>
        <v>0</v>
      </c>
      <c r="P242" s="183">
        <f>IF($A$1="BL",0,'Peak Hours'!P242*Peak!V243*IS!$B$2)</f>
        <v>0</v>
      </c>
      <c r="Q242" s="183">
        <f>IF($A$1="BL",0,'Peak Hours'!Q242*Peak!W243*IS!$B$2)</f>
        <v>0</v>
      </c>
      <c r="R242" s="183">
        <f>IF($A$1="BL",0,'Peak Hours'!R242*Peak!X243*IS!$B$2)</f>
        <v>0</v>
      </c>
      <c r="S242" s="183">
        <f>IF($A$1="BL",0,'Peak Hours'!S242*Peak!Y243*IS!$B$2)</f>
        <v>0</v>
      </c>
      <c r="T242" s="183">
        <f>IF($A$1="BL",0,'Peak Hours'!T242*Peak!Z243*IS!$B$2)</f>
        <v>0</v>
      </c>
      <c r="U242" s="183">
        <f>IF($A$1="BL",0,'Peak Hours'!U242*Peak!AA243*IS!$B$2)</f>
        <v>0</v>
      </c>
      <c r="V242" s="213"/>
      <c r="W242" s="211">
        <f>(IF($A$1="BL",0,Peak!C243*'Peak Hours'!V242*IS!$B$2))*-1</f>
        <v>0</v>
      </c>
      <c r="X242" s="213"/>
      <c r="Y242" s="211">
        <f>(IF($A$1="bl",0,Peak!D243*'Peak Hours'!V242*IS!$B$2))*-1</f>
        <v>0</v>
      </c>
      <c r="Z242" s="213"/>
      <c r="AA242" s="211">
        <f>(Peak!E243*'Peak Hours'!V242*IS!$B$2)*-1</f>
        <v>0</v>
      </c>
      <c r="AB242" s="210"/>
      <c r="AC242" s="211">
        <f>(Peak!F243*'Peak Hours'!V242*IS!$B$2)*-1</f>
        <v>0</v>
      </c>
      <c r="AD242" s="210"/>
    </row>
    <row r="243" spans="1:30" x14ac:dyDescent="0.2">
      <c r="A243" s="1">
        <f t="shared" si="3"/>
        <v>43627.161000000298</v>
      </c>
      <c r="B243" s="182">
        <f>IF($A$1="BL",0,'Peak Hours'!B243*Peak!H244*IS!$B$2)</f>
        <v>0</v>
      </c>
      <c r="C243" s="183">
        <f>IF($A$1="BL",0,'Peak Hours'!C243*Peak!I244*IS!$B$2)</f>
        <v>0</v>
      </c>
      <c r="D243" s="183">
        <f>IF($A$1="BL",0,'Peak Hours'!D243*Peak!J244*IS!$B$2)</f>
        <v>0</v>
      </c>
      <c r="E243" s="183">
        <f>IF($A$1="BL",0,'Peak Hours'!E243*Peak!K244*IS!$B$2)</f>
        <v>0</v>
      </c>
      <c r="F243" s="183">
        <f>IF($A$1="BL",0,'Peak Hours'!F243*Peak!L244*IS!$B$2)</f>
        <v>0</v>
      </c>
      <c r="G243" s="183">
        <f>IF($A$1="BL",0,'Peak Hours'!G243*Peak!M244*IS!$B$2)</f>
        <v>0</v>
      </c>
      <c r="H243" s="183">
        <f>IF($A$1="BL",0,'Peak Hours'!H243*Peak!N244*IS!$B$2)</f>
        <v>0</v>
      </c>
      <c r="I243" s="183">
        <f>IF($A$1="BL",0,'Peak Hours'!I243*Peak!O244*IS!$B$2)</f>
        <v>0</v>
      </c>
      <c r="J243" s="183">
        <f>IF($A$1="BL",0,'Peak Hours'!J243*Peak!P244*IS!$B$2)</f>
        <v>0</v>
      </c>
      <c r="K243" s="183">
        <f>IF($A$1="BL",0,'Peak Hours'!K243*Peak!Q244*IS!$B$2)</f>
        <v>0</v>
      </c>
      <c r="L243" s="183">
        <f>IF($A$1="BL",0,'Peak Hours'!L243*Peak!R244*IS!$B$2)</f>
        <v>0</v>
      </c>
      <c r="M243" s="183">
        <f>IF($A$1="BL",0,'Peak Hours'!M243*Peak!S244*IS!$B$2)</f>
        <v>0</v>
      </c>
      <c r="N243" s="183">
        <f>IF($A$1="BL",0,'Peak Hours'!N243*Peak!T244*IS!$B$2)</f>
        <v>0</v>
      </c>
      <c r="O243" s="183">
        <f>IF($A$1="BL",0,'Peak Hours'!O243*Peak!U244*IS!$B$2)</f>
        <v>0</v>
      </c>
      <c r="P243" s="183">
        <f>IF($A$1="BL",0,'Peak Hours'!P243*Peak!V244*IS!$B$2)</f>
        <v>0</v>
      </c>
      <c r="Q243" s="183">
        <f>IF($A$1="BL",0,'Peak Hours'!Q243*Peak!W244*IS!$B$2)</f>
        <v>0</v>
      </c>
      <c r="R243" s="183">
        <f>IF($A$1="BL",0,'Peak Hours'!R243*Peak!X244*IS!$B$2)</f>
        <v>0</v>
      </c>
      <c r="S243" s="183">
        <f>IF($A$1="BL",0,'Peak Hours'!S243*Peak!Y244*IS!$B$2)</f>
        <v>0</v>
      </c>
      <c r="T243" s="183">
        <f>IF($A$1="BL",0,'Peak Hours'!T243*Peak!Z244*IS!$B$2)</f>
        <v>0</v>
      </c>
      <c r="U243" s="183">
        <f>IF($A$1="BL",0,'Peak Hours'!U243*Peak!AA244*IS!$B$2)</f>
        <v>0</v>
      </c>
      <c r="V243" s="213"/>
      <c r="W243" s="211">
        <f>(IF($A$1="BL",0,Peak!C244*'Peak Hours'!V243*IS!$B$2))*-1</f>
        <v>0</v>
      </c>
      <c r="X243" s="213"/>
      <c r="Y243" s="211">
        <f>(IF($A$1="bl",0,Peak!D244*'Peak Hours'!V243*IS!$B$2))*-1</f>
        <v>0</v>
      </c>
      <c r="Z243" s="213"/>
      <c r="AA243" s="211">
        <f>(Peak!E244*'Peak Hours'!V243*IS!$B$2)*-1</f>
        <v>0</v>
      </c>
      <c r="AB243" s="210"/>
      <c r="AC243" s="211">
        <f>(Peak!F244*'Peak Hours'!V243*IS!$B$2)*-1</f>
        <v>0</v>
      </c>
      <c r="AD243" s="210"/>
    </row>
    <row r="244" spans="1:30" x14ac:dyDescent="0.2">
      <c r="A244" s="1">
        <f t="shared" si="3"/>
        <v>43657.5780000003</v>
      </c>
      <c r="B244" s="182">
        <f>IF($A$1="BL",0,'Peak Hours'!B244*Peak!H245*IS!$B$2)</f>
        <v>0</v>
      </c>
      <c r="C244" s="183">
        <f>IF($A$1="BL",0,'Peak Hours'!C244*Peak!I245*IS!$B$2)</f>
        <v>0</v>
      </c>
      <c r="D244" s="183">
        <f>IF($A$1="BL",0,'Peak Hours'!D244*Peak!J245*IS!$B$2)</f>
        <v>0</v>
      </c>
      <c r="E244" s="183">
        <f>IF($A$1="BL",0,'Peak Hours'!E244*Peak!K245*IS!$B$2)</f>
        <v>0</v>
      </c>
      <c r="F244" s="183">
        <f>IF($A$1="BL",0,'Peak Hours'!F244*Peak!L245*IS!$B$2)</f>
        <v>0</v>
      </c>
      <c r="G244" s="183">
        <f>IF($A$1="BL",0,'Peak Hours'!G244*Peak!M245*IS!$B$2)</f>
        <v>0</v>
      </c>
      <c r="H244" s="183">
        <f>IF($A$1="BL",0,'Peak Hours'!H244*Peak!N245*IS!$B$2)</f>
        <v>0</v>
      </c>
      <c r="I244" s="183">
        <f>IF($A$1="BL",0,'Peak Hours'!I244*Peak!O245*IS!$B$2)</f>
        <v>0</v>
      </c>
      <c r="J244" s="183">
        <f>IF($A$1="BL",0,'Peak Hours'!J244*Peak!P245*IS!$B$2)</f>
        <v>0</v>
      </c>
      <c r="K244" s="183">
        <f>IF($A$1="BL",0,'Peak Hours'!K244*Peak!Q245*IS!$B$2)</f>
        <v>0</v>
      </c>
      <c r="L244" s="183">
        <f>IF($A$1="BL",0,'Peak Hours'!L244*Peak!R245*IS!$B$2)</f>
        <v>0</v>
      </c>
      <c r="M244" s="183">
        <f>IF($A$1="BL",0,'Peak Hours'!M244*Peak!S245*IS!$B$2)</f>
        <v>0</v>
      </c>
      <c r="N244" s="183">
        <f>IF($A$1="BL",0,'Peak Hours'!N244*Peak!T245*IS!$B$2)</f>
        <v>0</v>
      </c>
      <c r="O244" s="183">
        <f>IF($A$1="BL",0,'Peak Hours'!O244*Peak!U245*IS!$B$2)</f>
        <v>0</v>
      </c>
      <c r="P244" s="183">
        <f>IF($A$1="BL",0,'Peak Hours'!P244*Peak!V245*IS!$B$2)</f>
        <v>0</v>
      </c>
      <c r="Q244" s="183">
        <f>IF($A$1="BL",0,'Peak Hours'!Q244*Peak!W245*IS!$B$2)</f>
        <v>0</v>
      </c>
      <c r="R244" s="183">
        <f>IF($A$1="BL",0,'Peak Hours'!R244*Peak!X245*IS!$B$2)</f>
        <v>0</v>
      </c>
      <c r="S244" s="183">
        <f>IF($A$1="BL",0,'Peak Hours'!S244*Peak!Y245*IS!$B$2)</f>
        <v>0</v>
      </c>
      <c r="T244" s="183">
        <f>IF($A$1="BL",0,'Peak Hours'!T244*Peak!Z245*IS!$B$2)</f>
        <v>0</v>
      </c>
      <c r="U244" s="183">
        <f>IF($A$1="BL",0,'Peak Hours'!U244*Peak!AA245*IS!$B$2)</f>
        <v>0</v>
      </c>
      <c r="V244" s="213"/>
      <c r="W244" s="211">
        <f>(IF($A$1="BL",0,Peak!C245*'Peak Hours'!V244*IS!$B$2))*-1</f>
        <v>0</v>
      </c>
      <c r="X244" s="213"/>
      <c r="Y244" s="211">
        <f>(IF($A$1="bl",0,Peak!D245*'Peak Hours'!V244*IS!$B$2))*-1</f>
        <v>0</v>
      </c>
      <c r="Z244" s="213"/>
      <c r="AA244" s="211">
        <f>(Peak!E245*'Peak Hours'!V244*IS!$B$2)*-1</f>
        <v>0</v>
      </c>
      <c r="AB244" s="210"/>
      <c r="AC244" s="211">
        <f>(Peak!F245*'Peak Hours'!V244*IS!$B$2)*-1</f>
        <v>0</v>
      </c>
      <c r="AD244" s="210"/>
    </row>
    <row r="245" spans="1:30" x14ac:dyDescent="0.2">
      <c r="A245" s="1">
        <f t="shared" si="3"/>
        <v>43687.995000000301</v>
      </c>
      <c r="B245" s="182">
        <f>IF($A$1="BL",0,'Peak Hours'!B245*Peak!H246*IS!$B$2)</f>
        <v>0</v>
      </c>
      <c r="C245" s="183">
        <f>IF($A$1="BL",0,'Peak Hours'!C245*Peak!I246*IS!$B$2)</f>
        <v>0</v>
      </c>
      <c r="D245" s="183">
        <f>IF($A$1="BL",0,'Peak Hours'!D245*Peak!J246*IS!$B$2)</f>
        <v>0</v>
      </c>
      <c r="E245" s="183">
        <f>IF($A$1="BL",0,'Peak Hours'!E245*Peak!K246*IS!$B$2)</f>
        <v>0</v>
      </c>
      <c r="F245" s="183">
        <f>IF($A$1="BL",0,'Peak Hours'!F245*Peak!L246*IS!$B$2)</f>
        <v>0</v>
      </c>
      <c r="G245" s="183">
        <f>IF($A$1="BL",0,'Peak Hours'!G245*Peak!M246*IS!$B$2)</f>
        <v>0</v>
      </c>
      <c r="H245" s="183">
        <f>IF($A$1="BL",0,'Peak Hours'!H245*Peak!N246*IS!$B$2)</f>
        <v>0</v>
      </c>
      <c r="I245" s="183">
        <f>IF($A$1="BL",0,'Peak Hours'!I245*Peak!O246*IS!$B$2)</f>
        <v>0</v>
      </c>
      <c r="J245" s="183">
        <f>IF($A$1="BL",0,'Peak Hours'!J245*Peak!P246*IS!$B$2)</f>
        <v>0</v>
      </c>
      <c r="K245" s="183">
        <f>IF($A$1="BL",0,'Peak Hours'!K245*Peak!Q246*IS!$B$2)</f>
        <v>0</v>
      </c>
      <c r="L245" s="183">
        <f>IF($A$1="BL",0,'Peak Hours'!L245*Peak!R246*IS!$B$2)</f>
        <v>0</v>
      </c>
      <c r="M245" s="183">
        <f>IF($A$1="BL",0,'Peak Hours'!M245*Peak!S246*IS!$B$2)</f>
        <v>0</v>
      </c>
      <c r="N245" s="183">
        <f>IF($A$1="BL",0,'Peak Hours'!N245*Peak!T246*IS!$B$2)</f>
        <v>0</v>
      </c>
      <c r="O245" s="183">
        <f>IF($A$1="BL",0,'Peak Hours'!O245*Peak!U246*IS!$B$2)</f>
        <v>0</v>
      </c>
      <c r="P245" s="183">
        <f>IF($A$1="BL",0,'Peak Hours'!P245*Peak!V246*IS!$B$2)</f>
        <v>0</v>
      </c>
      <c r="Q245" s="183">
        <f>IF($A$1="BL",0,'Peak Hours'!Q245*Peak!W246*IS!$B$2)</f>
        <v>0</v>
      </c>
      <c r="R245" s="183">
        <f>IF($A$1="BL",0,'Peak Hours'!R245*Peak!X246*IS!$B$2)</f>
        <v>0</v>
      </c>
      <c r="S245" s="183">
        <f>IF($A$1="BL",0,'Peak Hours'!S245*Peak!Y246*IS!$B$2)</f>
        <v>0</v>
      </c>
      <c r="T245" s="183">
        <f>IF($A$1="BL",0,'Peak Hours'!T245*Peak!Z246*IS!$B$2)</f>
        <v>0</v>
      </c>
      <c r="U245" s="183">
        <f>IF($A$1="BL",0,'Peak Hours'!U245*Peak!AA246*IS!$B$2)</f>
        <v>0</v>
      </c>
      <c r="V245" s="213"/>
      <c r="W245" s="211">
        <f>(IF($A$1="BL",0,Peak!C246*'Peak Hours'!V245*IS!$B$2))*-1</f>
        <v>0</v>
      </c>
      <c r="X245" s="213"/>
      <c r="Y245" s="211">
        <f>(IF($A$1="bl",0,Peak!D246*'Peak Hours'!V245*IS!$B$2))*-1</f>
        <v>0</v>
      </c>
      <c r="Z245" s="213"/>
      <c r="AA245" s="211">
        <f>(Peak!E246*'Peak Hours'!V245*IS!$B$2)*-1</f>
        <v>0</v>
      </c>
      <c r="AB245" s="210"/>
      <c r="AC245" s="211">
        <f>(Peak!F246*'Peak Hours'!V245*IS!$B$2)*-1</f>
        <v>0</v>
      </c>
      <c r="AD245" s="210"/>
    </row>
    <row r="246" spans="1:30" x14ac:dyDescent="0.2">
      <c r="A246" s="1">
        <f t="shared" si="3"/>
        <v>43718.412000000302</v>
      </c>
      <c r="B246" s="182">
        <f>IF($A$1="BL",0,'Peak Hours'!B246*Peak!H247*IS!$B$2)</f>
        <v>0</v>
      </c>
      <c r="C246" s="183">
        <f>IF($A$1="BL",0,'Peak Hours'!C246*Peak!I247*IS!$B$2)</f>
        <v>0</v>
      </c>
      <c r="D246" s="183">
        <f>IF($A$1="BL",0,'Peak Hours'!D246*Peak!J247*IS!$B$2)</f>
        <v>0</v>
      </c>
      <c r="E246" s="183">
        <f>IF($A$1="BL",0,'Peak Hours'!E246*Peak!K247*IS!$B$2)</f>
        <v>0</v>
      </c>
      <c r="F246" s="183">
        <f>IF($A$1="BL",0,'Peak Hours'!F246*Peak!L247*IS!$B$2)</f>
        <v>0</v>
      </c>
      <c r="G246" s="183">
        <f>IF($A$1="BL",0,'Peak Hours'!G246*Peak!M247*IS!$B$2)</f>
        <v>0</v>
      </c>
      <c r="H246" s="183">
        <f>IF($A$1="BL",0,'Peak Hours'!H246*Peak!N247*IS!$B$2)</f>
        <v>0</v>
      </c>
      <c r="I246" s="183">
        <f>IF($A$1="BL",0,'Peak Hours'!I246*Peak!O247*IS!$B$2)</f>
        <v>0</v>
      </c>
      <c r="J246" s="183">
        <f>IF($A$1="BL",0,'Peak Hours'!J246*Peak!P247*IS!$B$2)</f>
        <v>0</v>
      </c>
      <c r="K246" s="183">
        <f>IF($A$1="BL",0,'Peak Hours'!K246*Peak!Q247*IS!$B$2)</f>
        <v>0</v>
      </c>
      <c r="L246" s="183">
        <f>IF($A$1="BL",0,'Peak Hours'!L246*Peak!R247*IS!$B$2)</f>
        <v>0</v>
      </c>
      <c r="M246" s="183">
        <f>IF($A$1="BL",0,'Peak Hours'!M246*Peak!S247*IS!$B$2)</f>
        <v>0</v>
      </c>
      <c r="N246" s="183">
        <f>IF($A$1="BL",0,'Peak Hours'!N246*Peak!T247*IS!$B$2)</f>
        <v>0</v>
      </c>
      <c r="O246" s="183">
        <f>IF($A$1="BL",0,'Peak Hours'!O246*Peak!U247*IS!$B$2)</f>
        <v>0</v>
      </c>
      <c r="P246" s="183">
        <f>IF($A$1="BL",0,'Peak Hours'!P246*Peak!V247*IS!$B$2)</f>
        <v>0</v>
      </c>
      <c r="Q246" s="183">
        <f>IF($A$1="BL",0,'Peak Hours'!Q246*Peak!W247*IS!$B$2)</f>
        <v>0</v>
      </c>
      <c r="R246" s="183">
        <f>IF($A$1="BL",0,'Peak Hours'!R246*Peak!X247*IS!$B$2)</f>
        <v>0</v>
      </c>
      <c r="S246" s="183">
        <f>IF($A$1="BL",0,'Peak Hours'!S246*Peak!Y247*IS!$B$2)</f>
        <v>0</v>
      </c>
      <c r="T246" s="183">
        <f>IF($A$1="BL",0,'Peak Hours'!T246*Peak!Z247*IS!$B$2)</f>
        <v>0</v>
      </c>
      <c r="U246" s="183">
        <f>IF($A$1="BL",0,'Peak Hours'!U246*Peak!AA247*IS!$B$2)</f>
        <v>0</v>
      </c>
      <c r="V246" s="213"/>
      <c r="W246" s="211">
        <f>(IF($A$1="BL",0,Peak!C247*'Peak Hours'!V246*IS!$B$2))*-1</f>
        <v>0</v>
      </c>
      <c r="X246" s="213"/>
      <c r="Y246" s="211">
        <f>(IF($A$1="bl",0,Peak!D247*'Peak Hours'!V246*IS!$B$2))*-1</f>
        <v>0</v>
      </c>
      <c r="Z246" s="213"/>
      <c r="AA246" s="211">
        <f>(Peak!E247*'Peak Hours'!V246*IS!$B$2)*-1</f>
        <v>0</v>
      </c>
      <c r="AB246" s="210"/>
      <c r="AC246" s="211">
        <f>(Peak!F247*'Peak Hours'!V246*IS!$B$2)*-1</f>
        <v>0</v>
      </c>
      <c r="AD246" s="210"/>
    </row>
    <row r="247" spans="1:30" x14ac:dyDescent="0.2">
      <c r="A247" s="1">
        <f t="shared" si="3"/>
        <v>43748.829000000303</v>
      </c>
      <c r="B247" s="182">
        <f>IF($A$1="BL",0,'Peak Hours'!B247*Peak!H248*IS!$B$2)</f>
        <v>0</v>
      </c>
      <c r="C247" s="183">
        <f>IF($A$1="BL",0,'Peak Hours'!C247*Peak!I248*IS!$B$2)</f>
        <v>0</v>
      </c>
      <c r="D247" s="183">
        <f>IF($A$1="BL",0,'Peak Hours'!D247*Peak!J248*IS!$B$2)</f>
        <v>0</v>
      </c>
      <c r="E247" s="183">
        <f>IF($A$1="BL",0,'Peak Hours'!E247*Peak!K248*IS!$B$2)</f>
        <v>0</v>
      </c>
      <c r="F247" s="183">
        <f>IF($A$1="BL",0,'Peak Hours'!F247*Peak!L248*IS!$B$2)</f>
        <v>0</v>
      </c>
      <c r="G247" s="183">
        <f>IF($A$1="BL",0,'Peak Hours'!G247*Peak!M248*IS!$B$2)</f>
        <v>0</v>
      </c>
      <c r="H247" s="183">
        <f>IF($A$1="BL",0,'Peak Hours'!H247*Peak!N248*IS!$B$2)</f>
        <v>0</v>
      </c>
      <c r="I247" s="183">
        <f>IF($A$1="BL",0,'Peak Hours'!I247*Peak!O248*IS!$B$2)</f>
        <v>0</v>
      </c>
      <c r="J247" s="183">
        <f>IF($A$1="BL",0,'Peak Hours'!J247*Peak!P248*IS!$B$2)</f>
        <v>0</v>
      </c>
      <c r="K247" s="183">
        <f>IF($A$1="BL",0,'Peak Hours'!K247*Peak!Q248*IS!$B$2)</f>
        <v>0</v>
      </c>
      <c r="L247" s="183">
        <f>IF($A$1="BL",0,'Peak Hours'!L247*Peak!R248*IS!$B$2)</f>
        <v>0</v>
      </c>
      <c r="M247" s="183">
        <f>IF($A$1="BL",0,'Peak Hours'!M247*Peak!S248*IS!$B$2)</f>
        <v>0</v>
      </c>
      <c r="N247" s="183">
        <f>IF($A$1="BL",0,'Peak Hours'!N247*Peak!T248*IS!$B$2)</f>
        <v>0</v>
      </c>
      <c r="O247" s="183">
        <f>IF($A$1="BL",0,'Peak Hours'!O247*Peak!U248*IS!$B$2)</f>
        <v>0</v>
      </c>
      <c r="P247" s="183">
        <f>IF($A$1="BL",0,'Peak Hours'!P247*Peak!V248*IS!$B$2)</f>
        <v>0</v>
      </c>
      <c r="Q247" s="183">
        <f>IF($A$1="BL",0,'Peak Hours'!Q247*Peak!W248*IS!$B$2)</f>
        <v>0</v>
      </c>
      <c r="R247" s="183">
        <f>IF($A$1="BL",0,'Peak Hours'!R247*Peak!X248*IS!$B$2)</f>
        <v>0</v>
      </c>
      <c r="S247" s="183">
        <f>IF($A$1="BL",0,'Peak Hours'!S247*Peak!Y248*IS!$B$2)</f>
        <v>0</v>
      </c>
      <c r="T247" s="183">
        <f>IF($A$1="BL",0,'Peak Hours'!T247*Peak!Z248*IS!$B$2)</f>
        <v>0</v>
      </c>
      <c r="U247" s="183">
        <f>IF($A$1="BL",0,'Peak Hours'!U247*Peak!AA248*IS!$B$2)</f>
        <v>0</v>
      </c>
      <c r="V247" s="213"/>
      <c r="W247" s="211">
        <f>(IF($A$1="BL",0,Peak!C248*'Peak Hours'!V247*IS!$B$2))*-1</f>
        <v>0</v>
      </c>
      <c r="X247" s="213"/>
      <c r="Y247" s="211">
        <f>(IF($A$1="bl",0,Peak!D248*'Peak Hours'!V247*IS!$B$2))*-1</f>
        <v>0</v>
      </c>
      <c r="Z247" s="213"/>
      <c r="AA247" s="211">
        <f>(Peak!E248*'Peak Hours'!V247*IS!$B$2)*-1</f>
        <v>0</v>
      </c>
      <c r="AB247" s="210"/>
      <c r="AC247" s="211">
        <f>(Peak!F248*'Peak Hours'!V247*IS!$B$2)*-1</f>
        <v>0</v>
      </c>
      <c r="AD247" s="210"/>
    </row>
    <row r="248" spans="1:30" x14ac:dyDescent="0.2">
      <c r="A248" s="1">
        <f t="shared" si="3"/>
        <v>43779.246000000305</v>
      </c>
      <c r="B248" s="182">
        <f>IF($A$1="BL",0,'Peak Hours'!B248*Peak!H249*IS!$B$2)</f>
        <v>0</v>
      </c>
      <c r="C248" s="183">
        <f>IF($A$1="BL",0,'Peak Hours'!C248*Peak!I249*IS!$B$2)</f>
        <v>0</v>
      </c>
      <c r="D248" s="183">
        <f>IF($A$1="BL",0,'Peak Hours'!D248*Peak!J249*IS!$B$2)</f>
        <v>0</v>
      </c>
      <c r="E248" s="183">
        <f>IF($A$1="BL",0,'Peak Hours'!E248*Peak!K249*IS!$B$2)</f>
        <v>0</v>
      </c>
      <c r="F248" s="183">
        <f>IF($A$1="BL",0,'Peak Hours'!F248*Peak!L249*IS!$B$2)</f>
        <v>0</v>
      </c>
      <c r="G248" s="183">
        <f>IF($A$1="BL",0,'Peak Hours'!G248*Peak!M249*IS!$B$2)</f>
        <v>0</v>
      </c>
      <c r="H248" s="183">
        <f>IF($A$1="BL",0,'Peak Hours'!H248*Peak!N249*IS!$B$2)</f>
        <v>0</v>
      </c>
      <c r="I248" s="183">
        <f>IF($A$1="BL",0,'Peak Hours'!I248*Peak!O249*IS!$B$2)</f>
        <v>0</v>
      </c>
      <c r="J248" s="183">
        <f>IF($A$1="BL",0,'Peak Hours'!J248*Peak!P249*IS!$B$2)</f>
        <v>0</v>
      </c>
      <c r="K248" s="183">
        <f>IF($A$1="BL",0,'Peak Hours'!K248*Peak!Q249*IS!$B$2)</f>
        <v>0</v>
      </c>
      <c r="L248" s="183">
        <f>IF($A$1="BL",0,'Peak Hours'!L248*Peak!R249*IS!$B$2)</f>
        <v>0</v>
      </c>
      <c r="M248" s="183">
        <f>IF($A$1="BL",0,'Peak Hours'!M248*Peak!S249*IS!$B$2)</f>
        <v>0</v>
      </c>
      <c r="N248" s="183">
        <f>IF($A$1="BL",0,'Peak Hours'!N248*Peak!T249*IS!$B$2)</f>
        <v>0</v>
      </c>
      <c r="O248" s="183">
        <f>IF($A$1="BL",0,'Peak Hours'!O248*Peak!U249*IS!$B$2)</f>
        <v>0</v>
      </c>
      <c r="P248" s="183">
        <f>IF($A$1="BL",0,'Peak Hours'!P248*Peak!V249*IS!$B$2)</f>
        <v>0</v>
      </c>
      <c r="Q248" s="183">
        <f>IF($A$1="BL",0,'Peak Hours'!Q248*Peak!W249*IS!$B$2)</f>
        <v>0</v>
      </c>
      <c r="R248" s="183">
        <f>IF($A$1="BL",0,'Peak Hours'!R248*Peak!X249*IS!$B$2)</f>
        <v>0</v>
      </c>
      <c r="S248" s="183">
        <f>IF($A$1="BL",0,'Peak Hours'!S248*Peak!Y249*IS!$B$2)</f>
        <v>0</v>
      </c>
      <c r="T248" s="183">
        <f>IF($A$1="BL",0,'Peak Hours'!T248*Peak!Z249*IS!$B$2)</f>
        <v>0</v>
      </c>
      <c r="U248" s="183">
        <f>IF($A$1="BL",0,'Peak Hours'!U248*Peak!AA249*IS!$B$2)</f>
        <v>0</v>
      </c>
      <c r="V248" s="213"/>
      <c r="W248" s="211">
        <f>(IF($A$1="BL",0,Peak!C249*'Peak Hours'!V248*IS!$B$2))*-1</f>
        <v>0</v>
      </c>
      <c r="X248" s="213"/>
      <c r="Y248" s="211">
        <f>(IF($A$1="bl",0,Peak!D249*'Peak Hours'!V248*IS!$B$2))*-1</f>
        <v>0</v>
      </c>
      <c r="Z248" s="213"/>
      <c r="AA248" s="211">
        <f>(Peak!E249*'Peak Hours'!V248*IS!$B$2)*-1</f>
        <v>0</v>
      </c>
      <c r="AB248" s="210"/>
      <c r="AC248" s="211">
        <f>(Peak!F249*'Peak Hours'!V248*IS!$B$2)*-1</f>
        <v>0</v>
      </c>
      <c r="AD248" s="210"/>
    </row>
    <row r="249" spans="1:30" x14ac:dyDescent="0.2">
      <c r="A249" s="1">
        <f t="shared" si="3"/>
        <v>43809.663000000306</v>
      </c>
      <c r="B249" s="182">
        <f>IF($A$1="BL",0,'Peak Hours'!B249*Peak!H250*IS!$B$2)</f>
        <v>0</v>
      </c>
      <c r="C249" s="183">
        <f>IF($A$1="BL",0,'Peak Hours'!C249*Peak!I250*IS!$B$2)</f>
        <v>0</v>
      </c>
      <c r="D249" s="183">
        <f>IF($A$1="BL",0,'Peak Hours'!D249*Peak!J250*IS!$B$2)</f>
        <v>0</v>
      </c>
      <c r="E249" s="183">
        <f>IF($A$1="BL",0,'Peak Hours'!E249*Peak!K250*IS!$B$2)</f>
        <v>0</v>
      </c>
      <c r="F249" s="183">
        <f>IF($A$1="BL",0,'Peak Hours'!F249*Peak!L250*IS!$B$2)</f>
        <v>0</v>
      </c>
      <c r="G249" s="183">
        <f>IF($A$1="BL",0,'Peak Hours'!G249*Peak!M250*IS!$B$2)</f>
        <v>0</v>
      </c>
      <c r="H249" s="183">
        <f>IF($A$1="BL",0,'Peak Hours'!H249*Peak!N250*IS!$B$2)</f>
        <v>0</v>
      </c>
      <c r="I249" s="183">
        <f>IF($A$1="BL",0,'Peak Hours'!I249*Peak!O250*IS!$B$2)</f>
        <v>0</v>
      </c>
      <c r="J249" s="183">
        <f>IF($A$1="BL",0,'Peak Hours'!J249*Peak!P250*IS!$B$2)</f>
        <v>0</v>
      </c>
      <c r="K249" s="183">
        <f>IF($A$1="BL",0,'Peak Hours'!K249*Peak!Q250*IS!$B$2)</f>
        <v>0</v>
      </c>
      <c r="L249" s="183">
        <f>IF($A$1="BL",0,'Peak Hours'!L249*Peak!R250*IS!$B$2)</f>
        <v>0</v>
      </c>
      <c r="M249" s="183">
        <f>IF($A$1="BL",0,'Peak Hours'!M249*Peak!S250*IS!$B$2)</f>
        <v>0</v>
      </c>
      <c r="N249" s="183">
        <f>IF($A$1="BL",0,'Peak Hours'!N249*Peak!T250*IS!$B$2)</f>
        <v>0</v>
      </c>
      <c r="O249" s="183">
        <f>IF($A$1="BL",0,'Peak Hours'!O249*Peak!U250*IS!$B$2)</f>
        <v>0</v>
      </c>
      <c r="P249" s="183">
        <f>IF($A$1="BL",0,'Peak Hours'!P249*Peak!V250*IS!$B$2)</f>
        <v>0</v>
      </c>
      <c r="Q249" s="183">
        <f>IF($A$1="BL",0,'Peak Hours'!Q249*Peak!W250*IS!$B$2)</f>
        <v>0</v>
      </c>
      <c r="R249" s="183">
        <f>IF($A$1="BL",0,'Peak Hours'!R249*Peak!X250*IS!$B$2)</f>
        <v>0</v>
      </c>
      <c r="S249" s="183">
        <f>IF($A$1="BL",0,'Peak Hours'!S249*Peak!Y250*IS!$B$2)</f>
        <v>0</v>
      </c>
      <c r="T249" s="183">
        <f>IF($A$1="BL",0,'Peak Hours'!T249*Peak!Z250*IS!$B$2)</f>
        <v>0</v>
      </c>
      <c r="U249" s="183">
        <f>IF($A$1="BL",0,'Peak Hours'!U249*Peak!AA250*IS!$B$2)</f>
        <v>0</v>
      </c>
      <c r="V249" s="214">
        <f>SUM(B238:U249)</f>
        <v>0</v>
      </c>
      <c r="W249" s="211">
        <f>(IF($A$1="BL",0,Peak!C250*'Peak Hours'!V249*IS!$B$2))*-1</f>
        <v>0</v>
      </c>
      <c r="X249" s="214">
        <f>SUM(W238:W249)</f>
        <v>0</v>
      </c>
      <c r="Y249" s="211">
        <f>(IF($A$1="bl",0,Peak!D250*'Peak Hours'!V249*IS!$B$2))*-1</f>
        <v>0</v>
      </c>
      <c r="Z249" s="214">
        <f>SUM(Y238:Y249)</f>
        <v>0</v>
      </c>
      <c r="AA249" s="211">
        <f>(Peak!E250*'Peak Hours'!V249*IS!$B$2)*-1</f>
        <v>0</v>
      </c>
      <c r="AB249" s="211">
        <f>SUM(AA238:AA249)</f>
        <v>0</v>
      </c>
      <c r="AC249" s="211">
        <f>(Peak!F250*'Peak Hours'!V249*IS!$B$2)*-1</f>
        <v>0</v>
      </c>
      <c r="AD249" s="211">
        <f>SUM(AC238:AC249)</f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W249"/>
  <sheetViews>
    <sheetView workbookViewId="0"/>
  </sheetViews>
  <sheetFormatPr defaultRowHeight="12.75" x14ac:dyDescent="0.2"/>
  <cols>
    <col min="22" max="22" width="8.140625" bestFit="1" customWidth="1"/>
    <col min="23" max="23" width="7.28515625" bestFit="1" customWidth="1"/>
  </cols>
  <sheetData>
    <row r="1" spans="1:23" x14ac:dyDescent="0.2">
      <c r="A1" s="13" t="str">
        <f>'Peak Revenue'!A1</f>
        <v>BL</v>
      </c>
    </row>
    <row r="2" spans="1:23" x14ac:dyDescent="0.2">
      <c r="A2" s="13"/>
    </row>
    <row r="3" spans="1:23" x14ac:dyDescent="0.2">
      <c r="A3" s="13"/>
    </row>
    <row r="4" spans="1:23" x14ac:dyDescent="0.2">
      <c r="A4" s="13"/>
    </row>
    <row r="5" spans="1:23" x14ac:dyDescent="0.2">
      <c r="A5" s="13"/>
    </row>
    <row r="6" spans="1:23" x14ac:dyDescent="0.2">
      <c r="V6" s="12" t="s">
        <v>171</v>
      </c>
      <c r="W6" s="12" t="s">
        <v>172</v>
      </c>
    </row>
    <row r="7" spans="1:23" x14ac:dyDescent="0.2">
      <c r="B7" s="166" t="s">
        <v>0</v>
      </c>
      <c r="C7" s="167" t="s">
        <v>1</v>
      </c>
      <c r="D7" s="167" t="s">
        <v>2</v>
      </c>
      <c r="E7" s="167" t="s">
        <v>3</v>
      </c>
      <c r="F7" s="167" t="s">
        <v>4</v>
      </c>
      <c r="G7" s="167" t="s">
        <v>5</v>
      </c>
      <c r="H7" s="167" t="s">
        <v>6</v>
      </c>
      <c r="I7" s="167" t="s">
        <v>7</v>
      </c>
      <c r="J7" s="167" t="s">
        <v>8</v>
      </c>
      <c r="K7" s="167" t="s">
        <v>9</v>
      </c>
      <c r="L7" s="167" t="s">
        <v>10</v>
      </c>
      <c r="M7" s="167" t="s">
        <v>11</v>
      </c>
      <c r="N7" s="167" t="s">
        <v>12</v>
      </c>
      <c r="O7" s="167" t="s">
        <v>13</v>
      </c>
      <c r="P7" s="167" t="s">
        <v>14</v>
      </c>
      <c r="Q7" s="167" t="s">
        <v>15</v>
      </c>
      <c r="R7" s="167" t="s">
        <v>16</v>
      </c>
      <c r="S7" s="167" t="s">
        <v>17</v>
      </c>
      <c r="T7" s="167" t="s">
        <v>18</v>
      </c>
      <c r="U7" s="167" t="s">
        <v>19</v>
      </c>
      <c r="V7" s="167" t="s">
        <v>135</v>
      </c>
      <c r="W7" s="179" t="s">
        <v>135</v>
      </c>
    </row>
    <row r="8" spans="1:23" x14ac:dyDescent="0.2">
      <c r="B8" s="168">
        <v>5</v>
      </c>
      <c r="C8" s="169">
        <v>5</v>
      </c>
      <c r="D8" s="169">
        <v>10</v>
      </c>
      <c r="E8" s="169">
        <v>20</v>
      </c>
      <c r="F8" s="169">
        <v>20</v>
      </c>
      <c r="G8" s="169">
        <v>40</v>
      </c>
      <c r="H8" s="169">
        <v>40</v>
      </c>
      <c r="I8" s="169">
        <v>40</v>
      </c>
      <c r="J8" s="169">
        <v>40</v>
      </c>
      <c r="K8" s="169">
        <v>40</v>
      </c>
      <c r="L8" s="169">
        <v>40</v>
      </c>
      <c r="M8" s="169">
        <v>40</v>
      </c>
      <c r="N8" s="169">
        <v>40</v>
      </c>
      <c r="O8" s="169">
        <v>40</v>
      </c>
      <c r="P8" s="169">
        <v>40</v>
      </c>
      <c r="Q8" s="169">
        <v>40</v>
      </c>
      <c r="R8" s="169">
        <v>40</v>
      </c>
      <c r="S8" s="169">
        <v>40</v>
      </c>
      <c r="T8" s="169">
        <v>40</v>
      </c>
      <c r="U8" s="169">
        <v>110</v>
      </c>
      <c r="V8" s="170">
        <f>SUM(B8:U8)</f>
        <v>730</v>
      </c>
    </row>
    <row r="9" spans="1:23" x14ac:dyDescent="0.2">
      <c r="B9" s="171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</row>
    <row r="10" spans="1:23" x14ac:dyDescent="0.2">
      <c r="A10" s="1">
        <v>36540</v>
      </c>
      <c r="B10" s="173" t="str">
        <f>IF('Peak Revenue'!$A$1="BL","-",IF(Peak!H11&gt;Peak!$G11,B$8*Peak!$AM$11,0))</f>
        <v>-</v>
      </c>
      <c r="C10" s="174" t="str">
        <f>IF('Peak Revenue'!$A$1="BL","-",IF(Peak!I11&gt;Peak!$G11,C$8*Peak!$AM$11,0))</f>
        <v>-</v>
      </c>
      <c r="D10" s="174" t="str">
        <f>IF('Peak Revenue'!$A$1="BL","-",IF(Peak!J11&gt;Peak!$G11,D$8*Peak!$AM$11,0))</f>
        <v>-</v>
      </c>
      <c r="E10" s="174" t="str">
        <f>IF('Peak Revenue'!$A$1="BL","-",IF(Peak!K11&gt;Peak!$G11,E$8*Peak!$AM$11,0))</f>
        <v>-</v>
      </c>
      <c r="F10" s="174" t="str">
        <f>IF('Peak Revenue'!$A$1="BL","-",IF(Peak!L11&gt;Peak!$G11,F$8*Peak!$AM$11,0))</f>
        <v>-</v>
      </c>
      <c r="G10" s="174" t="str">
        <f>IF('Peak Revenue'!$A$1="BL","-",IF(Peak!M11&gt;Peak!$G11,G$8*Peak!$AM$11,0))</f>
        <v>-</v>
      </c>
      <c r="H10" s="174" t="str">
        <f>IF('Peak Revenue'!$A$1="BL","-",IF(Peak!N11&gt;Peak!$G11,H$8*Peak!$AM$11,0))</f>
        <v>-</v>
      </c>
      <c r="I10" s="174" t="str">
        <f>IF('Peak Revenue'!$A$1="BL","-",IF(Peak!O11&gt;Peak!$G11,I$8*Peak!$AM$11,0))</f>
        <v>-</v>
      </c>
      <c r="J10" s="174" t="str">
        <f>IF('Peak Revenue'!$A$1="BL","-",IF(Peak!P11&gt;Peak!$G11,J$8*Peak!$AM$11,0))</f>
        <v>-</v>
      </c>
      <c r="K10" s="174" t="str">
        <f>IF('Peak Revenue'!$A$1="BL","-",IF(Peak!Q11&gt;Peak!$G11,K$8*Peak!$AM$11,0))</f>
        <v>-</v>
      </c>
      <c r="L10" s="174" t="str">
        <f>IF('Peak Revenue'!$A$1="BL","-",IF(Peak!R11&gt;Peak!$G11,L$8*Peak!$AM$11,0))</f>
        <v>-</v>
      </c>
      <c r="M10" s="174" t="str">
        <f>IF('Peak Revenue'!$A$1="BL","-",IF(Peak!S11&gt;Peak!$G11,M$8*Peak!$AM$11,0))</f>
        <v>-</v>
      </c>
      <c r="N10" s="174" t="str">
        <f>IF('Peak Revenue'!$A$1="BL","-",IF(Peak!T11&gt;Peak!$G11,N$8*Peak!$AM$11,0))</f>
        <v>-</v>
      </c>
      <c r="O10" s="174" t="str">
        <f>IF('Peak Revenue'!$A$1="BL","-",IF(Peak!U11&gt;Peak!$G11,O$8*Peak!$AM$11,0))</f>
        <v>-</v>
      </c>
      <c r="P10" s="174" t="str">
        <f>IF('Peak Revenue'!$A$1="BL","-",IF(Peak!V11&gt;Peak!$G11,P$8*Peak!$AM$11,0))</f>
        <v>-</v>
      </c>
      <c r="Q10" s="174" t="str">
        <f>IF('Peak Revenue'!$A$1="BL","-",IF(Peak!W11&gt;Peak!$G11,Q$8*Peak!$AM$11,0))</f>
        <v>-</v>
      </c>
      <c r="R10" s="174" t="str">
        <f>IF('Peak Revenue'!$A$1="BL","-",IF(Peak!X11&gt;Peak!$G11,R$8*Peak!$AM$11,0))</f>
        <v>-</v>
      </c>
      <c r="S10" s="174" t="str">
        <f>IF('Peak Revenue'!$A$1="BL","-",IF(Peak!Y11&gt;Peak!$G11,S$8*Peak!$AM$11,0))</f>
        <v>-</v>
      </c>
      <c r="T10" s="174" t="str">
        <f>IF('Peak Revenue'!$A$1="BL","-",IF(Peak!Z11&gt;Peak!$G11,T$8*Peak!$AM$11,0))</f>
        <v>-</v>
      </c>
      <c r="U10" s="174" t="str">
        <f>IF('Peak Revenue'!$A$1="BL","-",IF(Peak!AA11&gt;Peak!$G11,U$8*Peak!$AM$11,0))</f>
        <v>-</v>
      </c>
      <c r="V10" s="175">
        <f>SUM(B10:U10)</f>
        <v>0</v>
      </c>
      <c r="W10" s="163"/>
    </row>
    <row r="11" spans="1:23" x14ac:dyDescent="0.2">
      <c r="A11" s="1">
        <f>A10+30.417</f>
        <v>36570.417000000001</v>
      </c>
      <c r="B11" s="176" t="str">
        <f>IF('Peak Revenue'!$A$1="BL","-",IF(Peak!H12&gt;Peak!$G12,B$8*Peak!$AM$11,0))</f>
        <v>-</v>
      </c>
      <c r="C11" s="177" t="str">
        <f>IF('Peak Revenue'!$A$1="BL","-",IF(Peak!I12&gt;Peak!$G12,C$8*Peak!$AM$11,0))</f>
        <v>-</v>
      </c>
      <c r="D11" s="177" t="str">
        <f>IF('Peak Revenue'!$A$1="BL","-",IF(Peak!J12&gt;Peak!$G12,D$8*Peak!$AM$11,0))</f>
        <v>-</v>
      </c>
      <c r="E11" s="177" t="str">
        <f>IF('Peak Revenue'!$A$1="BL","-",IF(Peak!K12&gt;Peak!$G12,E$8*Peak!$AM$11,0))</f>
        <v>-</v>
      </c>
      <c r="F11" s="177" t="str">
        <f>IF('Peak Revenue'!$A$1="BL","-",IF(Peak!L12&gt;Peak!$G12,F$8*Peak!$AM$11,0))</f>
        <v>-</v>
      </c>
      <c r="G11" s="177" t="str">
        <f>IF('Peak Revenue'!$A$1="BL","-",IF(Peak!M12&gt;Peak!$G12,G$8*Peak!$AM$11,0))</f>
        <v>-</v>
      </c>
      <c r="H11" s="177" t="str">
        <f>IF('Peak Revenue'!$A$1="BL","-",IF(Peak!N12&gt;Peak!$G12,H$8*Peak!$AM$11,0))</f>
        <v>-</v>
      </c>
      <c r="I11" s="177" t="str">
        <f>IF('Peak Revenue'!$A$1="BL","-",IF(Peak!O12&gt;Peak!$G12,I$8*Peak!$AM$11,0))</f>
        <v>-</v>
      </c>
      <c r="J11" s="177" t="str">
        <f>IF('Peak Revenue'!$A$1="BL","-",IF(Peak!P12&gt;Peak!$G12,J$8*Peak!$AM$11,0))</f>
        <v>-</v>
      </c>
      <c r="K11" s="177" t="str">
        <f>IF('Peak Revenue'!$A$1="BL","-",IF(Peak!Q12&gt;Peak!$G12,K$8*Peak!$AM$11,0))</f>
        <v>-</v>
      </c>
      <c r="L11" s="177" t="str">
        <f>IF('Peak Revenue'!$A$1="BL","-",IF(Peak!R12&gt;Peak!$G12,L$8*Peak!$AM$11,0))</f>
        <v>-</v>
      </c>
      <c r="M11" s="177" t="str">
        <f>IF('Peak Revenue'!$A$1="BL","-",IF(Peak!S12&gt;Peak!$G12,M$8*Peak!$AM$11,0))</f>
        <v>-</v>
      </c>
      <c r="N11" s="177" t="str">
        <f>IF('Peak Revenue'!$A$1="BL","-",IF(Peak!T12&gt;Peak!$G12,N$8*Peak!$AM$11,0))</f>
        <v>-</v>
      </c>
      <c r="O11" s="177" t="str">
        <f>IF('Peak Revenue'!$A$1="BL","-",IF(Peak!U12&gt;Peak!$G12,O$8*Peak!$AM$11,0))</f>
        <v>-</v>
      </c>
      <c r="P11" s="177" t="str">
        <f>IF('Peak Revenue'!$A$1="BL","-",IF(Peak!V12&gt;Peak!$G12,P$8*Peak!$AM$11,0))</f>
        <v>-</v>
      </c>
      <c r="Q11" s="177" t="str">
        <f>IF('Peak Revenue'!$A$1="BL","-",IF(Peak!W12&gt;Peak!$G12,Q$8*Peak!$AM$11,0))</f>
        <v>-</v>
      </c>
      <c r="R11" s="177" t="str">
        <f>IF('Peak Revenue'!$A$1="BL","-",IF(Peak!X12&gt;Peak!$G12,R$8*Peak!$AM$11,0))</f>
        <v>-</v>
      </c>
      <c r="S11" s="177" t="str">
        <f>IF('Peak Revenue'!$A$1="BL","-",IF(Peak!Y12&gt;Peak!$G12,S$8*Peak!$AM$11,0))</f>
        <v>-</v>
      </c>
      <c r="T11" s="177" t="str">
        <f>IF('Peak Revenue'!$A$1="BL","-",IF(Peak!Z12&gt;Peak!$G12,T$8*Peak!$AM$11,0))</f>
        <v>-</v>
      </c>
      <c r="U11" s="177" t="str">
        <f>IF('Peak Revenue'!$A$1="BL","-",IF(Peak!AA12&gt;Peak!$G12,U$8*Peak!$AM$11,0))</f>
        <v>-</v>
      </c>
      <c r="V11" s="178">
        <f t="shared" ref="V11:V74" si="0">SUM(B11:U11)</f>
        <v>0</v>
      </c>
      <c r="W11" s="165"/>
    </row>
    <row r="12" spans="1:23" x14ac:dyDescent="0.2">
      <c r="A12" s="1">
        <f t="shared" ref="A12:A75" si="1">A11+30.417</f>
        <v>36600.834000000003</v>
      </c>
      <c r="B12" s="176" t="str">
        <f>IF('Peak Revenue'!$A$1="BL","-",IF(Peak!H13&gt;Peak!$G13,B$8*Peak!$AM$11,0))</f>
        <v>-</v>
      </c>
      <c r="C12" s="177" t="str">
        <f>IF('Peak Revenue'!$A$1="BL","-",IF(Peak!I13&gt;Peak!$G13,C$8*Peak!$AM$11,0))</f>
        <v>-</v>
      </c>
      <c r="D12" s="177" t="str">
        <f>IF('Peak Revenue'!$A$1="BL","-",IF(Peak!J13&gt;Peak!$G13,D$8*Peak!$AM$11,0))</f>
        <v>-</v>
      </c>
      <c r="E12" s="177" t="str">
        <f>IF('Peak Revenue'!$A$1="BL","-",IF(Peak!K13&gt;Peak!$G13,E$8*Peak!$AM$11,0))</f>
        <v>-</v>
      </c>
      <c r="F12" s="177" t="str">
        <f>IF('Peak Revenue'!$A$1="BL","-",IF(Peak!L13&gt;Peak!$G13,F$8*Peak!$AM$11,0))</f>
        <v>-</v>
      </c>
      <c r="G12" s="177" t="str">
        <f>IF('Peak Revenue'!$A$1="BL","-",IF(Peak!M13&gt;Peak!$G13,G$8*Peak!$AM$11,0))</f>
        <v>-</v>
      </c>
      <c r="H12" s="177" t="str">
        <f>IF('Peak Revenue'!$A$1="BL","-",IF(Peak!N13&gt;Peak!$G13,H$8*Peak!$AM$11,0))</f>
        <v>-</v>
      </c>
      <c r="I12" s="177" t="str">
        <f>IF('Peak Revenue'!$A$1="BL","-",IF(Peak!O13&gt;Peak!$G13,I$8*Peak!$AM$11,0))</f>
        <v>-</v>
      </c>
      <c r="J12" s="177" t="str">
        <f>IF('Peak Revenue'!$A$1="BL","-",IF(Peak!P13&gt;Peak!$G13,J$8*Peak!$AM$11,0))</f>
        <v>-</v>
      </c>
      <c r="K12" s="177" t="str">
        <f>IF('Peak Revenue'!$A$1="BL","-",IF(Peak!Q13&gt;Peak!$G13,K$8*Peak!$AM$11,0))</f>
        <v>-</v>
      </c>
      <c r="L12" s="177" t="str">
        <f>IF('Peak Revenue'!$A$1="BL","-",IF(Peak!R13&gt;Peak!$G13,L$8*Peak!$AM$11,0))</f>
        <v>-</v>
      </c>
      <c r="M12" s="177" t="str">
        <f>IF('Peak Revenue'!$A$1="BL","-",IF(Peak!S13&gt;Peak!$G13,M$8*Peak!$AM$11,0))</f>
        <v>-</v>
      </c>
      <c r="N12" s="177" t="str">
        <f>IF('Peak Revenue'!$A$1="BL","-",IF(Peak!T13&gt;Peak!$G13,N$8*Peak!$AM$11,0))</f>
        <v>-</v>
      </c>
      <c r="O12" s="177" t="str">
        <f>IF('Peak Revenue'!$A$1="BL","-",IF(Peak!U13&gt;Peak!$G13,O$8*Peak!$AM$11,0))</f>
        <v>-</v>
      </c>
      <c r="P12" s="177" t="str">
        <f>IF('Peak Revenue'!$A$1="BL","-",IF(Peak!V13&gt;Peak!$G13,P$8*Peak!$AM$11,0))</f>
        <v>-</v>
      </c>
      <c r="Q12" s="177" t="str">
        <f>IF('Peak Revenue'!$A$1="BL","-",IF(Peak!W13&gt;Peak!$G13,Q$8*Peak!$AM$11,0))</f>
        <v>-</v>
      </c>
      <c r="R12" s="177" t="str">
        <f>IF('Peak Revenue'!$A$1="BL","-",IF(Peak!X13&gt;Peak!$G13,R$8*Peak!$AM$11,0))</f>
        <v>-</v>
      </c>
      <c r="S12" s="177" t="str">
        <f>IF('Peak Revenue'!$A$1="BL","-",IF(Peak!Y13&gt;Peak!$G13,S$8*Peak!$AM$11,0))</f>
        <v>-</v>
      </c>
      <c r="T12" s="177" t="str">
        <f>IF('Peak Revenue'!$A$1="BL","-",IF(Peak!Z13&gt;Peak!$G13,T$8*Peak!$AM$11,0))</f>
        <v>-</v>
      </c>
      <c r="U12" s="177" t="str">
        <f>IF('Peak Revenue'!$A$1="BL","-",IF(Peak!AA13&gt;Peak!$G13,U$8*Peak!$AM$11,0))</f>
        <v>-</v>
      </c>
      <c r="V12" s="178">
        <f t="shared" si="0"/>
        <v>0</v>
      </c>
      <c r="W12" s="165"/>
    </row>
    <row r="13" spans="1:23" x14ac:dyDescent="0.2">
      <c r="A13" s="1">
        <f t="shared" si="1"/>
        <v>36631.251000000004</v>
      </c>
      <c r="B13" s="176" t="str">
        <f>IF('Peak Revenue'!$A$1="BL","-",IF(Peak!H14&gt;Peak!$G14,B$8*Peak!$AM$11,0))</f>
        <v>-</v>
      </c>
      <c r="C13" s="177" t="str">
        <f>IF('Peak Revenue'!$A$1="BL","-",IF(Peak!I14&gt;Peak!$G14,C$8*Peak!$AM$11,0))</f>
        <v>-</v>
      </c>
      <c r="D13" s="177" t="str">
        <f>IF('Peak Revenue'!$A$1="BL","-",IF(Peak!J14&gt;Peak!$G14,D$8*Peak!$AM$11,0))</f>
        <v>-</v>
      </c>
      <c r="E13" s="177" t="str">
        <f>IF('Peak Revenue'!$A$1="BL","-",IF(Peak!K14&gt;Peak!$G14,E$8*Peak!$AM$11,0))</f>
        <v>-</v>
      </c>
      <c r="F13" s="177" t="str">
        <f>IF('Peak Revenue'!$A$1="BL","-",IF(Peak!L14&gt;Peak!$G14,F$8*Peak!$AM$11,0))</f>
        <v>-</v>
      </c>
      <c r="G13" s="177" t="str">
        <f>IF('Peak Revenue'!$A$1="BL","-",IF(Peak!M14&gt;Peak!$G14,G$8*Peak!$AM$11,0))</f>
        <v>-</v>
      </c>
      <c r="H13" s="177" t="str">
        <f>IF('Peak Revenue'!$A$1="BL","-",IF(Peak!N14&gt;Peak!$G14,H$8*Peak!$AM$11,0))</f>
        <v>-</v>
      </c>
      <c r="I13" s="177" t="str">
        <f>IF('Peak Revenue'!$A$1="BL","-",IF(Peak!O14&gt;Peak!$G14,I$8*Peak!$AM$11,0))</f>
        <v>-</v>
      </c>
      <c r="J13" s="177" t="str">
        <f>IF('Peak Revenue'!$A$1="BL","-",IF(Peak!P14&gt;Peak!$G14,J$8*Peak!$AM$11,0))</f>
        <v>-</v>
      </c>
      <c r="K13" s="177" t="str">
        <f>IF('Peak Revenue'!$A$1="BL","-",IF(Peak!Q14&gt;Peak!$G14,K$8*Peak!$AM$11,0))</f>
        <v>-</v>
      </c>
      <c r="L13" s="177" t="str">
        <f>IF('Peak Revenue'!$A$1="BL","-",IF(Peak!R14&gt;Peak!$G14,L$8*Peak!$AM$11,0))</f>
        <v>-</v>
      </c>
      <c r="M13" s="177" t="str">
        <f>IF('Peak Revenue'!$A$1="BL","-",IF(Peak!S14&gt;Peak!$G14,M$8*Peak!$AM$11,0))</f>
        <v>-</v>
      </c>
      <c r="N13" s="177" t="str">
        <f>IF('Peak Revenue'!$A$1="BL","-",IF(Peak!T14&gt;Peak!$G14,N$8*Peak!$AM$11,0))</f>
        <v>-</v>
      </c>
      <c r="O13" s="177" t="str">
        <f>IF('Peak Revenue'!$A$1="BL","-",IF(Peak!U14&gt;Peak!$G14,O$8*Peak!$AM$11,0))</f>
        <v>-</v>
      </c>
      <c r="P13" s="177" t="str">
        <f>IF('Peak Revenue'!$A$1="BL","-",IF(Peak!V14&gt;Peak!$G14,P$8*Peak!$AM$11,0))</f>
        <v>-</v>
      </c>
      <c r="Q13" s="177" t="str">
        <f>IF('Peak Revenue'!$A$1="BL","-",IF(Peak!W14&gt;Peak!$G14,Q$8*Peak!$AM$11,0))</f>
        <v>-</v>
      </c>
      <c r="R13" s="177" t="str">
        <f>IF('Peak Revenue'!$A$1="BL","-",IF(Peak!X14&gt;Peak!$G14,R$8*Peak!$AM$11,0))</f>
        <v>-</v>
      </c>
      <c r="S13" s="177" t="str">
        <f>IF('Peak Revenue'!$A$1="BL","-",IF(Peak!Y14&gt;Peak!$G14,S$8*Peak!$AM$11,0))</f>
        <v>-</v>
      </c>
      <c r="T13" s="177" t="str">
        <f>IF('Peak Revenue'!$A$1="BL","-",IF(Peak!Z14&gt;Peak!$G14,T$8*Peak!$AM$11,0))</f>
        <v>-</v>
      </c>
      <c r="U13" s="177" t="str">
        <f>IF('Peak Revenue'!$A$1="BL","-",IF(Peak!AA14&gt;Peak!$G14,U$8*Peak!$AM$11,0))</f>
        <v>-</v>
      </c>
      <c r="V13" s="178">
        <f t="shared" si="0"/>
        <v>0</v>
      </c>
      <c r="W13" s="165"/>
    </row>
    <row r="14" spans="1:23" x14ac:dyDescent="0.2">
      <c r="A14" s="1">
        <f t="shared" si="1"/>
        <v>36661.668000000005</v>
      </c>
      <c r="B14" s="176" t="str">
        <f>IF('Peak Revenue'!$A$1="BL","-",IF(Peak!H15&gt;Peak!$G15,B$8*Peak!$AM$11,0))</f>
        <v>-</v>
      </c>
      <c r="C14" s="177" t="str">
        <f>IF('Peak Revenue'!$A$1="BL","-",IF(Peak!I15&gt;Peak!$G15,C$8*Peak!$AM$11,0))</f>
        <v>-</v>
      </c>
      <c r="D14" s="177" t="str">
        <f>IF('Peak Revenue'!$A$1="BL","-",IF(Peak!J15&gt;Peak!$G15,D$8*Peak!$AM$11,0))</f>
        <v>-</v>
      </c>
      <c r="E14" s="177" t="str">
        <f>IF('Peak Revenue'!$A$1="BL","-",IF(Peak!K15&gt;Peak!$G15,E$8*Peak!$AM$11,0))</f>
        <v>-</v>
      </c>
      <c r="F14" s="177" t="str">
        <f>IF('Peak Revenue'!$A$1="BL","-",IF(Peak!L15&gt;Peak!$G15,F$8*Peak!$AM$11,0))</f>
        <v>-</v>
      </c>
      <c r="G14" s="177" t="str">
        <f>IF('Peak Revenue'!$A$1="BL","-",IF(Peak!M15&gt;Peak!$G15,G$8*Peak!$AM$11,0))</f>
        <v>-</v>
      </c>
      <c r="H14" s="177" t="str">
        <f>IF('Peak Revenue'!$A$1="BL","-",IF(Peak!N15&gt;Peak!$G15,H$8*Peak!$AM$11,0))</f>
        <v>-</v>
      </c>
      <c r="I14" s="177" t="str">
        <f>IF('Peak Revenue'!$A$1="BL","-",IF(Peak!O15&gt;Peak!$G15,I$8*Peak!$AM$11,0))</f>
        <v>-</v>
      </c>
      <c r="J14" s="177" t="str">
        <f>IF('Peak Revenue'!$A$1="BL","-",IF(Peak!P15&gt;Peak!$G15,J$8*Peak!$AM$11,0))</f>
        <v>-</v>
      </c>
      <c r="K14" s="177" t="str">
        <f>IF('Peak Revenue'!$A$1="BL","-",IF(Peak!Q15&gt;Peak!$G15,K$8*Peak!$AM$11,0))</f>
        <v>-</v>
      </c>
      <c r="L14" s="177" t="str">
        <f>IF('Peak Revenue'!$A$1="BL","-",IF(Peak!R15&gt;Peak!$G15,L$8*Peak!$AM$11,0))</f>
        <v>-</v>
      </c>
      <c r="M14" s="177" t="str">
        <f>IF('Peak Revenue'!$A$1="BL","-",IF(Peak!S15&gt;Peak!$G15,M$8*Peak!$AM$11,0))</f>
        <v>-</v>
      </c>
      <c r="N14" s="177" t="str">
        <f>IF('Peak Revenue'!$A$1="BL","-",IF(Peak!T15&gt;Peak!$G15,N$8*Peak!$AM$11,0))</f>
        <v>-</v>
      </c>
      <c r="O14" s="177" t="str">
        <f>IF('Peak Revenue'!$A$1="BL","-",IF(Peak!U15&gt;Peak!$G15,O$8*Peak!$AM$11,0))</f>
        <v>-</v>
      </c>
      <c r="P14" s="177" t="str">
        <f>IF('Peak Revenue'!$A$1="BL","-",IF(Peak!V15&gt;Peak!$G15,P$8*Peak!$AM$11,0))</f>
        <v>-</v>
      </c>
      <c r="Q14" s="177" t="str">
        <f>IF('Peak Revenue'!$A$1="BL","-",IF(Peak!W15&gt;Peak!$G15,Q$8*Peak!$AM$11,0))</f>
        <v>-</v>
      </c>
      <c r="R14" s="177" t="str">
        <f>IF('Peak Revenue'!$A$1="BL","-",IF(Peak!X15&gt;Peak!$G15,R$8*Peak!$AM$11,0))</f>
        <v>-</v>
      </c>
      <c r="S14" s="177" t="str">
        <f>IF('Peak Revenue'!$A$1="BL","-",IF(Peak!Y15&gt;Peak!$G15,S$8*Peak!$AM$11,0))</f>
        <v>-</v>
      </c>
      <c r="T14" s="177" t="str">
        <f>IF('Peak Revenue'!$A$1="BL","-",IF(Peak!Z15&gt;Peak!$G15,T$8*Peak!$AM$11,0))</f>
        <v>-</v>
      </c>
      <c r="U14" s="177" t="str">
        <f>IF('Peak Revenue'!$A$1="BL","-",IF(Peak!AA15&gt;Peak!$G15,U$8*Peak!$AM$11,0))</f>
        <v>-</v>
      </c>
      <c r="V14" s="178">
        <f t="shared" si="0"/>
        <v>0</v>
      </c>
      <c r="W14" s="165"/>
    </row>
    <row r="15" spans="1:23" x14ac:dyDescent="0.2">
      <c r="A15" s="1">
        <f t="shared" si="1"/>
        <v>36692.085000000006</v>
      </c>
      <c r="B15" s="176" t="str">
        <f>IF('Peak Revenue'!$A$1="BL","-",IF(Peak!H16&gt;Peak!$G16,B$8*Peak!$AM$11,0))</f>
        <v>-</v>
      </c>
      <c r="C15" s="177" t="str">
        <f>IF('Peak Revenue'!$A$1="BL","-",IF(Peak!I16&gt;Peak!$G16,C$8*Peak!$AM$11,0))</f>
        <v>-</v>
      </c>
      <c r="D15" s="177" t="str">
        <f>IF('Peak Revenue'!$A$1="BL","-",IF(Peak!J16&gt;Peak!$G16,D$8*Peak!$AM$11,0))</f>
        <v>-</v>
      </c>
      <c r="E15" s="177" t="str">
        <f>IF('Peak Revenue'!$A$1="BL","-",IF(Peak!K16&gt;Peak!$G16,E$8*Peak!$AM$11,0))</f>
        <v>-</v>
      </c>
      <c r="F15" s="177" t="str">
        <f>IF('Peak Revenue'!$A$1="BL","-",IF(Peak!L16&gt;Peak!$G16,F$8*Peak!$AM$11,0))</f>
        <v>-</v>
      </c>
      <c r="G15" s="177" t="str">
        <f>IF('Peak Revenue'!$A$1="BL","-",IF(Peak!M16&gt;Peak!$G16,G$8*Peak!$AM$11,0))</f>
        <v>-</v>
      </c>
      <c r="H15" s="177" t="str">
        <f>IF('Peak Revenue'!$A$1="BL","-",IF(Peak!N16&gt;Peak!$G16,H$8*Peak!$AM$11,0))</f>
        <v>-</v>
      </c>
      <c r="I15" s="177" t="str">
        <f>IF('Peak Revenue'!$A$1="BL","-",IF(Peak!O16&gt;Peak!$G16,I$8*Peak!$AM$11,0))</f>
        <v>-</v>
      </c>
      <c r="J15" s="177" t="str">
        <f>IF('Peak Revenue'!$A$1="BL","-",IF(Peak!P16&gt;Peak!$G16,J$8*Peak!$AM$11,0))</f>
        <v>-</v>
      </c>
      <c r="K15" s="177" t="str">
        <f>IF('Peak Revenue'!$A$1="BL","-",IF(Peak!Q16&gt;Peak!$G16,K$8*Peak!$AM$11,0))</f>
        <v>-</v>
      </c>
      <c r="L15" s="177" t="str">
        <f>IF('Peak Revenue'!$A$1="BL","-",IF(Peak!R16&gt;Peak!$G16,L$8*Peak!$AM$11,0))</f>
        <v>-</v>
      </c>
      <c r="M15" s="177" t="str">
        <f>IF('Peak Revenue'!$A$1="BL","-",IF(Peak!S16&gt;Peak!$G16,M$8*Peak!$AM$11,0))</f>
        <v>-</v>
      </c>
      <c r="N15" s="177" t="str">
        <f>IF('Peak Revenue'!$A$1="BL","-",IF(Peak!T16&gt;Peak!$G16,N$8*Peak!$AM$11,0))</f>
        <v>-</v>
      </c>
      <c r="O15" s="177" t="str">
        <f>IF('Peak Revenue'!$A$1="BL","-",IF(Peak!U16&gt;Peak!$G16,O$8*Peak!$AM$11,0))</f>
        <v>-</v>
      </c>
      <c r="P15" s="177" t="str">
        <f>IF('Peak Revenue'!$A$1="BL","-",IF(Peak!V16&gt;Peak!$G16,P$8*Peak!$AM$11,0))</f>
        <v>-</v>
      </c>
      <c r="Q15" s="177" t="str">
        <f>IF('Peak Revenue'!$A$1="BL","-",IF(Peak!W16&gt;Peak!$G16,Q$8*Peak!$AM$11,0))</f>
        <v>-</v>
      </c>
      <c r="R15" s="177" t="str">
        <f>IF('Peak Revenue'!$A$1="BL","-",IF(Peak!X16&gt;Peak!$G16,R$8*Peak!$AM$11,0))</f>
        <v>-</v>
      </c>
      <c r="S15" s="177" t="str">
        <f>IF('Peak Revenue'!$A$1="BL","-",IF(Peak!Y16&gt;Peak!$G16,S$8*Peak!$AM$11,0))</f>
        <v>-</v>
      </c>
      <c r="T15" s="177" t="str">
        <f>IF('Peak Revenue'!$A$1="BL","-",IF(Peak!Z16&gt;Peak!$G16,T$8*Peak!$AM$11,0))</f>
        <v>-</v>
      </c>
      <c r="U15" s="177" t="str">
        <f>IF('Peak Revenue'!$A$1="BL","-",IF(Peak!AA16&gt;Peak!$G16,U$8*Peak!$AM$11,0))</f>
        <v>-</v>
      </c>
      <c r="V15" s="178">
        <f t="shared" si="0"/>
        <v>0</v>
      </c>
      <c r="W15" s="165"/>
    </row>
    <row r="16" spans="1:23" x14ac:dyDescent="0.2">
      <c r="A16" s="1">
        <f t="shared" si="1"/>
        <v>36722.502000000008</v>
      </c>
      <c r="B16" s="176" t="str">
        <f>IF('Peak Revenue'!$A$1="BL","-",IF(Peak!H17&gt;Peak!$G17,B$8*Peak!$AM$11,0))</f>
        <v>-</v>
      </c>
      <c r="C16" s="177" t="str">
        <f>IF('Peak Revenue'!$A$1="BL","-",IF(Peak!I17&gt;Peak!$G17,C$8*Peak!$AM$11,0))</f>
        <v>-</v>
      </c>
      <c r="D16" s="177" t="str">
        <f>IF('Peak Revenue'!$A$1="BL","-",IF(Peak!J17&gt;Peak!$G17,D$8*Peak!$AM$11,0))</f>
        <v>-</v>
      </c>
      <c r="E16" s="177" t="str">
        <f>IF('Peak Revenue'!$A$1="BL","-",IF(Peak!K17&gt;Peak!$G17,E$8*Peak!$AM$11,0))</f>
        <v>-</v>
      </c>
      <c r="F16" s="177" t="str">
        <f>IF('Peak Revenue'!$A$1="BL","-",IF(Peak!L17&gt;Peak!$G17,F$8*Peak!$AM$11,0))</f>
        <v>-</v>
      </c>
      <c r="G16" s="177" t="str">
        <f>IF('Peak Revenue'!$A$1="BL","-",IF(Peak!M17&gt;Peak!$G17,G$8*Peak!$AM$11,0))</f>
        <v>-</v>
      </c>
      <c r="H16" s="177" t="str">
        <f>IF('Peak Revenue'!$A$1="BL","-",IF(Peak!N17&gt;Peak!$G17,H$8*Peak!$AM$11,0))</f>
        <v>-</v>
      </c>
      <c r="I16" s="177" t="str">
        <f>IF('Peak Revenue'!$A$1="BL","-",IF(Peak!O17&gt;Peak!$G17,I$8*Peak!$AM$11,0))</f>
        <v>-</v>
      </c>
      <c r="J16" s="177" t="str">
        <f>IF('Peak Revenue'!$A$1="BL","-",IF(Peak!P17&gt;Peak!$G17,J$8*Peak!$AM$11,0))</f>
        <v>-</v>
      </c>
      <c r="K16" s="177" t="str">
        <f>IF('Peak Revenue'!$A$1="BL","-",IF(Peak!Q17&gt;Peak!$G17,K$8*Peak!$AM$11,0))</f>
        <v>-</v>
      </c>
      <c r="L16" s="177" t="str">
        <f>IF('Peak Revenue'!$A$1="BL","-",IF(Peak!R17&gt;Peak!$G17,L$8*Peak!$AM$11,0))</f>
        <v>-</v>
      </c>
      <c r="M16" s="177" t="str">
        <f>IF('Peak Revenue'!$A$1="BL","-",IF(Peak!S17&gt;Peak!$G17,M$8*Peak!$AM$11,0))</f>
        <v>-</v>
      </c>
      <c r="N16" s="177" t="str">
        <f>IF('Peak Revenue'!$A$1="BL","-",IF(Peak!T17&gt;Peak!$G17,N$8*Peak!$AM$11,0))</f>
        <v>-</v>
      </c>
      <c r="O16" s="177" t="str">
        <f>IF('Peak Revenue'!$A$1="BL","-",IF(Peak!U17&gt;Peak!$G17,O$8*Peak!$AM$11,0))</f>
        <v>-</v>
      </c>
      <c r="P16" s="177" t="str">
        <f>IF('Peak Revenue'!$A$1="BL","-",IF(Peak!V17&gt;Peak!$G17,P$8*Peak!$AM$11,0))</f>
        <v>-</v>
      </c>
      <c r="Q16" s="177" t="str">
        <f>IF('Peak Revenue'!$A$1="BL","-",IF(Peak!W17&gt;Peak!$G17,Q$8*Peak!$AM$11,0))</f>
        <v>-</v>
      </c>
      <c r="R16" s="177" t="str">
        <f>IF('Peak Revenue'!$A$1="BL","-",IF(Peak!X17&gt;Peak!$G17,R$8*Peak!$AM$11,0))</f>
        <v>-</v>
      </c>
      <c r="S16" s="177" t="str">
        <f>IF('Peak Revenue'!$A$1="BL","-",IF(Peak!Y17&gt;Peak!$G17,S$8*Peak!$AM$11,0))</f>
        <v>-</v>
      </c>
      <c r="T16" s="177" t="str">
        <f>IF('Peak Revenue'!$A$1="BL","-",IF(Peak!Z17&gt;Peak!$G17,T$8*Peak!$AM$11,0))</f>
        <v>-</v>
      </c>
      <c r="U16" s="177" t="str">
        <f>IF('Peak Revenue'!$A$1="BL","-",IF(Peak!AA17&gt;Peak!$G17,U$8*Peak!$AM$11,0))</f>
        <v>-</v>
      </c>
      <c r="V16" s="178">
        <f t="shared" si="0"/>
        <v>0</v>
      </c>
      <c r="W16" s="165"/>
    </row>
    <row r="17" spans="1:23" x14ac:dyDescent="0.2">
      <c r="A17" s="1">
        <f t="shared" si="1"/>
        <v>36752.919000000009</v>
      </c>
      <c r="B17" s="176" t="str">
        <f>IF('Peak Revenue'!$A$1="BL","-",IF(Peak!H18&gt;Peak!$G18,B$8*Peak!$AM$11,0))</f>
        <v>-</v>
      </c>
      <c r="C17" s="177" t="str">
        <f>IF('Peak Revenue'!$A$1="BL","-",IF(Peak!I18&gt;Peak!$G18,C$8*Peak!$AM$11,0))</f>
        <v>-</v>
      </c>
      <c r="D17" s="177" t="str">
        <f>IF('Peak Revenue'!$A$1="BL","-",IF(Peak!J18&gt;Peak!$G18,D$8*Peak!$AM$11,0))</f>
        <v>-</v>
      </c>
      <c r="E17" s="177" t="str">
        <f>IF('Peak Revenue'!$A$1="BL","-",IF(Peak!K18&gt;Peak!$G18,E$8*Peak!$AM$11,0))</f>
        <v>-</v>
      </c>
      <c r="F17" s="177" t="str">
        <f>IF('Peak Revenue'!$A$1="BL","-",IF(Peak!L18&gt;Peak!$G18,F$8*Peak!$AM$11,0))</f>
        <v>-</v>
      </c>
      <c r="G17" s="177" t="str">
        <f>IF('Peak Revenue'!$A$1="BL","-",IF(Peak!M18&gt;Peak!$G18,G$8*Peak!$AM$11,0))</f>
        <v>-</v>
      </c>
      <c r="H17" s="177" t="str">
        <f>IF('Peak Revenue'!$A$1="BL","-",IF(Peak!N18&gt;Peak!$G18,H$8*Peak!$AM$11,0))</f>
        <v>-</v>
      </c>
      <c r="I17" s="177" t="str">
        <f>IF('Peak Revenue'!$A$1="BL","-",IF(Peak!O18&gt;Peak!$G18,I$8*Peak!$AM$11,0))</f>
        <v>-</v>
      </c>
      <c r="J17" s="177" t="str">
        <f>IF('Peak Revenue'!$A$1="BL","-",IF(Peak!P18&gt;Peak!$G18,J$8*Peak!$AM$11,0))</f>
        <v>-</v>
      </c>
      <c r="K17" s="177" t="str">
        <f>IF('Peak Revenue'!$A$1="BL","-",IF(Peak!Q18&gt;Peak!$G18,K$8*Peak!$AM$11,0))</f>
        <v>-</v>
      </c>
      <c r="L17" s="177" t="str">
        <f>IF('Peak Revenue'!$A$1="BL","-",IF(Peak!R18&gt;Peak!$G18,L$8*Peak!$AM$11,0))</f>
        <v>-</v>
      </c>
      <c r="M17" s="177" t="str">
        <f>IF('Peak Revenue'!$A$1="BL","-",IF(Peak!S18&gt;Peak!$G18,M$8*Peak!$AM$11,0))</f>
        <v>-</v>
      </c>
      <c r="N17" s="177" t="str">
        <f>IF('Peak Revenue'!$A$1="BL","-",IF(Peak!T18&gt;Peak!$G18,N$8*Peak!$AM$11,0))</f>
        <v>-</v>
      </c>
      <c r="O17" s="177" t="str">
        <f>IF('Peak Revenue'!$A$1="BL","-",IF(Peak!U18&gt;Peak!$G18,O$8*Peak!$AM$11,0))</f>
        <v>-</v>
      </c>
      <c r="P17" s="177" t="str">
        <f>IF('Peak Revenue'!$A$1="BL","-",IF(Peak!V18&gt;Peak!$G18,P$8*Peak!$AM$11,0))</f>
        <v>-</v>
      </c>
      <c r="Q17" s="177" t="str">
        <f>IF('Peak Revenue'!$A$1="BL","-",IF(Peak!W18&gt;Peak!$G18,Q$8*Peak!$AM$11,0))</f>
        <v>-</v>
      </c>
      <c r="R17" s="177" t="str">
        <f>IF('Peak Revenue'!$A$1="BL","-",IF(Peak!X18&gt;Peak!$G18,R$8*Peak!$AM$11,0))</f>
        <v>-</v>
      </c>
      <c r="S17" s="177" t="str">
        <f>IF('Peak Revenue'!$A$1="BL","-",IF(Peak!Y18&gt;Peak!$G18,S$8*Peak!$AM$11,0))</f>
        <v>-</v>
      </c>
      <c r="T17" s="177" t="str">
        <f>IF('Peak Revenue'!$A$1="BL","-",IF(Peak!Z18&gt;Peak!$G18,T$8*Peak!$AM$11,0))</f>
        <v>-</v>
      </c>
      <c r="U17" s="177" t="str">
        <f>IF('Peak Revenue'!$A$1="BL","-",IF(Peak!AA18&gt;Peak!$G18,U$8*Peak!$AM$11,0))</f>
        <v>-</v>
      </c>
      <c r="V17" s="178">
        <f t="shared" si="0"/>
        <v>0</v>
      </c>
      <c r="W17" s="165"/>
    </row>
    <row r="18" spans="1:23" x14ac:dyDescent="0.2">
      <c r="A18" s="1">
        <f t="shared" si="1"/>
        <v>36783.33600000001</v>
      </c>
      <c r="B18" s="176" t="str">
        <f>IF('Peak Revenue'!$A$1="BL","-",IF(Peak!H19&gt;Peak!$G19,B$8*Peak!$AM$11,0))</f>
        <v>-</v>
      </c>
      <c r="C18" s="177" t="str">
        <f>IF('Peak Revenue'!$A$1="BL","-",IF(Peak!I19&gt;Peak!$G19,C$8*Peak!$AM$11,0))</f>
        <v>-</v>
      </c>
      <c r="D18" s="177" t="str">
        <f>IF('Peak Revenue'!$A$1="BL","-",IF(Peak!J19&gt;Peak!$G19,D$8*Peak!$AM$11,0))</f>
        <v>-</v>
      </c>
      <c r="E18" s="177" t="str">
        <f>IF('Peak Revenue'!$A$1="BL","-",IF(Peak!K19&gt;Peak!$G19,E$8*Peak!$AM$11,0))</f>
        <v>-</v>
      </c>
      <c r="F18" s="177" t="str">
        <f>IF('Peak Revenue'!$A$1="BL","-",IF(Peak!L19&gt;Peak!$G19,F$8*Peak!$AM$11,0))</f>
        <v>-</v>
      </c>
      <c r="G18" s="177" t="str">
        <f>IF('Peak Revenue'!$A$1="BL","-",IF(Peak!M19&gt;Peak!$G19,G$8*Peak!$AM$11,0))</f>
        <v>-</v>
      </c>
      <c r="H18" s="177" t="str">
        <f>IF('Peak Revenue'!$A$1="BL","-",IF(Peak!N19&gt;Peak!$G19,H$8*Peak!$AM$11,0))</f>
        <v>-</v>
      </c>
      <c r="I18" s="177" t="str">
        <f>IF('Peak Revenue'!$A$1="BL","-",IF(Peak!O19&gt;Peak!$G19,I$8*Peak!$AM$11,0))</f>
        <v>-</v>
      </c>
      <c r="J18" s="177" t="str">
        <f>IF('Peak Revenue'!$A$1="BL","-",IF(Peak!P19&gt;Peak!$G19,J$8*Peak!$AM$11,0))</f>
        <v>-</v>
      </c>
      <c r="K18" s="177" t="str">
        <f>IF('Peak Revenue'!$A$1="BL","-",IF(Peak!Q19&gt;Peak!$G19,K$8*Peak!$AM$11,0))</f>
        <v>-</v>
      </c>
      <c r="L18" s="177" t="str">
        <f>IF('Peak Revenue'!$A$1="BL","-",IF(Peak!R19&gt;Peak!$G19,L$8*Peak!$AM$11,0))</f>
        <v>-</v>
      </c>
      <c r="M18" s="177" t="str">
        <f>IF('Peak Revenue'!$A$1="BL","-",IF(Peak!S19&gt;Peak!$G19,M$8*Peak!$AM$11,0))</f>
        <v>-</v>
      </c>
      <c r="N18" s="177" t="str">
        <f>IF('Peak Revenue'!$A$1="BL","-",IF(Peak!T19&gt;Peak!$G19,N$8*Peak!$AM$11,0))</f>
        <v>-</v>
      </c>
      <c r="O18" s="177" t="str">
        <f>IF('Peak Revenue'!$A$1="BL","-",IF(Peak!U19&gt;Peak!$G19,O$8*Peak!$AM$11,0))</f>
        <v>-</v>
      </c>
      <c r="P18" s="177" t="str">
        <f>IF('Peak Revenue'!$A$1="BL","-",IF(Peak!V19&gt;Peak!$G19,P$8*Peak!$AM$11,0))</f>
        <v>-</v>
      </c>
      <c r="Q18" s="177" t="str">
        <f>IF('Peak Revenue'!$A$1="BL","-",IF(Peak!W19&gt;Peak!$G19,Q$8*Peak!$AM$11,0))</f>
        <v>-</v>
      </c>
      <c r="R18" s="177" t="str">
        <f>IF('Peak Revenue'!$A$1="BL","-",IF(Peak!X19&gt;Peak!$G19,R$8*Peak!$AM$11,0))</f>
        <v>-</v>
      </c>
      <c r="S18" s="177" t="str">
        <f>IF('Peak Revenue'!$A$1="BL","-",IF(Peak!Y19&gt;Peak!$G19,S$8*Peak!$AM$11,0))</f>
        <v>-</v>
      </c>
      <c r="T18" s="177" t="str">
        <f>IF('Peak Revenue'!$A$1="BL","-",IF(Peak!Z19&gt;Peak!$G19,T$8*Peak!$AM$11,0))</f>
        <v>-</v>
      </c>
      <c r="U18" s="177" t="str">
        <f>IF('Peak Revenue'!$A$1="BL","-",IF(Peak!AA19&gt;Peak!$G19,U$8*Peak!$AM$11,0))</f>
        <v>-</v>
      </c>
      <c r="V18" s="178">
        <f t="shared" si="0"/>
        <v>0</v>
      </c>
      <c r="W18" s="165"/>
    </row>
    <row r="19" spans="1:23" x14ac:dyDescent="0.2">
      <c r="A19" s="1">
        <f t="shared" si="1"/>
        <v>36813.753000000012</v>
      </c>
      <c r="B19" s="176" t="str">
        <f>IF('Peak Revenue'!$A$1="BL","-",IF(Peak!H20&gt;Peak!$G20,B$8*Peak!$AM$11,0))</f>
        <v>-</v>
      </c>
      <c r="C19" s="177" t="str">
        <f>IF('Peak Revenue'!$A$1="BL","-",IF(Peak!I20&gt;Peak!$G20,C$8*Peak!$AM$11,0))</f>
        <v>-</v>
      </c>
      <c r="D19" s="177" t="str">
        <f>IF('Peak Revenue'!$A$1="BL","-",IF(Peak!J20&gt;Peak!$G20,D$8*Peak!$AM$11,0))</f>
        <v>-</v>
      </c>
      <c r="E19" s="177" t="str">
        <f>IF('Peak Revenue'!$A$1="BL","-",IF(Peak!K20&gt;Peak!$G20,E$8*Peak!$AM$11,0))</f>
        <v>-</v>
      </c>
      <c r="F19" s="177" t="str">
        <f>IF('Peak Revenue'!$A$1="BL","-",IF(Peak!L20&gt;Peak!$G20,F$8*Peak!$AM$11,0))</f>
        <v>-</v>
      </c>
      <c r="G19" s="177" t="str">
        <f>IF('Peak Revenue'!$A$1="BL","-",IF(Peak!M20&gt;Peak!$G20,G$8*Peak!$AM$11,0))</f>
        <v>-</v>
      </c>
      <c r="H19" s="177" t="str">
        <f>IF('Peak Revenue'!$A$1="BL","-",IF(Peak!N20&gt;Peak!$G20,H$8*Peak!$AM$11,0))</f>
        <v>-</v>
      </c>
      <c r="I19" s="177" t="str">
        <f>IF('Peak Revenue'!$A$1="BL","-",IF(Peak!O20&gt;Peak!$G20,I$8*Peak!$AM$11,0))</f>
        <v>-</v>
      </c>
      <c r="J19" s="177" t="str">
        <f>IF('Peak Revenue'!$A$1="BL","-",IF(Peak!P20&gt;Peak!$G20,J$8*Peak!$AM$11,0))</f>
        <v>-</v>
      </c>
      <c r="K19" s="177" t="str">
        <f>IF('Peak Revenue'!$A$1="BL","-",IF(Peak!Q20&gt;Peak!$G20,K$8*Peak!$AM$11,0))</f>
        <v>-</v>
      </c>
      <c r="L19" s="177" t="str">
        <f>IF('Peak Revenue'!$A$1="BL","-",IF(Peak!R20&gt;Peak!$G20,L$8*Peak!$AM$11,0))</f>
        <v>-</v>
      </c>
      <c r="M19" s="177" t="str">
        <f>IF('Peak Revenue'!$A$1="BL","-",IF(Peak!S20&gt;Peak!$G20,M$8*Peak!$AM$11,0))</f>
        <v>-</v>
      </c>
      <c r="N19" s="177" t="str">
        <f>IF('Peak Revenue'!$A$1="BL","-",IF(Peak!T20&gt;Peak!$G20,N$8*Peak!$AM$11,0))</f>
        <v>-</v>
      </c>
      <c r="O19" s="177" t="str">
        <f>IF('Peak Revenue'!$A$1="BL","-",IF(Peak!U20&gt;Peak!$G20,O$8*Peak!$AM$11,0))</f>
        <v>-</v>
      </c>
      <c r="P19" s="177" t="str">
        <f>IF('Peak Revenue'!$A$1="BL","-",IF(Peak!V20&gt;Peak!$G20,P$8*Peak!$AM$11,0))</f>
        <v>-</v>
      </c>
      <c r="Q19" s="177" t="str">
        <f>IF('Peak Revenue'!$A$1="BL","-",IF(Peak!W20&gt;Peak!$G20,Q$8*Peak!$AM$11,0))</f>
        <v>-</v>
      </c>
      <c r="R19" s="177" t="str">
        <f>IF('Peak Revenue'!$A$1="BL","-",IF(Peak!X20&gt;Peak!$G20,R$8*Peak!$AM$11,0))</f>
        <v>-</v>
      </c>
      <c r="S19" s="177" t="str">
        <f>IF('Peak Revenue'!$A$1="BL","-",IF(Peak!Y20&gt;Peak!$G20,S$8*Peak!$AM$11,0))</f>
        <v>-</v>
      </c>
      <c r="T19" s="177" t="str">
        <f>IF('Peak Revenue'!$A$1="BL","-",IF(Peak!Z20&gt;Peak!$G20,T$8*Peak!$AM$11,0))</f>
        <v>-</v>
      </c>
      <c r="U19" s="177" t="str">
        <f>IF('Peak Revenue'!$A$1="BL","-",IF(Peak!AA20&gt;Peak!$G20,U$8*Peak!$AM$11,0))</f>
        <v>-</v>
      </c>
      <c r="V19" s="178">
        <f t="shared" si="0"/>
        <v>0</v>
      </c>
      <c r="W19" s="165"/>
    </row>
    <row r="20" spans="1:23" x14ac:dyDescent="0.2">
      <c r="A20" s="1">
        <f t="shared" si="1"/>
        <v>36844.170000000013</v>
      </c>
      <c r="B20" s="176" t="str">
        <f>IF('Peak Revenue'!$A$1="BL","-",IF(Peak!H21&gt;Peak!$G21,B$8*Peak!$AM$11,0))</f>
        <v>-</v>
      </c>
      <c r="C20" s="177" t="str">
        <f>IF('Peak Revenue'!$A$1="BL","-",IF(Peak!I21&gt;Peak!$G21,C$8*Peak!$AM$11,0))</f>
        <v>-</v>
      </c>
      <c r="D20" s="177" t="str">
        <f>IF('Peak Revenue'!$A$1="BL","-",IF(Peak!J21&gt;Peak!$G21,D$8*Peak!$AM$11,0))</f>
        <v>-</v>
      </c>
      <c r="E20" s="177" t="str">
        <f>IF('Peak Revenue'!$A$1="BL","-",IF(Peak!K21&gt;Peak!$G21,E$8*Peak!$AM$11,0))</f>
        <v>-</v>
      </c>
      <c r="F20" s="177" t="str">
        <f>IF('Peak Revenue'!$A$1="BL","-",IF(Peak!L21&gt;Peak!$G21,F$8*Peak!$AM$11,0))</f>
        <v>-</v>
      </c>
      <c r="G20" s="177" t="str">
        <f>IF('Peak Revenue'!$A$1="BL","-",IF(Peak!M21&gt;Peak!$G21,G$8*Peak!$AM$11,0))</f>
        <v>-</v>
      </c>
      <c r="H20" s="177" t="str">
        <f>IF('Peak Revenue'!$A$1="BL","-",IF(Peak!N21&gt;Peak!$G21,H$8*Peak!$AM$11,0))</f>
        <v>-</v>
      </c>
      <c r="I20" s="177" t="str">
        <f>IF('Peak Revenue'!$A$1="BL","-",IF(Peak!O21&gt;Peak!$G21,I$8*Peak!$AM$11,0))</f>
        <v>-</v>
      </c>
      <c r="J20" s="177" t="str">
        <f>IF('Peak Revenue'!$A$1="BL","-",IF(Peak!P21&gt;Peak!$G21,J$8*Peak!$AM$11,0))</f>
        <v>-</v>
      </c>
      <c r="K20" s="177" t="str">
        <f>IF('Peak Revenue'!$A$1="BL","-",IF(Peak!Q21&gt;Peak!$G21,K$8*Peak!$AM$11,0))</f>
        <v>-</v>
      </c>
      <c r="L20" s="177" t="str">
        <f>IF('Peak Revenue'!$A$1="BL","-",IF(Peak!R21&gt;Peak!$G21,L$8*Peak!$AM$11,0))</f>
        <v>-</v>
      </c>
      <c r="M20" s="177" t="str">
        <f>IF('Peak Revenue'!$A$1="BL","-",IF(Peak!S21&gt;Peak!$G21,M$8*Peak!$AM$11,0))</f>
        <v>-</v>
      </c>
      <c r="N20" s="177" t="str">
        <f>IF('Peak Revenue'!$A$1="BL","-",IF(Peak!T21&gt;Peak!$G21,N$8*Peak!$AM$11,0))</f>
        <v>-</v>
      </c>
      <c r="O20" s="177" t="str">
        <f>IF('Peak Revenue'!$A$1="BL","-",IF(Peak!U21&gt;Peak!$G21,O$8*Peak!$AM$11,0))</f>
        <v>-</v>
      </c>
      <c r="P20" s="177" t="str">
        <f>IF('Peak Revenue'!$A$1="BL","-",IF(Peak!V21&gt;Peak!$G21,P$8*Peak!$AM$11,0))</f>
        <v>-</v>
      </c>
      <c r="Q20" s="177" t="str">
        <f>IF('Peak Revenue'!$A$1="BL","-",IF(Peak!W21&gt;Peak!$G21,Q$8*Peak!$AM$11,0))</f>
        <v>-</v>
      </c>
      <c r="R20" s="177" t="str">
        <f>IF('Peak Revenue'!$A$1="BL","-",IF(Peak!X21&gt;Peak!$G21,R$8*Peak!$AM$11,0))</f>
        <v>-</v>
      </c>
      <c r="S20" s="177" t="str">
        <f>IF('Peak Revenue'!$A$1="BL","-",IF(Peak!Y21&gt;Peak!$G21,S$8*Peak!$AM$11,0))</f>
        <v>-</v>
      </c>
      <c r="T20" s="177" t="str">
        <f>IF('Peak Revenue'!$A$1="BL","-",IF(Peak!Z21&gt;Peak!$G21,T$8*Peak!$AM$11,0))</f>
        <v>-</v>
      </c>
      <c r="U20" s="177" t="str">
        <f>IF('Peak Revenue'!$A$1="BL","-",IF(Peak!AA21&gt;Peak!$G21,U$8*Peak!$AM$11,0))</f>
        <v>-</v>
      </c>
      <c r="V20" s="178">
        <f t="shared" si="0"/>
        <v>0</v>
      </c>
      <c r="W20" s="165"/>
    </row>
    <row r="21" spans="1:23" x14ac:dyDescent="0.2">
      <c r="A21" s="1">
        <f t="shared" si="1"/>
        <v>36874.587000000014</v>
      </c>
      <c r="B21" s="176" t="str">
        <f>IF('Peak Revenue'!$A$1="BL","-",IF(Peak!H22&gt;Peak!$G22,B$8*Peak!$AM$11,0))</f>
        <v>-</v>
      </c>
      <c r="C21" s="177" t="str">
        <f>IF('Peak Revenue'!$A$1="BL","-",IF(Peak!I22&gt;Peak!$G22,C$8*Peak!$AM$11,0))</f>
        <v>-</v>
      </c>
      <c r="D21" s="177" t="str">
        <f>IF('Peak Revenue'!$A$1="BL","-",IF(Peak!J22&gt;Peak!$G22,D$8*Peak!$AM$11,0))</f>
        <v>-</v>
      </c>
      <c r="E21" s="177" t="str">
        <f>IF('Peak Revenue'!$A$1="BL","-",IF(Peak!K22&gt;Peak!$G22,E$8*Peak!$AM$11,0))</f>
        <v>-</v>
      </c>
      <c r="F21" s="177" t="str">
        <f>IF('Peak Revenue'!$A$1="BL","-",IF(Peak!L22&gt;Peak!$G22,F$8*Peak!$AM$11,0))</f>
        <v>-</v>
      </c>
      <c r="G21" s="177" t="str">
        <f>IF('Peak Revenue'!$A$1="BL","-",IF(Peak!M22&gt;Peak!$G22,G$8*Peak!$AM$11,0))</f>
        <v>-</v>
      </c>
      <c r="H21" s="177" t="str">
        <f>IF('Peak Revenue'!$A$1="BL","-",IF(Peak!N22&gt;Peak!$G22,H$8*Peak!$AM$11,0))</f>
        <v>-</v>
      </c>
      <c r="I21" s="177" t="str">
        <f>IF('Peak Revenue'!$A$1="BL","-",IF(Peak!O22&gt;Peak!$G22,I$8*Peak!$AM$11,0))</f>
        <v>-</v>
      </c>
      <c r="J21" s="177" t="str">
        <f>IF('Peak Revenue'!$A$1="BL","-",IF(Peak!P22&gt;Peak!$G22,J$8*Peak!$AM$11,0))</f>
        <v>-</v>
      </c>
      <c r="K21" s="177" t="str">
        <f>IF('Peak Revenue'!$A$1="BL","-",IF(Peak!Q22&gt;Peak!$G22,K$8*Peak!$AM$11,0))</f>
        <v>-</v>
      </c>
      <c r="L21" s="177" t="str">
        <f>IF('Peak Revenue'!$A$1="BL","-",IF(Peak!R22&gt;Peak!$G22,L$8*Peak!$AM$11,0))</f>
        <v>-</v>
      </c>
      <c r="M21" s="177" t="str">
        <f>IF('Peak Revenue'!$A$1="BL","-",IF(Peak!S22&gt;Peak!$G22,M$8*Peak!$AM$11,0))</f>
        <v>-</v>
      </c>
      <c r="N21" s="177" t="str">
        <f>IF('Peak Revenue'!$A$1="BL","-",IF(Peak!T22&gt;Peak!$G22,N$8*Peak!$AM$11,0))</f>
        <v>-</v>
      </c>
      <c r="O21" s="177" t="str">
        <f>IF('Peak Revenue'!$A$1="BL","-",IF(Peak!U22&gt;Peak!$G22,O$8*Peak!$AM$11,0))</f>
        <v>-</v>
      </c>
      <c r="P21" s="177" t="str">
        <f>IF('Peak Revenue'!$A$1="BL","-",IF(Peak!V22&gt;Peak!$G22,P$8*Peak!$AM$11,0))</f>
        <v>-</v>
      </c>
      <c r="Q21" s="177" t="str">
        <f>IF('Peak Revenue'!$A$1="BL","-",IF(Peak!W22&gt;Peak!$G22,Q$8*Peak!$AM$11,0))</f>
        <v>-</v>
      </c>
      <c r="R21" s="177" t="str">
        <f>IF('Peak Revenue'!$A$1="BL","-",IF(Peak!X22&gt;Peak!$G22,R$8*Peak!$AM$11,0))</f>
        <v>-</v>
      </c>
      <c r="S21" s="177" t="str">
        <f>IF('Peak Revenue'!$A$1="BL","-",IF(Peak!Y22&gt;Peak!$G22,S$8*Peak!$AM$11,0))</f>
        <v>-</v>
      </c>
      <c r="T21" s="177" t="str">
        <f>IF('Peak Revenue'!$A$1="BL","-",IF(Peak!Z22&gt;Peak!$G22,T$8*Peak!$AM$11,0))</f>
        <v>-</v>
      </c>
      <c r="U21" s="177" t="str">
        <f>IF('Peak Revenue'!$A$1="BL","-",IF(Peak!AA22&gt;Peak!$G22,U$8*Peak!$AM$11,0))</f>
        <v>-</v>
      </c>
      <c r="V21" s="178">
        <f t="shared" si="0"/>
        <v>0</v>
      </c>
      <c r="W21" s="164">
        <f>SUM(V10:V21)</f>
        <v>0</v>
      </c>
    </row>
    <row r="22" spans="1:23" x14ac:dyDescent="0.2">
      <c r="A22" s="1">
        <f t="shared" si="1"/>
        <v>36905.004000000015</v>
      </c>
      <c r="B22" s="176" t="str">
        <f>IF('Peak Revenue'!$A$1="BL","-",IF(Peak!H23&gt;Peak!$G23,B$8*Peak!$AM$11,0))</f>
        <v>-</v>
      </c>
      <c r="C22" s="177" t="str">
        <f>IF('Peak Revenue'!$A$1="BL","-",IF(Peak!I23&gt;Peak!$G23,C$8*Peak!$AM$11,0))</f>
        <v>-</v>
      </c>
      <c r="D22" s="177" t="str">
        <f>IF('Peak Revenue'!$A$1="BL","-",IF(Peak!J23&gt;Peak!$G23,D$8*Peak!$AM$11,0))</f>
        <v>-</v>
      </c>
      <c r="E22" s="177" t="str">
        <f>IF('Peak Revenue'!$A$1="BL","-",IF(Peak!K23&gt;Peak!$G23,E$8*Peak!$AM$11,0))</f>
        <v>-</v>
      </c>
      <c r="F22" s="177" t="str">
        <f>IF('Peak Revenue'!$A$1="BL","-",IF(Peak!L23&gt;Peak!$G23,F$8*Peak!$AM$11,0))</f>
        <v>-</v>
      </c>
      <c r="G22" s="177" t="str">
        <f>IF('Peak Revenue'!$A$1="BL","-",IF(Peak!M23&gt;Peak!$G23,G$8*Peak!$AM$11,0))</f>
        <v>-</v>
      </c>
      <c r="H22" s="177" t="str">
        <f>IF('Peak Revenue'!$A$1="BL","-",IF(Peak!N23&gt;Peak!$G23,H$8*Peak!$AM$11,0))</f>
        <v>-</v>
      </c>
      <c r="I22" s="177" t="str">
        <f>IF('Peak Revenue'!$A$1="BL","-",IF(Peak!O23&gt;Peak!$G23,I$8*Peak!$AM$11,0))</f>
        <v>-</v>
      </c>
      <c r="J22" s="177" t="str">
        <f>IF('Peak Revenue'!$A$1="BL","-",IF(Peak!P23&gt;Peak!$G23,J$8*Peak!$AM$11,0))</f>
        <v>-</v>
      </c>
      <c r="K22" s="177" t="str">
        <f>IF('Peak Revenue'!$A$1="BL","-",IF(Peak!Q23&gt;Peak!$G23,K$8*Peak!$AM$11,0))</f>
        <v>-</v>
      </c>
      <c r="L22" s="177" t="str">
        <f>IF('Peak Revenue'!$A$1="BL","-",IF(Peak!R23&gt;Peak!$G23,L$8*Peak!$AM$11,0))</f>
        <v>-</v>
      </c>
      <c r="M22" s="177" t="str">
        <f>IF('Peak Revenue'!$A$1="BL","-",IF(Peak!S23&gt;Peak!$G23,M$8*Peak!$AM$11,0))</f>
        <v>-</v>
      </c>
      <c r="N22" s="177" t="str">
        <f>IF('Peak Revenue'!$A$1="BL","-",IF(Peak!T23&gt;Peak!$G23,N$8*Peak!$AM$11,0))</f>
        <v>-</v>
      </c>
      <c r="O22" s="177" t="str">
        <f>IF('Peak Revenue'!$A$1="BL","-",IF(Peak!U23&gt;Peak!$G23,O$8*Peak!$AM$11,0))</f>
        <v>-</v>
      </c>
      <c r="P22" s="177" t="str">
        <f>IF('Peak Revenue'!$A$1="BL","-",IF(Peak!V23&gt;Peak!$G23,P$8*Peak!$AM$11,0))</f>
        <v>-</v>
      </c>
      <c r="Q22" s="177" t="str">
        <f>IF('Peak Revenue'!$A$1="BL","-",IF(Peak!W23&gt;Peak!$G23,Q$8*Peak!$AM$11,0))</f>
        <v>-</v>
      </c>
      <c r="R22" s="177" t="str">
        <f>IF('Peak Revenue'!$A$1="BL","-",IF(Peak!X23&gt;Peak!$G23,R$8*Peak!$AM$11,0))</f>
        <v>-</v>
      </c>
      <c r="S22" s="177" t="str">
        <f>IF('Peak Revenue'!$A$1="BL","-",IF(Peak!Y23&gt;Peak!$G23,S$8*Peak!$AM$11,0))</f>
        <v>-</v>
      </c>
      <c r="T22" s="177" t="str">
        <f>IF('Peak Revenue'!$A$1="BL","-",IF(Peak!Z23&gt;Peak!$G23,T$8*Peak!$AM$11,0))</f>
        <v>-</v>
      </c>
      <c r="U22" s="177" t="str">
        <f>IF('Peak Revenue'!$A$1="BL","-",IF(Peak!AA23&gt;Peak!$G23,U$8*Peak!$AM$11,0))</f>
        <v>-</v>
      </c>
      <c r="V22" s="178">
        <f t="shared" si="0"/>
        <v>0</v>
      </c>
      <c r="W22" s="165"/>
    </row>
    <row r="23" spans="1:23" x14ac:dyDescent="0.2">
      <c r="A23" s="1">
        <f t="shared" si="1"/>
        <v>36935.421000000017</v>
      </c>
      <c r="B23" s="176" t="str">
        <f>IF('Peak Revenue'!$A$1="BL","-",IF(Peak!H24&gt;Peak!$G24,B$8*Peak!$AM$11,0))</f>
        <v>-</v>
      </c>
      <c r="C23" s="177" t="str">
        <f>IF('Peak Revenue'!$A$1="BL","-",IF(Peak!I24&gt;Peak!$G24,C$8*Peak!$AM$11,0))</f>
        <v>-</v>
      </c>
      <c r="D23" s="177" t="str">
        <f>IF('Peak Revenue'!$A$1="BL","-",IF(Peak!J24&gt;Peak!$G24,D$8*Peak!$AM$11,0))</f>
        <v>-</v>
      </c>
      <c r="E23" s="177" t="str">
        <f>IF('Peak Revenue'!$A$1="BL","-",IF(Peak!K24&gt;Peak!$G24,E$8*Peak!$AM$11,0))</f>
        <v>-</v>
      </c>
      <c r="F23" s="177" t="str">
        <f>IF('Peak Revenue'!$A$1="BL","-",IF(Peak!L24&gt;Peak!$G24,F$8*Peak!$AM$11,0))</f>
        <v>-</v>
      </c>
      <c r="G23" s="177" t="str">
        <f>IF('Peak Revenue'!$A$1="BL","-",IF(Peak!M24&gt;Peak!$G24,G$8*Peak!$AM$11,0))</f>
        <v>-</v>
      </c>
      <c r="H23" s="177" t="str">
        <f>IF('Peak Revenue'!$A$1="BL","-",IF(Peak!N24&gt;Peak!$G24,H$8*Peak!$AM$11,0))</f>
        <v>-</v>
      </c>
      <c r="I23" s="177" t="str">
        <f>IF('Peak Revenue'!$A$1="BL","-",IF(Peak!O24&gt;Peak!$G24,I$8*Peak!$AM$11,0))</f>
        <v>-</v>
      </c>
      <c r="J23" s="177" t="str">
        <f>IF('Peak Revenue'!$A$1="BL","-",IF(Peak!P24&gt;Peak!$G24,J$8*Peak!$AM$11,0))</f>
        <v>-</v>
      </c>
      <c r="K23" s="177" t="str">
        <f>IF('Peak Revenue'!$A$1="BL","-",IF(Peak!Q24&gt;Peak!$G24,K$8*Peak!$AM$11,0))</f>
        <v>-</v>
      </c>
      <c r="L23" s="177" t="str">
        <f>IF('Peak Revenue'!$A$1="BL","-",IF(Peak!R24&gt;Peak!$G24,L$8*Peak!$AM$11,0))</f>
        <v>-</v>
      </c>
      <c r="M23" s="177" t="str">
        <f>IF('Peak Revenue'!$A$1="BL","-",IF(Peak!S24&gt;Peak!$G24,M$8*Peak!$AM$11,0))</f>
        <v>-</v>
      </c>
      <c r="N23" s="177" t="str">
        <f>IF('Peak Revenue'!$A$1="BL","-",IF(Peak!T24&gt;Peak!$G24,N$8*Peak!$AM$11,0))</f>
        <v>-</v>
      </c>
      <c r="O23" s="177" t="str">
        <f>IF('Peak Revenue'!$A$1="BL","-",IF(Peak!U24&gt;Peak!$G24,O$8*Peak!$AM$11,0))</f>
        <v>-</v>
      </c>
      <c r="P23" s="177" t="str">
        <f>IF('Peak Revenue'!$A$1="BL","-",IF(Peak!V24&gt;Peak!$G24,P$8*Peak!$AM$11,0))</f>
        <v>-</v>
      </c>
      <c r="Q23" s="177" t="str">
        <f>IF('Peak Revenue'!$A$1="BL","-",IF(Peak!W24&gt;Peak!$G24,Q$8*Peak!$AM$11,0))</f>
        <v>-</v>
      </c>
      <c r="R23" s="177" t="str">
        <f>IF('Peak Revenue'!$A$1="BL","-",IF(Peak!X24&gt;Peak!$G24,R$8*Peak!$AM$11,0))</f>
        <v>-</v>
      </c>
      <c r="S23" s="177" t="str">
        <f>IF('Peak Revenue'!$A$1="BL","-",IF(Peak!Y24&gt;Peak!$G24,S$8*Peak!$AM$11,0))</f>
        <v>-</v>
      </c>
      <c r="T23" s="177" t="str">
        <f>IF('Peak Revenue'!$A$1="BL","-",IF(Peak!Z24&gt;Peak!$G24,T$8*Peak!$AM$11,0))</f>
        <v>-</v>
      </c>
      <c r="U23" s="177" t="str">
        <f>IF('Peak Revenue'!$A$1="BL","-",IF(Peak!AA24&gt;Peak!$G24,U$8*Peak!$AM$11,0))</f>
        <v>-</v>
      </c>
      <c r="V23" s="178">
        <f t="shared" si="0"/>
        <v>0</v>
      </c>
      <c r="W23" s="165"/>
    </row>
    <row r="24" spans="1:23" x14ac:dyDescent="0.2">
      <c r="A24" s="1">
        <f t="shared" si="1"/>
        <v>36965.838000000018</v>
      </c>
      <c r="B24" s="176" t="str">
        <f>IF('Peak Revenue'!$A$1="BL","-",IF(Peak!H25&gt;Peak!$G25,B$8*Peak!$AM$11,0))</f>
        <v>-</v>
      </c>
      <c r="C24" s="177" t="str">
        <f>IF('Peak Revenue'!$A$1="BL","-",IF(Peak!I25&gt;Peak!$G25,C$8*Peak!$AM$11,0))</f>
        <v>-</v>
      </c>
      <c r="D24" s="177" t="str">
        <f>IF('Peak Revenue'!$A$1="BL","-",IF(Peak!J25&gt;Peak!$G25,D$8*Peak!$AM$11,0))</f>
        <v>-</v>
      </c>
      <c r="E24" s="177" t="str">
        <f>IF('Peak Revenue'!$A$1="BL","-",IF(Peak!K25&gt;Peak!$G25,E$8*Peak!$AM$11,0))</f>
        <v>-</v>
      </c>
      <c r="F24" s="177" t="str">
        <f>IF('Peak Revenue'!$A$1="BL","-",IF(Peak!L25&gt;Peak!$G25,F$8*Peak!$AM$11,0))</f>
        <v>-</v>
      </c>
      <c r="G24" s="177" t="str">
        <f>IF('Peak Revenue'!$A$1="BL","-",IF(Peak!M25&gt;Peak!$G25,G$8*Peak!$AM$11,0))</f>
        <v>-</v>
      </c>
      <c r="H24" s="177" t="str">
        <f>IF('Peak Revenue'!$A$1="BL","-",IF(Peak!N25&gt;Peak!$G25,H$8*Peak!$AM$11,0))</f>
        <v>-</v>
      </c>
      <c r="I24" s="177" t="str">
        <f>IF('Peak Revenue'!$A$1="BL","-",IF(Peak!O25&gt;Peak!$G25,I$8*Peak!$AM$11,0))</f>
        <v>-</v>
      </c>
      <c r="J24" s="177" t="str">
        <f>IF('Peak Revenue'!$A$1="BL","-",IF(Peak!P25&gt;Peak!$G25,J$8*Peak!$AM$11,0))</f>
        <v>-</v>
      </c>
      <c r="K24" s="177" t="str">
        <f>IF('Peak Revenue'!$A$1="BL","-",IF(Peak!Q25&gt;Peak!$G25,K$8*Peak!$AM$11,0))</f>
        <v>-</v>
      </c>
      <c r="L24" s="177" t="str">
        <f>IF('Peak Revenue'!$A$1="BL","-",IF(Peak!R25&gt;Peak!$G25,L$8*Peak!$AM$11,0))</f>
        <v>-</v>
      </c>
      <c r="M24" s="177" t="str">
        <f>IF('Peak Revenue'!$A$1="BL","-",IF(Peak!S25&gt;Peak!$G25,M$8*Peak!$AM$11,0))</f>
        <v>-</v>
      </c>
      <c r="N24" s="177" t="str">
        <f>IF('Peak Revenue'!$A$1="BL","-",IF(Peak!T25&gt;Peak!$G25,N$8*Peak!$AM$11,0))</f>
        <v>-</v>
      </c>
      <c r="O24" s="177" t="str">
        <f>IF('Peak Revenue'!$A$1="BL","-",IF(Peak!U25&gt;Peak!$G25,O$8*Peak!$AM$11,0))</f>
        <v>-</v>
      </c>
      <c r="P24" s="177" t="str">
        <f>IF('Peak Revenue'!$A$1="BL","-",IF(Peak!V25&gt;Peak!$G25,P$8*Peak!$AM$11,0))</f>
        <v>-</v>
      </c>
      <c r="Q24" s="177" t="str">
        <f>IF('Peak Revenue'!$A$1="BL","-",IF(Peak!W25&gt;Peak!$G25,Q$8*Peak!$AM$11,0))</f>
        <v>-</v>
      </c>
      <c r="R24" s="177" t="str">
        <f>IF('Peak Revenue'!$A$1="BL","-",IF(Peak!X25&gt;Peak!$G25,R$8*Peak!$AM$11,0))</f>
        <v>-</v>
      </c>
      <c r="S24" s="177" t="str">
        <f>IF('Peak Revenue'!$A$1="BL","-",IF(Peak!Y25&gt;Peak!$G25,S$8*Peak!$AM$11,0))</f>
        <v>-</v>
      </c>
      <c r="T24" s="177" t="str">
        <f>IF('Peak Revenue'!$A$1="BL","-",IF(Peak!Z25&gt;Peak!$G25,T$8*Peak!$AM$11,0))</f>
        <v>-</v>
      </c>
      <c r="U24" s="177" t="str">
        <f>IF('Peak Revenue'!$A$1="BL","-",IF(Peak!AA25&gt;Peak!$G25,U$8*Peak!$AM$11,0))</f>
        <v>-</v>
      </c>
      <c r="V24" s="178">
        <f t="shared" si="0"/>
        <v>0</v>
      </c>
      <c r="W24" s="165"/>
    </row>
    <row r="25" spans="1:23" x14ac:dyDescent="0.2">
      <c r="A25" s="1">
        <f t="shared" si="1"/>
        <v>36996.255000000019</v>
      </c>
      <c r="B25" s="176" t="str">
        <f>IF('Peak Revenue'!$A$1="BL","-",IF(Peak!H26&gt;Peak!$G26,B$8*Peak!$AM$11,0))</f>
        <v>-</v>
      </c>
      <c r="C25" s="177" t="str">
        <f>IF('Peak Revenue'!$A$1="BL","-",IF(Peak!I26&gt;Peak!$G26,C$8*Peak!$AM$11,0))</f>
        <v>-</v>
      </c>
      <c r="D25" s="177" t="str">
        <f>IF('Peak Revenue'!$A$1="BL","-",IF(Peak!J26&gt;Peak!$G26,D$8*Peak!$AM$11,0))</f>
        <v>-</v>
      </c>
      <c r="E25" s="177" t="str">
        <f>IF('Peak Revenue'!$A$1="BL","-",IF(Peak!K26&gt;Peak!$G26,E$8*Peak!$AM$11,0))</f>
        <v>-</v>
      </c>
      <c r="F25" s="177" t="str">
        <f>IF('Peak Revenue'!$A$1="BL","-",IF(Peak!L26&gt;Peak!$G26,F$8*Peak!$AM$11,0))</f>
        <v>-</v>
      </c>
      <c r="G25" s="177" t="str">
        <f>IF('Peak Revenue'!$A$1="BL","-",IF(Peak!M26&gt;Peak!$G26,G$8*Peak!$AM$11,0))</f>
        <v>-</v>
      </c>
      <c r="H25" s="177" t="str">
        <f>IF('Peak Revenue'!$A$1="BL","-",IF(Peak!N26&gt;Peak!$G26,H$8*Peak!$AM$11,0))</f>
        <v>-</v>
      </c>
      <c r="I25" s="177" t="str">
        <f>IF('Peak Revenue'!$A$1="BL","-",IF(Peak!O26&gt;Peak!$G26,I$8*Peak!$AM$11,0))</f>
        <v>-</v>
      </c>
      <c r="J25" s="177" t="str">
        <f>IF('Peak Revenue'!$A$1="BL","-",IF(Peak!P26&gt;Peak!$G26,J$8*Peak!$AM$11,0))</f>
        <v>-</v>
      </c>
      <c r="K25" s="177" t="str">
        <f>IF('Peak Revenue'!$A$1="BL","-",IF(Peak!Q26&gt;Peak!$G26,K$8*Peak!$AM$11,0))</f>
        <v>-</v>
      </c>
      <c r="L25" s="177" t="str">
        <f>IF('Peak Revenue'!$A$1="BL","-",IF(Peak!R26&gt;Peak!$G26,L$8*Peak!$AM$11,0))</f>
        <v>-</v>
      </c>
      <c r="M25" s="177" t="str">
        <f>IF('Peak Revenue'!$A$1="BL","-",IF(Peak!S26&gt;Peak!$G26,M$8*Peak!$AM$11,0))</f>
        <v>-</v>
      </c>
      <c r="N25" s="177" t="str">
        <f>IF('Peak Revenue'!$A$1="BL","-",IF(Peak!T26&gt;Peak!$G26,N$8*Peak!$AM$11,0))</f>
        <v>-</v>
      </c>
      <c r="O25" s="177" t="str">
        <f>IF('Peak Revenue'!$A$1="BL","-",IF(Peak!U26&gt;Peak!$G26,O$8*Peak!$AM$11,0))</f>
        <v>-</v>
      </c>
      <c r="P25" s="177" t="str">
        <f>IF('Peak Revenue'!$A$1="BL","-",IF(Peak!V26&gt;Peak!$G26,P$8*Peak!$AM$11,0))</f>
        <v>-</v>
      </c>
      <c r="Q25" s="177" t="str">
        <f>IF('Peak Revenue'!$A$1="BL","-",IF(Peak!W26&gt;Peak!$G26,Q$8*Peak!$AM$11,0))</f>
        <v>-</v>
      </c>
      <c r="R25" s="177" t="str">
        <f>IF('Peak Revenue'!$A$1="BL","-",IF(Peak!X26&gt;Peak!$G26,R$8*Peak!$AM$11,0))</f>
        <v>-</v>
      </c>
      <c r="S25" s="177" t="str">
        <f>IF('Peak Revenue'!$A$1="BL","-",IF(Peak!Y26&gt;Peak!$G26,S$8*Peak!$AM$11,0))</f>
        <v>-</v>
      </c>
      <c r="T25" s="177" t="str">
        <f>IF('Peak Revenue'!$A$1="BL","-",IF(Peak!Z26&gt;Peak!$G26,T$8*Peak!$AM$11,0))</f>
        <v>-</v>
      </c>
      <c r="U25" s="177" t="str">
        <f>IF('Peak Revenue'!$A$1="BL","-",IF(Peak!AA26&gt;Peak!$G26,U$8*Peak!$AM$11,0))</f>
        <v>-</v>
      </c>
      <c r="V25" s="178">
        <f t="shared" si="0"/>
        <v>0</v>
      </c>
      <c r="W25" s="165"/>
    </row>
    <row r="26" spans="1:23" x14ac:dyDescent="0.2">
      <c r="A26" s="1">
        <f t="shared" si="1"/>
        <v>37026.67200000002</v>
      </c>
      <c r="B26" s="176" t="str">
        <f>IF('Peak Revenue'!$A$1="BL","-",IF(Peak!H27&gt;Peak!$G27,B$8*Peak!$AM$11,0))</f>
        <v>-</v>
      </c>
      <c r="C26" s="177" t="str">
        <f>IF('Peak Revenue'!$A$1="BL","-",IF(Peak!I27&gt;Peak!$G27,C$8*Peak!$AM$11,0))</f>
        <v>-</v>
      </c>
      <c r="D26" s="177" t="str">
        <f>IF('Peak Revenue'!$A$1="BL","-",IF(Peak!J27&gt;Peak!$G27,D$8*Peak!$AM$11,0))</f>
        <v>-</v>
      </c>
      <c r="E26" s="177" t="str">
        <f>IF('Peak Revenue'!$A$1="BL","-",IF(Peak!K27&gt;Peak!$G27,E$8*Peak!$AM$11,0))</f>
        <v>-</v>
      </c>
      <c r="F26" s="177" t="str">
        <f>IF('Peak Revenue'!$A$1="BL","-",IF(Peak!L27&gt;Peak!$G27,F$8*Peak!$AM$11,0))</f>
        <v>-</v>
      </c>
      <c r="G26" s="177" t="str">
        <f>IF('Peak Revenue'!$A$1="BL","-",IF(Peak!M27&gt;Peak!$G27,G$8*Peak!$AM$11,0))</f>
        <v>-</v>
      </c>
      <c r="H26" s="177" t="str">
        <f>IF('Peak Revenue'!$A$1="BL","-",IF(Peak!N27&gt;Peak!$G27,H$8*Peak!$AM$11,0))</f>
        <v>-</v>
      </c>
      <c r="I26" s="177" t="str">
        <f>IF('Peak Revenue'!$A$1="BL","-",IF(Peak!O27&gt;Peak!$G27,I$8*Peak!$AM$11,0))</f>
        <v>-</v>
      </c>
      <c r="J26" s="177" t="str">
        <f>IF('Peak Revenue'!$A$1="BL","-",IF(Peak!P27&gt;Peak!$G27,J$8*Peak!$AM$11,0))</f>
        <v>-</v>
      </c>
      <c r="K26" s="177" t="str">
        <f>IF('Peak Revenue'!$A$1="BL","-",IF(Peak!Q27&gt;Peak!$G27,K$8*Peak!$AM$11,0))</f>
        <v>-</v>
      </c>
      <c r="L26" s="177" t="str">
        <f>IF('Peak Revenue'!$A$1="BL","-",IF(Peak!R27&gt;Peak!$G27,L$8*Peak!$AM$11,0))</f>
        <v>-</v>
      </c>
      <c r="M26" s="177" t="str">
        <f>IF('Peak Revenue'!$A$1="BL","-",IF(Peak!S27&gt;Peak!$G27,M$8*Peak!$AM$11,0))</f>
        <v>-</v>
      </c>
      <c r="N26" s="177" t="str">
        <f>IF('Peak Revenue'!$A$1="BL","-",IF(Peak!T27&gt;Peak!$G27,N$8*Peak!$AM$11,0))</f>
        <v>-</v>
      </c>
      <c r="O26" s="177" t="str">
        <f>IF('Peak Revenue'!$A$1="BL","-",IF(Peak!U27&gt;Peak!$G27,O$8*Peak!$AM$11,0))</f>
        <v>-</v>
      </c>
      <c r="P26" s="177" t="str">
        <f>IF('Peak Revenue'!$A$1="BL","-",IF(Peak!V27&gt;Peak!$G27,P$8*Peak!$AM$11,0))</f>
        <v>-</v>
      </c>
      <c r="Q26" s="177" t="str">
        <f>IF('Peak Revenue'!$A$1="BL","-",IF(Peak!W27&gt;Peak!$G27,Q$8*Peak!$AM$11,0))</f>
        <v>-</v>
      </c>
      <c r="R26" s="177" t="str">
        <f>IF('Peak Revenue'!$A$1="BL","-",IF(Peak!X27&gt;Peak!$G27,R$8*Peak!$AM$11,0))</f>
        <v>-</v>
      </c>
      <c r="S26" s="177" t="str">
        <f>IF('Peak Revenue'!$A$1="BL","-",IF(Peak!Y27&gt;Peak!$G27,S$8*Peak!$AM$11,0))</f>
        <v>-</v>
      </c>
      <c r="T26" s="177" t="str">
        <f>IF('Peak Revenue'!$A$1="BL","-",IF(Peak!Z27&gt;Peak!$G27,T$8*Peak!$AM$11,0))</f>
        <v>-</v>
      </c>
      <c r="U26" s="177" t="str">
        <f>IF('Peak Revenue'!$A$1="BL","-",IF(Peak!AA27&gt;Peak!$G27,U$8*Peak!$AM$11,0))</f>
        <v>-</v>
      </c>
      <c r="V26" s="178">
        <f t="shared" si="0"/>
        <v>0</v>
      </c>
      <c r="W26" s="165"/>
    </row>
    <row r="27" spans="1:23" x14ac:dyDescent="0.2">
      <c r="A27" s="1">
        <f t="shared" si="1"/>
        <v>37057.089000000022</v>
      </c>
      <c r="B27" s="176" t="str">
        <f>IF('Peak Revenue'!$A$1="BL","-",IF(Peak!H28&gt;Peak!$G28,B$8*Peak!$AM$11,0))</f>
        <v>-</v>
      </c>
      <c r="C27" s="177" t="str">
        <f>IF('Peak Revenue'!$A$1="BL","-",IF(Peak!I28&gt;Peak!$G28,C$8*Peak!$AM$11,0))</f>
        <v>-</v>
      </c>
      <c r="D27" s="177" t="str">
        <f>IF('Peak Revenue'!$A$1="BL","-",IF(Peak!J28&gt;Peak!$G28,D$8*Peak!$AM$11,0))</f>
        <v>-</v>
      </c>
      <c r="E27" s="177" t="str">
        <f>IF('Peak Revenue'!$A$1="BL","-",IF(Peak!K28&gt;Peak!$G28,E$8*Peak!$AM$11,0))</f>
        <v>-</v>
      </c>
      <c r="F27" s="177" t="str">
        <f>IF('Peak Revenue'!$A$1="BL","-",IF(Peak!L28&gt;Peak!$G28,F$8*Peak!$AM$11,0))</f>
        <v>-</v>
      </c>
      <c r="G27" s="177" t="str">
        <f>IF('Peak Revenue'!$A$1="BL","-",IF(Peak!M28&gt;Peak!$G28,G$8*Peak!$AM$11,0))</f>
        <v>-</v>
      </c>
      <c r="H27" s="177" t="str">
        <f>IF('Peak Revenue'!$A$1="BL","-",IF(Peak!N28&gt;Peak!$G28,H$8*Peak!$AM$11,0))</f>
        <v>-</v>
      </c>
      <c r="I27" s="177" t="str">
        <f>IF('Peak Revenue'!$A$1="BL","-",IF(Peak!O28&gt;Peak!$G28,I$8*Peak!$AM$11,0))</f>
        <v>-</v>
      </c>
      <c r="J27" s="177" t="str">
        <f>IF('Peak Revenue'!$A$1="BL","-",IF(Peak!P28&gt;Peak!$G28,J$8*Peak!$AM$11,0))</f>
        <v>-</v>
      </c>
      <c r="K27" s="177" t="str">
        <f>IF('Peak Revenue'!$A$1="BL","-",IF(Peak!Q28&gt;Peak!$G28,K$8*Peak!$AM$11,0))</f>
        <v>-</v>
      </c>
      <c r="L27" s="177" t="str">
        <f>IF('Peak Revenue'!$A$1="BL","-",IF(Peak!R28&gt;Peak!$G28,L$8*Peak!$AM$11,0))</f>
        <v>-</v>
      </c>
      <c r="M27" s="177" t="str">
        <f>IF('Peak Revenue'!$A$1="BL","-",IF(Peak!S28&gt;Peak!$G28,M$8*Peak!$AM$11,0))</f>
        <v>-</v>
      </c>
      <c r="N27" s="177" t="str">
        <f>IF('Peak Revenue'!$A$1="BL","-",IF(Peak!T28&gt;Peak!$G28,N$8*Peak!$AM$11,0))</f>
        <v>-</v>
      </c>
      <c r="O27" s="177" t="str">
        <f>IF('Peak Revenue'!$A$1="BL","-",IF(Peak!U28&gt;Peak!$G28,O$8*Peak!$AM$11,0))</f>
        <v>-</v>
      </c>
      <c r="P27" s="177" t="str">
        <f>IF('Peak Revenue'!$A$1="BL","-",IF(Peak!V28&gt;Peak!$G28,P$8*Peak!$AM$11,0))</f>
        <v>-</v>
      </c>
      <c r="Q27" s="177" t="str">
        <f>IF('Peak Revenue'!$A$1="BL","-",IF(Peak!W28&gt;Peak!$G28,Q$8*Peak!$AM$11,0))</f>
        <v>-</v>
      </c>
      <c r="R27" s="177" t="str">
        <f>IF('Peak Revenue'!$A$1="BL","-",IF(Peak!X28&gt;Peak!$G28,R$8*Peak!$AM$11,0))</f>
        <v>-</v>
      </c>
      <c r="S27" s="177" t="str">
        <f>IF('Peak Revenue'!$A$1="BL","-",IF(Peak!Y28&gt;Peak!$G28,S$8*Peak!$AM$11,0))</f>
        <v>-</v>
      </c>
      <c r="T27" s="177" t="str">
        <f>IF('Peak Revenue'!$A$1="BL","-",IF(Peak!Z28&gt;Peak!$G28,T$8*Peak!$AM$11,0))</f>
        <v>-</v>
      </c>
      <c r="U27" s="177" t="str">
        <f>IF('Peak Revenue'!$A$1="BL","-",IF(Peak!AA28&gt;Peak!$G28,U$8*Peak!$AM$11,0))</f>
        <v>-</v>
      </c>
      <c r="V27" s="178">
        <f t="shared" si="0"/>
        <v>0</v>
      </c>
      <c r="W27" s="165"/>
    </row>
    <row r="28" spans="1:23" x14ac:dyDescent="0.2">
      <c r="A28" s="1">
        <f t="shared" si="1"/>
        <v>37087.506000000023</v>
      </c>
      <c r="B28" s="176" t="str">
        <f>IF('Peak Revenue'!$A$1="BL","-",IF(Peak!H29&gt;Peak!$G29,B$8*Peak!$AM$11,0))</f>
        <v>-</v>
      </c>
      <c r="C28" s="177" t="str">
        <f>IF('Peak Revenue'!$A$1="BL","-",IF(Peak!I29&gt;Peak!$G29,C$8*Peak!$AM$11,0))</f>
        <v>-</v>
      </c>
      <c r="D28" s="177" t="str">
        <f>IF('Peak Revenue'!$A$1="BL","-",IF(Peak!J29&gt;Peak!$G29,D$8*Peak!$AM$11,0))</f>
        <v>-</v>
      </c>
      <c r="E28" s="177" t="str">
        <f>IF('Peak Revenue'!$A$1="BL","-",IF(Peak!K29&gt;Peak!$G29,E$8*Peak!$AM$11,0))</f>
        <v>-</v>
      </c>
      <c r="F28" s="177" t="str">
        <f>IF('Peak Revenue'!$A$1="BL","-",IF(Peak!L29&gt;Peak!$G29,F$8*Peak!$AM$11,0))</f>
        <v>-</v>
      </c>
      <c r="G28" s="177" t="str">
        <f>IF('Peak Revenue'!$A$1="BL","-",IF(Peak!M29&gt;Peak!$G29,G$8*Peak!$AM$11,0))</f>
        <v>-</v>
      </c>
      <c r="H28" s="177" t="str">
        <f>IF('Peak Revenue'!$A$1="BL","-",IF(Peak!N29&gt;Peak!$G29,H$8*Peak!$AM$11,0))</f>
        <v>-</v>
      </c>
      <c r="I28" s="177" t="str">
        <f>IF('Peak Revenue'!$A$1="BL","-",IF(Peak!O29&gt;Peak!$G29,I$8*Peak!$AM$11,0))</f>
        <v>-</v>
      </c>
      <c r="J28" s="177" t="str">
        <f>IF('Peak Revenue'!$A$1="BL","-",IF(Peak!P29&gt;Peak!$G29,J$8*Peak!$AM$11,0))</f>
        <v>-</v>
      </c>
      <c r="K28" s="177" t="str">
        <f>IF('Peak Revenue'!$A$1="BL","-",IF(Peak!Q29&gt;Peak!$G29,K$8*Peak!$AM$11,0))</f>
        <v>-</v>
      </c>
      <c r="L28" s="177" t="str">
        <f>IF('Peak Revenue'!$A$1="BL","-",IF(Peak!R29&gt;Peak!$G29,L$8*Peak!$AM$11,0))</f>
        <v>-</v>
      </c>
      <c r="M28" s="177" t="str">
        <f>IF('Peak Revenue'!$A$1="BL","-",IF(Peak!S29&gt;Peak!$G29,M$8*Peak!$AM$11,0))</f>
        <v>-</v>
      </c>
      <c r="N28" s="177" t="str">
        <f>IF('Peak Revenue'!$A$1="BL","-",IF(Peak!T29&gt;Peak!$G29,N$8*Peak!$AM$11,0))</f>
        <v>-</v>
      </c>
      <c r="O28" s="177" t="str">
        <f>IF('Peak Revenue'!$A$1="BL","-",IF(Peak!U29&gt;Peak!$G29,O$8*Peak!$AM$11,0))</f>
        <v>-</v>
      </c>
      <c r="P28" s="177" t="str">
        <f>IF('Peak Revenue'!$A$1="BL","-",IF(Peak!V29&gt;Peak!$G29,P$8*Peak!$AM$11,0))</f>
        <v>-</v>
      </c>
      <c r="Q28" s="177" t="str">
        <f>IF('Peak Revenue'!$A$1="BL","-",IF(Peak!W29&gt;Peak!$G29,Q$8*Peak!$AM$11,0))</f>
        <v>-</v>
      </c>
      <c r="R28" s="177" t="str">
        <f>IF('Peak Revenue'!$A$1="BL","-",IF(Peak!X29&gt;Peak!$G29,R$8*Peak!$AM$11,0))</f>
        <v>-</v>
      </c>
      <c r="S28" s="177" t="str">
        <f>IF('Peak Revenue'!$A$1="BL","-",IF(Peak!Y29&gt;Peak!$G29,S$8*Peak!$AM$11,0))</f>
        <v>-</v>
      </c>
      <c r="T28" s="177" t="str">
        <f>IF('Peak Revenue'!$A$1="BL","-",IF(Peak!Z29&gt;Peak!$G29,T$8*Peak!$AM$11,0))</f>
        <v>-</v>
      </c>
      <c r="U28" s="177" t="str">
        <f>IF('Peak Revenue'!$A$1="BL","-",IF(Peak!AA29&gt;Peak!$G29,U$8*Peak!$AM$11,0))</f>
        <v>-</v>
      </c>
      <c r="V28" s="178">
        <f t="shared" si="0"/>
        <v>0</v>
      </c>
      <c r="W28" s="165"/>
    </row>
    <row r="29" spans="1:23" x14ac:dyDescent="0.2">
      <c r="A29" s="1">
        <f t="shared" si="1"/>
        <v>37117.923000000024</v>
      </c>
      <c r="B29" s="176" t="str">
        <f>IF('Peak Revenue'!$A$1="BL","-",IF(Peak!H30&gt;Peak!$G30,B$8*Peak!$AM$11,0))</f>
        <v>-</v>
      </c>
      <c r="C29" s="177" t="str">
        <f>IF('Peak Revenue'!$A$1="BL","-",IF(Peak!I30&gt;Peak!$G30,C$8*Peak!$AM$11,0))</f>
        <v>-</v>
      </c>
      <c r="D29" s="177" t="str">
        <f>IF('Peak Revenue'!$A$1="BL","-",IF(Peak!J30&gt;Peak!$G30,D$8*Peak!$AM$11,0))</f>
        <v>-</v>
      </c>
      <c r="E29" s="177" t="str">
        <f>IF('Peak Revenue'!$A$1="BL","-",IF(Peak!K30&gt;Peak!$G30,E$8*Peak!$AM$11,0))</f>
        <v>-</v>
      </c>
      <c r="F29" s="177" t="str">
        <f>IF('Peak Revenue'!$A$1="BL","-",IF(Peak!L30&gt;Peak!$G30,F$8*Peak!$AM$11,0))</f>
        <v>-</v>
      </c>
      <c r="G29" s="177" t="str">
        <f>IF('Peak Revenue'!$A$1="BL","-",IF(Peak!M30&gt;Peak!$G30,G$8*Peak!$AM$11,0))</f>
        <v>-</v>
      </c>
      <c r="H29" s="177" t="str">
        <f>IF('Peak Revenue'!$A$1="BL","-",IF(Peak!N30&gt;Peak!$G30,H$8*Peak!$AM$11,0))</f>
        <v>-</v>
      </c>
      <c r="I29" s="177" t="str">
        <f>IF('Peak Revenue'!$A$1="BL","-",IF(Peak!O30&gt;Peak!$G30,I$8*Peak!$AM$11,0))</f>
        <v>-</v>
      </c>
      <c r="J29" s="177" t="str">
        <f>IF('Peak Revenue'!$A$1="BL","-",IF(Peak!P30&gt;Peak!$G30,J$8*Peak!$AM$11,0))</f>
        <v>-</v>
      </c>
      <c r="K29" s="177" t="str">
        <f>IF('Peak Revenue'!$A$1="BL","-",IF(Peak!Q30&gt;Peak!$G30,K$8*Peak!$AM$11,0))</f>
        <v>-</v>
      </c>
      <c r="L29" s="177" t="str">
        <f>IF('Peak Revenue'!$A$1="BL","-",IF(Peak!R30&gt;Peak!$G30,L$8*Peak!$AM$11,0))</f>
        <v>-</v>
      </c>
      <c r="M29" s="177" t="str">
        <f>IF('Peak Revenue'!$A$1="BL","-",IF(Peak!S30&gt;Peak!$G30,M$8*Peak!$AM$11,0))</f>
        <v>-</v>
      </c>
      <c r="N29" s="177" t="str">
        <f>IF('Peak Revenue'!$A$1="BL","-",IF(Peak!T30&gt;Peak!$G30,N$8*Peak!$AM$11,0))</f>
        <v>-</v>
      </c>
      <c r="O29" s="177" t="str">
        <f>IF('Peak Revenue'!$A$1="BL","-",IF(Peak!U30&gt;Peak!$G30,O$8*Peak!$AM$11,0))</f>
        <v>-</v>
      </c>
      <c r="P29" s="177" t="str">
        <f>IF('Peak Revenue'!$A$1="BL","-",IF(Peak!V30&gt;Peak!$G30,P$8*Peak!$AM$11,0))</f>
        <v>-</v>
      </c>
      <c r="Q29" s="177" t="str">
        <f>IF('Peak Revenue'!$A$1="BL","-",IF(Peak!W30&gt;Peak!$G30,Q$8*Peak!$AM$11,0))</f>
        <v>-</v>
      </c>
      <c r="R29" s="177" t="str">
        <f>IF('Peak Revenue'!$A$1="BL","-",IF(Peak!X30&gt;Peak!$G30,R$8*Peak!$AM$11,0))</f>
        <v>-</v>
      </c>
      <c r="S29" s="177" t="str">
        <f>IF('Peak Revenue'!$A$1="BL","-",IF(Peak!Y30&gt;Peak!$G30,S$8*Peak!$AM$11,0))</f>
        <v>-</v>
      </c>
      <c r="T29" s="177" t="str">
        <f>IF('Peak Revenue'!$A$1="BL","-",IF(Peak!Z30&gt;Peak!$G30,T$8*Peak!$AM$11,0))</f>
        <v>-</v>
      </c>
      <c r="U29" s="177" t="str">
        <f>IF('Peak Revenue'!$A$1="BL","-",IF(Peak!AA30&gt;Peak!$G30,U$8*Peak!$AM$11,0))</f>
        <v>-</v>
      </c>
      <c r="V29" s="178">
        <f t="shared" si="0"/>
        <v>0</v>
      </c>
      <c r="W29" s="165"/>
    </row>
    <row r="30" spans="1:23" x14ac:dyDescent="0.2">
      <c r="A30" s="1">
        <f t="shared" si="1"/>
        <v>37148.340000000026</v>
      </c>
      <c r="B30" s="176" t="str">
        <f>IF('Peak Revenue'!$A$1="BL","-",IF(Peak!H31&gt;Peak!$G31,B$8*Peak!$AM$11,0))</f>
        <v>-</v>
      </c>
      <c r="C30" s="177" t="str">
        <f>IF('Peak Revenue'!$A$1="BL","-",IF(Peak!I31&gt;Peak!$G31,C$8*Peak!$AM$11,0))</f>
        <v>-</v>
      </c>
      <c r="D30" s="177" t="str">
        <f>IF('Peak Revenue'!$A$1="BL","-",IF(Peak!J31&gt;Peak!$G31,D$8*Peak!$AM$11,0))</f>
        <v>-</v>
      </c>
      <c r="E30" s="177" t="str">
        <f>IF('Peak Revenue'!$A$1="BL","-",IF(Peak!K31&gt;Peak!$G31,E$8*Peak!$AM$11,0))</f>
        <v>-</v>
      </c>
      <c r="F30" s="177" t="str">
        <f>IF('Peak Revenue'!$A$1="BL","-",IF(Peak!L31&gt;Peak!$G31,F$8*Peak!$AM$11,0))</f>
        <v>-</v>
      </c>
      <c r="G30" s="177" t="str">
        <f>IF('Peak Revenue'!$A$1="BL","-",IF(Peak!M31&gt;Peak!$G31,G$8*Peak!$AM$11,0))</f>
        <v>-</v>
      </c>
      <c r="H30" s="177" t="str">
        <f>IF('Peak Revenue'!$A$1="BL","-",IF(Peak!N31&gt;Peak!$G31,H$8*Peak!$AM$11,0))</f>
        <v>-</v>
      </c>
      <c r="I30" s="177" t="str">
        <f>IF('Peak Revenue'!$A$1="BL","-",IF(Peak!O31&gt;Peak!$G31,I$8*Peak!$AM$11,0))</f>
        <v>-</v>
      </c>
      <c r="J30" s="177" t="str">
        <f>IF('Peak Revenue'!$A$1="BL","-",IF(Peak!P31&gt;Peak!$G31,J$8*Peak!$AM$11,0))</f>
        <v>-</v>
      </c>
      <c r="K30" s="177" t="str">
        <f>IF('Peak Revenue'!$A$1="BL","-",IF(Peak!Q31&gt;Peak!$G31,K$8*Peak!$AM$11,0))</f>
        <v>-</v>
      </c>
      <c r="L30" s="177" t="str">
        <f>IF('Peak Revenue'!$A$1="BL","-",IF(Peak!R31&gt;Peak!$G31,L$8*Peak!$AM$11,0))</f>
        <v>-</v>
      </c>
      <c r="M30" s="177" t="str">
        <f>IF('Peak Revenue'!$A$1="BL","-",IF(Peak!S31&gt;Peak!$G31,M$8*Peak!$AM$11,0))</f>
        <v>-</v>
      </c>
      <c r="N30" s="177" t="str">
        <f>IF('Peak Revenue'!$A$1="BL","-",IF(Peak!T31&gt;Peak!$G31,N$8*Peak!$AM$11,0))</f>
        <v>-</v>
      </c>
      <c r="O30" s="177" t="str">
        <f>IF('Peak Revenue'!$A$1="BL","-",IF(Peak!U31&gt;Peak!$G31,O$8*Peak!$AM$11,0))</f>
        <v>-</v>
      </c>
      <c r="P30" s="177" t="str">
        <f>IF('Peak Revenue'!$A$1="BL","-",IF(Peak!V31&gt;Peak!$G31,P$8*Peak!$AM$11,0))</f>
        <v>-</v>
      </c>
      <c r="Q30" s="177" t="str">
        <f>IF('Peak Revenue'!$A$1="BL","-",IF(Peak!W31&gt;Peak!$G31,Q$8*Peak!$AM$11,0))</f>
        <v>-</v>
      </c>
      <c r="R30" s="177" t="str">
        <f>IF('Peak Revenue'!$A$1="BL","-",IF(Peak!X31&gt;Peak!$G31,R$8*Peak!$AM$11,0))</f>
        <v>-</v>
      </c>
      <c r="S30" s="177" t="str">
        <f>IF('Peak Revenue'!$A$1="BL","-",IF(Peak!Y31&gt;Peak!$G31,S$8*Peak!$AM$11,0))</f>
        <v>-</v>
      </c>
      <c r="T30" s="177" t="str">
        <f>IF('Peak Revenue'!$A$1="BL","-",IF(Peak!Z31&gt;Peak!$G31,T$8*Peak!$AM$11,0))</f>
        <v>-</v>
      </c>
      <c r="U30" s="177" t="str">
        <f>IF('Peak Revenue'!$A$1="BL","-",IF(Peak!AA31&gt;Peak!$G31,U$8*Peak!$AM$11,0))</f>
        <v>-</v>
      </c>
      <c r="V30" s="178">
        <f t="shared" si="0"/>
        <v>0</v>
      </c>
      <c r="W30" s="165"/>
    </row>
    <row r="31" spans="1:23" x14ac:dyDescent="0.2">
      <c r="A31" s="1">
        <f t="shared" si="1"/>
        <v>37178.757000000027</v>
      </c>
      <c r="B31" s="176" t="str">
        <f>IF('Peak Revenue'!$A$1="BL","-",IF(Peak!H32&gt;Peak!$G32,B$8*Peak!$AM$11,0))</f>
        <v>-</v>
      </c>
      <c r="C31" s="177" t="str">
        <f>IF('Peak Revenue'!$A$1="BL","-",IF(Peak!I32&gt;Peak!$G32,C$8*Peak!$AM$11,0))</f>
        <v>-</v>
      </c>
      <c r="D31" s="177" t="str">
        <f>IF('Peak Revenue'!$A$1="BL","-",IF(Peak!J32&gt;Peak!$G32,D$8*Peak!$AM$11,0))</f>
        <v>-</v>
      </c>
      <c r="E31" s="177" t="str">
        <f>IF('Peak Revenue'!$A$1="BL","-",IF(Peak!K32&gt;Peak!$G32,E$8*Peak!$AM$11,0))</f>
        <v>-</v>
      </c>
      <c r="F31" s="177" t="str">
        <f>IF('Peak Revenue'!$A$1="BL","-",IF(Peak!L32&gt;Peak!$G32,F$8*Peak!$AM$11,0))</f>
        <v>-</v>
      </c>
      <c r="G31" s="177" t="str">
        <f>IF('Peak Revenue'!$A$1="BL","-",IF(Peak!M32&gt;Peak!$G32,G$8*Peak!$AM$11,0))</f>
        <v>-</v>
      </c>
      <c r="H31" s="177" t="str">
        <f>IF('Peak Revenue'!$A$1="BL","-",IF(Peak!N32&gt;Peak!$G32,H$8*Peak!$AM$11,0))</f>
        <v>-</v>
      </c>
      <c r="I31" s="177" t="str">
        <f>IF('Peak Revenue'!$A$1="BL","-",IF(Peak!O32&gt;Peak!$G32,I$8*Peak!$AM$11,0))</f>
        <v>-</v>
      </c>
      <c r="J31" s="177" t="str">
        <f>IF('Peak Revenue'!$A$1="BL","-",IF(Peak!P32&gt;Peak!$G32,J$8*Peak!$AM$11,0))</f>
        <v>-</v>
      </c>
      <c r="K31" s="177" t="str">
        <f>IF('Peak Revenue'!$A$1="BL","-",IF(Peak!Q32&gt;Peak!$G32,K$8*Peak!$AM$11,0))</f>
        <v>-</v>
      </c>
      <c r="L31" s="177" t="str">
        <f>IF('Peak Revenue'!$A$1="BL","-",IF(Peak!R32&gt;Peak!$G32,L$8*Peak!$AM$11,0))</f>
        <v>-</v>
      </c>
      <c r="M31" s="177" t="str">
        <f>IF('Peak Revenue'!$A$1="BL","-",IF(Peak!S32&gt;Peak!$G32,M$8*Peak!$AM$11,0))</f>
        <v>-</v>
      </c>
      <c r="N31" s="177" t="str">
        <f>IF('Peak Revenue'!$A$1="BL","-",IF(Peak!T32&gt;Peak!$G32,N$8*Peak!$AM$11,0))</f>
        <v>-</v>
      </c>
      <c r="O31" s="177" t="str">
        <f>IF('Peak Revenue'!$A$1="BL","-",IF(Peak!U32&gt;Peak!$G32,O$8*Peak!$AM$11,0))</f>
        <v>-</v>
      </c>
      <c r="P31" s="177" t="str">
        <f>IF('Peak Revenue'!$A$1="BL","-",IF(Peak!V32&gt;Peak!$G32,P$8*Peak!$AM$11,0))</f>
        <v>-</v>
      </c>
      <c r="Q31" s="177" t="str">
        <f>IF('Peak Revenue'!$A$1="BL","-",IF(Peak!W32&gt;Peak!$G32,Q$8*Peak!$AM$11,0))</f>
        <v>-</v>
      </c>
      <c r="R31" s="177" t="str">
        <f>IF('Peak Revenue'!$A$1="BL","-",IF(Peak!X32&gt;Peak!$G32,R$8*Peak!$AM$11,0))</f>
        <v>-</v>
      </c>
      <c r="S31" s="177" t="str">
        <f>IF('Peak Revenue'!$A$1="BL","-",IF(Peak!Y32&gt;Peak!$G32,S$8*Peak!$AM$11,0))</f>
        <v>-</v>
      </c>
      <c r="T31" s="177" t="str">
        <f>IF('Peak Revenue'!$A$1="BL","-",IF(Peak!Z32&gt;Peak!$G32,T$8*Peak!$AM$11,0))</f>
        <v>-</v>
      </c>
      <c r="U31" s="177" t="str">
        <f>IF('Peak Revenue'!$A$1="BL","-",IF(Peak!AA32&gt;Peak!$G32,U$8*Peak!$AM$11,0))</f>
        <v>-</v>
      </c>
      <c r="V31" s="178">
        <f t="shared" si="0"/>
        <v>0</v>
      </c>
      <c r="W31" s="165"/>
    </row>
    <row r="32" spans="1:23" x14ac:dyDescent="0.2">
      <c r="A32" s="1">
        <f t="shared" si="1"/>
        <v>37209.174000000028</v>
      </c>
      <c r="B32" s="176" t="str">
        <f>IF('Peak Revenue'!$A$1="BL","-",IF(Peak!H33&gt;Peak!$G33,B$8*Peak!$AM$11,0))</f>
        <v>-</v>
      </c>
      <c r="C32" s="177" t="str">
        <f>IF('Peak Revenue'!$A$1="BL","-",IF(Peak!I33&gt;Peak!$G33,C$8*Peak!$AM$11,0))</f>
        <v>-</v>
      </c>
      <c r="D32" s="177" t="str">
        <f>IF('Peak Revenue'!$A$1="BL","-",IF(Peak!J33&gt;Peak!$G33,D$8*Peak!$AM$11,0))</f>
        <v>-</v>
      </c>
      <c r="E32" s="177" t="str">
        <f>IF('Peak Revenue'!$A$1="BL","-",IF(Peak!K33&gt;Peak!$G33,E$8*Peak!$AM$11,0))</f>
        <v>-</v>
      </c>
      <c r="F32" s="177" t="str">
        <f>IF('Peak Revenue'!$A$1="BL","-",IF(Peak!L33&gt;Peak!$G33,F$8*Peak!$AM$11,0))</f>
        <v>-</v>
      </c>
      <c r="G32" s="177" t="str">
        <f>IF('Peak Revenue'!$A$1="BL","-",IF(Peak!M33&gt;Peak!$G33,G$8*Peak!$AM$11,0))</f>
        <v>-</v>
      </c>
      <c r="H32" s="177" t="str">
        <f>IF('Peak Revenue'!$A$1="BL","-",IF(Peak!N33&gt;Peak!$G33,H$8*Peak!$AM$11,0))</f>
        <v>-</v>
      </c>
      <c r="I32" s="177" t="str">
        <f>IF('Peak Revenue'!$A$1="BL","-",IF(Peak!O33&gt;Peak!$G33,I$8*Peak!$AM$11,0))</f>
        <v>-</v>
      </c>
      <c r="J32" s="177" t="str">
        <f>IF('Peak Revenue'!$A$1="BL","-",IF(Peak!P33&gt;Peak!$G33,J$8*Peak!$AM$11,0))</f>
        <v>-</v>
      </c>
      <c r="K32" s="177" t="str">
        <f>IF('Peak Revenue'!$A$1="BL","-",IF(Peak!Q33&gt;Peak!$G33,K$8*Peak!$AM$11,0))</f>
        <v>-</v>
      </c>
      <c r="L32" s="177" t="str">
        <f>IF('Peak Revenue'!$A$1="BL","-",IF(Peak!R33&gt;Peak!$G33,L$8*Peak!$AM$11,0))</f>
        <v>-</v>
      </c>
      <c r="M32" s="177" t="str">
        <f>IF('Peak Revenue'!$A$1="BL","-",IF(Peak!S33&gt;Peak!$G33,M$8*Peak!$AM$11,0))</f>
        <v>-</v>
      </c>
      <c r="N32" s="177" t="str">
        <f>IF('Peak Revenue'!$A$1="BL","-",IF(Peak!T33&gt;Peak!$G33,N$8*Peak!$AM$11,0))</f>
        <v>-</v>
      </c>
      <c r="O32" s="177" t="str">
        <f>IF('Peak Revenue'!$A$1="BL","-",IF(Peak!U33&gt;Peak!$G33,O$8*Peak!$AM$11,0))</f>
        <v>-</v>
      </c>
      <c r="P32" s="177" t="str">
        <f>IF('Peak Revenue'!$A$1="BL","-",IF(Peak!V33&gt;Peak!$G33,P$8*Peak!$AM$11,0))</f>
        <v>-</v>
      </c>
      <c r="Q32" s="177" t="str">
        <f>IF('Peak Revenue'!$A$1="BL","-",IF(Peak!W33&gt;Peak!$G33,Q$8*Peak!$AM$11,0))</f>
        <v>-</v>
      </c>
      <c r="R32" s="177" t="str">
        <f>IF('Peak Revenue'!$A$1="BL","-",IF(Peak!X33&gt;Peak!$G33,R$8*Peak!$AM$11,0))</f>
        <v>-</v>
      </c>
      <c r="S32" s="177" t="str">
        <f>IF('Peak Revenue'!$A$1="BL","-",IF(Peak!Y33&gt;Peak!$G33,S$8*Peak!$AM$11,0))</f>
        <v>-</v>
      </c>
      <c r="T32" s="177" t="str">
        <f>IF('Peak Revenue'!$A$1="BL","-",IF(Peak!Z33&gt;Peak!$G33,T$8*Peak!$AM$11,0))</f>
        <v>-</v>
      </c>
      <c r="U32" s="177" t="str">
        <f>IF('Peak Revenue'!$A$1="BL","-",IF(Peak!AA33&gt;Peak!$G33,U$8*Peak!$AM$11,0))</f>
        <v>-</v>
      </c>
      <c r="V32" s="178">
        <f t="shared" si="0"/>
        <v>0</v>
      </c>
      <c r="W32" s="165"/>
    </row>
    <row r="33" spans="1:23" x14ac:dyDescent="0.2">
      <c r="A33" s="1">
        <f t="shared" si="1"/>
        <v>37239.591000000029</v>
      </c>
      <c r="B33" s="176" t="str">
        <f>IF('Peak Revenue'!$A$1="BL","-",IF(Peak!H34&gt;Peak!$G34,B$8*Peak!$AM$11,0))</f>
        <v>-</v>
      </c>
      <c r="C33" s="177" t="str">
        <f>IF('Peak Revenue'!$A$1="BL","-",IF(Peak!I34&gt;Peak!$G34,C$8*Peak!$AM$11,0))</f>
        <v>-</v>
      </c>
      <c r="D33" s="177" t="str">
        <f>IF('Peak Revenue'!$A$1="BL","-",IF(Peak!J34&gt;Peak!$G34,D$8*Peak!$AM$11,0))</f>
        <v>-</v>
      </c>
      <c r="E33" s="177" t="str">
        <f>IF('Peak Revenue'!$A$1="BL","-",IF(Peak!K34&gt;Peak!$G34,E$8*Peak!$AM$11,0))</f>
        <v>-</v>
      </c>
      <c r="F33" s="177" t="str">
        <f>IF('Peak Revenue'!$A$1="BL","-",IF(Peak!L34&gt;Peak!$G34,F$8*Peak!$AM$11,0))</f>
        <v>-</v>
      </c>
      <c r="G33" s="177" t="str">
        <f>IF('Peak Revenue'!$A$1="BL","-",IF(Peak!M34&gt;Peak!$G34,G$8*Peak!$AM$11,0))</f>
        <v>-</v>
      </c>
      <c r="H33" s="177" t="str">
        <f>IF('Peak Revenue'!$A$1="BL","-",IF(Peak!N34&gt;Peak!$G34,H$8*Peak!$AM$11,0))</f>
        <v>-</v>
      </c>
      <c r="I33" s="177" t="str">
        <f>IF('Peak Revenue'!$A$1="BL","-",IF(Peak!O34&gt;Peak!$G34,I$8*Peak!$AM$11,0))</f>
        <v>-</v>
      </c>
      <c r="J33" s="177" t="str">
        <f>IF('Peak Revenue'!$A$1="BL","-",IF(Peak!P34&gt;Peak!$G34,J$8*Peak!$AM$11,0))</f>
        <v>-</v>
      </c>
      <c r="K33" s="177" t="str">
        <f>IF('Peak Revenue'!$A$1="BL","-",IF(Peak!Q34&gt;Peak!$G34,K$8*Peak!$AM$11,0))</f>
        <v>-</v>
      </c>
      <c r="L33" s="177" t="str">
        <f>IF('Peak Revenue'!$A$1="BL","-",IF(Peak!R34&gt;Peak!$G34,L$8*Peak!$AM$11,0))</f>
        <v>-</v>
      </c>
      <c r="M33" s="177" t="str">
        <f>IF('Peak Revenue'!$A$1="BL","-",IF(Peak!S34&gt;Peak!$G34,M$8*Peak!$AM$11,0))</f>
        <v>-</v>
      </c>
      <c r="N33" s="177" t="str">
        <f>IF('Peak Revenue'!$A$1="BL","-",IF(Peak!T34&gt;Peak!$G34,N$8*Peak!$AM$11,0))</f>
        <v>-</v>
      </c>
      <c r="O33" s="177" t="str">
        <f>IF('Peak Revenue'!$A$1="BL","-",IF(Peak!U34&gt;Peak!$G34,O$8*Peak!$AM$11,0))</f>
        <v>-</v>
      </c>
      <c r="P33" s="177" t="str">
        <f>IF('Peak Revenue'!$A$1="BL","-",IF(Peak!V34&gt;Peak!$G34,P$8*Peak!$AM$11,0))</f>
        <v>-</v>
      </c>
      <c r="Q33" s="177" t="str">
        <f>IF('Peak Revenue'!$A$1="BL","-",IF(Peak!W34&gt;Peak!$G34,Q$8*Peak!$AM$11,0))</f>
        <v>-</v>
      </c>
      <c r="R33" s="177" t="str">
        <f>IF('Peak Revenue'!$A$1="BL","-",IF(Peak!X34&gt;Peak!$G34,R$8*Peak!$AM$11,0))</f>
        <v>-</v>
      </c>
      <c r="S33" s="177" t="str">
        <f>IF('Peak Revenue'!$A$1="BL","-",IF(Peak!Y34&gt;Peak!$G34,S$8*Peak!$AM$11,0))</f>
        <v>-</v>
      </c>
      <c r="T33" s="177" t="str">
        <f>IF('Peak Revenue'!$A$1="BL","-",IF(Peak!Z34&gt;Peak!$G34,T$8*Peak!$AM$11,0))</f>
        <v>-</v>
      </c>
      <c r="U33" s="177" t="str">
        <f>IF('Peak Revenue'!$A$1="BL","-",IF(Peak!AA34&gt;Peak!$G34,U$8*Peak!$AM$11,0))</f>
        <v>-</v>
      </c>
      <c r="V33" s="178">
        <f t="shared" si="0"/>
        <v>0</v>
      </c>
      <c r="W33" s="164">
        <f>SUM(V22:V33)</f>
        <v>0</v>
      </c>
    </row>
    <row r="34" spans="1:23" x14ac:dyDescent="0.2">
      <c r="A34" s="1">
        <f t="shared" si="1"/>
        <v>37270.008000000031</v>
      </c>
      <c r="B34" s="176" t="str">
        <f>IF('Peak Revenue'!$A$1="BL","-",IF(Peak!H35&gt;Peak!$G35,B$8*Peak!$AM$11,0))</f>
        <v>-</v>
      </c>
      <c r="C34" s="177" t="str">
        <f>IF('Peak Revenue'!$A$1="BL","-",IF(Peak!I35&gt;Peak!$G35,C$8*Peak!$AM$11,0))</f>
        <v>-</v>
      </c>
      <c r="D34" s="177" t="str">
        <f>IF('Peak Revenue'!$A$1="BL","-",IF(Peak!J35&gt;Peak!$G35,D$8*Peak!$AM$11,0))</f>
        <v>-</v>
      </c>
      <c r="E34" s="177" t="str">
        <f>IF('Peak Revenue'!$A$1="BL","-",IF(Peak!K35&gt;Peak!$G35,E$8*Peak!$AM$11,0))</f>
        <v>-</v>
      </c>
      <c r="F34" s="177" t="str">
        <f>IF('Peak Revenue'!$A$1="BL","-",IF(Peak!L35&gt;Peak!$G35,F$8*Peak!$AM$11,0))</f>
        <v>-</v>
      </c>
      <c r="G34" s="177" t="str">
        <f>IF('Peak Revenue'!$A$1="BL","-",IF(Peak!M35&gt;Peak!$G35,G$8*Peak!$AM$11,0))</f>
        <v>-</v>
      </c>
      <c r="H34" s="177" t="str">
        <f>IF('Peak Revenue'!$A$1="BL","-",IF(Peak!N35&gt;Peak!$G35,H$8*Peak!$AM$11,0))</f>
        <v>-</v>
      </c>
      <c r="I34" s="177" t="str">
        <f>IF('Peak Revenue'!$A$1="BL","-",IF(Peak!O35&gt;Peak!$G35,I$8*Peak!$AM$11,0))</f>
        <v>-</v>
      </c>
      <c r="J34" s="177" t="str">
        <f>IF('Peak Revenue'!$A$1="BL","-",IF(Peak!P35&gt;Peak!$G35,J$8*Peak!$AM$11,0))</f>
        <v>-</v>
      </c>
      <c r="K34" s="177" t="str">
        <f>IF('Peak Revenue'!$A$1="BL","-",IF(Peak!Q35&gt;Peak!$G35,K$8*Peak!$AM$11,0))</f>
        <v>-</v>
      </c>
      <c r="L34" s="177" t="str">
        <f>IF('Peak Revenue'!$A$1="BL","-",IF(Peak!R35&gt;Peak!$G35,L$8*Peak!$AM$11,0))</f>
        <v>-</v>
      </c>
      <c r="M34" s="177" t="str">
        <f>IF('Peak Revenue'!$A$1="BL","-",IF(Peak!S35&gt;Peak!$G35,M$8*Peak!$AM$11,0))</f>
        <v>-</v>
      </c>
      <c r="N34" s="177" t="str">
        <f>IF('Peak Revenue'!$A$1="BL","-",IF(Peak!T35&gt;Peak!$G35,N$8*Peak!$AM$11,0))</f>
        <v>-</v>
      </c>
      <c r="O34" s="177" t="str">
        <f>IF('Peak Revenue'!$A$1="BL","-",IF(Peak!U35&gt;Peak!$G35,O$8*Peak!$AM$11,0))</f>
        <v>-</v>
      </c>
      <c r="P34" s="177" t="str">
        <f>IF('Peak Revenue'!$A$1="BL","-",IF(Peak!V35&gt;Peak!$G35,P$8*Peak!$AM$11,0))</f>
        <v>-</v>
      </c>
      <c r="Q34" s="177" t="str">
        <f>IF('Peak Revenue'!$A$1="BL","-",IF(Peak!W35&gt;Peak!$G35,Q$8*Peak!$AM$11,0))</f>
        <v>-</v>
      </c>
      <c r="R34" s="177" t="str">
        <f>IF('Peak Revenue'!$A$1="BL","-",IF(Peak!X35&gt;Peak!$G35,R$8*Peak!$AM$11,0))</f>
        <v>-</v>
      </c>
      <c r="S34" s="177" t="str">
        <f>IF('Peak Revenue'!$A$1="BL","-",IF(Peak!Y35&gt;Peak!$G35,S$8*Peak!$AM$11,0))</f>
        <v>-</v>
      </c>
      <c r="T34" s="177" t="str">
        <f>IF('Peak Revenue'!$A$1="BL","-",IF(Peak!Z35&gt;Peak!$G35,T$8*Peak!$AM$11,0))</f>
        <v>-</v>
      </c>
      <c r="U34" s="177" t="str">
        <f>IF('Peak Revenue'!$A$1="BL","-",IF(Peak!AA35&gt;Peak!$G35,U$8*Peak!$AM$11,0))</f>
        <v>-</v>
      </c>
      <c r="V34" s="178">
        <f t="shared" si="0"/>
        <v>0</v>
      </c>
      <c r="W34" s="165"/>
    </row>
    <row r="35" spans="1:23" x14ac:dyDescent="0.2">
      <c r="A35" s="1">
        <f t="shared" si="1"/>
        <v>37300.425000000032</v>
      </c>
      <c r="B35" s="176" t="str">
        <f>IF('Peak Revenue'!$A$1="BL","-",IF(Peak!H36&gt;Peak!$G36,B$8*Peak!$AM$11,0))</f>
        <v>-</v>
      </c>
      <c r="C35" s="177" t="str">
        <f>IF('Peak Revenue'!$A$1="BL","-",IF(Peak!I36&gt;Peak!$G36,C$8*Peak!$AM$11,0))</f>
        <v>-</v>
      </c>
      <c r="D35" s="177" t="str">
        <f>IF('Peak Revenue'!$A$1="BL","-",IF(Peak!J36&gt;Peak!$G36,D$8*Peak!$AM$11,0))</f>
        <v>-</v>
      </c>
      <c r="E35" s="177" t="str">
        <f>IF('Peak Revenue'!$A$1="BL","-",IF(Peak!K36&gt;Peak!$G36,E$8*Peak!$AM$11,0))</f>
        <v>-</v>
      </c>
      <c r="F35" s="177" t="str">
        <f>IF('Peak Revenue'!$A$1="BL","-",IF(Peak!L36&gt;Peak!$G36,F$8*Peak!$AM$11,0))</f>
        <v>-</v>
      </c>
      <c r="G35" s="177" t="str">
        <f>IF('Peak Revenue'!$A$1="BL","-",IF(Peak!M36&gt;Peak!$G36,G$8*Peak!$AM$11,0))</f>
        <v>-</v>
      </c>
      <c r="H35" s="177" t="str">
        <f>IF('Peak Revenue'!$A$1="BL","-",IF(Peak!N36&gt;Peak!$G36,H$8*Peak!$AM$11,0))</f>
        <v>-</v>
      </c>
      <c r="I35" s="177" t="str">
        <f>IF('Peak Revenue'!$A$1="BL","-",IF(Peak!O36&gt;Peak!$G36,I$8*Peak!$AM$11,0))</f>
        <v>-</v>
      </c>
      <c r="J35" s="177" t="str">
        <f>IF('Peak Revenue'!$A$1="BL","-",IF(Peak!P36&gt;Peak!$G36,J$8*Peak!$AM$11,0))</f>
        <v>-</v>
      </c>
      <c r="K35" s="177" t="str">
        <f>IF('Peak Revenue'!$A$1="BL","-",IF(Peak!Q36&gt;Peak!$G36,K$8*Peak!$AM$11,0))</f>
        <v>-</v>
      </c>
      <c r="L35" s="177" t="str">
        <f>IF('Peak Revenue'!$A$1="BL","-",IF(Peak!R36&gt;Peak!$G36,L$8*Peak!$AM$11,0))</f>
        <v>-</v>
      </c>
      <c r="M35" s="177" t="str">
        <f>IF('Peak Revenue'!$A$1="BL","-",IF(Peak!S36&gt;Peak!$G36,M$8*Peak!$AM$11,0))</f>
        <v>-</v>
      </c>
      <c r="N35" s="177" t="str">
        <f>IF('Peak Revenue'!$A$1="BL","-",IF(Peak!T36&gt;Peak!$G36,N$8*Peak!$AM$11,0))</f>
        <v>-</v>
      </c>
      <c r="O35" s="177" t="str">
        <f>IF('Peak Revenue'!$A$1="BL","-",IF(Peak!U36&gt;Peak!$G36,O$8*Peak!$AM$11,0))</f>
        <v>-</v>
      </c>
      <c r="P35" s="177" t="str">
        <f>IF('Peak Revenue'!$A$1="BL","-",IF(Peak!V36&gt;Peak!$G36,P$8*Peak!$AM$11,0))</f>
        <v>-</v>
      </c>
      <c r="Q35" s="177" t="str">
        <f>IF('Peak Revenue'!$A$1="BL","-",IF(Peak!W36&gt;Peak!$G36,Q$8*Peak!$AM$11,0))</f>
        <v>-</v>
      </c>
      <c r="R35" s="177" t="str">
        <f>IF('Peak Revenue'!$A$1="BL","-",IF(Peak!X36&gt;Peak!$G36,R$8*Peak!$AM$11,0))</f>
        <v>-</v>
      </c>
      <c r="S35" s="177" t="str">
        <f>IF('Peak Revenue'!$A$1="BL","-",IF(Peak!Y36&gt;Peak!$G36,S$8*Peak!$AM$11,0))</f>
        <v>-</v>
      </c>
      <c r="T35" s="177" t="str">
        <f>IF('Peak Revenue'!$A$1="BL","-",IF(Peak!Z36&gt;Peak!$G36,T$8*Peak!$AM$11,0))</f>
        <v>-</v>
      </c>
      <c r="U35" s="177" t="str">
        <f>IF('Peak Revenue'!$A$1="BL","-",IF(Peak!AA36&gt;Peak!$G36,U$8*Peak!$AM$11,0))</f>
        <v>-</v>
      </c>
      <c r="V35" s="178">
        <f t="shared" si="0"/>
        <v>0</v>
      </c>
      <c r="W35" s="165"/>
    </row>
    <row r="36" spans="1:23" x14ac:dyDescent="0.2">
      <c r="A36" s="1">
        <f t="shared" si="1"/>
        <v>37330.842000000033</v>
      </c>
      <c r="B36" s="176" t="str">
        <f>IF('Peak Revenue'!$A$1="BL","-",IF(Peak!H37&gt;Peak!$G37,B$8*Peak!$AM$11,0))</f>
        <v>-</v>
      </c>
      <c r="C36" s="177" t="str">
        <f>IF('Peak Revenue'!$A$1="BL","-",IF(Peak!I37&gt;Peak!$G37,C$8*Peak!$AM$11,0))</f>
        <v>-</v>
      </c>
      <c r="D36" s="177" t="str">
        <f>IF('Peak Revenue'!$A$1="BL","-",IF(Peak!J37&gt;Peak!$G37,D$8*Peak!$AM$11,0))</f>
        <v>-</v>
      </c>
      <c r="E36" s="177" t="str">
        <f>IF('Peak Revenue'!$A$1="BL","-",IF(Peak!K37&gt;Peak!$G37,E$8*Peak!$AM$11,0))</f>
        <v>-</v>
      </c>
      <c r="F36" s="177" t="str">
        <f>IF('Peak Revenue'!$A$1="BL","-",IF(Peak!L37&gt;Peak!$G37,F$8*Peak!$AM$11,0))</f>
        <v>-</v>
      </c>
      <c r="G36" s="177" t="str">
        <f>IF('Peak Revenue'!$A$1="BL","-",IF(Peak!M37&gt;Peak!$G37,G$8*Peak!$AM$11,0))</f>
        <v>-</v>
      </c>
      <c r="H36" s="177" t="str">
        <f>IF('Peak Revenue'!$A$1="BL","-",IF(Peak!N37&gt;Peak!$G37,H$8*Peak!$AM$11,0))</f>
        <v>-</v>
      </c>
      <c r="I36" s="177" t="str">
        <f>IF('Peak Revenue'!$A$1="BL","-",IF(Peak!O37&gt;Peak!$G37,I$8*Peak!$AM$11,0))</f>
        <v>-</v>
      </c>
      <c r="J36" s="177" t="str">
        <f>IF('Peak Revenue'!$A$1="BL","-",IF(Peak!P37&gt;Peak!$G37,J$8*Peak!$AM$11,0))</f>
        <v>-</v>
      </c>
      <c r="K36" s="177" t="str">
        <f>IF('Peak Revenue'!$A$1="BL","-",IF(Peak!Q37&gt;Peak!$G37,K$8*Peak!$AM$11,0))</f>
        <v>-</v>
      </c>
      <c r="L36" s="177" t="str">
        <f>IF('Peak Revenue'!$A$1="BL","-",IF(Peak!R37&gt;Peak!$G37,L$8*Peak!$AM$11,0))</f>
        <v>-</v>
      </c>
      <c r="M36" s="177" t="str">
        <f>IF('Peak Revenue'!$A$1="BL","-",IF(Peak!S37&gt;Peak!$G37,M$8*Peak!$AM$11,0))</f>
        <v>-</v>
      </c>
      <c r="N36" s="177" t="str">
        <f>IF('Peak Revenue'!$A$1="BL","-",IF(Peak!T37&gt;Peak!$G37,N$8*Peak!$AM$11,0))</f>
        <v>-</v>
      </c>
      <c r="O36" s="177" t="str">
        <f>IF('Peak Revenue'!$A$1="BL","-",IF(Peak!U37&gt;Peak!$G37,O$8*Peak!$AM$11,0))</f>
        <v>-</v>
      </c>
      <c r="P36" s="177" t="str">
        <f>IF('Peak Revenue'!$A$1="BL","-",IF(Peak!V37&gt;Peak!$G37,P$8*Peak!$AM$11,0))</f>
        <v>-</v>
      </c>
      <c r="Q36" s="177" t="str">
        <f>IF('Peak Revenue'!$A$1="BL","-",IF(Peak!W37&gt;Peak!$G37,Q$8*Peak!$AM$11,0))</f>
        <v>-</v>
      </c>
      <c r="R36" s="177" t="str">
        <f>IF('Peak Revenue'!$A$1="BL","-",IF(Peak!X37&gt;Peak!$G37,R$8*Peak!$AM$11,0))</f>
        <v>-</v>
      </c>
      <c r="S36" s="177" t="str">
        <f>IF('Peak Revenue'!$A$1="BL","-",IF(Peak!Y37&gt;Peak!$G37,S$8*Peak!$AM$11,0))</f>
        <v>-</v>
      </c>
      <c r="T36" s="177" t="str">
        <f>IF('Peak Revenue'!$A$1="BL","-",IF(Peak!Z37&gt;Peak!$G37,T$8*Peak!$AM$11,0))</f>
        <v>-</v>
      </c>
      <c r="U36" s="177" t="str">
        <f>IF('Peak Revenue'!$A$1="BL","-",IF(Peak!AA37&gt;Peak!$G37,U$8*Peak!$AM$11,0))</f>
        <v>-</v>
      </c>
      <c r="V36" s="178">
        <f t="shared" si="0"/>
        <v>0</v>
      </c>
      <c r="W36" s="165"/>
    </row>
    <row r="37" spans="1:23" x14ac:dyDescent="0.2">
      <c r="A37" s="1">
        <f t="shared" si="1"/>
        <v>37361.259000000035</v>
      </c>
      <c r="B37" s="176" t="str">
        <f>IF('Peak Revenue'!$A$1="BL","-",IF(Peak!H38&gt;Peak!$G38,B$8*Peak!$AM$11,0))</f>
        <v>-</v>
      </c>
      <c r="C37" s="177" t="str">
        <f>IF('Peak Revenue'!$A$1="BL","-",IF(Peak!I38&gt;Peak!$G38,C$8*Peak!$AM$11,0))</f>
        <v>-</v>
      </c>
      <c r="D37" s="177" t="str">
        <f>IF('Peak Revenue'!$A$1="BL","-",IF(Peak!J38&gt;Peak!$G38,D$8*Peak!$AM$11,0))</f>
        <v>-</v>
      </c>
      <c r="E37" s="177" t="str">
        <f>IF('Peak Revenue'!$A$1="BL","-",IF(Peak!K38&gt;Peak!$G38,E$8*Peak!$AM$11,0))</f>
        <v>-</v>
      </c>
      <c r="F37" s="177" t="str">
        <f>IF('Peak Revenue'!$A$1="BL","-",IF(Peak!L38&gt;Peak!$G38,F$8*Peak!$AM$11,0))</f>
        <v>-</v>
      </c>
      <c r="G37" s="177" t="str">
        <f>IF('Peak Revenue'!$A$1="BL","-",IF(Peak!M38&gt;Peak!$G38,G$8*Peak!$AM$11,0))</f>
        <v>-</v>
      </c>
      <c r="H37" s="177" t="str">
        <f>IF('Peak Revenue'!$A$1="BL","-",IF(Peak!N38&gt;Peak!$G38,H$8*Peak!$AM$11,0))</f>
        <v>-</v>
      </c>
      <c r="I37" s="177" t="str">
        <f>IF('Peak Revenue'!$A$1="BL","-",IF(Peak!O38&gt;Peak!$G38,I$8*Peak!$AM$11,0))</f>
        <v>-</v>
      </c>
      <c r="J37" s="177" t="str">
        <f>IF('Peak Revenue'!$A$1="BL","-",IF(Peak!P38&gt;Peak!$G38,J$8*Peak!$AM$11,0))</f>
        <v>-</v>
      </c>
      <c r="K37" s="177" t="str">
        <f>IF('Peak Revenue'!$A$1="BL","-",IF(Peak!Q38&gt;Peak!$G38,K$8*Peak!$AM$11,0))</f>
        <v>-</v>
      </c>
      <c r="L37" s="177" t="str">
        <f>IF('Peak Revenue'!$A$1="BL","-",IF(Peak!R38&gt;Peak!$G38,L$8*Peak!$AM$11,0))</f>
        <v>-</v>
      </c>
      <c r="M37" s="177" t="str">
        <f>IF('Peak Revenue'!$A$1="BL","-",IF(Peak!S38&gt;Peak!$G38,M$8*Peak!$AM$11,0))</f>
        <v>-</v>
      </c>
      <c r="N37" s="177" t="str">
        <f>IF('Peak Revenue'!$A$1="BL","-",IF(Peak!T38&gt;Peak!$G38,N$8*Peak!$AM$11,0))</f>
        <v>-</v>
      </c>
      <c r="O37" s="177" t="str">
        <f>IF('Peak Revenue'!$A$1="BL","-",IF(Peak!U38&gt;Peak!$G38,O$8*Peak!$AM$11,0))</f>
        <v>-</v>
      </c>
      <c r="P37" s="177" t="str">
        <f>IF('Peak Revenue'!$A$1="BL","-",IF(Peak!V38&gt;Peak!$G38,P$8*Peak!$AM$11,0))</f>
        <v>-</v>
      </c>
      <c r="Q37" s="177" t="str">
        <f>IF('Peak Revenue'!$A$1="BL","-",IF(Peak!W38&gt;Peak!$G38,Q$8*Peak!$AM$11,0))</f>
        <v>-</v>
      </c>
      <c r="R37" s="177" t="str">
        <f>IF('Peak Revenue'!$A$1="BL","-",IF(Peak!X38&gt;Peak!$G38,R$8*Peak!$AM$11,0))</f>
        <v>-</v>
      </c>
      <c r="S37" s="177" t="str">
        <f>IF('Peak Revenue'!$A$1="BL","-",IF(Peak!Y38&gt;Peak!$G38,S$8*Peak!$AM$11,0))</f>
        <v>-</v>
      </c>
      <c r="T37" s="177" t="str">
        <f>IF('Peak Revenue'!$A$1="BL","-",IF(Peak!Z38&gt;Peak!$G38,T$8*Peak!$AM$11,0))</f>
        <v>-</v>
      </c>
      <c r="U37" s="177" t="str">
        <f>IF('Peak Revenue'!$A$1="BL","-",IF(Peak!AA38&gt;Peak!$G38,U$8*Peak!$AM$11,0))</f>
        <v>-</v>
      </c>
      <c r="V37" s="178">
        <f t="shared" si="0"/>
        <v>0</v>
      </c>
      <c r="W37" s="165"/>
    </row>
    <row r="38" spans="1:23" x14ac:dyDescent="0.2">
      <c r="A38" s="1">
        <f t="shared" si="1"/>
        <v>37391.676000000036</v>
      </c>
      <c r="B38" s="176" t="str">
        <f>IF('Peak Revenue'!$A$1="BL","-",IF(Peak!H39&gt;Peak!$G39,B$8*Peak!$AM$11,0))</f>
        <v>-</v>
      </c>
      <c r="C38" s="177" t="str">
        <f>IF('Peak Revenue'!$A$1="BL","-",IF(Peak!I39&gt;Peak!$G39,C$8*Peak!$AM$11,0))</f>
        <v>-</v>
      </c>
      <c r="D38" s="177" t="str">
        <f>IF('Peak Revenue'!$A$1="BL","-",IF(Peak!J39&gt;Peak!$G39,D$8*Peak!$AM$11,0))</f>
        <v>-</v>
      </c>
      <c r="E38" s="177" t="str">
        <f>IF('Peak Revenue'!$A$1="BL","-",IF(Peak!K39&gt;Peak!$G39,E$8*Peak!$AM$11,0))</f>
        <v>-</v>
      </c>
      <c r="F38" s="177" t="str">
        <f>IF('Peak Revenue'!$A$1="BL","-",IF(Peak!L39&gt;Peak!$G39,F$8*Peak!$AM$11,0))</f>
        <v>-</v>
      </c>
      <c r="G38" s="177" t="str">
        <f>IF('Peak Revenue'!$A$1="BL","-",IF(Peak!M39&gt;Peak!$G39,G$8*Peak!$AM$11,0))</f>
        <v>-</v>
      </c>
      <c r="H38" s="177" t="str">
        <f>IF('Peak Revenue'!$A$1="BL","-",IF(Peak!N39&gt;Peak!$G39,H$8*Peak!$AM$11,0))</f>
        <v>-</v>
      </c>
      <c r="I38" s="177" t="str">
        <f>IF('Peak Revenue'!$A$1="BL","-",IF(Peak!O39&gt;Peak!$G39,I$8*Peak!$AM$11,0))</f>
        <v>-</v>
      </c>
      <c r="J38" s="177" t="str">
        <f>IF('Peak Revenue'!$A$1="BL","-",IF(Peak!P39&gt;Peak!$G39,J$8*Peak!$AM$11,0))</f>
        <v>-</v>
      </c>
      <c r="K38" s="177" t="str">
        <f>IF('Peak Revenue'!$A$1="BL","-",IF(Peak!Q39&gt;Peak!$G39,K$8*Peak!$AM$11,0))</f>
        <v>-</v>
      </c>
      <c r="L38" s="177" t="str">
        <f>IF('Peak Revenue'!$A$1="BL","-",IF(Peak!R39&gt;Peak!$G39,L$8*Peak!$AM$11,0))</f>
        <v>-</v>
      </c>
      <c r="M38" s="177" t="str">
        <f>IF('Peak Revenue'!$A$1="BL","-",IF(Peak!S39&gt;Peak!$G39,M$8*Peak!$AM$11,0))</f>
        <v>-</v>
      </c>
      <c r="N38" s="177" t="str">
        <f>IF('Peak Revenue'!$A$1="BL","-",IF(Peak!T39&gt;Peak!$G39,N$8*Peak!$AM$11,0))</f>
        <v>-</v>
      </c>
      <c r="O38" s="177" t="str">
        <f>IF('Peak Revenue'!$A$1="BL","-",IF(Peak!U39&gt;Peak!$G39,O$8*Peak!$AM$11,0))</f>
        <v>-</v>
      </c>
      <c r="P38" s="177" t="str">
        <f>IF('Peak Revenue'!$A$1="BL","-",IF(Peak!V39&gt;Peak!$G39,P$8*Peak!$AM$11,0))</f>
        <v>-</v>
      </c>
      <c r="Q38" s="177" t="str">
        <f>IF('Peak Revenue'!$A$1="BL","-",IF(Peak!W39&gt;Peak!$G39,Q$8*Peak!$AM$11,0))</f>
        <v>-</v>
      </c>
      <c r="R38" s="177" t="str">
        <f>IF('Peak Revenue'!$A$1="BL","-",IF(Peak!X39&gt;Peak!$G39,R$8*Peak!$AM$11,0))</f>
        <v>-</v>
      </c>
      <c r="S38" s="177" t="str">
        <f>IF('Peak Revenue'!$A$1="BL","-",IF(Peak!Y39&gt;Peak!$G39,S$8*Peak!$AM$11,0))</f>
        <v>-</v>
      </c>
      <c r="T38" s="177" t="str">
        <f>IF('Peak Revenue'!$A$1="BL","-",IF(Peak!Z39&gt;Peak!$G39,T$8*Peak!$AM$11,0))</f>
        <v>-</v>
      </c>
      <c r="U38" s="177" t="str">
        <f>IF('Peak Revenue'!$A$1="BL","-",IF(Peak!AA39&gt;Peak!$G39,U$8*Peak!$AM$11,0))</f>
        <v>-</v>
      </c>
      <c r="V38" s="178">
        <f t="shared" si="0"/>
        <v>0</v>
      </c>
      <c r="W38" s="165"/>
    </row>
    <row r="39" spans="1:23" x14ac:dyDescent="0.2">
      <c r="A39" s="1">
        <f t="shared" si="1"/>
        <v>37422.093000000037</v>
      </c>
      <c r="B39" s="176" t="str">
        <f>IF('Peak Revenue'!$A$1="BL","-",IF(Peak!H40&gt;Peak!$G40,B$8*Peak!$AM$11,0))</f>
        <v>-</v>
      </c>
      <c r="C39" s="177" t="str">
        <f>IF('Peak Revenue'!$A$1="BL","-",IF(Peak!I40&gt;Peak!$G40,C$8*Peak!$AM$11,0))</f>
        <v>-</v>
      </c>
      <c r="D39" s="177" t="str">
        <f>IF('Peak Revenue'!$A$1="BL","-",IF(Peak!J40&gt;Peak!$G40,D$8*Peak!$AM$11,0))</f>
        <v>-</v>
      </c>
      <c r="E39" s="177" t="str">
        <f>IF('Peak Revenue'!$A$1="BL","-",IF(Peak!K40&gt;Peak!$G40,E$8*Peak!$AM$11,0))</f>
        <v>-</v>
      </c>
      <c r="F39" s="177" t="str">
        <f>IF('Peak Revenue'!$A$1="BL","-",IF(Peak!L40&gt;Peak!$G40,F$8*Peak!$AM$11,0))</f>
        <v>-</v>
      </c>
      <c r="G39" s="177" t="str">
        <f>IF('Peak Revenue'!$A$1="BL","-",IF(Peak!M40&gt;Peak!$G40,G$8*Peak!$AM$11,0))</f>
        <v>-</v>
      </c>
      <c r="H39" s="177" t="str">
        <f>IF('Peak Revenue'!$A$1="BL","-",IF(Peak!N40&gt;Peak!$G40,H$8*Peak!$AM$11,0))</f>
        <v>-</v>
      </c>
      <c r="I39" s="177" t="str">
        <f>IF('Peak Revenue'!$A$1="BL","-",IF(Peak!O40&gt;Peak!$G40,I$8*Peak!$AM$11,0))</f>
        <v>-</v>
      </c>
      <c r="J39" s="177" t="str">
        <f>IF('Peak Revenue'!$A$1="BL","-",IF(Peak!P40&gt;Peak!$G40,J$8*Peak!$AM$11,0))</f>
        <v>-</v>
      </c>
      <c r="K39" s="177" t="str">
        <f>IF('Peak Revenue'!$A$1="BL","-",IF(Peak!Q40&gt;Peak!$G40,K$8*Peak!$AM$11,0))</f>
        <v>-</v>
      </c>
      <c r="L39" s="177" t="str">
        <f>IF('Peak Revenue'!$A$1="BL","-",IF(Peak!R40&gt;Peak!$G40,L$8*Peak!$AM$11,0))</f>
        <v>-</v>
      </c>
      <c r="M39" s="177" t="str">
        <f>IF('Peak Revenue'!$A$1="BL","-",IF(Peak!S40&gt;Peak!$G40,M$8*Peak!$AM$11,0))</f>
        <v>-</v>
      </c>
      <c r="N39" s="177" t="str">
        <f>IF('Peak Revenue'!$A$1="BL","-",IF(Peak!T40&gt;Peak!$G40,N$8*Peak!$AM$11,0))</f>
        <v>-</v>
      </c>
      <c r="O39" s="177" t="str">
        <f>IF('Peak Revenue'!$A$1="BL","-",IF(Peak!U40&gt;Peak!$G40,O$8*Peak!$AM$11,0))</f>
        <v>-</v>
      </c>
      <c r="P39" s="177" t="str">
        <f>IF('Peak Revenue'!$A$1="BL","-",IF(Peak!V40&gt;Peak!$G40,P$8*Peak!$AM$11,0))</f>
        <v>-</v>
      </c>
      <c r="Q39" s="177" t="str">
        <f>IF('Peak Revenue'!$A$1="BL","-",IF(Peak!W40&gt;Peak!$G40,Q$8*Peak!$AM$11,0))</f>
        <v>-</v>
      </c>
      <c r="R39" s="177" t="str">
        <f>IF('Peak Revenue'!$A$1="BL","-",IF(Peak!X40&gt;Peak!$G40,R$8*Peak!$AM$11,0))</f>
        <v>-</v>
      </c>
      <c r="S39" s="177" t="str">
        <f>IF('Peak Revenue'!$A$1="BL","-",IF(Peak!Y40&gt;Peak!$G40,S$8*Peak!$AM$11,0))</f>
        <v>-</v>
      </c>
      <c r="T39" s="177" t="str">
        <f>IF('Peak Revenue'!$A$1="BL","-",IF(Peak!Z40&gt;Peak!$G40,T$8*Peak!$AM$11,0))</f>
        <v>-</v>
      </c>
      <c r="U39" s="177" t="str">
        <f>IF('Peak Revenue'!$A$1="BL","-",IF(Peak!AA40&gt;Peak!$G40,U$8*Peak!$AM$11,0))</f>
        <v>-</v>
      </c>
      <c r="V39" s="178">
        <f t="shared" si="0"/>
        <v>0</v>
      </c>
      <c r="W39" s="165"/>
    </row>
    <row r="40" spans="1:23" x14ac:dyDescent="0.2">
      <c r="A40" s="1">
        <f t="shared" si="1"/>
        <v>37452.510000000038</v>
      </c>
      <c r="B40" s="176" t="str">
        <f>IF('Peak Revenue'!$A$1="BL","-",IF(Peak!H41&gt;Peak!$G41,B$8*Peak!$AM$11,0))</f>
        <v>-</v>
      </c>
      <c r="C40" s="177" t="str">
        <f>IF('Peak Revenue'!$A$1="BL","-",IF(Peak!I41&gt;Peak!$G41,C$8*Peak!$AM$11,0))</f>
        <v>-</v>
      </c>
      <c r="D40" s="177" t="str">
        <f>IF('Peak Revenue'!$A$1="BL","-",IF(Peak!J41&gt;Peak!$G41,D$8*Peak!$AM$11,0))</f>
        <v>-</v>
      </c>
      <c r="E40" s="177" t="str">
        <f>IF('Peak Revenue'!$A$1="BL","-",IF(Peak!K41&gt;Peak!$G41,E$8*Peak!$AM$11,0))</f>
        <v>-</v>
      </c>
      <c r="F40" s="177" t="str">
        <f>IF('Peak Revenue'!$A$1="BL","-",IF(Peak!L41&gt;Peak!$G41,F$8*Peak!$AM$11,0))</f>
        <v>-</v>
      </c>
      <c r="G40" s="177" t="str">
        <f>IF('Peak Revenue'!$A$1="BL","-",IF(Peak!M41&gt;Peak!$G41,G$8*Peak!$AM$11,0))</f>
        <v>-</v>
      </c>
      <c r="H40" s="177" t="str">
        <f>IF('Peak Revenue'!$A$1="BL","-",IF(Peak!N41&gt;Peak!$G41,H$8*Peak!$AM$11,0))</f>
        <v>-</v>
      </c>
      <c r="I40" s="177" t="str">
        <f>IF('Peak Revenue'!$A$1="BL","-",IF(Peak!O41&gt;Peak!$G41,I$8*Peak!$AM$11,0))</f>
        <v>-</v>
      </c>
      <c r="J40" s="177" t="str">
        <f>IF('Peak Revenue'!$A$1="BL","-",IF(Peak!P41&gt;Peak!$G41,J$8*Peak!$AM$11,0))</f>
        <v>-</v>
      </c>
      <c r="K40" s="177" t="str">
        <f>IF('Peak Revenue'!$A$1="BL","-",IF(Peak!Q41&gt;Peak!$G41,K$8*Peak!$AM$11,0))</f>
        <v>-</v>
      </c>
      <c r="L40" s="177" t="str">
        <f>IF('Peak Revenue'!$A$1="BL","-",IF(Peak!R41&gt;Peak!$G41,L$8*Peak!$AM$11,0))</f>
        <v>-</v>
      </c>
      <c r="M40" s="177" t="str">
        <f>IF('Peak Revenue'!$A$1="BL","-",IF(Peak!S41&gt;Peak!$G41,M$8*Peak!$AM$11,0))</f>
        <v>-</v>
      </c>
      <c r="N40" s="177" t="str">
        <f>IF('Peak Revenue'!$A$1="BL","-",IF(Peak!T41&gt;Peak!$G41,N$8*Peak!$AM$11,0))</f>
        <v>-</v>
      </c>
      <c r="O40" s="177" t="str">
        <f>IF('Peak Revenue'!$A$1="BL","-",IF(Peak!U41&gt;Peak!$G41,O$8*Peak!$AM$11,0))</f>
        <v>-</v>
      </c>
      <c r="P40" s="177" t="str">
        <f>IF('Peak Revenue'!$A$1="BL","-",IF(Peak!V41&gt;Peak!$G41,P$8*Peak!$AM$11,0))</f>
        <v>-</v>
      </c>
      <c r="Q40" s="177" t="str">
        <f>IF('Peak Revenue'!$A$1="BL","-",IF(Peak!W41&gt;Peak!$G41,Q$8*Peak!$AM$11,0))</f>
        <v>-</v>
      </c>
      <c r="R40" s="177" t="str">
        <f>IF('Peak Revenue'!$A$1="BL","-",IF(Peak!X41&gt;Peak!$G41,R$8*Peak!$AM$11,0))</f>
        <v>-</v>
      </c>
      <c r="S40" s="177" t="str">
        <f>IF('Peak Revenue'!$A$1="BL","-",IF(Peak!Y41&gt;Peak!$G41,S$8*Peak!$AM$11,0))</f>
        <v>-</v>
      </c>
      <c r="T40" s="177" t="str">
        <f>IF('Peak Revenue'!$A$1="BL","-",IF(Peak!Z41&gt;Peak!$G41,T$8*Peak!$AM$11,0))</f>
        <v>-</v>
      </c>
      <c r="U40" s="177" t="str">
        <f>IF('Peak Revenue'!$A$1="BL","-",IF(Peak!AA41&gt;Peak!$G41,U$8*Peak!$AM$11,0))</f>
        <v>-</v>
      </c>
      <c r="V40" s="178">
        <f t="shared" si="0"/>
        <v>0</v>
      </c>
      <c r="W40" s="165"/>
    </row>
    <row r="41" spans="1:23" x14ac:dyDescent="0.2">
      <c r="A41" s="1">
        <f t="shared" si="1"/>
        <v>37482.92700000004</v>
      </c>
      <c r="B41" s="176" t="str">
        <f>IF('Peak Revenue'!$A$1="BL","-",IF(Peak!H42&gt;Peak!$G42,B$8*Peak!$AM$11,0))</f>
        <v>-</v>
      </c>
      <c r="C41" s="177" t="str">
        <f>IF('Peak Revenue'!$A$1="BL","-",IF(Peak!I42&gt;Peak!$G42,C$8*Peak!$AM$11,0))</f>
        <v>-</v>
      </c>
      <c r="D41" s="177" t="str">
        <f>IF('Peak Revenue'!$A$1="BL","-",IF(Peak!J42&gt;Peak!$G42,D$8*Peak!$AM$11,0))</f>
        <v>-</v>
      </c>
      <c r="E41" s="177" t="str">
        <f>IF('Peak Revenue'!$A$1="BL","-",IF(Peak!K42&gt;Peak!$G42,E$8*Peak!$AM$11,0))</f>
        <v>-</v>
      </c>
      <c r="F41" s="177" t="str">
        <f>IF('Peak Revenue'!$A$1="BL","-",IF(Peak!L42&gt;Peak!$G42,F$8*Peak!$AM$11,0))</f>
        <v>-</v>
      </c>
      <c r="G41" s="177" t="str">
        <f>IF('Peak Revenue'!$A$1="BL","-",IF(Peak!M42&gt;Peak!$G42,G$8*Peak!$AM$11,0))</f>
        <v>-</v>
      </c>
      <c r="H41" s="177" t="str">
        <f>IF('Peak Revenue'!$A$1="BL","-",IF(Peak!N42&gt;Peak!$G42,H$8*Peak!$AM$11,0))</f>
        <v>-</v>
      </c>
      <c r="I41" s="177" t="str">
        <f>IF('Peak Revenue'!$A$1="BL","-",IF(Peak!O42&gt;Peak!$G42,I$8*Peak!$AM$11,0))</f>
        <v>-</v>
      </c>
      <c r="J41" s="177" t="str">
        <f>IF('Peak Revenue'!$A$1="BL","-",IF(Peak!P42&gt;Peak!$G42,J$8*Peak!$AM$11,0))</f>
        <v>-</v>
      </c>
      <c r="K41" s="177" t="str">
        <f>IF('Peak Revenue'!$A$1="BL","-",IF(Peak!Q42&gt;Peak!$G42,K$8*Peak!$AM$11,0))</f>
        <v>-</v>
      </c>
      <c r="L41" s="177" t="str">
        <f>IF('Peak Revenue'!$A$1="BL","-",IF(Peak!R42&gt;Peak!$G42,L$8*Peak!$AM$11,0))</f>
        <v>-</v>
      </c>
      <c r="M41" s="177" t="str">
        <f>IF('Peak Revenue'!$A$1="BL","-",IF(Peak!S42&gt;Peak!$G42,M$8*Peak!$AM$11,0))</f>
        <v>-</v>
      </c>
      <c r="N41" s="177" t="str">
        <f>IF('Peak Revenue'!$A$1="BL","-",IF(Peak!T42&gt;Peak!$G42,N$8*Peak!$AM$11,0))</f>
        <v>-</v>
      </c>
      <c r="O41" s="177" t="str">
        <f>IF('Peak Revenue'!$A$1="BL","-",IF(Peak!U42&gt;Peak!$G42,O$8*Peak!$AM$11,0))</f>
        <v>-</v>
      </c>
      <c r="P41" s="177" t="str">
        <f>IF('Peak Revenue'!$A$1="BL","-",IF(Peak!V42&gt;Peak!$G42,P$8*Peak!$AM$11,0))</f>
        <v>-</v>
      </c>
      <c r="Q41" s="177" t="str">
        <f>IF('Peak Revenue'!$A$1="BL","-",IF(Peak!W42&gt;Peak!$G42,Q$8*Peak!$AM$11,0))</f>
        <v>-</v>
      </c>
      <c r="R41" s="177" t="str">
        <f>IF('Peak Revenue'!$A$1="BL","-",IF(Peak!X42&gt;Peak!$G42,R$8*Peak!$AM$11,0))</f>
        <v>-</v>
      </c>
      <c r="S41" s="177" t="str">
        <f>IF('Peak Revenue'!$A$1="BL","-",IF(Peak!Y42&gt;Peak!$G42,S$8*Peak!$AM$11,0))</f>
        <v>-</v>
      </c>
      <c r="T41" s="177" t="str">
        <f>IF('Peak Revenue'!$A$1="BL","-",IF(Peak!Z42&gt;Peak!$G42,T$8*Peak!$AM$11,0))</f>
        <v>-</v>
      </c>
      <c r="U41" s="177" t="str">
        <f>IF('Peak Revenue'!$A$1="BL","-",IF(Peak!AA42&gt;Peak!$G42,U$8*Peak!$AM$11,0))</f>
        <v>-</v>
      </c>
      <c r="V41" s="178">
        <f t="shared" si="0"/>
        <v>0</v>
      </c>
      <c r="W41" s="165"/>
    </row>
    <row r="42" spans="1:23" x14ac:dyDescent="0.2">
      <c r="A42" s="1">
        <f t="shared" si="1"/>
        <v>37513.344000000041</v>
      </c>
      <c r="B42" s="176" t="str">
        <f>IF('Peak Revenue'!$A$1="BL","-",IF(Peak!H43&gt;Peak!$G43,B$8*Peak!$AM$11,0))</f>
        <v>-</v>
      </c>
      <c r="C42" s="177" t="str">
        <f>IF('Peak Revenue'!$A$1="BL","-",IF(Peak!I43&gt;Peak!$G43,C$8*Peak!$AM$11,0))</f>
        <v>-</v>
      </c>
      <c r="D42" s="177" t="str">
        <f>IF('Peak Revenue'!$A$1="BL","-",IF(Peak!J43&gt;Peak!$G43,D$8*Peak!$AM$11,0))</f>
        <v>-</v>
      </c>
      <c r="E42" s="177" t="str">
        <f>IF('Peak Revenue'!$A$1="BL","-",IF(Peak!K43&gt;Peak!$G43,E$8*Peak!$AM$11,0))</f>
        <v>-</v>
      </c>
      <c r="F42" s="177" t="str">
        <f>IF('Peak Revenue'!$A$1="BL","-",IF(Peak!L43&gt;Peak!$G43,F$8*Peak!$AM$11,0))</f>
        <v>-</v>
      </c>
      <c r="G42" s="177" t="str">
        <f>IF('Peak Revenue'!$A$1="BL","-",IF(Peak!M43&gt;Peak!$G43,G$8*Peak!$AM$11,0))</f>
        <v>-</v>
      </c>
      <c r="H42" s="177" t="str">
        <f>IF('Peak Revenue'!$A$1="BL","-",IF(Peak!N43&gt;Peak!$G43,H$8*Peak!$AM$11,0))</f>
        <v>-</v>
      </c>
      <c r="I42" s="177" t="str">
        <f>IF('Peak Revenue'!$A$1="BL","-",IF(Peak!O43&gt;Peak!$G43,I$8*Peak!$AM$11,0))</f>
        <v>-</v>
      </c>
      <c r="J42" s="177" t="str">
        <f>IF('Peak Revenue'!$A$1="BL","-",IF(Peak!P43&gt;Peak!$G43,J$8*Peak!$AM$11,0))</f>
        <v>-</v>
      </c>
      <c r="K42" s="177" t="str">
        <f>IF('Peak Revenue'!$A$1="BL","-",IF(Peak!Q43&gt;Peak!$G43,K$8*Peak!$AM$11,0))</f>
        <v>-</v>
      </c>
      <c r="L42" s="177" t="str">
        <f>IF('Peak Revenue'!$A$1="BL","-",IF(Peak!R43&gt;Peak!$G43,L$8*Peak!$AM$11,0))</f>
        <v>-</v>
      </c>
      <c r="M42" s="177" t="str">
        <f>IF('Peak Revenue'!$A$1="BL","-",IF(Peak!S43&gt;Peak!$G43,M$8*Peak!$AM$11,0))</f>
        <v>-</v>
      </c>
      <c r="N42" s="177" t="str">
        <f>IF('Peak Revenue'!$A$1="BL","-",IF(Peak!T43&gt;Peak!$G43,N$8*Peak!$AM$11,0))</f>
        <v>-</v>
      </c>
      <c r="O42" s="177" t="str">
        <f>IF('Peak Revenue'!$A$1="BL","-",IF(Peak!U43&gt;Peak!$G43,O$8*Peak!$AM$11,0))</f>
        <v>-</v>
      </c>
      <c r="P42" s="177" t="str">
        <f>IF('Peak Revenue'!$A$1="BL","-",IF(Peak!V43&gt;Peak!$G43,P$8*Peak!$AM$11,0))</f>
        <v>-</v>
      </c>
      <c r="Q42" s="177" t="str">
        <f>IF('Peak Revenue'!$A$1="BL","-",IF(Peak!W43&gt;Peak!$G43,Q$8*Peak!$AM$11,0))</f>
        <v>-</v>
      </c>
      <c r="R42" s="177" t="str">
        <f>IF('Peak Revenue'!$A$1="BL","-",IF(Peak!X43&gt;Peak!$G43,R$8*Peak!$AM$11,0))</f>
        <v>-</v>
      </c>
      <c r="S42" s="177" t="str">
        <f>IF('Peak Revenue'!$A$1="BL","-",IF(Peak!Y43&gt;Peak!$G43,S$8*Peak!$AM$11,0))</f>
        <v>-</v>
      </c>
      <c r="T42" s="177" t="str">
        <f>IF('Peak Revenue'!$A$1="BL","-",IF(Peak!Z43&gt;Peak!$G43,T$8*Peak!$AM$11,0))</f>
        <v>-</v>
      </c>
      <c r="U42" s="177" t="str">
        <f>IF('Peak Revenue'!$A$1="BL","-",IF(Peak!AA43&gt;Peak!$G43,U$8*Peak!$AM$11,0))</f>
        <v>-</v>
      </c>
      <c r="V42" s="178">
        <f t="shared" si="0"/>
        <v>0</v>
      </c>
      <c r="W42" s="165"/>
    </row>
    <row r="43" spans="1:23" x14ac:dyDescent="0.2">
      <c r="A43" s="1">
        <f t="shared" si="1"/>
        <v>37543.761000000042</v>
      </c>
      <c r="B43" s="176" t="str">
        <f>IF('Peak Revenue'!$A$1="BL","-",IF(Peak!H44&gt;Peak!$G44,B$8*Peak!$AM$11,0))</f>
        <v>-</v>
      </c>
      <c r="C43" s="177" t="str">
        <f>IF('Peak Revenue'!$A$1="BL","-",IF(Peak!I44&gt;Peak!$G44,C$8*Peak!$AM$11,0))</f>
        <v>-</v>
      </c>
      <c r="D43" s="177" t="str">
        <f>IF('Peak Revenue'!$A$1="BL","-",IF(Peak!J44&gt;Peak!$G44,D$8*Peak!$AM$11,0))</f>
        <v>-</v>
      </c>
      <c r="E43" s="177" t="str">
        <f>IF('Peak Revenue'!$A$1="BL","-",IF(Peak!K44&gt;Peak!$G44,E$8*Peak!$AM$11,0))</f>
        <v>-</v>
      </c>
      <c r="F43" s="177" t="str">
        <f>IF('Peak Revenue'!$A$1="BL","-",IF(Peak!L44&gt;Peak!$G44,F$8*Peak!$AM$11,0))</f>
        <v>-</v>
      </c>
      <c r="G43" s="177" t="str">
        <f>IF('Peak Revenue'!$A$1="BL","-",IF(Peak!M44&gt;Peak!$G44,G$8*Peak!$AM$11,0))</f>
        <v>-</v>
      </c>
      <c r="H43" s="177" t="str">
        <f>IF('Peak Revenue'!$A$1="BL","-",IF(Peak!N44&gt;Peak!$G44,H$8*Peak!$AM$11,0))</f>
        <v>-</v>
      </c>
      <c r="I43" s="177" t="str">
        <f>IF('Peak Revenue'!$A$1="BL","-",IF(Peak!O44&gt;Peak!$G44,I$8*Peak!$AM$11,0))</f>
        <v>-</v>
      </c>
      <c r="J43" s="177" t="str">
        <f>IF('Peak Revenue'!$A$1="BL","-",IF(Peak!P44&gt;Peak!$G44,J$8*Peak!$AM$11,0))</f>
        <v>-</v>
      </c>
      <c r="K43" s="177" t="str">
        <f>IF('Peak Revenue'!$A$1="BL","-",IF(Peak!Q44&gt;Peak!$G44,K$8*Peak!$AM$11,0))</f>
        <v>-</v>
      </c>
      <c r="L43" s="177" t="str">
        <f>IF('Peak Revenue'!$A$1="BL","-",IF(Peak!R44&gt;Peak!$G44,L$8*Peak!$AM$11,0))</f>
        <v>-</v>
      </c>
      <c r="M43" s="177" t="str">
        <f>IF('Peak Revenue'!$A$1="BL","-",IF(Peak!S44&gt;Peak!$G44,M$8*Peak!$AM$11,0))</f>
        <v>-</v>
      </c>
      <c r="N43" s="177" t="str">
        <f>IF('Peak Revenue'!$A$1="BL","-",IF(Peak!T44&gt;Peak!$G44,N$8*Peak!$AM$11,0))</f>
        <v>-</v>
      </c>
      <c r="O43" s="177" t="str">
        <f>IF('Peak Revenue'!$A$1="BL","-",IF(Peak!U44&gt;Peak!$G44,O$8*Peak!$AM$11,0))</f>
        <v>-</v>
      </c>
      <c r="P43" s="177" t="str">
        <f>IF('Peak Revenue'!$A$1="BL","-",IF(Peak!V44&gt;Peak!$G44,P$8*Peak!$AM$11,0))</f>
        <v>-</v>
      </c>
      <c r="Q43" s="177" t="str">
        <f>IF('Peak Revenue'!$A$1="BL","-",IF(Peak!W44&gt;Peak!$G44,Q$8*Peak!$AM$11,0))</f>
        <v>-</v>
      </c>
      <c r="R43" s="177" t="str">
        <f>IF('Peak Revenue'!$A$1="BL","-",IF(Peak!X44&gt;Peak!$G44,R$8*Peak!$AM$11,0))</f>
        <v>-</v>
      </c>
      <c r="S43" s="177" t="str">
        <f>IF('Peak Revenue'!$A$1="BL","-",IF(Peak!Y44&gt;Peak!$G44,S$8*Peak!$AM$11,0))</f>
        <v>-</v>
      </c>
      <c r="T43" s="177" t="str">
        <f>IF('Peak Revenue'!$A$1="BL","-",IF(Peak!Z44&gt;Peak!$G44,T$8*Peak!$AM$11,0))</f>
        <v>-</v>
      </c>
      <c r="U43" s="177" t="str">
        <f>IF('Peak Revenue'!$A$1="BL","-",IF(Peak!AA44&gt;Peak!$G44,U$8*Peak!$AM$11,0))</f>
        <v>-</v>
      </c>
      <c r="V43" s="178">
        <f t="shared" si="0"/>
        <v>0</v>
      </c>
      <c r="W43" s="165"/>
    </row>
    <row r="44" spans="1:23" x14ac:dyDescent="0.2">
      <c r="A44" s="1">
        <f t="shared" si="1"/>
        <v>37574.178000000044</v>
      </c>
      <c r="B44" s="176" t="str">
        <f>IF('Peak Revenue'!$A$1="BL","-",IF(Peak!H45&gt;Peak!$G45,B$8*Peak!$AM$11,0))</f>
        <v>-</v>
      </c>
      <c r="C44" s="177" t="str">
        <f>IF('Peak Revenue'!$A$1="BL","-",IF(Peak!I45&gt;Peak!$G45,C$8*Peak!$AM$11,0))</f>
        <v>-</v>
      </c>
      <c r="D44" s="177" t="str">
        <f>IF('Peak Revenue'!$A$1="BL","-",IF(Peak!J45&gt;Peak!$G45,D$8*Peak!$AM$11,0))</f>
        <v>-</v>
      </c>
      <c r="E44" s="177" t="str">
        <f>IF('Peak Revenue'!$A$1="BL","-",IF(Peak!K45&gt;Peak!$G45,E$8*Peak!$AM$11,0))</f>
        <v>-</v>
      </c>
      <c r="F44" s="177" t="str">
        <f>IF('Peak Revenue'!$A$1="BL","-",IF(Peak!L45&gt;Peak!$G45,F$8*Peak!$AM$11,0))</f>
        <v>-</v>
      </c>
      <c r="G44" s="177" t="str">
        <f>IF('Peak Revenue'!$A$1="BL","-",IF(Peak!M45&gt;Peak!$G45,G$8*Peak!$AM$11,0))</f>
        <v>-</v>
      </c>
      <c r="H44" s="177" t="str">
        <f>IF('Peak Revenue'!$A$1="BL","-",IF(Peak!N45&gt;Peak!$G45,H$8*Peak!$AM$11,0))</f>
        <v>-</v>
      </c>
      <c r="I44" s="177" t="str">
        <f>IF('Peak Revenue'!$A$1="BL","-",IF(Peak!O45&gt;Peak!$G45,I$8*Peak!$AM$11,0))</f>
        <v>-</v>
      </c>
      <c r="J44" s="177" t="str">
        <f>IF('Peak Revenue'!$A$1="BL","-",IF(Peak!P45&gt;Peak!$G45,J$8*Peak!$AM$11,0))</f>
        <v>-</v>
      </c>
      <c r="K44" s="177" t="str">
        <f>IF('Peak Revenue'!$A$1="BL","-",IF(Peak!Q45&gt;Peak!$G45,K$8*Peak!$AM$11,0))</f>
        <v>-</v>
      </c>
      <c r="L44" s="177" t="str">
        <f>IF('Peak Revenue'!$A$1="BL","-",IF(Peak!R45&gt;Peak!$G45,L$8*Peak!$AM$11,0))</f>
        <v>-</v>
      </c>
      <c r="M44" s="177" t="str">
        <f>IF('Peak Revenue'!$A$1="BL","-",IF(Peak!S45&gt;Peak!$G45,M$8*Peak!$AM$11,0))</f>
        <v>-</v>
      </c>
      <c r="N44" s="177" t="str">
        <f>IF('Peak Revenue'!$A$1="BL","-",IF(Peak!T45&gt;Peak!$G45,N$8*Peak!$AM$11,0))</f>
        <v>-</v>
      </c>
      <c r="O44" s="177" t="str">
        <f>IF('Peak Revenue'!$A$1="BL","-",IF(Peak!U45&gt;Peak!$G45,O$8*Peak!$AM$11,0))</f>
        <v>-</v>
      </c>
      <c r="P44" s="177" t="str">
        <f>IF('Peak Revenue'!$A$1="BL","-",IF(Peak!V45&gt;Peak!$G45,P$8*Peak!$AM$11,0))</f>
        <v>-</v>
      </c>
      <c r="Q44" s="177" t="str">
        <f>IF('Peak Revenue'!$A$1="BL","-",IF(Peak!W45&gt;Peak!$G45,Q$8*Peak!$AM$11,0))</f>
        <v>-</v>
      </c>
      <c r="R44" s="177" t="str">
        <f>IF('Peak Revenue'!$A$1="BL","-",IF(Peak!X45&gt;Peak!$G45,R$8*Peak!$AM$11,0))</f>
        <v>-</v>
      </c>
      <c r="S44" s="177" t="str">
        <f>IF('Peak Revenue'!$A$1="BL","-",IF(Peak!Y45&gt;Peak!$G45,S$8*Peak!$AM$11,0))</f>
        <v>-</v>
      </c>
      <c r="T44" s="177" t="str">
        <f>IF('Peak Revenue'!$A$1="BL","-",IF(Peak!Z45&gt;Peak!$G45,T$8*Peak!$AM$11,0))</f>
        <v>-</v>
      </c>
      <c r="U44" s="177" t="str">
        <f>IF('Peak Revenue'!$A$1="BL","-",IF(Peak!AA45&gt;Peak!$G45,U$8*Peak!$AM$11,0))</f>
        <v>-</v>
      </c>
      <c r="V44" s="178">
        <f t="shared" si="0"/>
        <v>0</v>
      </c>
      <c r="W44" s="165"/>
    </row>
    <row r="45" spans="1:23" x14ac:dyDescent="0.2">
      <c r="A45" s="1">
        <f t="shared" si="1"/>
        <v>37604.595000000045</v>
      </c>
      <c r="B45" s="176" t="str">
        <f>IF('Peak Revenue'!$A$1="BL","-",IF(Peak!H46&gt;Peak!$G46,B$8*Peak!$AM$11,0))</f>
        <v>-</v>
      </c>
      <c r="C45" s="177" t="str">
        <f>IF('Peak Revenue'!$A$1="BL","-",IF(Peak!I46&gt;Peak!$G46,C$8*Peak!$AM$11,0))</f>
        <v>-</v>
      </c>
      <c r="D45" s="177" t="str">
        <f>IF('Peak Revenue'!$A$1="BL","-",IF(Peak!J46&gt;Peak!$G46,D$8*Peak!$AM$11,0))</f>
        <v>-</v>
      </c>
      <c r="E45" s="177" t="str">
        <f>IF('Peak Revenue'!$A$1="BL","-",IF(Peak!K46&gt;Peak!$G46,E$8*Peak!$AM$11,0))</f>
        <v>-</v>
      </c>
      <c r="F45" s="177" t="str">
        <f>IF('Peak Revenue'!$A$1="BL","-",IF(Peak!L46&gt;Peak!$G46,F$8*Peak!$AM$11,0))</f>
        <v>-</v>
      </c>
      <c r="G45" s="177" t="str">
        <f>IF('Peak Revenue'!$A$1="BL","-",IF(Peak!M46&gt;Peak!$G46,G$8*Peak!$AM$11,0))</f>
        <v>-</v>
      </c>
      <c r="H45" s="177" t="str">
        <f>IF('Peak Revenue'!$A$1="BL","-",IF(Peak!N46&gt;Peak!$G46,H$8*Peak!$AM$11,0))</f>
        <v>-</v>
      </c>
      <c r="I45" s="177" t="str">
        <f>IF('Peak Revenue'!$A$1="BL","-",IF(Peak!O46&gt;Peak!$G46,I$8*Peak!$AM$11,0))</f>
        <v>-</v>
      </c>
      <c r="J45" s="177" t="str">
        <f>IF('Peak Revenue'!$A$1="BL","-",IF(Peak!P46&gt;Peak!$G46,J$8*Peak!$AM$11,0))</f>
        <v>-</v>
      </c>
      <c r="K45" s="177" t="str">
        <f>IF('Peak Revenue'!$A$1="BL","-",IF(Peak!Q46&gt;Peak!$G46,K$8*Peak!$AM$11,0))</f>
        <v>-</v>
      </c>
      <c r="L45" s="177" t="str">
        <f>IF('Peak Revenue'!$A$1="BL","-",IF(Peak!R46&gt;Peak!$G46,L$8*Peak!$AM$11,0))</f>
        <v>-</v>
      </c>
      <c r="M45" s="177" t="str">
        <f>IF('Peak Revenue'!$A$1="BL","-",IF(Peak!S46&gt;Peak!$G46,M$8*Peak!$AM$11,0))</f>
        <v>-</v>
      </c>
      <c r="N45" s="177" t="str">
        <f>IF('Peak Revenue'!$A$1="BL","-",IF(Peak!T46&gt;Peak!$G46,N$8*Peak!$AM$11,0))</f>
        <v>-</v>
      </c>
      <c r="O45" s="177" t="str">
        <f>IF('Peak Revenue'!$A$1="BL","-",IF(Peak!U46&gt;Peak!$G46,O$8*Peak!$AM$11,0))</f>
        <v>-</v>
      </c>
      <c r="P45" s="177" t="str">
        <f>IF('Peak Revenue'!$A$1="BL","-",IF(Peak!V46&gt;Peak!$G46,P$8*Peak!$AM$11,0))</f>
        <v>-</v>
      </c>
      <c r="Q45" s="177" t="str">
        <f>IF('Peak Revenue'!$A$1="BL","-",IF(Peak!W46&gt;Peak!$G46,Q$8*Peak!$AM$11,0))</f>
        <v>-</v>
      </c>
      <c r="R45" s="177" t="str">
        <f>IF('Peak Revenue'!$A$1="BL","-",IF(Peak!X46&gt;Peak!$G46,R$8*Peak!$AM$11,0))</f>
        <v>-</v>
      </c>
      <c r="S45" s="177" t="str">
        <f>IF('Peak Revenue'!$A$1="BL","-",IF(Peak!Y46&gt;Peak!$G46,S$8*Peak!$AM$11,0))</f>
        <v>-</v>
      </c>
      <c r="T45" s="177" t="str">
        <f>IF('Peak Revenue'!$A$1="BL","-",IF(Peak!Z46&gt;Peak!$G46,T$8*Peak!$AM$11,0))</f>
        <v>-</v>
      </c>
      <c r="U45" s="177" t="str">
        <f>IF('Peak Revenue'!$A$1="BL","-",IF(Peak!AA46&gt;Peak!$G46,U$8*Peak!$AM$11,0))</f>
        <v>-</v>
      </c>
      <c r="V45" s="178">
        <f t="shared" si="0"/>
        <v>0</v>
      </c>
      <c r="W45" s="164">
        <f>SUM(V34:V45)</f>
        <v>0</v>
      </c>
    </row>
    <row r="46" spans="1:23" x14ac:dyDescent="0.2">
      <c r="A46" s="1">
        <f t="shared" si="1"/>
        <v>37635.012000000046</v>
      </c>
      <c r="B46" s="176" t="str">
        <f>IF('Peak Revenue'!$A$1="BL","-",IF(Peak!H47&gt;Peak!$G47,B$8*Peak!$AM$11,0))</f>
        <v>-</v>
      </c>
      <c r="C46" s="177" t="str">
        <f>IF('Peak Revenue'!$A$1="BL","-",IF(Peak!I47&gt;Peak!$G47,C$8*Peak!$AM$11,0))</f>
        <v>-</v>
      </c>
      <c r="D46" s="177" t="str">
        <f>IF('Peak Revenue'!$A$1="BL","-",IF(Peak!J47&gt;Peak!$G47,D$8*Peak!$AM$11,0))</f>
        <v>-</v>
      </c>
      <c r="E46" s="177" t="str">
        <f>IF('Peak Revenue'!$A$1="BL","-",IF(Peak!K47&gt;Peak!$G47,E$8*Peak!$AM$11,0))</f>
        <v>-</v>
      </c>
      <c r="F46" s="177" t="str">
        <f>IF('Peak Revenue'!$A$1="BL","-",IF(Peak!L47&gt;Peak!$G47,F$8*Peak!$AM$11,0))</f>
        <v>-</v>
      </c>
      <c r="G46" s="177" t="str">
        <f>IF('Peak Revenue'!$A$1="BL","-",IF(Peak!M47&gt;Peak!$G47,G$8*Peak!$AM$11,0))</f>
        <v>-</v>
      </c>
      <c r="H46" s="177" t="str">
        <f>IF('Peak Revenue'!$A$1="BL","-",IF(Peak!N47&gt;Peak!$G47,H$8*Peak!$AM$11,0))</f>
        <v>-</v>
      </c>
      <c r="I46" s="177" t="str">
        <f>IF('Peak Revenue'!$A$1="BL","-",IF(Peak!O47&gt;Peak!$G47,I$8*Peak!$AM$11,0))</f>
        <v>-</v>
      </c>
      <c r="J46" s="177" t="str">
        <f>IF('Peak Revenue'!$A$1="BL","-",IF(Peak!P47&gt;Peak!$G47,J$8*Peak!$AM$11,0))</f>
        <v>-</v>
      </c>
      <c r="K46" s="177" t="str">
        <f>IF('Peak Revenue'!$A$1="BL","-",IF(Peak!Q47&gt;Peak!$G47,K$8*Peak!$AM$11,0))</f>
        <v>-</v>
      </c>
      <c r="L46" s="177" t="str">
        <f>IF('Peak Revenue'!$A$1="BL","-",IF(Peak!R47&gt;Peak!$G47,L$8*Peak!$AM$11,0))</f>
        <v>-</v>
      </c>
      <c r="M46" s="177" t="str">
        <f>IF('Peak Revenue'!$A$1="BL","-",IF(Peak!S47&gt;Peak!$G47,M$8*Peak!$AM$11,0))</f>
        <v>-</v>
      </c>
      <c r="N46" s="177" t="str">
        <f>IF('Peak Revenue'!$A$1="BL","-",IF(Peak!T47&gt;Peak!$G47,N$8*Peak!$AM$11,0))</f>
        <v>-</v>
      </c>
      <c r="O46" s="177" t="str">
        <f>IF('Peak Revenue'!$A$1="BL","-",IF(Peak!U47&gt;Peak!$G47,O$8*Peak!$AM$11,0))</f>
        <v>-</v>
      </c>
      <c r="P46" s="177" t="str">
        <f>IF('Peak Revenue'!$A$1="BL","-",IF(Peak!V47&gt;Peak!$G47,P$8*Peak!$AM$11,0))</f>
        <v>-</v>
      </c>
      <c r="Q46" s="177" t="str">
        <f>IF('Peak Revenue'!$A$1="BL","-",IF(Peak!W47&gt;Peak!$G47,Q$8*Peak!$AM$11,0))</f>
        <v>-</v>
      </c>
      <c r="R46" s="177" t="str">
        <f>IF('Peak Revenue'!$A$1="BL","-",IF(Peak!X47&gt;Peak!$G47,R$8*Peak!$AM$11,0))</f>
        <v>-</v>
      </c>
      <c r="S46" s="177" t="str">
        <f>IF('Peak Revenue'!$A$1="BL","-",IF(Peak!Y47&gt;Peak!$G47,S$8*Peak!$AM$11,0))</f>
        <v>-</v>
      </c>
      <c r="T46" s="177" t="str">
        <f>IF('Peak Revenue'!$A$1="BL","-",IF(Peak!Z47&gt;Peak!$G47,T$8*Peak!$AM$11,0))</f>
        <v>-</v>
      </c>
      <c r="U46" s="177" t="str">
        <f>IF('Peak Revenue'!$A$1="BL","-",IF(Peak!AA47&gt;Peak!$G47,U$8*Peak!$AM$11,0))</f>
        <v>-</v>
      </c>
      <c r="V46" s="178">
        <f t="shared" si="0"/>
        <v>0</v>
      </c>
      <c r="W46" s="165"/>
    </row>
    <row r="47" spans="1:23" x14ac:dyDescent="0.2">
      <c r="A47" s="1">
        <f t="shared" si="1"/>
        <v>37665.429000000047</v>
      </c>
      <c r="B47" s="176" t="str">
        <f>IF('Peak Revenue'!$A$1="BL","-",IF(Peak!H48&gt;Peak!$G48,B$8*Peak!$AM$11,0))</f>
        <v>-</v>
      </c>
      <c r="C47" s="177" t="str">
        <f>IF('Peak Revenue'!$A$1="BL","-",IF(Peak!I48&gt;Peak!$G48,C$8*Peak!$AM$11,0))</f>
        <v>-</v>
      </c>
      <c r="D47" s="177" t="str">
        <f>IF('Peak Revenue'!$A$1="BL","-",IF(Peak!J48&gt;Peak!$G48,D$8*Peak!$AM$11,0))</f>
        <v>-</v>
      </c>
      <c r="E47" s="177" t="str">
        <f>IF('Peak Revenue'!$A$1="BL","-",IF(Peak!K48&gt;Peak!$G48,E$8*Peak!$AM$11,0))</f>
        <v>-</v>
      </c>
      <c r="F47" s="177" t="str">
        <f>IF('Peak Revenue'!$A$1="BL","-",IF(Peak!L48&gt;Peak!$G48,F$8*Peak!$AM$11,0))</f>
        <v>-</v>
      </c>
      <c r="G47" s="177" t="str">
        <f>IF('Peak Revenue'!$A$1="BL","-",IF(Peak!M48&gt;Peak!$G48,G$8*Peak!$AM$11,0))</f>
        <v>-</v>
      </c>
      <c r="H47" s="177" t="str">
        <f>IF('Peak Revenue'!$A$1="BL","-",IF(Peak!N48&gt;Peak!$G48,H$8*Peak!$AM$11,0))</f>
        <v>-</v>
      </c>
      <c r="I47" s="177" t="str">
        <f>IF('Peak Revenue'!$A$1="BL","-",IF(Peak!O48&gt;Peak!$G48,I$8*Peak!$AM$11,0))</f>
        <v>-</v>
      </c>
      <c r="J47" s="177" t="str">
        <f>IF('Peak Revenue'!$A$1="BL","-",IF(Peak!P48&gt;Peak!$G48,J$8*Peak!$AM$11,0))</f>
        <v>-</v>
      </c>
      <c r="K47" s="177" t="str">
        <f>IF('Peak Revenue'!$A$1="BL","-",IF(Peak!Q48&gt;Peak!$G48,K$8*Peak!$AM$11,0))</f>
        <v>-</v>
      </c>
      <c r="L47" s="177" t="str">
        <f>IF('Peak Revenue'!$A$1="BL","-",IF(Peak!R48&gt;Peak!$G48,L$8*Peak!$AM$11,0))</f>
        <v>-</v>
      </c>
      <c r="M47" s="177" t="str">
        <f>IF('Peak Revenue'!$A$1="BL","-",IF(Peak!S48&gt;Peak!$G48,M$8*Peak!$AM$11,0))</f>
        <v>-</v>
      </c>
      <c r="N47" s="177" t="str">
        <f>IF('Peak Revenue'!$A$1="BL","-",IF(Peak!T48&gt;Peak!$G48,N$8*Peak!$AM$11,0))</f>
        <v>-</v>
      </c>
      <c r="O47" s="177" t="str">
        <f>IF('Peak Revenue'!$A$1="BL","-",IF(Peak!U48&gt;Peak!$G48,O$8*Peak!$AM$11,0))</f>
        <v>-</v>
      </c>
      <c r="P47" s="177" t="str">
        <f>IF('Peak Revenue'!$A$1="BL","-",IF(Peak!V48&gt;Peak!$G48,P$8*Peak!$AM$11,0))</f>
        <v>-</v>
      </c>
      <c r="Q47" s="177" t="str">
        <f>IF('Peak Revenue'!$A$1="BL","-",IF(Peak!W48&gt;Peak!$G48,Q$8*Peak!$AM$11,0))</f>
        <v>-</v>
      </c>
      <c r="R47" s="177" t="str">
        <f>IF('Peak Revenue'!$A$1="BL","-",IF(Peak!X48&gt;Peak!$G48,R$8*Peak!$AM$11,0))</f>
        <v>-</v>
      </c>
      <c r="S47" s="177" t="str">
        <f>IF('Peak Revenue'!$A$1="BL","-",IF(Peak!Y48&gt;Peak!$G48,S$8*Peak!$AM$11,0))</f>
        <v>-</v>
      </c>
      <c r="T47" s="177" t="str">
        <f>IF('Peak Revenue'!$A$1="BL","-",IF(Peak!Z48&gt;Peak!$G48,T$8*Peak!$AM$11,0))</f>
        <v>-</v>
      </c>
      <c r="U47" s="177" t="str">
        <f>IF('Peak Revenue'!$A$1="BL","-",IF(Peak!AA48&gt;Peak!$G48,U$8*Peak!$AM$11,0))</f>
        <v>-</v>
      </c>
      <c r="V47" s="178">
        <f t="shared" si="0"/>
        <v>0</v>
      </c>
      <c r="W47" s="165"/>
    </row>
    <row r="48" spans="1:23" x14ac:dyDescent="0.2">
      <c r="A48" s="1">
        <f t="shared" si="1"/>
        <v>37695.846000000049</v>
      </c>
      <c r="B48" s="176" t="str">
        <f>IF('Peak Revenue'!$A$1="BL","-",IF(Peak!H49&gt;Peak!$G49,B$8*Peak!$AM$11,0))</f>
        <v>-</v>
      </c>
      <c r="C48" s="177" t="str">
        <f>IF('Peak Revenue'!$A$1="BL","-",IF(Peak!I49&gt;Peak!$G49,C$8*Peak!$AM$11,0))</f>
        <v>-</v>
      </c>
      <c r="D48" s="177" t="str">
        <f>IF('Peak Revenue'!$A$1="BL","-",IF(Peak!J49&gt;Peak!$G49,D$8*Peak!$AM$11,0))</f>
        <v>-</v>
      </c>
      <c r="E48" s="177" t="str">
        <f>IF('Peak Revenue'!$A$1="BL","-",IF(Peak!K49&gt;Peak!$G49,E$8*Peak!$AM$11,0))</f>
        <v>-</v>
      </c>
      <c r="F48" s="177" t="str">
        <f>IF('Peak Revenue'!$A$1="BL","-",IF(Peak!L49&gt;Peak!$G49,F$8*Peak!$AM$11,0))</f>
        <v>-</v>
      </c>
      <c r="G48" s="177" t="str">
        <f>IF('Peak Revenue'!$A$1="BL","-",IF(Peak!M49&gt;Peak!$G49,G$8*Peak!$AM$11,0))</f>
        <v>-</v>
      </c>
      <c r="H48" s="177" t="str">
        <f>IF('Peak Revenue'!$A$1="BL","-",IF(Peak!N49&gt;Peak!$G49,H$8*Peak!$AM$11,0))</f>
        <v>-</v>
      </c>
      <c r="I48" s="177" t="str">
        <f>IF('Peak Revenue'!$A$1="BL","-",IF(Peak!O49&gt;Peak!$G49,I$8*Peak!$AM$11,0))</f>
        <v>-</v>
      </c>
      <c r="J48" s="177" t="str">
        <f>IF('Peak Revenue'!$A$1="BL","-",IF(Peak!P49&gt;Peak!$G49,J$8*Peak!$AM$11,0))</f>
        <v>-</v>
      </c>
      <c r="K48" s="177" t="str">
        <f>IF('Peak Revenue'!$A$1="BL","-",IF(Peak!Q49&gt;Peak!$G49,K$8*Peak!$AM$11,0))</f>
        <v>-</v>
      </c>
      <c r="L48" s="177" t="str">
        <f>IF('Peak Revenue'!$A$1="BL","-",IF(Peak!R49&gt;Peak!$G49,L$8*Peak!$AM$11,0))</f>
        <v>-</v>
      </c>
      <c r="M48" s="177" t="str">
        <f>IF('Peak Revenue'!$A$1="BL","-",IF(Peak!S49&gt;Peak!$G49,M$8*Peak!$AM$11,0))</f>
        <v>-</v>
      </c>
      <c r="N48" s="177" t="str">
        <f>IF('Peak Revenue'!$A$1="BL","-",IF(Peak!T49&gt;Peak!$G49,N$8*Peak!$AM$11,0))</f>
        <v>-</v>
      </c>
      <c r="O48" s="177" t="str">
        <f>IF('Peak Revenue'!$A$1="BL","-",IF(Peak!U49&gt;Peak!$G49,O$8*Peak!$AM$11,0))</f>
        <v>-</v>
      </c>
      <c r="P48" s="177" t="str">
        <f>IF('Peak Revenue'!$A$1="BL","-",IF(Peak!V49&gt;Peak!$G49,P$8*Peak!$AM$11,0))</f>
        <v>-</v>
      </c>
      <c r="Q48" s="177" t="str">
        <f>IF('Peak Revenue'!$A$1="BL","-",IF(Peak!W49&gt;Peak!$G49,Q$8*Peak!$AM$11,0))</f>
        <v>-</v>
      </c>
      <c r="R48" s="177" t="str">
        <f>IF('Peak Revenue'!$A$1="BL","-",IF(Peak!X49&gt;Peak!$G49,R$8*Peak!$AM$11,0))</f>
        <v>-</v>
      </c>
      <c r="S48" s="177" t="str">
        <f>IF('Peak Revenue'!$A$1="BL","-",IF(Peak!Y49&gt;Peak!$G49,S$8*Peak!$AM$11,0))</f>
        <v>-</v>
      </c>
      <c r="T48" s="177" t="str">
        <f>IF('Peak Revenue'!$A$1="BL","-",IF(Peak!Z49&gt;Peak!$G49,T$8*Peak!$AM$11,0))</f>
        <v>-</v>
      </c>
      <c r="U48" s="177" t="str">
        <f>IF('Peak Revenue'!$A$1="BL","-",IF(Peak!AA49&gt;Peak!$G49,U$8*Peak!$AM$11,0))</f>
        <v>-</v>
      </c>
      <c r="V48" s="178">
        <f t="shared" si="0"/>
        <v>0</v>
      </c>
      <c r="W48" s="165"/>
    </row>
    <row r="49" spans="1:23" x14ac:dyDescent="0.2">
      <c r="A49" s="1">
        <f t="shared" si="1"/>
        <v>37726.26300000005</v>
      </c>
      <c r="B49" s="176" t="str">
        <f>IF('Peak Revenue'!$A$1="BL","-",IF(Peak!H50&gt;Peak!$G50,B$8*Peak!$AM$11,0))</f>
        <v>-</v>
      </c>
      <c r="C49" s="177" t="str">
        <f>IF('Peak Revenue'!$A$1="BL","-",IF(Peak!I50&gt;Peak!$G50,C$8*Peak!$AM$11,0))</f>
        <v>-</v>
      </c>
      <c r="D49" s="177" t="str">
        <f>IF('Peak Revenue'!$A$1="BL","-",IF(Peak!J50&gt;Peak!$G50,D$8*Peak!$AM$11,0))</f>
        <v>-</v>
      </c>
      <c r="E49" s="177" t="str">
        <f>IF('Peak Revenue'!$A$1="BL","-",IF(Peak!K50&gt;Peak!$G50,E$8*Peak!$AM$11,0))</f>
        <v>-</v>
      </c>
      <c r="F49" s="177" t="str">
        <f>IF('Peak Revenue'!$A$1="BL","-",IF(Peak!L50&gt;Peak!$G50,F$8*Peak!$AM$11,0))</f>
        <v>-</v>
      </c>
      <c r="G49" s="177" t="str">
        <f>IF('Peak Revenue'!$A$1="BL","-",IF(Peak!M50&gt;Peak!$G50,G$8*Peak!$AM$11,0))</f>
        <v>-</v>
      </c>
      <c r="H49" s="177" t="str">
        <f>IF('Peak Revenue'!$A$1="BL","-",IF(Peak!N50&gt;Peak!$G50,H$8*Peak!$AM$11,0))</f>
        <v>-</v>
      </c>
      <c r="I49" s="177" t="str">
        <f>IF('Peak Revenue'!$A$1="BL","-",IF(Peak!O50&gt;Peak!$G50,I$8*Peak!$AM$11,0))</f>
        <v>-</v>
      </c>
      <c r="J49" s="177" t="str">
        <f>IF('Peak Revenue'!$A$1="BL","-",IF(Peak!P50&gt;Peak!$G50,J$8*Peak!$AM$11,0))</f>
        <v>-</v>
      </c>
      <c r="K49" s="177" t="str">
        <f>IF('Peak Revenue'!$A$1="BL","-",IF(Peak!Q50&gt;Peak!$G50,K$8*Peak!$AM$11,0))</f>
        <v>-</v>
      </c>
      <c r="L49" s="177" t="str">
        <f>IF('Peak Revenue'!$A$1="BL","-",IF(Peak!R50&gt;Peak!$G50,L$8*Peak!$AM$11,0))</f>
        <v>-</v>
      </c>
      <c r="M49" s="177" t="str">
        <f>IF('Peak Revenue'!$A$1="BL","-",IF(Peak!S50&gt;Peak!$G50,M$8*Peak!$AM$11,0))</f>
        <v>-</v>
      </c>
      <c r="N49" s="177" t="str">
        <f>IF('Peak Revenue'!$A$1="BL","-",IF(Peak!T50&gt;Peak!$G50,N$8*Peak!$AM$11,0))</f>
        <v>-</v>
      </c>
      <c r="O49" s="177" t="str">
        <f>IF('Peak Revenue'!$A$1="BL","-",IF(Peak!U50&gt;Peak!$G50,O$8*Peak!$AM$11,0))</f>
        <v>-</v>
      </c>
      <c r="P49" s="177" t="str">
        <f>IF('Peak Revenue'!$A$1="BL","-",IF(Peak!V50&gt;Peak!$G50,P$8*Peak!$AM$11,0))</f>
        <v>-</v>
      </c>
      <c r="Q49" s="177" t="str">
        <f>IF('Peak Revenue'!$A$1="BL","-",IF(Peak!W50&gt;Peak!$G50,Q$8*Peak!$AM$11,0))</f>
        <v>-</v>
      </c>
      <c r="R49" s="177" t="str">
        <f>IF('Peak Revenue'!$A$1="BL","-",IF(Peak!X50&gt;Peak!$G50,R$8*Peak!$AM$11,0))</f>
        <v>-</v>
      </c>
      <c r="S49" s="177" t="str">
        <f>IF('Peak Revenue'!$A$1="BL","-",IF(Peak!Y50&gt;Peak!$G50,S$8*Peak!$AM$11,0))</f>
        <v>-</v>
      </c>
      <c r="T49" s="177" t="str">
        <f>IF('Peak Revenue'!$A$1="BL","-",IF(Peak!Z50&gt;Peak!$G50,T$8*Peak!$AM$11,0))</f>
        <v>-</v>
      </c>
      <c r="U49" s="177" t="str">
        <f>IF('Peak Revenue'!$A$1="BL","-",IF(Peak!AA50&gt;Peak!$G50,U$8*Peak!$AM$11,0))</f>
        <v>-</v>
      </c>
      <c r="V49" s="178">
        <f t="shared" si="0"/>
        <v>0</v>
      </c>
      <c r="W49" s="165"/>
    </row>
    <row r="50" spans="1:23" x14ac:dyDescent="0.2">
      <c r="A50" s="1">
        <f t="shared" si="1"/>
        <v>37756.680000000051</v>
      </c>
      <c r="B50" s="176" t="str">
        <f>IF('Peak Revenue'!$A$1="BL","-",IF(Peak!H51&gt;Peak!$G51,B$8*Peak!$AM$11,0))</f>
        <v>-</v>
      </c>
      <c r="C50" s="177" t="str">
        <f>IF('Peak Revenue'!$A$1="BL","-",IF(Peak!I51&gt;Peak!$G51,C$8*Peak!$AM$11,0))</f>
        <v>-</v>
      </c>
      <c r="D50" s="177" t="str">
        <f>IF('Peak Revenue'!$A$1="BL","-",IF(Peak!J51&gt;Peak!$G51,D$8*Peak!$AM$11,0))</f>
        <v>-</v>
      </c>
      <c r="E50" s="177" t="str">
        <f>IF('Peak Revenue'!$A$1="BL","-",IF(Peak!K51&gt;Peak!$G51,E$8*Peak!$AM$11,0))</f>
        <v>-</v>
      </c>
      <c r="F50" s="177" t="str">
        <f>IF('Peak Revenue'!$A$1="BL","-",IF(Peak!L51&gt;Peak!$G51,F$8*Peak!$AM$11,0))</f>
        <v>-</v>
      </c>
      <c r="G50" s="177" t="str">
        <f>IF('Peak Revenue'!$A$1="BL","-",IF(Peak!M51&gt;Peak!$G51,G$8*Peak!$AM$11,0))</f>
        <v>-</v>
      </c>
      <c r="H50" s="177" t="str">
        <f>IF('Peak Revenue'!$A$1="BL","-",IF(Peak!N51&gt;Peak!$G51,H$8*Peak!$AM$11,0))</f>
        <v>-</v>
      </c>
      <c r="I50" s="177" t="str">
        <f>IF('Peak Revenue'!$A$1="BL","-",IF(Peak!O51&gt;Peak!$G51,I$8*Peak!$AM$11,0))</f>
        <v>-</v>
      </c>
      <c r="J50" s="177" t="str">
        <f>IF('Peak Revenue'!$A$1="BL","-",IF(Peak!P51&gt;Peak!$G51,J$8*Peak!$AM$11,0))</f>
        <v>-</v>
      </c>
      <c r="K50" s="177" t="str">
        <f>IF('Peak Revenue'!$A$1="BL","-",IF(Peak!Q51&gt;Peak!$G51,K$8*Peak!$AM$11,0))</f>
        <v>-</v>
      </c>
      <c r="L50" s="177" t="str">
        <f>IF('Peak Revenue'!$A$1="BL","-",IF(Peak!R51&gt;Peak!$G51,L$8*Peak!$AM$11,0))</f>
        <v>-</v>
      </c>
      <c r="M50" s="177" t="str">
        <f>IF('Peak Revenue'!$A$1="BL","-",IF(Peak!S51&gt;Peak!$G51,M$8*Peak!$AM$11,0))</f>
        <v>-</v>
      </c>
      <c r="N50" s="177" t="str">
        <f>IF('Peak Revenue'!$A$1="BL","-",IF(Peak!T51&gt;Peak!$G51,N$8*Peak!$AM$11,0))</f>
        <v>-</v>
      </c>
      <c r="O50" s="177" t="str">
        <f>IF('Peak Revenue'!$A$1="BL","-",IF(Peak!U51&gt;Peak!$G51,O$8*Peak!$AM$11,0))</f>
        <v>-</v>
      </c>
      <c r="P50" s="177" t="str">
        <f>IF('Peak Revenue'!$A$1="BL","-",IF(Peak!V51&gt;Peak!$G51,P$8*Peak!$AM$11,0))</f>
        <v>-</v>
      </c>
      <c r="Q50" s="177" t="str">
        <f>IF('Peak Revenue'!$A$1="BL","-",IF(Peak!W51&gt;Peak!$G51,Q$8*Peak!$AM$11,0))</f>
        <v>-</v>
      </c>
      <c r="R50" s="177" t="str">
        <f>IF('Peak Revenue'!$A$1="BL","-",IF(Peak!X51&gt;Peak!$G51,R$8*Peak!$AM$11,0))</f>
        <v>-</v>
      </c>
      <c r="S50" s="177" t="str">
        <f>IF('Peak Revenue'!$A$1="BL","-",IF(Peak!Y51&gt;Peak!$G51,S$8*Peak!$AM$11,0))</f>
        <v>-</v>
      </c>
      <c r="T50" s="177" t="str">
        <f>IF('Peak Revenue'!$A$1="BL","-",IF(Peak!Z51&gt;Peak!$G51,T$8*Peak!$AM$11,0))</f>
        <v>-</v>
      </c>
      <c r="U50" s="177" t="str">
        <f>IF('Peak Revenue'!$A$1="BL","-",IF(Peak!AA51&gt;Peak!$G51,U$8*Peak!$AM$11,0))</f>
        <v>-</v>
      </c>
      <c r="V50" s="178">
        <f t="shared" si="0"/>
        <v>0</v>
      </c>
      <c r="W50" s="165"/>
    </row>
    <row r="51" spans="1:23" x14ac:dyDescent="0.2">
      <c r="A51" s="1">
        <f t="shared" si="1"/>
        <v>37787.097000000053</v>
      </c>
      <c r="B51" s="176" t="str">
        <f>IF('Peak Revenue'!$A$1="BL","-",IF(Peak!H52&gt;Peak!$G52,B$8*Peak!$AM$11,0))</f>
        <v>-</v>
      </c>
      <c r="C51" s="177" t="str">
        <f>IF('Peak Revenue'!$A$1="BL","-",IF(Peak!I52&gt;Peak!$G52,C$8*Peak!$AM$11,0))</f>
        <v>-</v>
      </c>
      <c r="D51" s="177" t="str">
        <f>IF('Peak Revenue'!$A$1="BL","-",IF(Peak!J52&gt;Peak!$G52,D$8*Peak!$AM$11,0))</f>
        <v>-</v>
      </c>
      <c r="E51" s="177" t="str">
        <f>IF('Peak Revenue'!$A$1="BL","-",IF(Peak!K52&gt;Peak!$G52,E$8*Peak!$AM$11,0))</f>
        <v>-</v>
      </c>
      <c r="F51" s="177" t="str">
        <f>IF('Peak Revenue'!$A$1="BL","-",IF(Peak!L52&gt;Peak!$G52,F$8*Peak!$AM$11,0))</f>
        <v>-</v>
      </c>
      <c r="G51" s="177" t="str">
        <f>IF('Peak Revenue'!$A$1="BL","-",IF(Peak!M52&gt;Peak!$G52,G$8*Peak!$AM$11,0))</f>
        <v>-</v>
      </c>
      <c r="H51" s="177" t="str">
        <f>IF('Peak Revenue'!$A$1="BL","-",IF(Peak!N52&gt;Peak!$G52,H$8*Peak!$AM$11,0))</f>
        <v>-</v>
      </c>
      <c r="I51" s="177" t="str">
        <f>IF('Peak Revenue'!$A$1="BL","-",IF(Peak!O52&gt;Peak!$G52,I$8*Peak!$AM$11,0))</f>
        <v>-</v>
      </c>
      <c r="J51" s="177" t="str">
        <f>IF('Peak Revenue'!$A$1="BL","-",IF(Peak!P52&gt;Peak!$G52,J$8*Peak!$AM$11,0))</f>
        <v>-</v>
      </c>
      <c r="K51" s="177" t="str">
        <f>IF('Peak Revenue'!$A$1="BL","-",IF(Peak!Q52&gt;Peak!$G52,K$8*Peak!$AM$11,0))</f>
        <v>-</v>
      </c>
      <c r="L51" s="177" t="str">
        <f>IF('Peak Revenue'!$A$1="BL","-",IF(Peak!R52&gt;Peak!$G52,L$8*Peak!$AM$11,0))</f>
        <v>-</v>
      </c>
      <c r="M51" s="177" t="str">
        <f>IF('Peak Revenue'!$A$1="BL","-",IF(Peak!S52&gt;Peak!$G52,M$8*Peak!$AM$11,0))</f>
        <v>-</v>
      </c>
      <c r="N51" s="177" t="str">
        <f>IF('Peak Revenue'!$A$1="BL","-",IF(Peak!T52&gt;Peak!$G52,N$8*Peak!$AM$11,0))</f>
        <v>-</v>
      </c>
      <c r="O51" s="177" t="str">
        <f>IF('Peak Revenue'!$A$1="BL","-",IF(Peak!U52&gt;Peak!$G52,O$8*Peak!$AM$11,0))</f>
        <v>-</v>
      </c>
      <c r="P51" s="177" t="str">
        <f>IF('Peak Revenue'!$A$1="BL","-",IF(Peak!V52&gt;Peak!$G52,P$8*Peak!$AM$11,0))</f>
        <v>-</v>
      </c>
      <c r="Q51" s="177" t="str">
        <f>IF('Peak Revenue'!$A$1="BL","-",IF(Peak!W52&gt;Peak!$G52,Q$8*Peak!$AM$11,0))</f>
        <v>-</v>
      </c>
      <c r="R51" s="177" t="str">
        <f>IF('Peak Revenue'!$A$1="BL","-",IF(Peak!X52&gt;Peak!$G52,R$8*Peak!$AM$11,0))</f>
        <v>-</v>
      </c>
      <c r="S51" s="177" t="str">
        <f>IF('Peak Revenue'!$A$1="BL","-",IF(Peak!Y52&gt;Peak!$G52,S$8*Peak!$AM$11,0))</f>
        <v>-</v>
      </c>
      <c r="T51" s="177" t="str">
        <f>IF('Peak Revenue'!$A$1="BL","-",IF(Peak!Z52&gt;Peak!$G52,T$8*Peak!$AM$11,0))</f>
        <v>-</v>
      </c>
      <c r="U51" s="177" t="str">
        <f>IF('Peak Revenue'!$A$1="BL","-",IF(Peak!AA52&gt;Peak!$G52,U$8*Peak!$AM$11,0))</f>
        <v>-</v>
      </c>
      <c r="V51" s="178">
        <f t="shared" si="0"/>
        <v>0</v>
      </c>
      <c r="W51" s="165"/>
    </row>
    <row r="52" spans="1:23" x14ac:dyDescent="0.2">
      <c r="A52" s="1">
        <f t="shared" si="1"/>
        <v>37817.514000000054</v>
      </c>
      <c r="B52" s="176" t="str">
        <f>IF('Peak Revenue'!$A$1="BL","-",IF(Peak!H53&gt;Peak!$G53,B$8*Peak!$AM$11,0))</f>
        <v>-</v>
      </c>
      <c r="C52" s="177" t="str">
        <f>IF('Peak Revenue'!$A$1="BL","-",IF(Peak!I53&gt;Peak!$G53,C$8*Peak!$AM$11,0))</f>
        <v>-</v>
      </c>
      <c r="D52" s="177" t="str">
        <f>IF('Peak Revenue'!$A$1="BL","-",IF(Peak!J53&gt;Peak!$G53,D$8*Peak!$AM$11,0))</f>
        <v>-</v>
      </c>
      <c r="E52" s="177" t="str">
        <f>IF('Peak Revenue'!$A$1="BL","-",IF(Peak!K53&gt;Peak!$G53,E$8*Peak!$AM$11,0))</f>
        <v>-</v>
      </c>
      <c r="F52" s="177" t="str">
        <f>IF('Peak Revenue'!$A$1="BL","-",IF(Peak!L53&gt;Peak!$G53,F$8*Peak!$AM$11,0))</f>
        <v>-</v>
      </c>
      <c r="G52" s="177" t="str">
        <f>IF('Peak Revenue'!$A$1="BL","-",IF(Peak!M53&gt;Peak!$G53,G$8*Peak!$AM$11,0))</f>
        <v>-</v>
      </c>
      <c r="H52" s="177" t="str">
        <f>IF('Peak Revenue'!$A$1="BL","-",IF(Peak!N53&gt;Peak!$G53,H$8*Peak!$AM$11,0))</f>
        <v>-</v>
      </c>
      <c r="I52" s="177" t="str">
        <f>IF('Peak Revenue'!$A$1="BL","-",IF(Peak!O53&gt;Peak!$G53,I$8*Peak!$AM$11,0))</f>
        <v>-</v>
      </c>
      <c r="J52" s="177" t="str">
        <f>IF('Peak Revenue'!$A$1="BL","-",IF(Peak!P53&gt;Peak!$G53,J$8*Peak!$AM$11,0))</f>
        <v>-</v>
      </c>
      <c r="K52" s="177" t="str">
        <f>IF('Peak Revenue'!$A$1="BL","-",IF(Peak!Q53&gt;Peak!$G53,K$8*Peak!$AM$11,0))</f>
        <v>-</v>
      </c>
      <c r="L52" s="177" t="str">
        <f>IF('Peak Revenue'!$A$1="BL","-",IF(Peak!R53&gt;Peak!$G53,L$8*Peak!$AM$11,0))</f>
        <v>-</v>
      </c>
      <c r="M52" s="177" t="str">
        <f>IF('Peak Revenue'!$A$1="BL","-",IF(Peak!S53&gt;Peak!$G53,M$8*Peak!$AM$11,0))</f>
        <v>-</v>
      </c>
      <c r="N52" s="177" t="str">
        <f>IF('Peak Revenue'!$A$1="BL","-",IF(Peak!T53&gt;Peak!$G53,N$8*Peak!$AM$11,0))</f>
        <v>-</v>
      </c>
      <c r="O52" s="177" t="str">
        <f>IF('Peak Revenue'!$A$1="BL","-",IF(Peak!U53&gt;Peak!$G53,O$8*Peak!$AM$11,0))</f>
        <v>-</v>
      </c>
      <c r="P52" s="177" t="str">
        <f>IF('Peak Revenue'!$A$1="BL","-",IF(Peak!V53&gt;Peak!$G53,P$8*Peak!$AM$11,0))</f>
        <v>-</v>
      </c>
      <c r="Q52" s="177" t="str">
        <f>IF('Peak Revenue'!$A$1="BL","-",IF(Peak!W53&gt;Peak!$G53,Q$8*Peak!$AM$11,0))</f>
        <v>-</v>
      </c>
      <c r="R52" s="177" t="str">
        <f>IF('Peak Revenue'!$A$1="BL","-",IF(Peak!X53&gt;Peak!$G53,R$8*Peak!$AM$11,0))</f>
        <v>-</v>
      </c>
      <c r="S52" s="177" t="str">
        <f>IF('Peak Revenue'!$A$1="BL","-",IF(Peak!Y53&gt;Peak!$G53,S$8*Peak!$AM$11,0))</f>
        <v>-</v>
      </c>
      <c r="T52" s="177" t="str">
        <f>IF('Peak Revenue'!$A$1="BL","-",IF(Peak!Z53&gt;Peak!$G53,T$8*Peak!$AM$11,0))</f>
        <v>-</v>
      </c>
      <c r="U52" s="177" t="str">
        <f>IF('Peak Revenue'!$A$1="BL","-",IF(Peak!AA53&gt;Peak!$G53,U$8*Peak!$AM$11,0))</f>
        <v>-</v>
      </c>
      <c r="V52" s="178">
        <f t="shared" si="0"/>
        <v>0</v>
      </c>
      <c r="W52" s="165"/>
    </row>
    <row r="53" spans="1:23" x14ac:dyDescent="0.2">
      <c r="A53" s="1">
        <f t="shared" si="1"/>
        <v>37847.931000000055</v>
      </c>
      <c r="B53" s="176" t="str">
        <f>IF('Peak Revenue'!$A$1="BL","-",IF(Peak!H54&gt;Peak!$G54,B$8*Peak!$AM$11,0))</f>
        <v>-</v>
      </c>
      <c r="C53" s="177" t="str">
        <f>IF('Peak Revenue'!$A$1="BL","-",IF(Peak!I54&gt;Peak!$G54,C$8*Peak!$AM$11,0))</f>
        <v>-</v>
      </c>
      <c r="D53" s="177" t="str">
        <f>IF('Peak Revenue'!$A$1="BL","-",IF(Peak!J54&gt;Peak!$G54,D$8*Peak!$AM$11,0))</f>
        <v>-</v>
      </c>
      <c r="E53" s="177" t="str">
        <f>IF('Peak Revenue'!$A$1="BL","-",IF(Peak!K54&gt;Peak!$G54,E$8*Peak!$AM$11,0))</f>
        <v>-</v>
      </c>
      <c r="F53" s="177" t="str">
        <f>IF('Peak Revenue'!$A$1="BL","-",IF(Peak!L54&gt;Peak!$G54,F$8*Peak!$AM$11,0))</f>
        <v>-</v>
      </c>
      <c r="G53" s="177" t="str">
        <f>IF('Peak Revenue'!$A$1="BL","-",IF(Peak!M54&gt;Peak!$G54,G$8*Peak!$AM$11,0))</f>
        <v>-</v>
      </c>
      <c r="H53" s="177" t="str">
        <f>IF('Peak Revenue'!$A$1="BL","-",IF(Peak!N54&gt;Peak!$G54,H$8*Peak!$AM$11,0))</f>
        <v>-</v>
      </c>
      <c r="I53" s="177" t="str">
        <f>IF('Peak Revenue'!$A$1="BL","-",IF(Peak!O54&gt;Peak!$G54,I$8*Peak!$AM$11,0))</f>
        <v>-</v>
      </c>
      <c r="J53" s="177" t="str">
        <f>IF('Peak Revenue'!$A$1="BL","-",IF(Peak!P54&gt;Peak!$G54,J$8*Peak!$AM$11,0))</f>
        <v>-</v>
      </c>
      <c r="K53" s="177" t="str">
        <f>IF('Peak Revenue'!$A$1="BL","-",IF(Peak!Q54&gt;Peak!$G54,K$8*Peak!$AM$11,0))</f>
        <v>-</v>
      </c>
      <c r="L53" s="177" t="str">
        <f>IF('Peak Revenue'!$A$1="BL","-",IF(Peak!R54&gt;Peak!$G54,L$8*Peak!$AM$11,0))</f>
        <v>-</v>
      </c>
      <c r="M53" s="177" t="str">
        <f>IF('Peak Revenue'!$A$1="BL","-",IF(Peak!S54&gt;Peak!$G54,M$8*Peak!$AM$11,0))</f>
        <v>-</v>
      </c>
      <c r="N53" s="177" t="str">
        <f>IF('Peak Revenue'!$A$1="BL","-",IF(Peak!T54&gt;Peak!$G54,N$8*Peak!$AM$11,0))</f>
        <v>-</v>
      </c>
      <c r="O53" s="177" t="str">
        <f>IF('Peak Revenue'!$A$1="BL","-",IF(Peak!U54&gt;Peak!$G54,O$8*Peak!$AM$11,0))</f>
        <v>-</v>
      </c>
      <c r="P53" s="177" t="str">
        <f>IF('Peak Revenue'!$A$1="BL","-",IF(Peak!V54&gt;Peak!$G54,P$8*Peak!$AM$11,0))</f>
        <v>-</v>
      </c>
      <c r="Q53" s="177" t="str">
        <f>IF('Peak Revenue'!$A$1="BL","-",IF(Peak!W54&gt;Peak!$G54,Q$8*Peak!$AM$11,0))</f>
        <v>-</v>
      </c>
      <c r="R53" s="177" t="str">
        <f>IF('Peak Revenue'!$A$1="BL","-",IF(Peak!X54&gt;Peak!$G54,R$8*Peak!$AM$11,0))</f>
        <v>-</v>
      </c>
      <c r="S53" s="177" t="str">
        <f>IF('Peak Revenue'!$A$1="BL","-",IF(Peak!Y54&gt;Peak!$G54,S$8*Peak!$AM$11,0))</f>
        <v>-</v>
      </c>
      <c r="T53" s="177" t="str">
        <f>IF('Peak Revenue'!$A$1="BL","-",IF(Peak!Z54&gt;Peak!$G54,T$8*Peak!$AM$11,0))</f>
        <v>-</v>
      </c>
      <c r="U53" s="177" t="str">
        <f>IF('Peak Revenue'!$A$1="BL","-",IF(Peak!AA54&gt;Peak!$G54,U$8*Peak!$AM$11,0))</f>
        <v>-</v>
      </c>
      <c r="V53" s="178">
        <f t="shared" si="0"/>
        <v>0</v>
      </c>
      <c r="W53" s="165"/>
    </row>
    <row r="54" spans="1:23" x14ac:dyDescent="0.2">
      <c r="A54" s="1">
        <f t="shared" si="1"/>
        <v>37878.348000000056</v>
      </c>
      <c r="B54" s="176" t="str">
        <f>IF('Peak Revenue'!$A$1="BL","-",IF(Peak!H55&gt;Peak!$G55,B$8*Peak!$AM$11,0))</f>
        <v>-</v>
      </c>
      <c r="C54" s="177" t="str">
        <f>IF('Peak Revenue'!$A$1="BL","-",IF(Peak!I55&gt;Peak!$G55,C$8*Peak!$AM$11,0))</f>
        <v>-</v>
      </c>
      <c r="D54" s="177" t="str">
        <f>IF('Peak Revenue'!$A$1="BL","-",IF(Peak!J55&gt;Peak!$G55,D$8*Peak!$AM$11,0))</f>
        <v>-</v>
      </c>
      <c r="E54" s="177" t="str">
        <f>IF('Peak Revenue'!$A$1="BL","-",IF(Peak!K55&gt;Peak!$G55,E$8*Peak!$AM$11,0))</f>
        <v>-</v>
      </c>
      <c r="F54" s="177" t="str">
        <f>IF('Peak Revenue'!$A$1="BL","-",IF(Peak!L55&gt;Peak!$G55,F$8*Peak!$AM$11,0))</f>
        <v>-</v>
      </c>
      <c r="G54" s="177" t="str">
        <f>IF('Peak Revenue'!$A$1="BL","-",IF(Peak!M55&gt;Peak!$G55,G$8*Peak!$AM$11,0))</f>
        <v>-</v>
      </c>
      <c r="H54" s="177" t="str">
        <f>IF('Peak Revenue'!$A$1="BL","-",IF(Peak!N55&gt;Peak!$G55,H$8*Peak!$AM$11,0))</f>
        <v>-</v>
      </c>
      <c r="I54" s="177" t="str">
        <f>IF('Peak Revenue'!$A$1="BL","-",IF(Peak!O55&gt;Peak!$G55,I$8*Peak!$AM$11,0))</f>
        <v>-</v>
      </c>
      <c r="J54" s="177" t="str">
        <f>IF('Peak Revenue'!$A$1="BL","-",IF(Peak!P55&gt;Peak!$G55,J$8*Peak!$AM$11,0))</f>
        <v>-</v>
      </c>
      <c r="K54" s="177" t="str">
        <f>IF('Peak Revenue'!$A$1="BL","-",IF(Peak!Q55&gt;Peak!$G55,K$8*Peak!$AM$11,0))</f>
        <v>-</v>
      </c>
      <c r="L54" s="177" t="str">
        <f>IF('Peak Revenue'!$A$1="BL","-",IF(Peak!R55&gt;Peak!$G55,L$8*Peak!$AM$11,0))</f>
        <v>-</v>
      </c>
      <c r="M54" s="177" t="str">
        <f>IF('Peak Revenue'!$A$1="BL","-",IF(Peak!S55&gt;Peak!$G55,M$8*Peak!$AM$11,0))</f>
        <v>-</v>
      </c>
      <c r="N54" s="177" t="str">
        <f>IF('Peak Revenue'!$A$1="BL","-",IF(Peak!T55&gt;Peak!$G55,N$8*Peak!$AM$11,0))</f>
        <v>-</v>
      </c>
      <c r="O54" s="177" t="str">
        <f>IF('Peak Revenue'!$A$1="BL","-",IF(Peak!U55&gt;Peak!$G55,O$8*Peak!$AM$11,0))</f>
        <v>-</v>
      </c>
      <c r="P54" s="177" t="str">
        <f>IF('Peak Revenue'!$A$1="BL","-",IF(Peak!V55&gt;Peak!$G55,P$8*Peak!$AM$11,0))</f>
        <v>-</v>
      </c>
      <c r="Q54" s="177" t="str">
        <f>IF('Peak Revenue'!$A$1="BL","-",IF(Peak!W55&gt;Peak!$G55,Q$8*Peak!$AM$11,0))</f>
        <v>-</v>
      </c>
      <c r="R54" s="177" t="str">
        <f>IF('Peak Revenue'!$A$1="BL","-",IF(Peak!X55&gt;Peak!$G55,R$8*Peak!$AM$11,0))</f>
        <v>-</v>
      </c>
      <c r="S54" s="177" t="str">
        <f>IF('Peak Revenue'!$A$1="BL","-",IF(Peak!Y55&gt;Peak!$G55,S$8*Peak!$AM$11,0))</f>
        <v>-</v>
      </c>
      <c r="T54" s="177" t="str">
        <f>IF('Peak Revenue'!$A$1="BL","-",IF(Peak!Z55&gt;Peak!$G55,T$8*Peak!$AM$11,0))</f>
        <v>-</v>
      </c>
      <c r="U54" s="177" t="str">
        <f>IF('Peak Revenue'!$A$1="BL","-",IF(Peak!AA55&gt;Peak!$G55,U$8*Peak!$AM$11,0))</f>
        <v>-</v>
      </c>
      <c r="V54" s="178">
        <f t="shared" si="0"/>
        <v>0</v>
      </c>
      <c r="W54" s="165"/>
    </row>
    <row r="55" spans="1:23" x14ac:dyDescent="0.2">
      <c r="A55" s="1">
        <f t="shared" si="1"/>
        <v>37908.765000000058</v>
      </c>
      <c r="B55" s="176" t="str">
        <f>IF('Peak Revenue'!$A$1="BL","-",IF(Peak!H56&gt;Peak!$G56,B$8*Peak!$AM$11,0))</f>
        <v>-</v>
      </c>
      <c r="C55" s="177" t="str">
        <f>IF('Peak Revenue'!$A$1="BL","-",IF(Peak!I56&gt;Peak!$G56,C$8*Peak!$AM$11,0))</f>
        <v>-</v>
      </c>
      <c r="D55" s="177" t="str">
        <f>IF('Peak Revenue'!$A$1="BL","-",IF(Peak!J56&gt;Peak!$G56,D$8*Peak!$AM$11,0))</f>
        <v>-</v>
      </c>
      <c r="E55" s="177" t="str">
        <f>IF('Peak Revenue'!$A$1="BL","-",IF(Peak!K56&gt;Peak!$G56,E$8*Peak!$AM$11,0))</f>
        <v>-</v>
      </c>
      <c r="F55" s="177" t="str">
        <f>IF('Peak Revenue'!$A$1="BL","-",IF(Peak!L56&gt;Peak!$G56,F$8*Peak!$AM$11,0))</f>
        <v>-</v>
      </c>
      <c r="G55" s="177" t="str">
        <f>IF('Peak Revenue'!$A$1="BL","-",IF(Peak!M56&gt;Peak!$G56,G$8*Peak!$AM$11,0))</f>
        <v>-</v>
      </c>
      <c r="H55" s="177" t="str">
        <f>IF('Peak Revenue'!$A$1="BL","-",IF(Peak!N56&gt;Peak!$G56,H$8*Peak!$AM$11,0))</f>
        <v>-</v>
      </c>
      <c r="I55" s="177" t="str">
        <f>IF('Peak Revenue'!$A$1="BL","-",IF(Peak!O56&gt;Peak!$G56,I$8*Peak!$AM$11,0))</f>
        <v>-</v>
      </c>
      <c r="J55" s="177" t="str">
        <f>IF('Peak Revenue'!$A$1="BL","-",IF(Peak!P56&gt;Peak!$G56,J$8*Peak!$AM$11,0))</f>
        <v>-</v>
      </c>
      <c r="K55" s="177" t="str">
        <f>IF('Peak Revenue'!$A$1="BL","-",IF(Peak!Q56&gt;Peak!$G56,K$8*Peak!$AM$11,0))</f>
        <v>-</v>
      </c>
      <c r="L55" s="177" t="str">
        <f>IF('Peak Revenue'!$A$1="BL","-",IF(Peak!R56&gt;Peak!$G56,L$8*Peak!$AM$11,0))</f>
        <v>-</v>
      </c>
      <c r="M55" s="177" t="str">
        <f>IF('Peak Revenue'!$A$1="BL","-",IF(Peak!S56&gt;Peak!$G56,M$8*Peak!$AM$11,0))</f>
        <v>-</v>
      </c>
      <c r="N55" s="177" t="str">
        <f>IF('Peak Revenue'!$A$1="BL","-",IF(Peak!T56&gt;Peak!$G56,N$8*Peak!$AM$11,0))</f>
        <v>-</v>
      </c>
      <c r="O55" s="177" t="str">
        <f>IF('Peak Revenue'!$A$1="BL","-",IF(Peak!U56&gt;Peak!$G56,O$8*Peak!$AM$11,0))</f>
        <v>-</v>
      </c>
      <c r="P55" s="177" t="str">
        <f>IF('Peak Revenue'!$A$1="BL","-",IF(Peak!V56&gt;Peak!$G56,P$8*Peak!$AM$11,0))</f>
        <v>-</v>
      </c>
      <c r="Q55" s="177" t="str">
        <f>IF('Peak Revenue'!$A$1="BL","-",IF(Peak!W56&gt;Peak!$G56,Q$8*Peak!$AM$11,0))</f>
        <v>-</v>
      </c>
      <c r="R55" s="177" t="str">
        <f>IF('Peak Revenue'!$A$1="BL","-",IF(Peak!X56&gt;Peak!$G56,R$8*Peak!$AM$11,0))</f>
        <v>-</v>
      </c>
      <c r="S55" s="177" t="str">
        <f>IF('Peak Revenue'!$A$1="BL","-",IF(Peak!Y56&gt;Peak!$G56,S$8*Peak!$AM$11,0))</f>
        <v>-</v>
      </c>
      <c r="T55" s="177" t="str">
        <f>IF('Peak Revenue'!$A$1="BL","-",IF(Peak!Z56&gt;Peak!$G56,T$8*Peak!$AM$11,0))</f>
        <v>-</v>
      </c>
      <c r="U55" s="177" t="str">
        <f>IF('Peak Revenue'!$A$1="BL","-",IF(Peak!AA56&gt;Peak!$G56,U$8*Peak!$AM$11,0))</f>
        <v>-</v>
      </c>
      <c r="V55" s="178">
        <f t="shared" si="0"/>
        <v>0</v>
      </c>
      <c r="W55" s="165"/>
    </row>
    <row r="56" spans="1:23" x14ac:dyDescent="0.2">
      <c r="A56" s="1">
        <f t="shared" si="1"/>
        <v>37939.182000000059</v>
      </c>
      <c r="B56" s="176" t="str">
        <f>IF('Peak Revenue'!$A$1="BL","-",IF(Peak!H57&gt;Peak!$G57,B$8*Peak!$AM$11,0))</f>
        <v>-</v>
      </c>
      <c r="C56" s="177" t="str">
        <f>IF('Peak Revenue'!$A$1="BL","-",IF(Peak!I57&gt;Peak!$G57,C$8*Peak!$AM$11,0))</f>
        <v>-</v>
      </c>
      <c r="D56" s="177" t="str">
        <f>IF('Peak Revenue'!$A$1="BL","-",IF(Peak!J57&gt;Peak!$G57,D$8*Peak!$AM$11,0))</f>
        <v>-</v>
      </c>
      <c r="E56" s="177" t="str">
        <f>IF('Peak Revenue'!$A$1="BL","-",IF(Peak!K57&gt;Peak!$G57,E$8*Peak!$AM$11,0))</f>
        <v>-</v>
      </c>
      <c r="F56" s="177" t="str">
        <f>IF('Peak Revenue'!$A$1="BL","-",IF(Peak!L57&gt;Peak!$G57,F$8*Peak!$AM$11,0))</f>
        <v>-</v>
      </c>
      <c r="G56" s="177" t="str">
        <f>IF('Peak Revenue'!$A$1="BL","-",IF(Peak!M57&gt;Peak!$G57,G$8*Peak!$AM$11,0))</f>
        <v>-</v>
      </c>
      <c r="H56" s="177" t="str">
        <f>IF('Peak Revenue'!$A$1="BL","-",IF(Peak!N57&gt;Peak!$G57,H$8*Peak!$AM$11,0))</f>
        <v>-</v>
      </c>
      <c r="I56" s="177" t="str">
        <f>IF('Peak Revenue'!$A$1="BL","-",IF(Peak!O57&gt;Peak!$G57,I$8*Peak!$AM$11,0))</f>
        <v>-</v>
      </c>
      <c r="J56" s="177" t="str">
        <f>IF('Peak Revenue'!$A$1="BL","-",IF(Peak!P57&gt;Peak!$G57,J$8*Peak!$AM$11,0))</f>
        <v>-</v>
      </c>
      <c r="K56" s="177" t="str">
        <f>IF('Peak Revenue'!$A$1="BL","-",IF(Peak!Q57&gt;Peak!$G57,K$8*Peak!$AM$11,0))</f>
        <v>-</v>
      </c>
      <c r="L56" s="177" t="str">
        <f>IF('Peak Revenue'!$A$1="BL","-",IF(Peak!R57&gt;Peak!$G57,L$8*Peak!$AM$11,0))</f>
        <v>-</v>
      </c>
      <c r="M56" s="177" t="str">
        <f>IF('Peak Revenue'!$A$1="BL","-",IF(Peak!S57&gt;Peak!$G57,M$8*Peak!$AM$11,0))</f>
        <v>-</v>
      </c>
      <c r="N56" s="177" t="str">
        <f>IF('Peak Revenue'!$A$1="BL","-",IF(Peak!T57&gt;Peak!$G57,N$8*Peak!$AM$11,0))</f>
        <v>-</v>
      </c>
      <c r="O56" s="177" t="str">
        <f>IF('Peak Revenue'!$A$1="BL","-",IF(Peak!U57&gt;Peak!$G57,O$8*Peak!$AM$11,0))</f>
        <v>-</v>
      </c>
      <c r="P56" s="177" t="str">
        <f>IF('Peak Revenue'!$A$1="BL","-",IF(Peak!V57&gt;Peak!$G57,P$8*Peak!$AM$11,0))</f>
        <v>-</v>
      </c>
      <c r="Q56" s="177" t="str">
        <f>IF('Peak Revenue'!$A$1="BL","-",IF(Peak!W57&gt;Peak!$G57,Q$8*Peak!$AM$11,0))</f>
        <v>-</v>
      </c>
      <c r="R56" s="177" t="str">
        <f>IF('Peak Revenue'!$A$1="BL","-",IF(Peak!X57&gt;Peak!$G57,R$8*Peak!$AM$11,0))</f>
        <v>-</v>
      </c>
      <c r="S56" s="177" t="str">
        <f>IF('Peak Revenue'!$A$1="BL","-",IF(Peak!Y57&gt;Peak!$G57,S$8*Peak!$AM$11,0))</f>
        <v>-</v>
      </c>
      <c r="T56" s="177" t="str">
        <f>IF('Peak Revenue'!$A$1="BL","-",IF(Peak!Z57&gt;Peak!$G57,T$8*Peak!$AM$11,0))</f>
        <v>-</v>
      </c>
      <c r="U56" s="177" t="str">
        <f>IF('Peak Revenue'!$A$1="BL","-",IF(Peak!AA57&gt;Peak!$G57,U$8*Peak!$AM$11,0))</f>
        <v>-</v>
      </c>
      <c r="V56" s="178">
        <f t="shared" si="0"/>
        <v>0</v>
      </c>
      <c r="W56" s="165"/>
    </row>
    <row r="57" spans="1:23" x14ac:dyDescent="0.2">
      <c r="A57" s="1">
        <f t="shared" si="1"/>
        <v>37969.59900000006</v>
      </c>
      <c r="B57" s="176" t="str">
        <f>IF('Peak Revenue'!$A$1="BL","-",IF(Peak!H58&gt;Peak!$G58,B$8*Peak!$AM$11,0))</f>
        <v>-</v>
      </c>
      <c r="C57" s="177" t="str">
        <f>IF('Peak Revenue'!$A$1="BL","-",IF(Peak!I58&gt;Peak!$G58,C$8*Peak!$AM$11,0))</f>
        <v>-</v>
      </c>
      <c r="D57" s="177" t="str">
        <f>IF('Peak Revenue'!$A$1="BL","-",IF(Peak!J58&gt;Peak!$G58,D$8*Peak!$AM$11,0))</f>
        <v>-</v>
      </c>
      <c r="E57" s="177" t="str">
        <f>IF('Peak Revenue'!$A$1="BL","-",IF(Peak!K58&gt;Peak!$G58,E$8*Peak!$AM$11,0))</f>
        <v>-</v>
      </c>
      <c r="F57" s="177" t="str">
        <f>IF('Peak Revenue'!$A$1="BL","-",IF(Peak!L58&gt;Peak!$G58,F$8*Peak!$AM$11,0))</f>
        <v>-</v>
      </c>
      <c r="G57" s="177" t="str">
        <f>IF('Peak Revenue'!$A$1="BL","-",IF(Peak!M58&gt;Peak!$G58,G$8*Peak!$AM$11,0))</f>
        <v>-</v>
      </c>
      <c r="H57" s="177" t="str">
        <f>IF('Peak Revenue'!$A$1="BL","-",IF(Peak!N58&gt;Peak!$G58,H$8*Peak!$AM$11,0))</f>
        <v>-</v>
      </c>
      <c r="I57" s="177" t="str">
        <f>IF('Peak Revenue'!$A$1="BL","-",IF(Peak!O58&gt;Peak!$G58,I$8*Peak!$AM$11,0))</f>
        <v>-</v>
      </c>
      <c r="J57" s="177" t="str">
        <f>IF('Peak Revenue'!$A$1="BL","-",IF(Peak!P58&gt;Peak!$G58,J$8*Peak!$AM$11,0))</f>
        <v>-</v>
      </c>
      <c r="K57" s="177" t="str">
        <f>IF('Peak Revenue'!$A$1="BL","-",IF(Peak!Q58&gt;Peak!$G58,K$8*Peak!$AM$11,0))</f>
        <v>-</v>
      </c>
      <c r="L57" s="177" t="str">
        <f>IF('Peak Revenue'!$A$1="BL","-",IF(Peak!R58&gt;Peak!$G58,L$8*Peak!$AM$11,0))</f>
        <v>-</v>
      </c>
      <c r="M57" s="177" t="str">
        <f>IF('Peak Revenue'!$A$1="BL","-",IF(Peak!S58&gt;Peak!$G58,M$8*Peak!$AM$11,0))</f>
        <v>-</v>
      </c>
      <c r="N57" s="177" t="str">
        <f>IF('Peak Revenue'!$A$1="BL","-",IF(Peak!T58&gt;Peak!$G58,N$8*Peak!$AM$11,0))</f>
        <v>-</v>
      </c>
      <c r="O57" s="177" t="str">
        <f>IF('Peak Revenue'!$A$1="BL","-",IF(Peak!U58&gt;Peak!$G58,O$8*Peak!$AM$11,0))</f>
        <v>-</v>
      </c>
      <c r="P57" s="177" t="str">
        <f>IF('Peak Revenue'!$A$1="BL","-",IF(Peak!V58&gt;Peak!$G58,P$8*Peak!$AM$11,0))</f>
        <v>-</v>
      </c>
      <c r="Q57" s="177" t="str">
        <f>IF('Peak Revenue'!$A$1="BL","-",IF(Peak!W58&gt;Peak!$G58,Q$8*Peak!$AM$11,0))</f>
        <v>-</v>
      </c>
      <c r="R57" s="177" t="str">
        <f>IF('Peak Revenue'!$A$1="BL","-",IF(Peak!X58&gt;Peak!$G58,R$8*Peak!$AM$11,0))</f>
        <v>-</v>
      </c>
      <c r="S57" s="177" t="str">
        <f>IF('Peak Revenue'!$A$1="BL","-",IF(Peak!Y58&gt;Peak!$G58,S$8*Peak!$AM$11,0))</f>
        <v>-</v>
      </c>
      <c r="T57" s="177" t="str">
        <f>IF('Peak Revenue'!$A$1="BL","-",IF(Peak!Z58&gt;Peak!$G58,T$8*Peak!$AM$11,0))</f>
        <v>-</v>
      </c>
      <c r="U57" s="177" t="str">
        <f>IF('Peak Revenue'!$A$1="BL","-",IF(Peak!AA58&gt;Peak!$G58,U$8*Peak!$AM$11,0))</f>
        <v>-</v>
      </c>
      <c r="V57" s="178">
        <f t="shared" si="0"/>
        <v>0</v>
      </c>
      <c r="W57" s="164">
        <f>SUM(V46:V57)</f>
        <v>0</v>
      </c>
    </row>
    <row r="58" spans="1:23" x14ac:dyDescent="0.2">
      <c r="A58" s="1">
        <f t="shared" si="1"/>
        <v>38000.016000000061</v>
      </c>
      <c r="B58" s="176" t="str">
        <f>IF('Peak Revenue'!$A$1="BL","-",IF(Peak!H59&gt;Peak!$G59,B$8*Peak!$AM$11,0))</f>
        <v>-</v>
      </c>
      <c r="C58" s="177" t="str">
        <f>IF('Peak Revenue'!$A$1="BL","-",IF(Peak!I59&gt;Peak!$G59,C$8*Peak!$AM$11,0))</f>
        <v>-</v>
      </c>
      <c r="D58" s="177" t="str">
        <f>IF('Peak Revenue'!$A$1="BL","-",IF(Peak!J59&gt;Peak!$G59,D$8*Peak!$AM$11,0))</f>
        <v>-</v>
      </c>
      <c r="E58" s="177" t="str">
        <f>IF('Peak Revenue'!$A$1="BL","-",IF(Peak!K59&gt;Peak!$G59,E$8*Peak!$AM$11,0))</f>
        <v>-</v>
      </c>
      <c r="F58" s="177" t="str">
        <f>IF('Peak Revenue'!$A$1="BL","-",IF(Peak!L59&gt;Peak!$G59,F$8*Peak!$AM$11,0))</f>
        <v>-</v>
      </c>
      <c r="G58" s="177" t="str">
        <f>IF('Peak Revenue'!$A$1="BL","-",IF(Peak!M59&gt;Peak!$G59,G$8*Peak!$AM$11,0))</f>
        <v>-</v>
      </c>
      <c r="H58" s="177" t="str">
        <f>IF('Peak Revenue'!$A$1="BL","-",IF(Peak!N59&gt;Peak!$G59,H$8*Peak!$AM$11,0))</f>
        <v>-</v>
      </c>
      <c r="I58" s="177" t="str">
        <f>IF('Peak Revenue'!$A$1="BL","-",IF(Peak!O59&gt;Peak!$G59,I$8*Peak!$AM$11,0))</f>
        <v>-</v>
      </c>
      <c r="J58" s="177" t="str">
        <f>IF('Peak Revenue'!$A$1="BL","-",IF(Peak!P59&gt;Peak!$G59,J$8*Peak!$AM$11,0))</f>
        <v>-</v>
      </c>
      <c r="K58" s="177" t="str">
        <f>IF('Peak Revenue'!$A$1="BL","-",IF(Peak!Q59&gt;Peak!$G59,K$8*Peak!$AM$11,0))</f>
        <v>-</v>
      </c>
      <c r="L58" s="177" t="str">
        <f>IF('Peak Revenue'!$A$1="BL","-",IF(Peak!R59&gt;Peak!$G59,L$8*Peak!$AM$11,0))</f>
        <v>-</v>
      </c>
      <c r="M58" s="177" t="str">
        <f>IF('Peak Revenue'!$A$1="BL","-",IF(Peak!S59&gt;Peak!$G59,M$8*Peak!$AM$11,0))</f>
        <v>-</v>
      </c>
      <c r="N58" s="177" t="str">
        <f>IF('Peak Revenue'!$A$1="BL","-",IF(Peak!T59&gt;Peak!$G59,N$8*Peak!$AM$11,0))</f>
        <v>-</v>
      </c>
      <c r="O58" s="177" t="str">
        <f>IF('Peak Revenue'!$A$1="BL","-",IF(Peak!U59&gt;Peak!$G59,O$8*Peak!$AM$11,0))</f>
        <v>-</v>
      </c>
      <c r="P58" s="177" t="str">
        <f>IF('Peak Revenue'!$A$1="BL","-",IF(Peak!V59&gt;Peak!$G59,P$8*Peak!$AM$11,0))</f>
        <v>-</v>
      </c>
      <c r="Q58" s="177" t="str">
        <f>IF('Peak Revenue'!$A$1="BL","-",IF(Peak!W59&gt;Peak!$G59,Q$8*Peak!$AM$11,0))</f>
        <v>-</v>
      </c>
      <c r="R58" s="177" t="str">
        <f>IF('Peak Revenue'!$A$1="BL","-",IF(Peak!X59&gt;Peak!$G59,R$8*Peak!$AM$11,0))</f>
        <v>-</v>
      </c>
      <c r="S58" s="177" t="str">
        <f>IF('Peak Revenue'!$A$1="BL","-",IF(Peak!Y59&gt;Peak!$G59,S$8*Peak!$AM$11,0))</f>
        <v>-</v>
      </c>
      <c r="T58" s="177" t="str">
        <f>IF('Peak Revenue'!$A$1="BL","-",IF(Peak!Z59&gt;Peak!$G59,T$8*Peak!$AM$11,0))</f>
        <v>-</v>
      </c>
      <c r="U58" s="177" t="str">
        <f>IF('Peak Revenue'!$A$1="BL","-",IF(Peak!AA59&gt;Peak!$G59,U$8*Peak!$AM$11,0))</f>
        <v>-</v>
      </c>
      <c r="V58" s="178">
        <f t="shared" si="0"/>
        <v>0</v>
      </c>
      <c r="W58" s="165"/>
    </row>
    <row r="59" spans="1:23" x14ac:dyDescent="0.2">
      <c r="A59" s="1">
        <f t="shared" si="1"/>
        <v>38030.433000000063</v>
      </c>
      <c r="B59" s="176" t="str">
        <f>IF('Peak Revenue'!$A$1="BL","-",IF(Peak!H60&gt;Peak!$G60,B$8*Peak!$AM$11,0))</f>
        <v>-</v>
      </c>
      <c r="C59" s="177" t="str">
        <f>IF('Peak Revenue'!$A$1="BL","-",IF(Peak!I60&gt;Peak!$G60,C$8*Peak!$AM$11,0))</f>
        <v>-</v>
      </c>
      <c r="D59" s="177" t="str">
        <f>IF('Peak Revenue'!$A$1="BL","-",IF(Peak!J60&gt;Peak!$G60,D$8*Peak!$AM$11,0))</f>
        <v>-</v>
      </c>
      <c r="E59" s="177" t="str">
        <f>IF('Peak Revenue'!$A$1="BL","-",IF(Peak!K60&gt;Peak!$G60,E$8*Peak!$AM$11,0))</f>
        <v>-</v>
      </c>
      <c r="F59" s="177" t="str">
        <f>IF('Peak Revenue'!$A$1="BL","-",IF(Peak!L60&gt;Peak!$G60,F$8*Peak!$AM$11,0))</f>
        <v>-</v>
      </c>
      <c r="G59" s="177" t="str">
        <f>IF('Peak Revenue'!$A$1="BL","-",IF(Peak!M60&gt;Peak!$G60,G$8*Peak!$AM$11,0))</f>
        <v>-</v>
      </c>
      <c r="H59" s="177" t="str">
        <f>IF('Peak Revenue'!$A$1="BL","-",IF(Peak!N60&gt;Peak!$G60,H$8*Peak!$AM$11,0))</f>
        <v>-</v>
      </c>
      <c r="I59" s="177" t="str">
        <f>IF('Peak Revenue'!$A$1="BL","-",IF(Peak!O60&gt;Peak!$G60,I$8*Peak!$AM$11,0))</f>
        <v>-</v>
      </c>
      <c r="J59" s="177" t="str">
        <f>IF('Peak Revenue'!$A$1="BL","-",IF(Peak!P60&gt;Peak!$G60,J$8*Peak!$AM$11,0))</f>
        <v>-</v>
      </c>
      <c r="K59" s="177" t="str">
        <f>IF('Peak Revenue'!$A$1="BL","-",IF(Peak!Q60&gt;Peak!$G60,K$8*Peak!$AM$11,0))</f>
        <v>-</v>
      </c>
      <c r="L59" s="177" t="str">
        <f>IF('Peak Revenue'!$A$1="BL","-",IF(Peak!R60&gt;Peak!$G60,L$8*Peak!$AM$11,0))</f>
        <v>-</v>
      </c>
      <c r="M59" s="177" t="str">
        <f>IF('Peak Revenue'!$A$1="BL","-",IF(Peak!S60&gt;Peak!$G60,M$8*Peak!$AM$11,0))</f>
        <v>-</v>
      </c>
      <c r="N59" s="177" t="str">
        <f>IF('Peak Revenue'!$A$1="BL","-",IF(Peak!T60&gt;Peak!$G60,N$8*Peak!$AM$11,0))</f>
        <v>-</v>
      </c>
      <c r="O59" s="177" t="str">
        <f>IF('Peak Revenue'!$A$1="BL","-",IF(Peak!U60&gt;Peak!$G60,O$8*Peak!$AM$11,0))</f>
        <v>-</v>
      </c>
      <c r="P59" s="177" t="str">
        <f>IF('Peak Revenue'!$A$1="BL","-",IF(Peak!V60&gt;Peak!$G60,P$8*Peak!$AM$11,0))</f>
        <v>-</v>
      </c>
      <c r="Q59" s="177" t="str">
        <f>IF('Peak Revenue'!$A$1="BL","-",IF(Peak!W60&gt;Peak!$G60,Q$8*Peak!$AM$11,0))</f>
        <v>-</v>
      </c>
      <c r="R59" s="177" t="str">
        <f>IF('Peak Revenue'!$A$1="BL","-",IF(Peak!X60&gt;Peak!$G60,R$8*Peak!$AM$11,0))</f>
        <v>-</v>
      </c>
      <c r="S59" s="177" t="str">
        <f>IF('Peak Revenue'!$A$1="BL","-",IF(Peak!Y60&gt;Peak!$G60,S$8*Peak!$AM$11,0))</f>
        <v>-</v>
      </c>
      <c r="T59" s="177" t="str">
        <f>IF('Peak Revenue'!$A$1="BL","-",IF(Peak!Z60&gt;Peak!$G60,T$8*Peak!$AM$11,0))</f>
        <v>-</v>
      </c>
      <c r="U59" s="177" t="str">
        <f>IF('Peak Revenue'!$A$1="BL","-",IF(Peak!AA60&gt;Peak!$G60,U$8*Peak!$AM$11,0))</f>
        <v>-</v>
      </c>
      <c r="V59" s="178">
        <f t="shared" si="0"/>
        <v>0</v>
      </c>
      <c r="W59" s="165"/>
    </row>
    <row r="60" spans="1:23" x14ac:dyDescent="0.2">
      <c r="A60" s="1">
        <f t="shared" si="1"/>
        <v>38060.850000000064</v>
      </c>
      <c r="B60" s="176" t="str">
        <f>IF('Peak Revenue'!$A$1="BL","-",IF(Peak!H61&gt;Peak!$G61,B$8*Peak!$AM$11,0))</f>
        <v>-</v>
      </c>
      <c r="C60" s="177" t="str">
        <f>IF('Peak Revenue'!$A$1="BL","-",IF(Peak!I61&gt;Peak!$G61,C$8*Peak!$AM$11,0))</f>
        <v>-</v>
      </c>
      <c r="D60" s="177" t="str">
        <f>IF('Peak Revenue'!$A$1="BL","-",IF(Peak!J61&gt;Peak!$G61,D$8*Peak!$AM$11,0))</f>
        <v>-</v>
      </c>
      <c r="E60" s="177" t="str">
        <f>IF('Peak Revenue'!$A$1="BL","-",IF(Peak!K61&gt;Peak!$G61,E$8*Peak!$AM$11,0))</f>
        <v>-</v>
      </c>
      <c r="F60" s="177" t="str">
        <f>IF('Peak Revenue'!$A$1="BL","-",IF(Peak!L61&gt;Peak!$G61,F$8*Peak!$AM$11,0))</f>
        <v>-</v>
      </c>
      <c r="G60" s="177" t="str">
        <f>IF('Peak Revenue'!$A$1="BL","-",IF(Peak!M61&gt;Peak!$G61,G$8*Peak!$AM$11,0))</f>
        <v>-</v>
      </c>
      <c r="H60" s="177" t="str">
        <f>IF('Peak Revenue'!$A$1="BL","-",IF(Peak!N61&gt;Peak!$G61,H$8*Peak!$AM$11,0))</f>
        <v>-</v>
      </c>
      <c r="I60" s="177" t="str">
        <f>IF('Peak Revenue'!$A$1="BL","-",IF(Peak!O61&gt;Peak!$G61,I$8*Peak!$AM$11,0))</f>
        <v>-</v>
      </c>
      <c r="J60" s="177" t="str">
        <f>IF('Peak Revenue'!$A$1="BL","-",IF(Peak!P61&gt;Peak!$G61,J$8*Peak!$AM$11,0))</f>
        <v>-</v>
      </c>
      <c r="K60" s="177" t="str">
        <f>IF('Peak Revenue'!$A$1="BL","-",IF(Peak!Q61&gt;Peak!$G61,K$8*Peak!$AM$11,0))</f>
        <v>-</v>
      </c>
      <c r="L60" s="177" t="str">
        <f>IF('Peak Revenue'!$A$1="BL","-",IF(Peak!R61&gt;Peak!$G61,L$8*Peak!$AM$11,0))</f>
        <v>-</v>
      </c>
      <c r="M60" s="177" t="str">
        <f>IF('Peak Revenue'!$A$1="BL","-",IF(Peak!S61&gt;Peak!$G61,M$8*Peak!$AM$11,0))</f>
        <v>-</v>
      </c>
      <c r="N60" s="177" t="str">
        <f>IF('Peak Revenue'!$A$1="BL","-",IF(Peak!T61&gt;Peak!$G61,N$8*Peak!$AM$11,0))</f>
        <v>-</v>
      </c>
      <c r="O60" s="177" t="str">
        <f>IF('Peak Revenue'!$A$1="BL","-",IF(Peak!U61&gt;Peak!$G61,O$8*Peak!$AM$11,0))</f>
        <v>-</v>
      </c>
      <c r="P60" s="177" t="str">
        <f>IF('Peak Revenue'!$A$1="BL","-",IF(Peak!V61&gt;Peak!$G61,P$8*Peak!$AM$11,0))</f>
        <v>-</v>
      </c>
      <c r="Q60" s="177" t="str">
        <f>IF('Peak Revenue'!$A$1="BL","-",IF(Peak!W61&gt;Peak!$G61,Q$8*Peak!$AM$11,0))</f>
        <v>-</v>
      </c>
      <c r="R60" s="177" t="str">
        <f>IF('Peak Revenue'!$A$1="BL","-",IF(Peak!X61&gt;Peak!$G61,R$8*Peak!$AM$11,0))</f>
        <v>-</v>
      </c>
      <c r="S60" s="177" t="str">
        <f>IF('Peak Revenue'!$A$1="BL","-",IF(Peak!Y61&gt;Peak!$G61,S$8*Peak!$AM$11,0))</f>
        <v>-</v>
      </c>
      <c r="T60" s="177" t="str">
        <f>IF('Peak Revenue'!$A$1="BL","-",IF(Peak!Z61&gt;Peak!$G61,T$8*Peak!$AM$11,0))</f>
        <v>-</v>
      </c>
      <c r="U60" s="177" t="str">
        <f>IF('Peak Revenue'!$A$1="BL","-",IF(Peak!AA61&gt;Peak!$G61,U$8*Peak!$AM$11,0))</f>
        <v>-</v>
      </c>
      <c r="V60" s="178">
        <f t="shared" si="0"/>
        <v>0</v>
      </c>
      <c r="W60" s="165"/>
    </row>
    <row r="61" spans="1:23" x14ac:dyDescent="0.2">
      <c r="A61" s="1">
        <f t="shared" si="1"/>
        <v>38091.267000000065</v>
      </c>
      <c r="B61" s="176" t="str">
        <f>IF('Peak Revenue'!$A$1="BL","-",IF(Peak!H62&gt;Peak!$G62,B$8*Peak!$AM$11,0))</f>
        <v>-</v>
      </c>
      <c r="C61" s="177" t="str">
        <f>IF('Peak Revenue'!$A$1="BL","-",IF(Peak!I62&gt;Peak!$G62,C$8*Peak!$AM$11,0))</f>
        <v>-</v>
      </c>
      <c r="D61" s="177" t="str">
        <f>IF('Peak Revenue'!$A$1="BL","-",IF(Peak!J62&gt;Peak!$G62,D$8*Peak!$AM$11,0))</f>
        <v>-</v>
      </c>
      <c r="E61" s="177" t="str">
        <f>IF('Peak Revenue'!$A$1="BL","-",IF(Peak!K62&gt;Peak!$G62,E$8*Peak!$AM$11,0))</f>
        <v>-</v>
      </c>
      <c r="F61" s="177" t="str">
        <f>IF('Peak Revenue'!$A$1="BL","-",IF(Peak!L62&gt;Peak!$G62,F$8*Peak!$AM$11,0))</f>
        <v>-</v>
      </c>
      <c r="G61" s="177" t="str">
        <f>IF('Peak Revenue'!$A$1="BL","-",IF(Peak!M62&gt;Peak!$G62,G$8*Peak!$AM$11,0))</f>
        <v>-</v>
      </c>
      <c r="H61" s="177" t="str">
        <f>IF('Peak Revenue'!$A$1="BL","-",IF(Peak!N62&gt;Peak!$G62,H$8*Peak!$AM$11,0))</f>
        <v>-</v>
      </c>
      <c r="I61" s="177" t="str">
        <f>IF('Peak Revenue'!$A$1="BL","-",IF(Peak!O62&gt;Peak!$G62,I$8*Peak!$AM$11,0))</f>
        <v>-</v>
      </c>
      <c r="J61" s="177" t="str">
        <f>IF('Peak Revenue'!$A$1="BL","-",IF(Peak!P62&gt;Peak!$G62,J$8*Peak!$AM$11,0))</f>
        <v>-</v>
      </c>
      <c r="K61" s="177" t="str">
        <f>IF('Peak Revenue'!$A$1="BL","-",IF(Peak!Q62&gt;Peak!$G62,K$8*Peak!$AM$11,0))</f>
        <v>-</v>
      </c>
      <c r="L61" s="177" t="str">
        <f>IF('Peak Revenue'!$A$1="BL","-",IF(Peak!R62&gt;Peak!$G62,L$8*Peak!$AM$11,0))</f>
        <v>-</v>
      </c>
      <c r="M61" s="177" t="str">
        <f>IF('Peak Revenue'!$A$1="BL","-",IF(Peak!S62&gt;Peak!$G62,M$8*Peak!$AM$11,0))</f>
        <v>-</v>
      </c>
      <c r="N61" s="177" t="str">
        <f>IF('Peak Revenue'!$A$1="BL","-",IF(Peak!T62&gt;Peak!$G62,N$8*Peak!$AM$11,0))</f>
        <v>-</v>
      </c>
      <c r="O61" s="177" t="str">
        <f>IF('Peak Revenue'!$A$1="BL","-",IF(Peak!U62&gt;Peak!$G62,O$8*Peak!$AM$11,0))</f>
        <v>-</v>
      </c>
      <c r="P61" s="177" t="str">
        <f>IF('Peak Revenue'!$A$1="BL","-",IF(Peak!V62&gt;Peak!$G62,P$8*Peak!$AM$11,0))</f>
        <v>-</v>
      </c>
      <c r="Q61" s="177" t="str">
        <f>IF('Peak Revenue'!$A$1="BL","-",IF(Peak!W62&gt;Peak!$G62,Q$8*Peak!$AM$11,0))</f>
        <v>-</v>
      </c>
      <c r="R61" s="177" t="str">
        <f>IF('Peak Revenue'!$A$1="BL","-",IF(Peak!X62&gt;Peak!$G62,R$8*Peak!$AM$11,0))</f>
        <v>-</v>
      </c>
      <c r="S61" s="177" t="str">
        <f>IF('Peak Revenue'!$A$1="BL","-",IF(Peak!Y62&gt;Peak!$G62,S$8*Peak!$AM$11,0))</f>
        <v>-</v>
      </c>
      <c r="T61" s="177" t="str">
        <f>IF('Peak Revenue'!$A$1="BL","-",IF(Peak!Z62&gt;Peak!$G62,T$8*Peak!$AM$11,0))</f>
        <v>-</v>
      </c>
      <c r="U61" s="177" t="str">
        <f>IF('Peak Revenue'!$A$1="BL","-",IF(Peak!AA62&gt;Peak!$G62,U$8*Peak!$AM$11,0))</f>
        <v>-</v>
      </c>
      <c r="V61" s="178">
        <f t="shared" si="0"/>
        <v>0</v>
      </c>
      <c r="W61" s="165"/>
    </row>
    <row r="62" spans="1:23" x14ac:dyDescent="0.2">
      <c r="A62" s="1">
        <f t="shared" si="1"/>
        <v>38121.684000000067</v>
      </c>
      <c r="B62" s="176" t="str">
        <f>IF('Peak Revenue'!$A$1="BL","-",IF(Peak!H63&gt;Peak!$G63,B$8*Peak!$AM$11,0))</f>
        <v>-</v>
      </c>
      <c r="C62" s="177" t="str">
        <f>IF('Peak Revenue'!$A$1="BL","-",IF(Peak!I63&gt;Peak!$G63,C$8*Peak!$AM$11,0))</f>
        <v>-</v>
      </c>
      <c r="D62" s="177" t="str">
        <f>IF('Peak Revenue'!$A$1="BL","-",IF(Peak!J63&gt;Peak!$G63,D$8*Peak!$AM$11,0))</f>
        <v>-</v>
      </c>
      <c r="E62" s="177" t="str">
        <f>IF('Peak Revenue'!$A$1="BL","-",IF(Peak!K63&gt;Peak!$G63,E$8*Peak!$AM$11,0))</f>
        <v>-</v>
      </c>
      <c r="F62" s="177" t="str">
        <f>IF('Peak Revenue'!$A$1="BL","-",IF(Peak!L63&gt;Peak!$G63,F$8*Peak!$AM$11,0))</f>
        <v>-</v>
      </c>
      <c r="G62" s="177" t="str">
        <f>IF('Peak Revenue'!$A$1="BL","-",IF(Peak!M63&gt;Peak!$G63,G$8*Peak!$AM$11,0))</f>
        <v>-</v>
      </c>
      <c r="H62" s="177" t="str">
        <f>IF('Peak Revenue'!$A$1="BL","-",IF(Peak!N63&gt;Peak!$G63,H$8*Peak!$AM$11,0))</f>
        <v>-</v>
      </c>
      <c r="I62" s="177" t="str">
        <f>IF('Peak Revenue'!$A$1="BL","-",IF(Peak!O63&gt;Peak!$G63,I$8*Peak!$AM$11,0))</f>
        <v>-</v>
      </c>
      <c r="J62" s="177" t="str">
        <f>IF('Peak Revenue'!$A$1="BL","-",IF(Peak!P63&gt;Peak!$G63,J$8*Peak!$AM$11,0))</f>
        <v>-</v>
      </c>
      <c r="K62" s="177" t="str">
        <f>IF('Peak Revenue'!$A$1="BL","-",IF(Peak!Q63&gt;Peak!$G63,K$8*Peak!$AM$11,0))</f>
        <v>-</v>
      </c>
      <c r="L62" s="177" t="str">
        <f>IF('Peak Revenue'!$A$1="BL","-",IF(Peak!R63&gt;Peak!$G63,L$8*Peak!$AM$11,0))</f>
        <v>-</v>
      </c>
      <c r="M62" s="177" t="str">
        <f>IF('Peak Revenue'!$A$1="BL","-",IF(Peak!S63&gt;Peak!$G63,M$8*Peak!$AM$11,0))</f>
        <v>-</v>
      </c>
      <c r="N62" s="177" t="str">
        <f>IF('Peak Revenue'!$A$1="BL","-",IF(Peak!T63&gt;Peak!$G63,N$8*Peak!$AM$11,0))</f>
        <v>-</v>
      </c>
      <c r="O62" s="177" t="str">
        <f>IF('Peak Revenue'!$A$1="BL","-",IF(Peak!U63&gt;Peak!$G63,O$8*Peak!$AM$11,0))</f>
        <v>-</v>
      </c>
      <c r="P62" s="177" t="str">
        <f>IF('Peak Revenue'!$A$1="BL","-",IF(Peak!V63&gt;Peak!$G63,P$8*Peak!$AM$11,0))</f>
        <v>-</v>
      </c>
      <c r="Q62" s="177" t="str">
        <f>IF('Peak Revenue'!$A$1="BL","-",IF(Peak!W63&gt;Peak!$G63,Q$8*Peak!$AM$11,0))</f>
        <v>-</v>
      </c>
      <c r="R62" s="177" t="str">
        <f>IF('Peak Revenue'!$A$1="BL","-",IF(Peak!X63&gt;Peak!$G63,R$8*Peak!$AM$11,0))</f>
        <v>-</v>
      </c>
      <c r="S62" s="177" t="str">
        <f>IF('Peak Revenue'!$A$1="BL","-",IF(Peak!Y63&gt;Peak!$G63,S$8*Peak!$AM$11,0))</f>
        <v>-</v>
      </c>
      <c r="T62" s="177" t="str">
        <f>IF('Peak Revenue'!$A$1="BL","-",IF(Peak!Z63&gt;Peak!$G63,T$8*Peak!$AM$11,0))</f>
        <v>-</v>
      </c>
      <c r="U62" s="177" t="str">
        <f>IF('Peak Revenue'!$A$1="BL","-",IF(Peak!AA63&gt;Peak!$G63,U$8*Peak!$AM$11,0))</f>
        <v>-</v>
      </c>
      <c r="V62" s="178">
        <f t="shared" si="0"/>
        <v>0</v>
      </c>
      <c r="W62" s="165"/>
    </row>
    <row r="63" spans="1:23" x14ac:dyDescent="0.2">
      <c r="A63" s="1">
        <f t="shared" si="1"/>
        <v>38152.101000000068</v>
      </c>
      <c r="B63" s="176" t="str">
        <f>IF('Peak Revenue'!$A$1="BL","-",IF(Peak!H64&gt;Peak!$G64,B$8*Peak!$AM$11,0))</f>
        <v>-</v>
      </c>
      <c r="C63" s="177" t="str">
        <f>IF('Peak Revenue'!$A$1="BL","-",IF(Peak!I64&gt;Peak!$G64,C$8*Peak!$AM$11,0))</f>
        <v>-</v>
      </c>
      <c r="D63" s="177" t="str">
        <f>IF('Peak Revenue'!$A$1="BL","-",IF(Peak!J64&gt;Peak!$G64,D$8*Peak!$AM$11,0))</f>
        <v>-</v>
      </c>
      <c r="E63" s="177" t="str">
        <f>IF('Peak Revenue'!$A$1="BL","-",IF(Peak!K64&gt;Peak!$G64,E$8*Peak!$AM$11,0))</f>
        <v>-</v>
      </c>
      <c r="F63" s="177" t="str">
        <f>IF('Peak Revenue'!$A$1="BL","-",IF(Peak!L64&gt;Peak!$G64,F$8*Peak!$AM$11,0))</f>
        <v>-</v>
      </c>
      <c r="G63" s="177" t="str">
        <f>IF('Peak Revenue'!$A$1="BL","-",IF(Peak!M64&gt;Peak!$G64,G$8*Peak!$AM$11,0))</f>
        <v>-</v>
      </c>
      <c r="H63" s="177" t="str">
        <f>IF('Peak Revenue'!$A$1="BL","-",IF(Peak!N64&gt;Peak!$G64,H$8*Peak!$AM$11,0))</f>
        <v>-</v>
      </c>
      <c r="I63" s="177" t="str">
        <f>IF('Peak Revenue'!$A$1="BL","-",IF(Peak!O64&gt;Peak!$G64,I$8*Peak!$AM$11,0))</f>
        <v>-</v>
      </c>
      <c r="J63" s="177" t="str">
        <f>IF('Peak Revenue'!$A$1="BL","-",IF(Peak!P64&gt;Peak!$G64,J$8*Peak!$AM$11,0))</f>
        <v>-</v>
      </c>
      <c r="K63" s="177" t="str">
        <f>IF('Peak Revenue'!$A$1="BL","-",IF(Peak!Q64&gt;Peak!$G64,K$8*Peak!$AM$11,0))</f>
        <v>-</v>
      </c>
      <c r="L63" s="177" t="str">
        <f>IF('Peak Revenue'!$A$1="BL","-",IF(Peak!R64&gt;Peak!$G64,L$8*Peak!$AM$11,0))</f>
        <v>-</v>
      </c>
      <c r="M63" s="177" t="str">
        <f>IF('Peak Revenue'!$A$1="BL","-",IF(Peak!S64&gt;Peak!$G64,M$8*Peak!$AM$11,0))</f>
        <v>-</v>
      </c>
      <c r="N63" s="177" t="str">
        <f>IF('Peak Revenue'!$A$1="BL","-",IF(Peak!T64&gt;Peak!$G64,N$8*Peak!$AM$11,0))</f>
        <v>-</v>
      </c>
      <c r="O63" s="177" t="str">
        <f>IF('Peak Revenue'!$A$1="BL","-",IF(Peak!U64&gt;Peak!$G64,O$8*Peak!$AM$11,0))</f>
        <v>-</v>
      </c>
      <c r="P63" s="177" t="str">
        <f>IF('Peak Revenue'!$A$1="BL","-",IF(Peak!V64&gt;Peak!$G64,P$8*Peak!$AM$11,0))</f>
        <v>-</v>
      </c>
      <c r="Q63" s="177" t="str">
        <f>IF('Peak Revenue'!$A$1="BL","-",IF(Peak!W64&gt;Peak!$G64,Q$8*Peak!$AM$11,0))</f>
        <v>-</v>
      </c>
      <c r="R63" s="177" t="str">
        <f>IF('Peak Revenue'!$A$1="BL","-",IF(Peak!X64&gt;Peak!$G64,R$8*Peak!$AM$11,0))</f>
        <v>-</v>
      </c>
      <c r="S63" s="177" t="str">
        <f>IF('Peak Revenue'!$A$1="BL","-",IF(Peak!Y64&gt;Peak!$G64,S$8*Peak!$AM$11,0))</f>
        <v>-</v>
      </c>
      <c r="T63" s="177" t="str">
        <f>IF('Peak Revenue'!$A$1="BL","-",IF(Peak!Z64&gt;Peak!$G64,T$8*Peak!$AM$11,0))</f>
        <v>-</v>
      </c>
      <c r="U63" s="177" t="str">
        <f>IF('Peak Revenue'!$A$1="BL","-",IF(Peak!AA64&gt;Peak!$G64,U$8*Peak!$AM$11,0))</f>
        <v>-</v>
      </c>
      <c r="V63" s="178">
        <f t="shared" si="0"/>
        <v>0</v>
      </c>
      <c r="W63" s="165"/>
    </row>
    <row r="64" spans="1:23" x14ac:dyDescent="0.2">
      <c r="A64" s="1">
        <f t="shared" si="1"/>
        <v>38182.518000000069</v>
      </c>
      <c r="B64" s="176" t="str">
        <f>IF('Peak Revenue'!$A$1="BL","-",IF(Peak!H65&gt;Peak!$G65,B$8*Peak!$AM$11,0))</f>
        <v>-</v>
      </c>
      <c r="C64" s="177" t="str">
        <f>IF('Peak Revenue'!$A$1="BL","-",IF(Peak!I65&gt;Peak!$G65,C$8*Peak!$AM$11,0))</f>
        <v>-</v>
      </c>
      <c r="D64" s="177" t="str">
        <f>IF('Peak Revenue'!$A$1="BL","-",IF(Peak!J65&gt;Peak!$G65,D$8*Peak!$AM$11,0))</f>
        <v>-</v>
      </c>
      <c r="E64" s="177" t="str">
        <f>IF('Peak Revenue'!$A$1="BL","-",IF(Peak!K65&gt;Peak!$G65,E$8*Peak!$AM$11,0))</f>
        <v>-</v>
      </c>
      <c r="F64" s="177" t="str">
        <f>IF('Peak Revenue'!$A$1="BL","-",IF(Peak!L65&gt;Peak!$G65,F$8*Peak!$AM$11,0))</f>
        <v>-</v>
      </c>
      <c r="G64" s="177" t="str">
        <f>IF('Peak Revenue'!$A$1="BL","-",IF(Peak!M65&gt;Peak!$G65,G$8*Peak!$AM$11,0))</f>
        <v>-</v>
      </c>
      <c r="H64" s="177" t="str">
        <f>IF('Peak Revenue'!$A$1="BL","-",IF(Peak!N65&gt;Peak!$G65,H$8*Peak!$AM$11,0))</f>
        <v>-</v>
      </c>
      <c r="I64" s="177" t="str">
        <f>IF('Peak Revenue'!$A$1="BL","-",IF(Peak!O65&gt;Peak!$G65,I$8*Peak!$AM$11,0))</f>
        <v>-</v>
      </c>
      <c r="J64" s="177" t="str">
        <f>IF('Peak Revenue'!$A$1="BL","-",IF(Peak!P65&gt;Peak!$G65,J$8*Peak!$AM$11,0))</f>
        <v>-</v>
      </c>
      <c r="K64" s="177" t="str">
        <f>IF('Peak Revenue'!$A$1="BL","-",IF(Peak!Q65&gt;Peak!$G65,K$8*Peak!$AM$11,0))</f>
        <v>-</v>
      </c>
      <c r="L64" s="177" t="str">
        <f>IF('Peak Revenue'!$A$1="BL","-",IF(Peak!R65&gt;Peak!$G65,L$8*Peak!$AM$11,0))</f>
        <v>-</v>
      </c>
      <c r="M64" s="177" t="str">
        <f>IF('Peak Revenue'!$A$1="BL","-",IF(Peak!S65&gt;Peak!$G65,M$8*Peak!$AM$11,0))</f>
        <v>-</v>
      </c>
      <c r="N64" s="177" t="str">
        <f>IF('Peak Revenue'!$A$1="BL","-",IF(Peak!T65&gt;Peak!$G65,N$8*Peak!$AM$11,0))</f>
        <v>-</v>
      </c>
      <c r="O64" s="177" t="str">
        <f>IF('Peak Revenue'!$A$1="BL","-",IF(Peak!U65&gt;Peak!$G65,O$8*Peak!$AM$11,0))</f>
        <v>-</v>
      </c>
      <c r="P64" s="177" t="str">
        <f>IF('Peak Revenue'!$A$1="BL","-",IF(Peak!V65&gt;Peak!$G65,P$8*Peak!$AM$11,0))</f>
        <v>-</v>
      </c>
      <c r="Q64" s="177" t="str">
        <f>IF('Peak Revenue'!$A$1="BL","-",IF(Peak!W65&gt;Peak!$G65,Q$8*Peak!$AM$11,0))</f>
        <v>-</v>
      </c>
      <c r="R64" s="177" t="str">
        <f>IF('Peak Revenue'!$A$1="BL","-",IF(Peak!X65&gt;Peak!$G65,R$8*Peak!$AM$11,0))</f>
        <v>-</v>
      </c>
      <c r="S64" s="177" t="str">
        <f>IF('Peak Revenue'!$A$1="BL","-",IF(Peak!Y65&gt;Peak!$G65,S$8*Peak!$AM$11,0))</f>
        <v>-</v>
      </c>
      <c r="T64" s="177" t="str">
        <f>IF('Peak Revenue'!$A$1="BL","-",IF(Peak!Z65&gt;Peak!$G65,T$8*Peak!$AM$11,0))</f>
        <v>-</v>
      </c>
      <c r="U64" s="177" t="str">
        <f>IF('Peak Revenue'!$A$1="BL","-",IF(Peak!AA65&gt;Peak!$G65,U$8*Peak!$AM$11,0))</f>
        <v>-</v>
      </c>
      <c r="V64" s="178">
        <f t="shared" si="0"/>
        <v>0</v>
      </c>
      <c r="W64" s="165"/>
    </row>
    <row r="65" spans="1:23" x14ac:dyDescent="0.2">
      <c r="A65" s="1">
        <f t="shared" si="1"/>
        <v>38212.93500000007</v>
      </c>
      <c r="B65" s="176" t="str">
        <f>IF('Peak Revenue'!$A$1="BL","-",IF(Peak!H66&gt;Peak!$G66,B$8*Peak!$AM$11,0))</f>
        <v>-</v>
      </c>
      <c r="C65" s="177" t="str">
        <f>IF('Peak Revenue'!$A$1="BL","-",IF(Peak!I66&gt;Peak!$G66,C$8*Peak!$AM$11,0))</f>
        <v>-</v>
      </c>
      <c r="D65" s="177" t="str">
        <f>IF('Peak Revenue'!$A$1="BL","-",IF(Peak!J66&gt;Peak!$G66,D$8*Peak!$AM$11,0))</f>
        <v>-</v>
      </c>
      <c r="E65" s="177" t="str">
        <f>IF('Peak Revenue'!$A$1="BL","-",IF(Peak!K66&gt;Peak!$G66,E$8*Peak!$AM$11,0))</f>
        <v>-</v>
      </c>
      <c r="F65" s="177" t="str">
        <f>IF('Peak Revenue'!$A$1="BL","-",IF(Peak!L66&gt;Peak!$G66,F$8*Peak!$AM$11,0))</f>
        <v>-</v>
      </c>
      <c r="G65" s="177" t="str">
        <f>IF('Peak Revenue'!$A$1="BL","-",IF(Peak!M66&gt;Peak!$G66,G$8*Peak!$AM$11,0))</f>
        <v>-</v>
      </c>
      <c r="H65" s="177" t="str">
        <f>IF('Peak Revenue'!$A$1="BL","-",IF(Peak!N66&gt;Peak!$G66,H$8*Peak!$AM$11,0))</f>
        <v>-</v>
      </c>
      <c r="I65" s="177" t="str">
        <f>IF('Peak Revenue'!$A$1="BL","-",IF(Peak!O66&gt;Peak!$G66,I$8*Peak!$AM$11,0))</f>
        <v>-</v>
      </c>
      <c r="J65" s="177" t="str">
        <f>IF('Peak Revenue'!$A$1="BL","-",IF(Peak!P66&gt;Peak!$G66,J$8*Peak!$AM$11,0))</f>
        <v>-</v>
      </c>
      <c r="K65" s="177" t="str">
        <f>IF('Peak Revenue'!$A$1="BL","-",IF(Peak!Q66&gt;Peak!$G66,K$8*Peak!$AM$11,0))</f>
        <v>-</v>
      </c>
      <c r="L65" s="177" t="str">
        <f>IF('Peak Revenue'!$A$1="BL","-",IF(Peak!R66&gt;Peak!$G66,L$8*Peak!$AM$11,0))</f>
        <v>-</v>
      </c>
      <c r="M65" s="177" t="str">
        <f>IF('Peak Revenue'!$A$1="BL","-",IF(Peak!S66&gt;Peak!$G66,M$8*Peak!$AM$11,0))</f>
        <v>-</v>
      </c>
      <c r="N65" s="177" t="str">
        <f>IF('Peak Revenue'!$A$1="BL","-",IF(Peak!T66&gt;Peak!$G66,N$8*Peak!$AM$11,0))</f>
        <v>-</v>
      </c>
      <c r="O65" s="177" t="str">
        <f>IF('Peak Revenue'!$A$1="BL","-",IF(Peak!U66&gt;Peak!$G66,O$8*Peak!$AM$11,0))</f>
        <v>-</v>
      </c>
      <c r="P65" s="177" t="str">
        <f>IF('Peak Revenue'!$A$1="BL","-",IF(Peak!V66&gt;Peak!$G66,P$8*Peak!$AM$11,0))</f>
        <v>-</v>
      </c>
      <c r="Q65" s="177" t="str">
        <f>IF('Peak Revenue'!$A$1="BL","-",IF(Peak!W66&gt;Peak!$G66,Q$8*Peak!$AM$11,0))</f>
        <v>-</v>
      </c>
      <c r="R65" s="177" t="str">
        <f>IF('Peak Revenue'!$A$1="BL","-",IF(Peak!X66&gt;Peak!$G66,R$8*Peak!$AM$11,0))</f>
        <v>-</v>
      </c>
      <c r="S65" s="177" t="str">
        <f>IF('Peak Revenue'!$A$1="BL","-",IF(Peak!Y66&gt;Peak!$G66,S$8*Peak!$AM$11,0))</f>
        <v>-</v>
      </c>
      <c r="T65" s="177" t="str">
        <f>IF('Peak Revenue'!$A$1="BL","-",IF(Peak!Z66&gt;Peak!$G66,T$8*Peak!$AM$11,0))</f>
        <v>-</v>
      </c>
      <c r="U65" s="177" t="str">
        <f>IF('Peak Revenue'!$A$1="BL","-",IF(Peak!AA66&gt;Peak!$G66,U$8*Peak!$AM$11,0))</f>
        <v>-</v>
      </c>
      <c r="V65" s="178">
        <f t="shared" si="0"/>
        <v>0</v>
      </c>
      <c r="W65" s="165"/>
    </row>
    <row r="66" spans="1:23" x14ac:dyDescent="0.2">
      <c r="A66" s="1">
        <f t="shared" si="1"/>
        <v>38243.352000000072</v>
      </c>
      <c r="B66" s="176" t="str">
        <f>IF('Peak Revenue'!$A$1="BL","-",IF(Peak!H67&gt;Peak!$G67,B$8*Peak!$AM$11,0))</f>
        <v>-</v>
      </c>
      <c r="C66" s="177" t="str">
        <f>IF('Peak Revenue'!$A$1="BL","-",IF(Peak!I67&gt;Peak!$G67,C$8*Peak!$AM$11,0))</f>
        <v>-</v>
      </c>
      <c r="D66" s="177" t="str">
        <f>IF('Peak Revenue'!$A$1="BL","-",IF(Peak!J67&gt;Peak!$G67,D$8*Peak!$AM$11,0))</f>
        <v>-</v>
      </c>
      <c r="E66" s="177" t="str">
        <f>IF('Peak Revenue'!$A$1="BL","-",IF(Peak!K67&gt;Peak!$G67,E$8*Peak!$AM$11,0))</f>
        <v>-</v>
      </c>
      <c r="F66" s="177" t="str">
        <f>IF('Peak Revenue'!$A$1="BL","-",IF(Peak!L67&gt;Peak!$G67,F$8*Peak!$AM$11,0))</f>
        <v>-</v>
      </c>
      <c r="G66" s="177" t="str">
        <f>IF('Peak Revenue'!$A$1="BL","-",IF(Peak!M67&gt;Peak!$G67,G$8*Peak!$AM$11,0))</f>
        <v>-</v>
      </c>
      <c r="H66" s="177" t="str">
        <f>IF('Peak Revenue'!$A$1="BL","-",IF(Peak!N67&gt;Peak!$G67,H$8*Peak!$AM$11,0))</f>
        <v>-</v>
      </c>
      <c r="I66" s="177" t="str">
        <f>IF('Peak Revenue'!$A$1="BL","-",IF(Peak!O67&gt;Peak!$G67,I$8*Peak!$AM$11,0))</f>
        <v>-</v>
      </c>
      <c r="J66" s="177" t="str">
        <f>IF('Peak Revenue'!$A$1="BL","-",IF(Peak!P67&gt;Peak!$G67,J$8*Peak!$AM$11,0))</f>
        <v>-</v>
      </c>
      <c r="K66" s="177" t="str">
        <f>IF('Peak Revenue'!$A$1="BL","-",IF(Peak!Q67&gt;Peak!$G67,K$8*Peak!$AM$11,0))</f>
        <v>-</v>
      </c>
      <c r="L66" s="177" t="str">
        <f>IF('Peak Revenue'!$A$1="BL","-",IF(Peak!R67&gt;Peak!$G67,L$8*Peak!$AM$11,0))</f>
        <v>-</v>
      </c>
      <c r="M66" s="177" t="str">
        <f>IF('Peak Revenue'!$A$1="BL","-",IF(Peak!S67&gt;Peak!$G67,M$8*Peak!$AM$11,0))</f>
        <v>-</v>
      </c>
      <c r="N66" s="177" t="str">
        <f>IF('Peak Revenue'!$A$1="BL","-",IF(Peak!T67&gt;Peak!$G67,N$8*Peak!$AM$11,0))</f>
        <v>-</v>
      </c>
      <c r="O66" s="177" t="str">
        <f>IF('Peak Revenue'!$A$1="BL","-",IF(Peak!U67&gt;Peak!$G67,O$8*Peak!$AM$11,0))</f>
        <v>-</v>
      </c>
      <c r="P66" s="177" t="str">
        <f>IF('Peak Revenue'!$A$1="BL","-",IF(Peak!V67&gt;Peak!$G67,P$8*Peak!$AM$11,0))</f>
        <v>-</v>
      </c>
      <c r="Q66" s="177" t="str">
        <f>IF('Peak Revenue'!$A$1="BL","-",IF(Peak!W67&gt;Peak!$G67,Q$8*Peak!$AM$11,0))</f>
        <v>-</v>
      </c>
      <c r="R66" s="177" t="str">
        <f>IF('Peak Revenue'!$A$1="BL","-",IF(Peak!X67&gt;Peak!$G67,R$8*Peak!$AM$11,0))</f>
        <v>-</v>
      </c>
      <c r="S66" s="177" t="str">
        <f>IF('Peak Revenue'!$A$1="BL","-",IF(Peak!Y67&gt;Peak!$G67,S$8*Peak!$AM$11,0))</f>
        <v>-</v>
      </c>
      <c r="T66" s="177" t="str">
        <f>IF('Peak Revenue'!$A$1="BL","-",IF(Peak!Z67&gt;Peak!$G67,T$8*Peak!$AM$11,0))</f>
        <v>-</v>
      </c>
      <c r="U66" s="177" t="str">
        <f>IF('Peak Revenue'!$A$1="BL","-",IF(Peak!AA67&gt;Peak!$G67,U$8*Peak!$AM$11,0))</f>
        <v>-</v>
      </c>
      <c r="V66" s="178">
        <f t="shared" si="0"/>
        <v>0</v>
      </c>
      <c r="W66" s="165"/>
    </row>
    <row r="67" spans="1:23" x14ac:dyDescent="0.2">
      <c r="A67" s="1">
        <f t="shared" si="1"/>
        <v>38273.769000000073</v>
      </c>
      <c r="B67" s="176" t="str">
        <f>IF('Peak Revenue'!$A$1="BL","-",IF(Peak!H68&gt;Peak!$G68,B$8*Peak!$AM$11,0))</f>
        <v>-</v>
      </c>
      <c r="C67" s="177" t="str">
        <f>IF('Peak Revenue'!$A$1="BL","-",IF(Peak!I68&gt;Peak!$G68,C$8*Peak!$AM$11,0))</f>
        <v>-</v>
      </c>
      <c r="D67" s="177" t="str">
        <f>IF('Peak Revenue'!$A$1="BL","-",IF(Peak!J68&gt;Peak!$G68,D$8*Peak!$AM$11,0))</f>
        <v>-</v>
      </c>
      <c r="E67" s="177" t="str">
        <f>IF('Peak Revenue'!$A$1="BL","-",IF(Peak!K68&gt;Peak!$G68,E$8*Peak!$AM$11,0))</f>
        <v>-</v>
      </c>
      <c r="F67" s="177" t="str">
        <f>IF('Peak Revenue'!$A$1="BL","-",IF(Peak!L68&gt;Peak!$G68,F$8*Peak!$AM$11,0))</f>
        <v>-</v>
      </c>
      <c r="G67" s="177" t="str">
        <f>IF('Peak Revenue'!$A$1="BL","-",IF(Peak!M68&gt;Peak!$G68,G$8*Peak!$AM$11,0))</f>
        <v>-</v>
      </c>
      <c r="H67" s="177" t="str">
        <f>IF('Peak Revenue'!$A$1="BL","-",IF(Peak!N68&gt;Peak!$G68,H$8*Peak!$AM$11,0))</f>
        <v>-</v>
      </c>
      <c r="I67" s="177" t="str">
        <f>IF('Peak Revenue'!$A$1="BL","-",IF(Peak!O68&gt;Peak!$G68,I$8*Peak!$AM$11,0))</f>
        <v>-</v>
      </c>
      <c r="J67" s="177" t="str">
        <f>IF('Peak Revenue'!$A$1="BL","-",IF(Peak!P68&gt;Peak!$G68,J$8*Peak!$AM$11,0))</f>
        <v>-</v>
      </c>
      <c r="K67" s="177" t="str">
        <f>IF('Peak Revenue'!$A$1="BL","-",IF(Peak!Q68&gt;Peak!$G68,K$8*Peak!$AM$11,0))</f>
        <v>-</v>
      </c>
      <c r="L67" s="177" t="str">
        <f>IF('Peak Revenue'!$A$1="BL","-",IF(Peak!R68&gt;Peak!$G68,L$8*Peak!$AM$11,0))</f>
        <v>-</v>
      </c>
      <c r="M67" s="177" t="str">
        <f>IF('Peak Revenue'!$A$1="BL","-",IF(Peak!S68&gt;Peak!$G68,M$8*Peak!$AM$11,0))</f>
        <v>-</v>
      </c>
      <c r="N67" s="177" t="str">
        <f>IF('Peak Revenue'!$A$1="BL","-",IF(Peak!T68&gt;Peak!$G68,N$8*Peak!$AM$11,0))</f>
        <v>-</v>
      </c>
      <c r="O67" s="177" t="str">
        <f>IF('Peak Revenue'!$A$1="BL","-",IF(Peak!U68&gt;Peak!$G68,O$8*Peak!$AM$11,0))</f>
        <v>-</v>
      </c>
      <c r="P67" s="177" t="str">
        <f>IF('Peak Revenue'!$A$1="BL","-",IF(Peak!V68&gt;Peak!$G68,P$8*Peak!$AM$11,0))</f>
        <v>-</v>
      </c>
      <c r="Q67" s="177" t="str">
        <f>IF('Peak Revenue'!$A$1="BL","-",IF(Peak!W68&gt;Peak!$G68,Q$8*Peak!$AM$11,0))</f>
        <v>-</v>
      </c>
      <c r="R67" s="177" t="str">
        <f>IF('Peak Revenue'!$A$1="BL","-",IF(Peak!X68&gt;Peak!$G68,R$8*Peak!$AM$11,0))</f>
        <v>-</v>
      </c>
      <c r="S67" s="177" t="str">
        <f>IF('Peak Revenue'!$A$1="BL","-",IF(Peak!Y68&gt;Peak!$G68,S$8*Peak!$AM$11,0))</f>
        <v>-</v>
      </c>
      <c r="T67" s="177" t="str">
        <f>IF('Peak Revenue'!$A$1="BL","-",IF(Peak!Z68&gt;Peak!$G68,T$8*Peak!$AM$11,0))</f>
        <v>-</v>
      </c>
      <c r="U67" s="177" t="str">
        <f>IF('Peak Revenue'!$A$1="BL","-",IF(Peak!AA68&gt;Peak!$G68,U$8*Peak!$AM$11,0))</f>
        <v>-</v>
      </c>
      <c r="V67" s="178">
        <f t="shared" si="0"/>
        <v>0</v>
      </c>
      <c r="W67" s="165"/>
    </row>
    <row r="68" spans="1:23" x14ac:dyDescent="0.2">
      <c r="A68" s="1">
        <f t="shared" si="1"/>
        <v>38304.186000000074</v>
      </c>
      <c r="B68" s="176" t="str">
        <f>IF('Peak Revenue'!$A$1="BL","-",IF(Peak!H69&gt;Peak!$G69,B$8*Peak!$AM$11,0))</f>
        <v>-</v>
      </c>
      <c r="C68" s="177" t="str">
        <f>IF('Peak Revenue'!$A$1="BL","-",IF(Peak!I69&gt;Peak!$G69,C$8*Peak!$AM$11,0))</f>
        <v>-</v>
      </c>
      <c r="D68" s="177" t="str">
        <f>IF('Peak Revenue'!$A$1="BL","-",IF(Peak!J69&gt;Peak!$G69,D$8*Peak!$AM$11,0))</f>
        <v>-</v>
      </c>
      <c r="E68" s="177" t="str">
        <f>IF('Peak Revenue'!$A$1="BL","-",IF(Peak!K69&gt;Peak!$G69,E$8*Peak!$AM$11,0))</f>
        <v>-</v>
      </c>
      <c r="F68" s="177" t="str">
        <f>IF('Peak Revenue'!$A$1="BL","-",IF(Peak!L69&gt;Peak!$G69,F$8*Peak!$AM$11,0))</f>
        <v>-</v>
      </c>
      <c r="G68" s="177" t="str">
        <f>IF('Peak Revenue'!$A$1="BL","-",IF(Peak!M69&gt;Peak!$G69,G$8*Peak!$AM$11,0))</f>
        <v>-</v>
      </c>
      <c r="H68" s="177" t="str">
        <f>IF('Peak Revenue'!$A$1="BL","-",IF(Peak!N69&gt;Peak!$G69,H$8*Peak!$AM$11,0))</f>
        <v>-</v>
      </c>
      <c r="I68" s="177" t="str">
        <f>IF('Peak Revenue'!$A$1="BL","-",IF(Peak!O69&gt;Peak!$G69,I$8*Peak!$AM$11,0))</f>
        <v>-</v>
      </c>
      <c r="J68" s="177" t="str">
        <f>IF('Peak Revenue'!$A$1="BL","-",IF(Peak!P69&gt;Peak!$G69,J$8*Peak!$AM$11,0))</f>
        <v>-</v>
      </c>
      <c r="K68" s="177" t="str">
        <f>IF('Peak Revenue'!$A$1="BL","-",IF(Peak!Q69&gt;Peak!$G69,K$8*Peak!$AM$11,0))</f>
        <v>-</v>
      </c>
      <c r="L68" s="177" t="str">
        <f>IF('Peak Revenue'!$A$1="BL","-",IF(Peak!R69&gt;Peak!$G69,L$8*Peak!$AM$11,0))</f>
        <v>-</v>
      </c>
      <c r="M68" s="177" t="str">
        <f>IF('Peak Revenue'!$A$1="BL","-",IF(Peak!S69&gt;Peak!$G69,M$8*Peak!$AM$11,0))</f>
        <v>-</v>
      </c>
      <c r="N68" s="177" t="str">
        <f>IF('Peak Revenue'!$A$1="BL","-",IF(Peak!T69&gt;Peak!$G69,N$8*Peak!$AM$11,0))</f>
        <v>-</v>
      </c>
      <c r="O68" s="177" t="str">
        <f>IF('Peak Revenue'!$A$1="BL","-",IF(Peak!U69&gt;Peak!$G69,O$8*Peak!$AM$11,0))</f>
        <v>-</v>
      </c>
      <c r="P68" s="177" t="str">
        <f>IF('Peak Revenue'!$A$1="BL","-",IF(Peak!V69&gt;Peak!$G69,P$8*Peak!$AM$11,0))</f>
        <v>-</v>
      </c>
      <c r="Q68" s="177" t="str">
        <f>IF('Peak Revenue'!$A$1="BL","-",IF(Peak!W69&gt;Peak!$G69,Q$8*Peak!$AM$11,0))</f>
        <v>-</v>
      </c>
      <c r="R68" s="177" t="str">
        <f>IF('Peak Revenue'!$A$1="BL","-",IF(Peak!X69&gt;Peak!$G69,R$8*Peak!$AM$11,0))</f>
        <v>-</v>
      </c>
      <c r="S68" s="177" t="str">
        <f>IF('Peak Revenue'!$A$1="BL","-",IF(Peak!Y69&gt;Peak!$G69,S$8*Peak!$AM$11,0))</f>
        <v>-</v>
      </c>
      <c r="T68" s="177" t="str">
        <f>IF('Peak Revenue'!$A$1="BL","-",IF(Peak!Z69&gt;Peak!$G69,T$8*Peak!$AM$11,0))</f>
        <v>-</v>
      </c>
      <c r="U68" s="177" t="str">
        <f>IF('Peak Revenue'!$A$1="BL","-",IF(Peak!AA69&gt;Peak!$G69,U$8*Peak!$AM$11,0))</f>
        <v>-</v>
      </c>
      <c r="V68" s="178">
        <f t="shared" si="0"/>
        <v>0</v>
      </c>
      <c r="W68" s="165"/>
    </row>
    <row r="69" spans="1:23" x14ac:dyDescent="0.2">
      <c r="A69" s="1">
        <f t="shared" si="1"/>
        <v>38334.603000000076</v>
      </c>
      <c r="B69" s="176" t="str">
        <f>IF('Peak Revenue'!$A$1="BL","-",IF(Peak!H70&gt;Peak!$G70,B$8*Peak!$AM$11,0))</f>
        <v>-</v>
      </c>
      <c r="C69" s="177" t="str">
        <f>IF('Peak Revenue'!$A$1="BL","-",IF(Peak!I70&gt;Peak!$G70,C$8*Peak!$AM$11,0))</f>
        <v>-</v>
      </c>
      <c r="D69" s="177" t="str">
        <f>IF('Peak Revenue'!$A$1="BL","-",IF(Peak!J70&gt;Peak!$G70,D$8*Peak!$AM$11,0))</f>
        <v>-</v>
      </c>
      <c r="E69" s="177" t="str">
        <f>IF('Peak Revenue'!$A$1="BL","-",IF(Peak!K70&gt;Peak!$G70,E$8*Peak!$AM$11,0))</f>
        <v>-</v>
      </c>
      <c r="F69" s="177" t="str">
        <f>IF('Peak Revenue'!$A$1="BL","-",IF(Peak!L70&gt;Peak!$G70,F$8*Peak!$AM$11,0))</f>
        <v>-</v>
      </c>
      <c r="G69" s="177" t="str">
        <f>IF('Peak Revenue'!$A$1="BL","-",IF(Peak!M70&gt;Peak!$G70,G$8*Peak!$AM$11,0))</f>
        <v>-</v>
      </c>
      <c r="H69" s="177" t="str">
        <f>IF('Peak Revenue'!$A$1="BL","-",IF(Peak!N70&gt;Peak!$G70,H$8*Peak!$AM$11,0))</f>
        <v>-</v>
      </c>
      <c r="I69" s="177" t="str">
        <f>IF('Peak Revenue'!$A$1="BL","-",IF(Peak!O70&gt;Peak!$G70,I$8*Peak!$AM$11,0))</f>
        <v>-</v>
      </c>
      <c r="J69" s="177" t="str">
        <f>IF('Peak Revenue'!$A$1="BL","-",IF(Peak!P70&gt;Peak!$G70,J$8*Peak!$AM$11,0))</f>
        <v>-</v>
      </c>
      <c r="K69" s="177" t="str">
        <f>IF('Peak Revenue'!$A$1="BL","-",IF(Peak!Q70&gt;Peak!$G70,K$8*Peak!$AM$11,0))</f>
        <v>-</v>
      </c>
      <c r="L69" s="177" t="str">
        <f>IF('Peak Revenue'!$A$1="BL","-",IF(Peak!R70&gt;Peak!$G70,L$8*Peak!$AM$11,0))</f>
        <v>-</v>
      </c>
      <c r="M69" s="177" t="str">
        <f>IF('Peak Revenue'!$A$1="BL","-",IF(Peak!S70&gt;Peak!$G70,M$8*Peak!$AM$11,0))</f>
        <v>-</v>
      </c>
      <c r="N69" s="177" t="str">
        <f>IF('Peak Revenue'!$A$1="BL","-",IF(Peak!T70&gt;Peak!$G70,N$8*Peak!$AM$11,0))</f>
        <v>-</v>
      </c>
      <c r="O69" s="177" t="str">
        <f>IF('Peak Revenue'!$A$1="BL","-",IF(Peak!U70&gt;Peak!$G70,O$8*Peak!$AM$11,0))</f>
        <v>-</v>
      </c>
      <c r="P69" s="177" t="str">
        <f>IF('Peak Revenue'!$A$1="BL","-",IF(Peak!V70&gt;Peak!$G70,P$8*Peak!$AM$11,0))</f>
        <v>-</v>
      </c>
      <c r="Q69" s="177" t="str">
        <f>IF('Peak Revenue'!$A$1="BL","-",IF(Peak!W70&gt;Peak!$G70,Q$8*Peak!$AM$11,0))</f>
        <v>-</v>
      </c>
      <c r="R69" s="177" t="str">
        <f>IF('Peak Revenue'!$A$1="BL","-",IF(Peak!X70&gt;Peak!$G70,R$8*Peak!$AM$11,0))</f>
        <v>-</v>
      </c>
      <c r="S69" s="177" t="str">
        <f>IF('Peak Revenue'!$A$1="BL","-",IF(Peak!Y70&gt;Peak!$G70,S$8*Peak!$AM$11,0))</f>
        <v>-</v>
      </c>
      <c r="T69" s="177" t="str">
        <f>IF('Peak Revenue'!$A$1="BL","-",IF(Peak!Z70&gt;Peak!$G70,T$8*Peak!$AM$11,0))</f>
        <v>-</v>
      </c>
      <c r="U69" s="177" t="str">
        <f>IF('Peak Revenue'!$A$1="BL","-",IF(Peak!AA70&gt;Peak!$G70,U$8*Peak!$AM$11,0))</f>
        <v>-</v>
      </c>
      <c r="V69" s="178">
        <f t="shared" si="0"/>
        <v>0</v>
      </c>
      <c r="W69" s="164">
        <f>SUM(V58:V69)</f>
        <v>0</v>
      </c>
    </row>
    <row r="70" spans="1:23" x14ac:dyDescent="0.2">
      <c r="A70" s="1">
        <f t="shared" si="1"/>
        <v>38365.020000000077</v>
      </c>
      <c r="B70" s="176" t="str">
        <f>IF('Peak Revenue'!$A$1="BL","-",IF(Peak!H71&gt;Peak!$G71,B$8*Peak!$AM$11,0))</f>
        <v>-</v>
      </c>
      <c r="C70" s="177" t="str">
        <f>IF('Peak Revenue'!$A$1="BL","-",IF(Peak!I71&gt;Peak!$G71,C$8*Peak!$AM$11,0))</f>
        <v>-</v>
      </c>
      <c r="D70" s="177" t="str">
        <f>IF('Peak Revenue'!$A$1="BL","-",IF(Peak!J71&gt;Peak!$G71,D$8*Peak!$AM$11,0))</f>
        <v>-</v>
      </c>
      <c r="E70" s="177" t="str">
        <f>IF('Peak Revenue'!$A$1="BL","-",IF(Peak!K71&gt;Peak!$G71,E$8*Peak!$AM$11,0))</f>
        <v>-</v>
      </c>
      <c r="F70" s="177" t="str">
        <f>IF('Peak Revenue'!$A$1="BL","-",IF(Peak!L71&gt;Peak!$G71,F$8*Peak!$AM$11,0))</f>
        <v>-</v>
      </c>
      <c r="G70" s="177" t="str">
        <f>IF('Peak Revenue'!$A$1="BL","-",IF(Peak!M71&gt;Peak!$G71,G$8*Peak!$AM$11,0))</f>
        <v>-</v>
      </c>
      <c r="H70" s="177" t="str">
        <f>IF('Peak Revenue'!$A$1="BL","-",IF(Peak!N71&gt;Peak!$G71,H$8*Peak!$AM$11,0))</f>
        <v>-</v>
      </c>
      <c r="I70" s="177" t="str">
        <f>IF('Peak Revenue'!$A$1="BL","-",IF(Peak!O71&gt;Peak!$G71,I$8*Peak!$AM$11,0))</f>
        <v>-</v>
      </c>
      <c r="J70" s="177" t="str">
        <f>IF('Peak Revenue'!$A$1="BL","-",IF(Peak!P71&gt;Peak!$G71,J$8*Peak!$AM$11,0))</f>
        <v>-</v>
      </c>
      <c r="K70" s="177" t="str">
        <f>IF('Peak Revenue'!$A$1="BL","-",IF(Peak!Q71&gt;Peak!$G71,K$8*Peak!$AM$11,0))</f>
        <v>-</v>
      </c>
      <c r="L70" s="177" t="str">
        <f>IF('Peak Revenue'!$A$1="BL","-",IF(Peak!R71&gt;Peak!$G71,L$8*Peak!$AM$11,0))</f>
        <v>-</v>
      </c>
      <c r="M70" s="177" t="str">
        <f>IF('Peak Revenue'!$A$1="BL","-",IF(Peak!S71&gt;Peak!$G71,M$8*Peak!$AM$11,0))</f>
        <v>-</v>
      </c>
      <c r="N70" s="177" t="str">
        <f>IF('Peak Revenue'!$A$1="BL","-",IF(Peak!T71&gt;Peak!$G71,N$8*Peak!$AM$11,0))</f>
        <v>-</v>
      </c>
      <c r="O70" s="177" t="str">
        <f>IF('Peak Revenue'!$A$1="BL","-",IF(Peak!U71&gt;Peak!$G71,O$8*Peak!$AM$11,0))</f>
        <v>-</v>
      </c>
      <c r="P70" s="177" t="str">
        <f>IF('Peak Revenue'!$A$1="BL","-",IF(Peak!V71&gt;Peak!$G71,P$8*Peak!$AM$11,0))</f>
        <v>-</v>
      </c>
      <c r="Q70" s="177" t="str">
        <f>IF('Peak Revenue'!$A$1="BL","-",IF(Peak!W71&gt;Peak!$G71,Q$8*Peak!$AM$11,0))</f>
        <v>-</v>
      </c>
      <c r="R70" s="177" t="str">
        <f>IF('Peak Revenue'!$A$1="BL","-",IF(Peak!X71&gt;Peak!$G71,R$8*Peak!$AM$11,0))</f>
        <v>-</v>
      </c>
      <c r="S70" s="177" t="str">
        <f>IF('Peak Revenue'!$A$1="BL","-",IF(Peak!Y71&gt;Peak!$G71,S$8*Peak!$AM$11,0))</f>
        <v>-</v>
      </c>
      <c r="T70" s="177" t="str">
        <f>IF('Peak Revenue'!$A$1="BL","-",IF(Peak!Z71&gt;Peak!$G71,T$8*Peak!$AM$11,0))</f>
        <v>-</v>
      </c>
      <c r="U70" s="177" t="str">
        <f>IF('Peak Revenue'!$A$1="BL","-",IF(Peak!AA71&gt;Peak!$G71,U$8*Peak!$AM$11,0))</f>
        <v>-</v>
      </c>
      <c r="V70" s="178">
        <f t="shared" si="0"/>
        <v>0</v>
      </c>
      <c r="W70" s="165"/>
    </row>
    <row r="71" spans="1:23" x14ac:dyDescent="0.2">
      <c r="A71" s="1">
        <f t="shared" si="1"/>
        <v>38395.437000000078</v>
      </c>
      <c r="B71" s="176" t="str">
        <f>IF('Peak Revenue'!$A$1="BL","-",IF(Peak!H72&gt;Peak!$G72,B$8*Peak!$AM$11,0))</f>
        <v>-</v>
      </c>
      <c r="C71" s="177" t="str">
        <f>IF('Peak Revenue'!$A$1="BL","-",IF(Peak!I72&gt;Peak!$G72,C$8*Peak!$AM$11,0))</f>
        <v>-</v>
      </c>
      <c r="D71" s="177" t="str">
        <f>IF('Peak Revenue'!$A$1="BL","-",IF(Peak!J72&gt;Peak!$G72,D$8*Peak!$AM$11,0))</f>
        <v>-</v>
      </c>
      <c r="E71" s="177" t="str">
        <f>IF('Peak Revenue'!$A$1="BL","-",IF(Peak!K72&gt;Peak!$G72,E$8*Peak!$AM$11,0))</f>
        <v>-</v>
      </c>
      <c r="F71" s="177" t="str">
        <f>IF('Peak Revenue'!$A$1="BL","-",IF(Peak!L72&gt;Peak!$G72,F$8*Peak!$AM$11,0))</f>
        <v>-</v>
      </c>
      <c r="G71" s="177" t="str">
        <f>IF('Peak Revenue'!$A$1="BL","-",IF(Peak!M72&gt;Peak!$G72,G$8*Peak!$AM$11,0))</f>
        <v>-</v>
      </c>
      <c r="H71" s="177" t="str">
        <f>IF('Peak Revenue'!$A$1="BL","-",IF(Peak!N72&gt;Peak!$G72,H$8*Peak!$AM$11,0))</f>
        <v>-</v>
      </c>
      <c r="I71" s="177" t="str">
        <f>IF('Peak Revenue'!$A$1="BL","-",IF(Peak!O72&gt;Peak!$G72,I$8*Peak!$AM$11,0))</f>
        <v>-</v>
      </c>
      <c r="J71" s="177" t="str">
        <f>IF('Peak Revenue'!$A$1="BL","-",IF(Peak!P72&gt;Peak!$G72,J$8*Peak!$AM$11,0))</f>
        <v>-</v>
      </c>
      <c r="K71" s="177" t="str">
        <f>IF('Peak Revenue'!$A$1="BL","-",IF(Peak!Q72&gt;Peak!$G72,K$8*Peak!$AM$11,0))</f>
        <v>-</v>
      </c>
      <c r="L71" s="177" t="str">
        <f>IF('Peak Revenue'!$A$1="BL","-",IF(Peak!R72&gt;Peak!$G72,L$8*Peak!$AM$11,0))</f>
        <v>-</v>
      </c>
      <c r="M71" s="177" t="str">
        <f>IF('Peak Revenue'!$A$1="BL","-",IF(Peak!S72&gt;Peak!$G72,M$8*Peak!$AM$11,0))</f>
        <v>-</v>
      </c>
      <c r="N71" s="177" t="str">
        <f>IF('Peak Revenue'!$A$1="BL","-",IF(Peak!T72&gt;Peak!$G72,N$8*Peak!$AM$11,0))</f>
        <v>-</v>
      </c>
      <c r="O71" s="177" t="str">
        <f>IF('Peak Revenue'!$A$1="BL","-",IF(Peak!U72&gt;Peak!$G72,O$8*Peak!$AM$11,0))</f>
        <v>-</v>
      </c>
      <c r="P71" s="177" t="str">
        <f>IF('Peak Revenue'!$A$1="BL","-",IF(Peak!V72&gt;Peak!$G72,P$8*Peak!$AM$11,0))</f>
        <v>-</v>
      </c>
      <c r="Q71" s="177" t="str">
        <f>IF('Peak Revenue'!$A$1="BL","-",IF(Peak!W72&gt;Peak!$G72,Q$8*Peak!$AM$11,0))</f>
        <v>-</v>
      </c>
      <c r="R71" s="177" t="str">
        <f>IF('Peak Revenue'!$A$1="BL","-",IF(Peak!X72&gt;Peak!$G72,R$8*Peak!$AM$11,0))</f>
        <v>-</v>
      </c>
      <c r="S71" s="177" t="str">
        <f>IF('Peak Revenue'!$A$1="BL","-",IF(Peak!Y72&gt;Peak!$G72,S$8*Peak!$AM$11,0))</f>
        <v>-</v>
      </c>
      <c r="T71" s="177" t="str">
        <f>IF('Peak Revenue'!$A$1="BL","-",IF(Peak!Z72&gt;Peak!$G72,T$8*Peak!$AM$11,0))</f>
        <v>-</v>
      </c>
      <c r="U71" s="177" t="str">
        <f>IF('Peak Revenue'!$A$1="BL","-",IF(Peak!AA72&gt;Peak!$G72,U$8*Peak!$AM$11,0))</f>
        <v>-</v>
      </c>
      <c r="V71" s="178">
        <f t="shared" si="0"/>
        <v>0</v>
      </c>
      <c r="W71" s="165"/>
    </row>
    <row r="72" spans="1:23" x14ac:dyDescent="0.2">
      <c r="A72" s="1">
        <f t="shared" si="1"/>
        <v>38425.854000000079</v>
      </c>
      <c r="B72" s="176" t="str">
        <f>IF('Peak Revenue'!$A$1="BL","-",IF(Peak!H73&gt;Peak!$G73,B$8*Peak!$AM$11,0))</f>
        <v>-</v>
      </c>
      <c r="C72" s="177" t="str">
        <f>IF('Peak Revenue'!$A$1="BL","-",IF(Peak!I73&gt;Peak!$G73,C$8*Peak!$AM$11,0))</f>
        <v>-</v>
      </c>
      <c r="D72" s="177" t="str">
        <f>IF('Peak Revenue'!$A$1="BL","-",IF(Peak!J73&gt;Peak!$G73,D$8*Peak!$AM$11,0))</f>
        <v>-</v>
      </c>
      <c r="E72" s="177" t="str">
        <f>IF('Peak Revenue'!$A$1="BL","-",IF(Peak!K73&gt;Peak!$G73,E$8*Peak!$AM$11,0))</f>
        <v>-</v>
      </c>
      <c r="F72" s="177" t="str">
        <f>IF('Peak Revenue'!$A$1="BL","-",IF(Peak!L73&gt;Peak!$G73,F$8*Peak!$AM$11,0))</f>
        <v>-</v>
      </c>
      <c r="G72" s="177" t="str">
        <f>IF('Peak Revenue'!$A$1="BL","-",IF(Peak!M73&gt;Peak!$G73,G$8*Peak!$AM$11,0))</f>
        <v>-</v>
      </c>
      <c r="H72" s="177" t="str">
        <f>IF('Peak Revenue'!$A$1="BL","-",IF(Peak!N73&gt;Peak!$G73,H$8*Peak!$AM$11,0))</f>
        <v>-</v>
      </c>
      <c r="I72" s="177" t="str">
        <f>IF('Peak Revenue'!$A$1="BL","-",IF(Peak!O73&gt;Peak!$G73,I$8*Peak!$AM$11,0))</f>
        <v>-</v>
      </c>
      <c r="J72" s="177" t="str">
        <f>IF('Peak Revenue'!$A$1="BL","-",IF(Peak!P73&gt;Peak!$G73,J$8*Peak!$AM$11,0))</f>
        <v>-</v>
      </c>
      <c r="K72" s="177" t="str">
        <f>IF('Peak Revenue'!$A$1="BL","-",IF(Peak!Q73&gt;Peak!$G73,K$8*Peak!$AM$11,0))</f>
        <v>-</v>
      </c>
      <c r="L72" s="177" t="str">
        <f>IF('Peak Revenue'!$A$1="BL","-",IF(Peak!R73&gt;Peak!$G73,L$8*Peak!$AM$11,0))</f>
        <v>-</v>
      </c>
      <c r="M72" s="177" t="str">
        <f>IF('Peak Revenue'!$A$1="BL","-",IF(Peak!S73&gt;Peak!$G73,M$8*Peak!$AM$11,0))</f>
        <v>-</v>
      </c>
      <c r="N72" s="177" t="str">
        <f>IF('Peak Revenue'!$A$1="BL","-",IF(Peak!T73&gt;Peak!$G73,N$8*Peak!$AM$11,0))</f>
        <v>-</v>
      </c>
      <c r="O72" s="177" t="str">
        <f>IF('Peak Revenue'!$A$1="BL","-",IF(Peak!U73&gt;Peak!$G73,O$8*Peak!$AM$11,0))</f>
        <v>-</v>
      </c>
      <c r="P72" s="177" t="str">
        <f>IF('Peak Revenue'!$A$1="BL","-",IF(Peak!V73&gt;Peak!$G73,P$8*Peak!$AM$11,0))</f>
        <v>-</v>
      </c>
      <c r="Q72" s="177" t="str">
        <f>IF('Peak Revenue'!$A$1="BL","-",IF(Peak!W73&gt;Peak!$G73,Q$8*Peak!$AM$11,0))</f>
        <v>-</v>
      </c>
      <c r="R72" s="177" t="str">
        <f>IF('Peak Revenue'!$A$1="BL","-",IF(Peak!X73&gt;Peak!$G73,R$8*Peak!$AM$11,0))</f>
        <v>-</v>
      </c>
      <c r="S72" s="177" t="str">
        <f>IF('Peak Revenue'!$A$1="BL","-",IF(Peak!Y73&gt;Peak!$G73,S$8*Peak!$AM$11,0))</f>
        <v>-</v>
      </c>
      <c r="T72" s="177" t="str">
        <f>IF('Peak Revenue'!$A$1="BL","-",IF(Peak!Z73&gt;Peak!$G73,T$8*Peak!$AM$11,0))</f>
        <v>-</v>
      </c>
      <c r="U72" s="177" t="str">
        <f>IF('Peak Revenue'!$A$1="BL","-",IF(Peak!AA73&gt;Peak!$G73,U$8*Peak!$AM$11,0))</f>
        <v>-</v>
      </c>
      <c r="V72" s="178">
        <f t="shared" si="0"/>
        <v>0</v>
      </c>
      <c r="W72" s="165"/>
    </row>
    <row r="73" spans="1:23" x14ac:dyDescent="0.2">
      <c r="A73" s="1">
        <f t="shared" si="1"/>
        <v>38456.271000000081</v>
      </c>
      <c r="B73" s="176" t="str">
        <f>IF('Peak Revenue'!$A$1="BL","-",IF(Peak!H74&gt;Peak!$G74,B$8*Peak!$AM$11,0))</f>
        <v>-</v>
      </c>
      <c r="C73" s="177" t="str">
        <f>IF('Peak Revenue'!$A$1="BL","-",IF(Peak!I74&gt;Peak!$G74,C$8*Peak!$AM$11,0))</f>
        <v>-</v>
      </c>
      <c r="D73" s="177" t="str">
        <f>IF('Peak Revenue'!$A$1="BL","-",IF(Peak!J74&gt;Peak!$G74,D$8*Peak!$AM$11,0))</f>
        <v>-</v>
      </c>
      <c r="E73" s="177" t="str">
        <f>IF('Peak Revenue'!$A$1="BL","-",IF(Peak!K74&gt;Peak!$G74,E$8*Peak!$AM$11,0))</f>
        <v>-</v>
      </c>
      <c r="F73" s="177" t="str">
        <f>IF('Peak Revenue'!$A$1="BL","-",IF(Peak!L74&gt;Peak!$G74,F$8*Peak!$AM$11,0))</f>
        <v>-</v>
      </c>
      <c r="G73" s="177" t="str">
        <f>IF('Peak Revenue'!$A$1="BL","-",IF(Peak!M74&gt;Peak!$G74,G$8*Peak!$AM$11,0))</f>
        <v>-</v>
      </c>
      <c r="H73" s="177" t="str">
        <f>IF('Peak Revenue'!$A$1="BL","-",IF(Peak!N74&gt;Peak!$G74,H$8*Peak!$AM$11,0))</f>
        <v>-</v>
      </c>
      <c r="I73" s="177" t="str">
        <f>IF('Peak Revenue'!$A$1="BL","-",IF(Peak!O74&gt;Peak!$G74,I$8*Peak!$AM$11,0))</f>
        <v>-</v>
      </c>
      <c r="J73" s="177" t="str">
        <f>IF('Peak Revenue'!$A$1="BL","-",IF(Peak!P74&gt;Peak!$G74,J$8*Peak!$AM$11,0))</f>
        <v>-</v>
      </c>
      <c r="K73" s="177" t="str">
        <f>IF('Peak Revenue'!$A$1="BL","-",IF(Peak!Q74&gt;Peak!$G74,K$8*Peak!$AM$11,0))</f>
        <v>-</v>
      </c>
      <c r="L73" s="177" t="str">
        <f>IF('Peak Revenue'!$A$1="BL","-",IF(Peak!R74&gt;Peak!$G74,L$8*Peak!$AM$11,0))</f>
        <v>-</v>
      </c>
      <c r="M73" s="177" t="str">
        <f>IF('Peak Revenue'!$A$1="BL","-",IF(Peak!S74&gt;Peak!$G74,M$8*Peak!$AM$11,0))</f>
        <v>-</v>
      </c>
      <c r="N73" s="177" t="str">
        <f>IF('Peak Revenue'!$A$1="BL","-",IF(Peak!T74&gt;Peak!$G74,N$8*Peak!$AM$11,0))</f>
        <v>-</v>
      </c>
      <c r="O73" s="177" t="str">
        <f>IF('Peak Revenue'!$A$1="BL","-",IF(Peak!U74&gt;Peak!$G74,O$8*Peak!$AM$11,0))</f>
        <v>-</v>
      </c>
      <c r="P73" s="177" t="str">
        <f>IF('Peak Revenue'!$A$1="BL","-",IF(Peak!V74&gt;Peak!$G74,P$8*Peak!$AM$11,0))</f>
        <v>-</v>
      </c>
      <c r="Q73" s="177" t="str">
        <f>IF('Peak Revenue'!$A$1="BL","-",IF(Peak!W74&gt;Peak!$G74,Q$8*Peak!$AM$11,0))</f>
        <v>-</v>
      </c>
      <c r="R73" s="177" t="str">
        <f>IF('Peak Revenue'!$A$1="BL","-",IF(Peak!X74&gt;Peak!$G74,R$8*Peak!$AM$11,0))</f>
        <v>-</v>
      </c>
      <c r="S73" s="177" t="str">
        <f>IF('Peak Revenue'!$A$1="BL","-",IF(Peak!Y74&gt;Peak!$G74,S$8*Peak!$AM$11,0))</f>
        <v>-</v>
      </c>
      <c r="T73" s="177" t="str">
        <f>IF('Peak Revenue'!$A$1="BL","-",IF(Peak!Z74&gt;Peak!$G74,T$8*Peak!$AM$11,0))</f>
        <v>-</v>
      </c>
      <c r="U73" s="177" t="str">
        <f>IF('Peak Revenue'!$A$1="BL","-",IF(Peak!AA74&gt;Peak!$G74,U$8*Peak!$AM$11,0))</f>
        <v>-</v>
      </c>
      <c r="V73" s="178">
        <f t="shared" si="0"/>
        <v>0</v>
      </c>
      <c r="W73" s="165"/>
    </row>
    <row r="74" spans="1:23" x14ac:dyDescent="0.2">
      <c r="A74" s="1">
        <f t="shared" si="1"/>
        <v>38486.688000000082</v>
      </c>
      <c r="B74" s="176" t="str">
        <f>IF('Peak Revenue'!$A$1="BL","-",IF(Peak!H75&gt;Peak!$G75,B$8*Peak!$AM$11,0))</f>
        <v>-</v>
      </c>
      <c r="C74" s="177" t="str">
        <f>IF('Peak Revenue'!$A$1="BL","-",IF(Peak!I75&gt;Peak!$G75,C$8*Peak!$AM$11,0))</f>
        <v>-</v>
      </c>
      <c r="D74" s="177" t="str">
        <f>IF('Peak Revenue'!$A$1="BL","-",IF(Peak!J75&gt;Peak!$G75,D$8*Peak!$AM$11,0))</f>
        <v>-</v>
      </c>
      <c r="E74" s="177" t="str">
        <f>IF('Peak Revenue'!$A$1="BL","-",IF(Peak!K75&gt;Peak!$G75,E$8*Peak!$AM$11,0))</f>
        <v>-</v>
      </c>
      <c r="F74" s="177" t="str">
        <f>IF('Peak Revenue'!$A$1="BL","-",IF(Peak!L75&gt;Peak!$G75,F$8*Peak!$AM$11,0))</f>
        <v>-</v>
      </c>
      <c r="G74" s="177" t="str">
        <f>IF('Peak Revenue'!$A$1="BL","-",IF(Peak!M75&gt;Peak!$G75,G$8*Peak!$AM$11,0))</f>
        <v>-</v>
      </c>
      <c r="H74" s="177" t="str">
        <f>IF('Peak Revenue'!$A$1="BL","-",IF(Peak!N75&gt;Peak!$G75,H$8*Peak!$AM$11,0))</f>
        <v>-</v>
      </c>
      <c r="I74" s="177" t="str">
        <f>IF('Peak Revenue'!$A$1="BL","-",IF(Peak!O75&gt;Peak!$G75,I$8*Peak!$AM$11,0))</f>
        <v>-</v>
      </c>
      <c r="J74" s="177" t="str">
        <f>IF('Peak Revenue'!$A$1="BL","-",IF(Peak!P75&gt;Peak!$G75,J$8*Peak!$AM$11,0))</f>
        <v>-</v>
      </c>
      <c r="K74" s="177" t="str">
        <f>IF('Peak Revenue'!$A$1="BL","-",IF(Peak!Q75&gt;Peak!$G75,K$8*Peak!$AM$11,0))</f>
        <v>-</v>
      </c>
      <c r="L74" s="177" t="str">
        <f>IF('Peak Revenue'!$A$1="BL","-",IF(Peak!R75&gt;Peak!$G75,L$8*Peak!$AM$11,0))</f>
        <v>-</v>
      </c>
      <c r="M74" s="177" t="str">
        <f>IF('Peak Revenue'!$A$1="BL","-",IF(Peak!S75&gt;Peak!$G75,M$8*Peak!$AM$11,0))</f>
        <v>-</v>
      </c>
      <c r="N74" s="177" t="str">
        <f>IF('Peak Revenue'!$A$1="BL","-",IF(Peak!T75&gt;Peak!$G75,N$8*Peak!$AM$11,0))</f>
        <v>-</v>
      </c>
      <c r="O74" s="177" t="str">
        <f>IF('Peak Revenue'!$A$1="BL","-",IF(Peak!U75&gt;Peak!$G75,O$8*Peak!$AM$11,0))</f>
        <v>-</v>
      </c>
      <c r="P74" s="177" t="str">
        <f>IF('Peak Revenue'!$A$1="BL","-",IF(Peak!V75&gt;Peak!$G75,P$8*Peak!$AM$11,0))</f>
        <v>-</v>
      </c>
      <c r="Q74" s="177" t="str">
        <f>IF('Peak Revenue'!$A$1="BL","-",IF(Peak!W75&gt;Peak!$G75,Q$8*Peak!$AM$11,0))</f>
        <v>-</v>
      </c>
      <c r="R74" s="177" t="str">
        <f>IF('Peak Revenue'!$A$1="BL","-",IF(Peak!X75&gt;Peak!$G75,R$8*Peak!$AM$11,0))</f>
        <v>-</v>
      </c>
      <c r="S74" s="177" t="str">
        <f>IF('Peak Revenue'!$A$1="BL","-",IF(Peak!Y75&gt;Peak!$G75,S$8*Peak!$AM$11,0))</f>
        <v>-</v>
      </c>
      <c r="T74" s="177" t="str">
        <f>IF('Peak Revenue'!$A$1="BL","-",IF(Peak!Z75&gt;Peak!$G75,T$8*Peak!$AM$11,0))</f>
        <v>-</v>
      </c>
      <c r="U74" s="177" t="str">
        <f>IF('Peak Revenue'!$A$1="BL","-",IF(Peak!AA75&gt;Peak!$G75,U$8*Peak!$AM$11,0))</f>
        <v>-</v>
      </c>
      <c r="V74" s="178">
        <f t="shared" si="0"/>
        <v>0</v>
      </c>
      <c r="W74" s="165"/>
    </row>
    <row r="75" spans="1:23" x14ac:dyDescent="0.2">
      <c r="A75" s="1">
        <f t="shared" si="1"/>
        <v>38517.105000000083</v>
      </c>
      <c r="B75" s="176" t="str">
        <f>IF('Peak Revenue'!$A$1="BL","-",IF(Peak!H76&gt;Peak!$G76,B$8*Peak!$AM$11,0))</f>
        <v>-</v>
      </c>
      <c r="C75" s="177" t="str">
        <f>IF('Peak Revenue'!$A$1="BL","-",IF(Peak!I76&gt;Peak!$G76,C$8*Peak!$AM$11,0))</f>
        <v>-</v>
      </c>
      <c r="D75" s="177" t="str">
        <f>IF('Peak Revenue'!$A$1="BL","-",IF(Peak!J76&gt;Peak!$G76,D$8*Peak!$AM$11,0))</f>
        <v>-</v>
      </c>
      <c r="E75" s="177" t="str">
        <f>IF('Peak Revenue'!$A$1="BL","-",IF(Peak!K76&gt;Peak!$G76,E$8*Peak!$AM$11,0))</f>
        <v>-</v>
      </c>
      <c r="F75" s="177" t="str">
        <f>IF('Peak Revenue'!$A$1="BL","-",IF(Peak!L76&gt;Peak!$G76,F$8*Peak!$AM$11,0))</f>
        <v>-</v>
      </c>
      <c r="G75" s="177" t="str">
        <f>IF('Peak Revenue'!$A$1="BL","-",IF(Peak!M76&gt;Peak!$G76,G$8*Peak!$AM$11,0))</f>
        <v>-</v>
      </c>
      <c r="H75" s="177" t="str">
        <f>IF('Peak Revenue'!$A$1="BL","-",IF(Peak!N76&gt;Peak!$G76,H$8*Peak!$AM$11,0))</f>
        <v>-</v>
      </c>
      <c r="I75" s="177" t="str">
        <f>IF('Peak Revenue'!$A$1="BL","-",IF(Peak!O76&gt;Peak!$G76,I$8*Peak!$AM$11,0))</f>
        <v>-</v>
      </c>
      <c r="J75" s="177" t="str">
        <f>IF('Peak Revenue'!$A$1="BL","-",IF(Peak!P76&gt;Peak!$G76,J$8*Peak!$AM$11,0))</f>
        <v>-</v>
      </c>
      <c r="K75" s="177" t="str">
        <f>IF('Peak Revenue'!$A$1="BL","-",IF(Peak!Q76&gt;Peak!$G76,K$8*Peak!$AM$11,0))</f>
        <v>-</v>
      </c>
      <c r="L75" s="177" t="str">
        <f>IF('Peak Revenue'!$A$1="BL","-",IF(Peak!R76&gt;Peak!$G76,L$8*Peak!$AM$11,0))</f>
        <v>-</v>
      </c>
      <c r="M75" s="177" t="str">
        <f>IF('Peak Revenue'!$A$1="BL","-",IF(Peak!S76&gt;Peak!$G76,M$8*Peak!$AM$11,0))</f>
        <v>-</v>
      </c>
      <c r="N75" s="177" t="str">
        <f>IF('Peak Revenue'!$A$1="BL","-",IF(Peak!T76&gt;Peak!$G76,N$8*Peak!$AM$11,0))</f>
        <v>-</v>
      </c>
      <c r="O75" s="177" t="str">
        <f>IF('Peak Revenue'!$A$1="BL","-",IF(Peak!U76&gt;Peak!$G76,O$8*Peak!$AM$11,0))</f>
        <v>-</v>
      </c>
      <c r="P75" s="177" t="str">
        <f>IF('Peak Revenue'!$A$1="BL","-",IF(Peak!V76&gt;Peak!$G76,P$8*Peak!$AM$11,0))</f>
        <v>-</v>
      </c>
      <c r="Q75" s="177" t="str">
        <f>IF('Peak Revenue'!$A$1="BL","-",IF(Peak!W76&gt;Peak!$G76,Q$8*Peak!$AM$11,0))</f>
        <v>-</v>
      </c>
      <c r="R75" s="177" t="str">
        <f>IF('Peak Revenue'!$A$1="BL","-",IF(Peak!X76&gt;Peak!$G76,R$8*Peak!$AM$11,0))</f>
        <v>-</v>
      </c>
      <c r="S75" s="177" t="str">
        <f>IF('Peak Revenue'!$A$1="BL","-",IF(Peak!Y76&gt;Peak!$G76,S$8*Peak!$AM$11,0))</f>
        <v>-</v>
      </c>
      <c r="T75" s="177" t="str">
        <f>IF('Peak Revenue'!$A$1="BL","-",IF(Peak!Z76&gt;Peak!$G76,T$8*Peak!$AM$11,0))</f>
        <v>-</v>
      </c>
      <c r="U75" s="177" t="str">
        <f>IF('Peak Revenue'!$A$1="BL","-",IF(Peak!AA76&gt;Peak!$G76,U$8*Peak!$AM$11,0))</f>
        <v>-</v>
      </c>
      <c r="V75" s="178">
        <f t="shared" ref="V75:V138" si="2">SUM(B75:U75)</f>
        <v>0</v>
      </c>
      <c r="W75" s="165"/>
    </row>
    <row r="76" spans="1:23" x14ac:dyDescent="0.2">
      <c r="A76" s="1">
        <f t="shared" ref="A76:A139" si="3">A75+30.417</f>
        <v>38547.522000000085</v>
      </c>
      <c r="B76" s="176" t="str">
        <f>IF('Peak Revenue'!$A$1="BL","-",IF(Peak!H77&gt;Peak!$G77,B$8*Peak!$AM$11,0))</f>
        <v>-</v>
      </c>
      <c r="C76" s="177" t="str">
        <f>IF('Peak Revenue'!$A$1="BL","-",IF(Peak!I77&gt;Peak!$G77,C$8*Peak!$AM$11,0))</f>
        <v>-</v>
      </c>
      <c r="D76" s="177" t="str">
        <f>IF('Peak Revenue'!$A$1="BL","-",IF(Peak!J77&gt;Peak!$G77,D$8*Peak!$AM$11,0))</f>
        <v>-</v>
      </c>
      <c r="E76" s="177" t="str">
        <f>IF('Peak Revenue'!$A$1="BL","-",IF(Peak!K77&gt;Peak!$G77,E$8*Peak!$AM$11,0))</f>
        <v>-</v>
      </c>
      <c r="F76" s="177" t="str">
        <f>IF('Peak Revenue'!$A$1="BL","-",IF(Peak!L77&gt;Peak!$G77,F$8*Peak!$AM$11,0))</f>
        <v>-</v>
      </c>
      <c r="G76" s="177" t="str">
        <f>IF('Peak Revenue'!$A$1="BL","-",IF(Peak!M77&gt;Peak!$G77,G$8*Peak!$AM$11,0))</f>
        <v>-</v>
      </c>
      <c r="H76" s="177" t="str">
        <f>IF('Peak Revenue'!$A$1="BL","-",IF(Peak!N77&gt;Peak!$G77,H$8*Peak!$AM$11,0))</f>
        <v>-</v>
      </c>
      <c r="I76" s="177" t="str">
        <f>IF('Peak Revenue'!$A$1="BL","-",IF(Peak!O77&gt;Peak!$G77,I$8*Peak!$AM$11,0))</f>
        <v>-</v>
      </c>
      <c r="J76" s="177" t="str">
        <f>IF('Peak Revenue'!$A$1="BL","-",IF(Peak!P77&gt;Peak!$G77,J$8*Peak!$AM$11,0))</f>
        <v>-</v>
      </c>
      <c r="K76" s="177" t="str">
        <f>IF('Peak Revenue'!$A$1="BL","-",IF(Peak!Q77&gt;Peak!$G77,K$8*Peak!$AM$11,0))</f>
        <v>-</v>
      </c>
      <c r="L76" s="177" t="str">
        <f>IF('Peak Revenue'!$A$1="BL","-",IF(Peak!R77&gt;Peak!$G77,L$8*Peak!$AM$11,0))</f>
        <v>-</v>
      </c>
      <c r="M76" s="177" t="str">
        <f>IF('Peak Revenue'!$A$1="BL","-",IF(Peak!S77&gt;Peak!$G77,M$8*Peak!$AM$11,0))</f>
        <v>-</v>
      </c>
      <c r="N76" s="177" t="str">
        <f>IF('Peak Revenue'!$A$1="BL","-",IF(Peak!T77&gt;Peak!$G77,N$8*Peak!$AM$11,0))</f>
        <v>-</v>
      </c>
      <c r="O76" s="177" t="str">
        <f>IF('Peak Revenue'!$A$1="BL","-",IF(Peak!U77&gt;Peak!$G77,O$8*Peak!$AM$11,0))</f>
        <v>-</v>
      </c>
      <c r="P76" s="177" t="str">
        <f>IF('Peak Revenue'!$A$1="BL","-",IF(Peak!V77&gt;Peak!$G77,P$8*Peak!$AM$11,0))</f>
        <v>-</v>
      </c>
      <c r="Q76" s="177" t="str">
        <f>IF('Peak Revenue'!$A$1="BL","-",IF(Peak!W77&gt;Peak!$G77,Q$8*Peak!$AM$11,0))</f>
        <v>-</v>
      </c>
      <c r="R76" s="177" t="str">
        <f>IF('Peak Revenue'!$A$1="BL","-",IF(Peak!X77&gt;Peak!$G77,R$8*Peak!$AM$11,0))</f>
        <v>-</v>
      </c>
      <c r="S76" s="177" t="str">
        <f>IF('Peak Revenue'!$A$1="BL","-",IF(Peak!Y77&gt;Peak!$G77,S$8*Peak!$AM$11,0))</f>
        <v>-</v>
      </c>
      <c r="T76" s="177" t="str">
        <f>IF('Peak Revenue'!$A$1="BL","-",IF(Peak!Z77&gt;Peak!$G77,T$8*Peak!$AM$11,0))</f>
        <v>-</v>
      </c>
      <c r="U76" s="177" t="str">
        <f>IF('Peak Revenue'!$A$1="BL","-",IF(Peak!AA77&gt;Peak!$G77,U$8*Peak!$AM$11,0))</f>
        <v>-</v>
      </c>
      <c r="V76" s="178">
        <f t="shared" si="2"/>
        <v>0</v>
      </c>
      <c r="W76" s="165"/>
    </row>
    <row r="77" spans="1:23" x14ac:dyDescent="0.2">
      <c r="A77" s="1">
        <f t="shared" si="3"/>
        <v>38577.939000000086</v>
      </c>
      <c r="B77" s="176" t="str">
        <f>IF('Peak Revenue'!$A$1="BL","-",IF(Peak!H78&gt;Peak!$G78,B$8*Peak!$AM$11,0))</f>
        <v>-</v>
      </c>
      <c r="C77" s="177" t="str">
        <f>IF('Peak Revenue'!$A$1="BL","-",IF(Peak!I78&gt;Peak!$G78,C$8*Peak!$AM$11,0))</f>
        <v>-</v>
      </c>
      <c r="D77" s="177" t="str">
        <f>IF('Peak Revenue'!$A$1="BL","-",IF(Peak!J78&gt;Peak!$G78,D$8*Peak!$AM$11,0))</f>
        <v>-</v>
      </c>
      <c r="E77" s="177" t="str">
        <f>IF('Peak Revenue'!$A$1="BL","-",IF(Peak!K78&gt;Peak!$G78,E$8*Peak!$AM$11,0))</f>
        <v>-</v>
      </c>
      <c r="F77" s="177" t="str">
        <f>IF('Peak Revenue'!$A$1="BL","-",IF(Peak!L78&gt;Peak!$G78,F$8*Peak!$AM$11,0))</f>
        <v>-</v>
      </c>
      <c r="G77" s="177" t="str">
        <f>IF('Peak Revenue'!$A$1="BL","-",IF(Peak!M78&gt;Peak!$G78,G$8*Peak!$AM$11,0))</f>
        <v>-</v>
      </c>
      <c r="H77" s="177" t="str">
        <f>IF('Peak Revenue'!$A$1="BL","-",IF(Peak!N78&gt;Peak!$G78,H$8*Peak!$AM$11,0))</f>
        <v>-</v>
      </c>
      <c r="I77" s="177" t="str">
        <f>IF('Peak Revenue'!$A$1="BL","-",IF(Peak!O78&gt;Peak!$G78,I$8*Peak!$AM$11,0))</f>
        <v>-</v>
      </c>
      <c r="J77" s="177" t="str">
        <f>IF('Peak Revenue'!$A$1="BL","-",IF(Peak!P78&gt;Peak!$G78,J$8*Peak!$AM$11,0))</f>
        <v>-</v>
      </c>
      <c r="K77" s="177" t="str">
        <f>IF('Peak Revenue'!$A$1="BL","-",IF(Peak!Q78&gt;Peak!$G78,K$8*Peak!$AM$11,0))</f>
        <v>-</v>
      </c>
      <c r="L77" s="177" t="str">
        <f>IF('Peak Revenue'!$A$1="BL","-",IF(Peak!R78&gt;Peak!$G78,L$8*Peak!$AM$11,0))</f>
        <v>-</v>
      </c>
      <c r="M77" s="177" t="str">
        <f>IF('Peak Revenue'!$A$1="BL","-",IF(Peak!S78&gt;Peak!$G78,M$8*Peak!$AM$11,0))</f>
        <v>-</v>
      </c>
      <c r="N77" s="177" t="str">
        <f>IF('Peak Revenue'!$A$1="BL","-",IF(Peak!T78&gt;Peak!$G78,N$8*Peak!$AM$11,0))</f>
        <v>-</v>
      </c>
      <c r="O77" s="177" t="str">
        <f>IF('Peak Revenue'!$A$1="BL","-",IF(Peak!U78&gt;Peak!$G78,O$8*Peak!$AM$11,0))</f>
        <v>-</v>
      </c>
      <c r="P77" s="177" t="str">
        <f>IF('Peak Revenue'!$A$1="BL","-",IF(Peak!V78&gt;Peak!$G78,P$8*Peak!$AM$11,0))</f>
        <v>-</v>
      </c>
      <c r="Q77" s="177" t="str">
        <f>IF('Peak Revenue'!$A$1="BL","-",IF(Peak!W78&gt;Peak!$G78,Q$8*Peak!$AM$11,0))</f>
        <v>-</v>
      </c>
      <c r="R77" s="177" t="str">
        <f>IF('Peak Revenue'!$A$1="BL","-",IF(Peak!X78&gt;Peak!$G78,R$8*Peak!$AM$11,0))</f>
        <v>-</v>
      </c>
      <c r="S77" s="177" t="str">
        <f>IF('Peak Revenue'!$A$1="BL","-",IF(Peak!Y78&gt;Peak!$G78,S$8*Peak!$AM$11,0))</f>
        <v>-</v>
      </c>
      <c r="T77" s="177" t="str">
        <f>IF('Peak Revenue'!$A$1="BL","-",IF(Peak!Z78&gt;Peak!$G78,T$8*Peak!$AM$11,0))</f>
        <v>-</v>
      </c>
      <c r="U77" s="177" t="str">
        <f>IF('Peak Revenue'!$A$1="BL","-",IF(Peak!AA78&gt;Peak!$G78,U$8*Peak!$AM$11,0))</f>
        <v>-</v>
      </c>
      <c r="V77" s="178">
        <f t="shared" si="2"/>
        <v>0</v>
      </c>
      <c r="W77" s="165"/>
    </row>
    <row r="78" spans="1:23" x14ac:dyDescent="0.2">
      <c r="A78" s="1">
        <f t="shared" si="3"/>
        <v>38608.356000000087</v>
      </c>
      <c r="B78" s="176" t="str">
        <f>IF('Peak Revenue'!$A$1="BL","-",IF(Peak!H79&gt;Peak!$G79,B$8*Peak!$AM$11,0))</f>
        <v>-</v>
      </c>
      <c r="C78" s="177" t="str">
        <f>IF('Peak Revenue'!$A$1="BL","-",IF(Peak!I79&gt;Peak!$G79,C$8*Peak!$AM$11,0))</f>
        <v>-</v>
      </c>
      <c r="D78" s="177" t="str">
        <f>IF('Peak Revenue'!$A$1="BL","-",IF(Peak!J79&gt;Peak!$G79,D$8*Peak!$AM$11,0))</f>
        <v>-</v>
      </c>
      <c r="E78" s="177" t="str">
        <f>IF('Peak Revenue'!$A$1="BL","-",IF(Peak!K79&gt;Peak!$G79,E$8*Peak!$AM$11,0))</f>
        <v>-</v>
      </c>
      <c r="F78" s="177" t="str">
        <f>IF('Peak Revenue'!$A$1="BL","-",IF(Peak!L79&gt;Peak!$G79,F$8*Peak!$AM$11,0))</f>
        <v>-</v>
      </c>
      <c r="G78" s="177" t="str">
        <f>IF('Peak Revenue'!$A$1="BL","-",IF(Peak!M79&gt;Peak!$G79,G$8*Peak!$AM$11,0))</f>
        <v>-</v>
      </c>
      <c r="H78" s="177" t="str">
        <f>IF('Peak Revenue'!$A$1="BL","-",IF(Peak!N79&gt;Peak!$G79,H$8*Peak!$AM$11,0))</f>
        <v>-</v>
      </c>
      <c r="I78" s="177" t="str">
        <f>IF('Peak Revenue'!$A$1="BL","-",IF(Peak!O79&gt;Peak!$G79,I$8*Peak!$AM$11,0))</f>
        <v>-</v>
      </c>
      <c r="J78" s="177" t="str">
        <f>IF('Peak Revenue'!$A$1="BL","-",IF(Peak!P79&gt;Peak!$G79,J$8*Peak!$AM$11,0))</f>
        <v>-</v>
      </c>
      <c r="K78" s="177" t="str">
        <f>IF('Peak Revenue'!$A$1="BL","-",IF(Peak!Q79&gt;Peak!$G79,K$8*Peak!$AM$11,0))</f>
        <v>-</v>
      </c>
      <c r="L78" s="177" t="str">
        <f>IF('Peak Revenue'!$A$1="BL","-",IF(Peak!R79&gt;Peak!$G79,L$8*Peak!$AM$11,0))</f>
        <v>-</v>
      </c>
      <c r="M78" s="177" t="str">
        <f>IF('Peak Revenue'!$A$1="BL","-",IF(Peak!S79&gt;Peak!$G79,M$8*Peak!$AM$11,0))</f>
        <v>-</v>
      </c>
      <c r="N78" s="177" t="str">
        <f>IF('Peak Revenue'!$A$1="BL","-",IF(Peak!T79&gt;Peak!$G79,N$8*Peak!$AM$11,0))</f>
        <v>-</v>
      </c>
      <c r="O78" s="177" t="str">
        <f>IF('Peak Revenue'!$A$1="BL","-",IF(Peak!U79&gt;Peak!$G79,O$8*Peak!$AM$11,0))</f>
        <v>-</v>
      </c>
      <c r="P78" s="177" t="str">
        <f>IF('Peak Revenue'!$A$1="BL","-",IF(Peak!V79&gt;Peak!$G79,P$8*Peak!$AM$11,0))</f>
        <v>-</v>
      </c>
      <c r="Q78" s="177" t="str">
        <f>IF('Peak Revenue'!$A$1="BL","-",IF(Peak!W79&gt;Peak!$G79,Q$8*Peak!$AM$11,0))</f>
        <v>-</v>
      </c>
      <c r="R78" s="177" t="str">
        <f>IF('Peak Revenue'!$A$1="BL","-",IF(Peak!X79&gt;Peak!$G79,R$8*Peak!$AM$11,0))</f>
        <v>-</v>
      </c>
      <c r="S78" s="177" t="str">
        <f>IF('Peak Revenue'!$A$1="BL","-",IF(Peak!Y79&gt;Peak!$G79,S$8*Peak!$AM$11,0))</f>
        <v>-</v>
      </c>
      <c r="T78" s="177" t="str">
        <f>IF('Peak Revenue'!$A$1="BL","-",IF(Peak!Z79&gt;Peak!$G79,T$8*Peak!$AM$11,0))</f>
        <v>-</v>
      </c>
      <c r="U78" s="177" t="str">
        <f>IF('Peak Revenue'!$A$1="BL","-",IF(Peak!AA79&gt;Peak!$G79,U$8*Peak!$AM$11,0))</f>
        <v>-</v>
      </c>
      <c r="V78" s="178">
        <f t="shared" si="2"/>
        <v>0</v>
      </c>
      <c r="W78" s="165"/>
    </row>
    <row r="79" spans="1:23" x14ac:dyDescent="0.2">
      <c r="A79" s="1">
        <f t="shared" si="3"/>
        <v>38638.773000000088</v>
      </c>
      <c r="B79" s="176" t="str">
        <f>IF('Peak Revenue'!$A$1="BL","-",IF(Peak!H80&gt;Peak!$G80,B$8*Peak!$AM$11,0))</f>
        <v>-</v>
      </c>
      <c r="C79" s="177" t="str">
        <f>IF('Peak Revenue'!$A$1="BL","-",IF(Peak!I80&gt;Peak!$G80,C$8*Peak!$AM$11,0))</f>
        <v>-</v>
      </c>
      <c r="D79" s="177" t="str">
        <f>IF('Peak Revenue'!$A$1="BL","-",IF(Peak!J80&gt;Peak!$G80,D$8*Peak!$AM$11,0))</f>
        <v>-</v>
      </c>
      <c r="E79" s="177" t="str">
        <f>IF('Peak Revenue'!$A$1="BL","-",IF(Peak!K80&gt;Peak!$G80,E$8*Peak!$AM$11,0))</f>
        <v>-</v>
      </c>
      <c r="F79" s="177" t="str">
        <f>IF('Peak Revenue'!$A$1="BL","-",IF(Peak!L80&gt;Peak!$G80,F$8*Peak!$AM$11,0))</f>
        <v>-</v>
      </c>
      <c r="G79" s="177" t="str">
        <f>IF('Peak Revenue'!$A$1="BL","-",IF(Peak!M80&gt;Peak!$G80,G$8*Peak!$AM$11,0))</f>
        <v>-</v>
      </c>
      <c r="H79" s="177" t="str">
        <f>IF('Peak Revenue'!$A$1="BL","-",IF(Peak!N80&gt;Peak!$G80,H$8*Peak!$AM$11,0))</f>
        <v>-</v>
      </c>
      <c r="I79" s="177" t="str">
        <f>IF('Peak Revenue'!$A$1="BL","-",IF(Peak!O80&gt;Peak!$G80,I$8*Peak!$AM$11,0))</f>
        <v>-</v>
      </c>
      <c r="J79" s="177" t="str">
        <f>IF('Peak Revenue'!$A$1="BL","-",IF(Peak!P80&gt;Peak!$G80,J$8*Peak!$AM$11,0))</f>
        <v>-</v>
      </c>
      <c r="K79" s="177" t="str">
        <f>IF('Peak Revenue'!$A$1="BL","-",IF(Peak!Q80&gt;Peak!$G80,K$8*Peak!$AM$11,0))</f>
        <v>-</v>
      </c>
      <c r="L79" s="177" t="str">
        <f>IF('Peak Revenue'!$A$1="BL","-",IF(Peak!R80&gt;Peak!$G80,L$8*Peak!$AM$11,0))</f>
        <v>-</v>
      </c>
      <c r="M79" s="177" t="str">
        <f>IF('Peak Revenue'!$A$1="BL","-",IF(Peak!S80&gt;Peak!$G80,M$8*Peak!$AM$11,0))</f>
        <v>-</v>
      </c>
      <c r="N79" s="177" t="str">
        <f>IF('Peak Revenue'!$A$1="BL","-",IF(Peak!T80&gt;Peak!$G80,N$8*Peak!$AM$11,0))</f>
        <v>-</v>
      </c>
      <c r="O79" s="177" t="str">
        <f>IF('Peak Revenue'!$A$1="BL","-",IF(Peak!U80&gt;Peak!$G80,O$8*Peak!$AM$11,0))</f>
        <v>-</v>
      </c>
      <c r="P79" s="177" t="str">
        <f>IF('Peak Revenue'!$A$1="BL","-",IF(Peak!V80&gt;Peak!$G80,P$8*Peak!$AM$11,0))</f>
        <v>-</v>
      </c>
      <c r="Q79" s="177" t="str">
        <f>IF('Peak Revenue'!$A$1="BL","-",IF(Peak!W80&gt;Peak!$G80,Q$8*Peak!$AM$11,0))</f>
        <v>-</v>
      </c>
      <c r="R79" s="177" t="str">
        <f>IF('Peak Revenue'!$A$1="BL","-",IF(Peak!X80&gt;Peak!$G80,R$8*Peak!$AM$11,0))</f>
        <v>-</v>
      </c>
      <c r="S79" s="177" t="str">
        <f>IF('Peak Revenue'!$A$1="BL","-",IF(Peak!Y80&gt;Peak!$G80,S$8*Peak!$AM$11,0))</f>
        <v>-</v>
      </c>
      <c r="T79" s="177" t="str">
        <f>IF('Peak Revenue'!$A$1="BL","-",IF(Peak!Z80&gt;Peak!$G80,T$8*Peak!$AM$11,0))</f>
        <v>-</v>
      </c>
      <c r="U79" s="177" t="str">
        <f>IF('Peak Revenue'!$A$1="BL","-",IF(Peak!AA80&gt;Peak!$G80,U$8*Peak!$AM$11,0))</f>
        <v>-</v>
      </c>
      <c r="V79" s="178">
        <f t="shared" si="2"/>
        <v>0</v>
      </c>
      <c r="W79" s="165"/>
    </row>
    <row r="80" spans="1:23" x14ac:dyDescent="0.2">
      <c r="A80" s="1">
        <f t="shared" si="3"/>
        <v>38669.19000000009</v>
      </c>
      <c r="B80" s="176" t="str">
        <f>IF('Peak Revenue'!$A$1="BL","-",IF(Peak!H81&gt;Peak!$G81,B$8*Peak!$AM$11,0))</f>
        <v>-</v>
      </c>
      <c r="C80" s="177" t="str">
        <f>IF('Peak Revenue'!$A$1="BL","-",IF(Peak!I81&gt;Peak!$G81,C$8*Peak!$AM$11,0))</f>
        <v>-</v>
      </c>
      <c r="D80" s="177" t="str">
        <f>IF('Peak Revenue'!$A$1="BL","-",IF(Peak!J81&gt;Peak!$G81,D$8*Peak!$AM$11,0))</f>
        <v>-</v>
      </c>
      <c r="E80" s="177" t="str">
        <f>IF('Peak Revenue'!$A$1="BL","-",IF(Peak!K81&gt;Peak!$G81,E$8*Peak!$AM$11,0))</f>
        <v>-</v>
      </c>
      <c r="F80" s="177" t="str">
        <f>IF('Peak Revenue'!$A$1="BL","-",IF(Peak!L81&gt;Peak!$G81,F$8*Peak!$AM$11,0))</f>
        <v>-</v>
      </c>
      <c r="G80" s="177" t="str">
        <f>IF('Peak Revenue'!$A$1="BL","-",IF(Peak!M81&gt;Peak!$G81,G$8*Peak!$AM$11,0))</f>
        <v>-</v>
      </c>
      <c r="H80" s="177" t="str">
        <f>IF('Peak Revenue'!$A$1="BL","-",IF(Peak!N81&gt;Peak!$G81,H$8*Peak!$AM$11,0))</f>
        <v>-</v>
      </c>
      <c r="I80" s="177" t="str">
        <f>IF('Peak Revenue'!$A$1="BL","-",IF(Peak!O81&gt;Peak!$G81,I$8*Peak!$AM$11,0))</f>
        <v>-</v>
      </c>
      <c r="J80" s="177" t="str">
        <f>IF('Peak Revenue'!$A$1="BL","-",IF(Peak!P81&gt;Peak!$G81,J$8*Peak!$AM$11,0))</f>
        <v>-</v>
      </c>
      <c r="K80" s="177" t="str">
        <f>IF('Peak Revenue'!$A$1="BL","-",IF(Peak!Q81&gt;Peak!$G81,K$8*Peak!$AM$11,0))</f>
        <v>-</v>
      </c>
      <c r="L80" s="177" t="str">
        <f>IF('Peak Revenue'!$A$1="BL","-",IF(Peak!R81&gt;Peak!$G81,L$8*Peak!$AM$11,0))</f>
        <v>-</v>
      </c>
      <c r="M80" s="177" t="str">
        <f>IF('Peak Revenue'!$A$1="BL","-",IF(Peak!S81&gt;Peak!$G81,M$8*Peak!$AM$11,0))</f>
        <v>-</v>
      </c>
      <c r="N80" s="177" t="str">
        <f>IF('Peak Revenue'!$A$1="BL","-",IF(Peak!T81&gt;Peak!$G81,N$8*Peak!$AM$11,0))</f>
        <v>-</v>
      </c>
      <c r="O80" s="177" t="str">
        <f>IF('Peak Revenue'!$A$1="BL","-",IF(Peak!U81&gt;Peak!$G81,O$8*Peak!$AM$11,0))</f>
        <v>-</v>
      </c>
      <c r="P80" s="177" t="str">
        <f>IF('Peak Revenue'!$A$1="BL","-",IF(Peak!V81&gt;Peak!$G81,P$8*Peak!$AM$11,0))</f>
        <v>-</v>
      </c>
      <c r="Q80" s="177" t="str">
        <f>IF('Peak Revenue'!$A$1="BL","-",IF(Peak!W81&gt;Peak!$G81,Q$8*Peak!$AM$11,0))</f>
        <v>-</v>
      </c>
      <c r="R80" s="177" t="str">
        <f>IF('Peak Revenue'!$A$1="BL","-",IF(Peak!X81&gt;Peak!$G81,R$8*Peak!$AM$11,0))</f>
        <v>-</v>
      </c>
      <c r="S80" s="177" t="str">
        <f>IF('Peak Revenue'!$A$1="BL","-",IF(Peak!Y81&gt;Peak!$G81,S$8*Peak!$AM$11,0))</f>
        <v>-</v>
      </c>
      <c r="T80" s="177" t="str">
        <f>IF('Peak Revenue'!$A$1="BL","-",IF(Peak!Z81&gt;Peak!$G81,T$8*Peak!$AM$11,0))</f>
        <v>-</v>
      </c>
      <c r="U80" s="177" t="str">
        <f>IF('Peak Revenue'!$A$1="BL","-",IF(Peak!AA81&gt;Peak!$G81,U$8*Peak!$AM$11,0))</f>
        <v>-</v>
      </c>
      <c r="V80" s="178">
        <f t="shared" si="2"/>
        <v>0</v>
      </c>
      <c r="W80" s="165"/>
    </row>
    <row r="81" spans="1:23" x14ac:dyDescent="0.2">
      <c r="A81" s="1">
        <f t="shared" si="3"/>
        <v>38699.607000000091</v>
      </c>
      <c r="B81" s="176" t="str">
        <f>IF('Peak Revenue'!$A$1="BL","-",IF(Peak!H82&gt;Peak!$G82,B$8*Peak!$AM$11,0))</f>
        <v>-</v>
      </c>
      <c r="C81" s="177" t="str">
        <f>IF('Peak Revenue'!$A$1="BL","-",IF(Peak!I82&gt;Peak!$G82,C$8*Peak!$AM$11,0))</f>
        <v>-</v>
      </c>
      <c r="D81" s="177" t="str">
        <f>IF('Peak Revenue'!$A$1="BL","-",IF(Peak!J82&gt;Peak!$G82,D$8*Peak!$AM$11,0))</f>
        <v>-</v>
      </c>
      <c r="E81" s="177" t="str">
        <f>IF('Peak Revenue'!$A$1="BL","-",IF(Peak!K82&gt;Peak!$G82,E$8*Peak!$AM$11,0))</f>
        <v>-</v>
      </c>
      <c r="F81" s="177" t="str">
        <f>IF('Peak Revenue'!$A$1="BL","-",IF(Peak!L82&gt;Peak!$G82,F$8*Peak!$AM$11,0))</f>
        <v>-</v>
      </c>
      <c r="G81" s="177" t="str">
        <f>IF('Peak Revenue'!$A$1="BL","-",IF(Peak!M82&gt;Peak!$G82,G$8*Peak!$AM$11,0))</f>
        <v>-</v>
      </c>
      <c r="H81" s="177" t="str">
        <f>IF('Peak Revenue'!$A$1="BL","-",IF(Peak!N82&gt;Peak!$G82,H$8*Peak!$AM$11,0))</f>
        <v>-</v>
      </c>
      <c r="I81" s="177" t="str">
        <f>IF('Peak Revenue'!$A$1="BL","-",IF(Peak!O82&gt;Peak!$G82,I$8*Peak!$AM$11,0))</f>
        <v>-</v>
      </c>
      <c r="J81" s="177" t="str">
        <f>IF('Peak Revenue'!$A$1="BL","-",IF(Peak!P82&gt;Peak!$G82,J$8*Peak!$AM$11,0))</f>
        <v>-</v>
      </c>
      <c r="K81" s="177" t="str">
        <f>IF('Peak Revenue'!$A$1="BL","-",IF(Peak!Q82&gt;Peak!$G82,K$8*Peak!$AM$11,0))</f>
        <v>-</v>
      </c>
      <c r="L81" s="177" t="str">
        <f>IF('Peak Revenue'!$A$1="BL","-",IF(Peak!R82&gt;Peak!$G82,L$8*Peak!$AM$11,0))</f>
        <v>-</v>
      </c>
      <c r="M81" s="177" t="str">
        <f>IF('Peak Revenue'!$A$1="BL","-",IF(Peak!S82&gt;Peak!$G82,M$8*Peak!$AM$11,0))</f>
        <v>-</v>
      </c>
      <c r="N81" s="177" t="str">
        <f>IF('Peak Revenue'!$A$1="BL","-",IF(Peak!T82&gt;Peak!$G82,N$8*Peak!$AM$11,0))</f>
        <v>-</v>
      </c>
      <c r="O81" s="177" t="str">
        <f>IF('Peak Revenue'!$A$1="BL","-",IF(Peak!U82&gt;Peak!$G82,O$8*Peak!$AM$11,0))</f>
        <v>-</v>
      </c>
      <c r="P81" s="177" t="str">
        <f>IF('Peak Revenue'!$A$1="BL","-",IF(Peak!V82&gt;Peak!$G82,P$8*Peak!$AM$11,0))</f>
        <v>-</v>
      </c>
      <c r="Q81" s="177" t="str">
        <f>IF('Peak Revenue'!$A$1="BL","-",IF(Peak!W82&gt;Peak!$G82,Q$8*Peak!$AM$11,0))</f>
        <v>-</v>
      </c>
      <c r="R81" s="177" t="str">
        <f>IF('Peak Revenue'!$A$1="BL","-",IF(Peak!X82&gt;Peak!$G82,R$8*Peak!$AM$11,0))</f>
        <v>-</v>
      </c>
      <c r="S81" s="177" t="str">
        <f>IF('Peak Revenue'!$A$1="BL","-",IF(Peak!Y82&gt;Peak!$G82,S$8*Peak!$AM$11,0))</f>
        <v>-</v>
      </c>
      <c r="T81" s="177" t="str">
        <f>IF('Peak Revenue'!$A$1="BL","-",IF(Peak!Z82&gt;Peak!$G82,T$8*Peak!$AM$11,0))</f>
        <v>-</v>
      </c>
      <c r="U81" s="177" t="str">
        <f>IF('Peak Revenue'!$A$1="BL","-",IF(Peak!AA82&gt;Peak!$G82,U$8*Peak!$AM$11,0))</f>
        <v>-</v>
      </c>
      <c r="V81" s="178">
        <f t="shared" si="2"/>
        <v>0</v>
      </c>
      <c r="W81" s="164">
        <f>SUM(V70:V81)</f>
        <v>0</v>
      </c>
    </row>
    <row r="82" spans="1:23" x14ac:dyDescent="0.2">
      <c r="A82" s="1">
        <f t="shared" si="3"/>
        <v>38730.024000000092</v>
      </c>
      <c r="B82" s="176" t="str">
        <f>IF('Peak Revenue'!$A$1="BL","-",IF(Peak!H83&gt;Peak!$G83,B$8*Peak!$AM$11,0))</f>
        <v>-</v>
      </c>
      <c r="C82" s="177" t="str">
        <f>IF('Peak Revenue'!$A$1="BL","-",IF(Peak!I83&gt;Peak!$G83,C$8*Peak!$AM$11,0))</f>
        <v>-</v>
      </c>
      <c r="D82" s="177" t="str">
        <f>IF('Peak Revenue'!$A$1="BL","-",IF(Peak!J83&gt;Peak!$G83,D$8*Peak!$AM$11,0))</f>
        <v>-</v>
      </c>
      <c r="E82" s="177" t="str">
        <f>IF('Peak Revenue'!$A$1="BL","-",IF(Peak!K83&gt;Peak!$G83,E$8*Peak!$AM$11,0))</f>
        <v>-</v>
      </c>
      <c r="F82" s="177" t="str">
        <f>IF('Peak Revenue'!$A$1="BL","-",IF(Peak!L83&gt;Peak!$G83,F$8*Peak!$AM$11,0))</f>
        <v>-</v>
      </c>
      <c r="G82" s="177" t="str">
        <f>IF('Peak Revenue'!$A$1="BL","-",IF(Peak!M83&gt;Peak!$G83,G$8*Peak!$AM$11,0))</f>
        <v>-</v>
      </c>
      <c r="H82" s="177" t="str">
        <f>IF('Peak Revenue'!$A$1="BL","-",IF(Peak!N83&gt;Peak!$G83,H$8*Peak!$AM$11,0))</f>
        <v>-</v>
      </c>
      <c r="I82" s="177" t="str">
        <f>IF('Peak Revenue'!$A$1="BL","-",IF(Peak!O83&gt;Peak!$G83,I$8*Peak!$AM$11,0))</f>
        <v>-</v>
      </c>
      <c r="J82" s="177" t="str">
        <f>IF('Peak Revenue'!$A$1="BL","-",IF(Peak!P83&gt;Peak!$G83,J$8*Peak!$AM$11,0))</f>
        <v>-</v>
      </c>
      <c r="K82" s="177" t="str">
        <f>IF('Peak Revenue'!$A$1="BL","-",IF(Peak!Q83&gt;Peak!$G83,K$8*Peak!$AM$11,0))</f>
        <v>-</v>
      </c>
      <c r="L82" s="177" t="str">
        <f>IF('Peak Revenue'!$A$1="BL","-",IF(Peak!R83&gt;Peak!$G83,L$8*Peak!$AM$11,0))</f>
        <v>-</v>
      </c>
      <c r="M82" s="177" t="str">
        <f>IF('Peak Revenue'!$A$1="BL","-",IF(Peak!S83&gt;Peak!$G83,M$8*Peak!$AM$11,0))</f>
        <v>-</v>
      </c>
      <c r="N82" s="177" t="str">
        <f>IF('Peak Revenue'!$A$1="BL","-",IF(Peak!T83&gt;Peak!$G83,N$8*Peak!$AM$11,0))</f>
        <v>-</v>
      </c>
      <c r="O82" s="177" t="str">
        <f>IF('Peak Revenue'!$A$1="BL","-",IF(Peak!U83&gt;Peak!$G83,O$8*Peak!$AM$11,0))</f>
        <v>-</v>
      </c>
      <c r="P82" s="177" t="str">
        <f>IF('Peak Revenue'!$A$1="BL","-",IF(Peak!V83&gt;Peak!$G83,P$8*Peak!$AM$11,0))</f>
        <v>-</v>
      </c>
      <c r="Q82" s="177" t="str">
        <f>IF('Peak Revenue'!$A$1="BL","-",IF(Peak!W83&gt;Peak!$G83,Q$8*Peak!$AM$11,0))</f>
        <v>-</v>
      </c>
      <c r="R82" s="177" t="str">
        <f>IF('Peak Revenue'!$A$1="BL","-",IF(Peak!X83&gt;Peak!$G83,R$8*Peak!$AM$11,0))</f>
        <v>-</v>
      </c>
      <c r="S82" s="177" t="str">
        <f>IF('Peak Revenue'!$A$1="BL","-",IF(Peak!Y83&gt;Peak!$G83,S$8*Peak!$AM$11,0))</f>
        <v>-</v>
      </c>
      <c r="T82" s="177" t="str">
        <f>IF('Peak Revenue'!$A$1="BL","-",IF(Peak!Z83&gt;Peak!$G83,T$8*Peak!$AM$11,0))</f>
        <v>-</v>
      </c>
      <c r="U82" s="177" t="str">
        <f>IF('Peak Revenue'!$A$1="BL","-",IF(Peak!AA83&gt;Peak!$G83,U$8*Peak!$AM$11,0))</f>
        <v>-</v>
      </c>
      <c r="V82" s="178">
        <f t="shared" si="2"/>
        <v>0</v>
      </c>
      <c r="W82" s="165"/>
    </row>
    <row r="83" spans="1:23" x14ac:dyDescent="0.2">
      <c r="A83" s="1">
        <f t="shared" si="3"/>
        <v>38760.441000000093</v>
      </c>
      <c r="B83" s="176" t="str">
        <f>IF('Peak Revenue'!$A$1="BL","-",IF(Peak!H84&gt;Peak!$G84,B$8*Peak!$AM$11,0))</f>
        <v>-</v>
      </c>
      <c r="C83" s="177" t="str">
        <f>IF('Peak Revenue'!$A$1="BL","-",IF(Peak!I84&gt;Peak!$G84,C$8*Peak!$AM$11,0))</f>
        <v>-</v>
      </c>
      <c r="D83" s="177" t="str">
        <f>IF('Peak Revenue'!$A$1="BL","-",IF(Peak!J84&gt;Peak!$G84,D$8*Peak!$AM$11,0))</f>
        <v>-</v>
      </c>
      <c r="E83" s="177" t="str">
        <f>IF('Peak Revenue'!$A$1="BL","-",IF(Peak!K84&gt;Peak!$G84,E$8*Peak!$AM$11,0))</f>
        <v>-</v>
      </c>
      <c r="F83" s="177" t="str">
        <f>IF('Peak Revenue'!$A$1="BL","-",IF(Peak!L84&gt;Peak!$G84,F$8*Peak!$AM$11,0))</f>
        <v>-</v>
      </c>
      <c r="G83" s="177" t="str">
        <f>IF('Peak Revenue'!$A$1="BL","-",IF(Peak!M84&gt;Peak!$G84,G$8*Peak!$AM$11,0))</f>
        <v>-</v>
      </c>
      <c r="H83" s="177" t="str">
        <f>IF('Peak Revenue'!$A$1="BL","-",IF(Peak!N84&gt;Peak!$G84,H$8*Peak!$AM$11,0))</f>
        <v>-</v>
      </c>
      <c r="I83" s="177" t="str">
        <f>IF('Peak Revenue'!$A$1="BL","-",IF(Peak!O84&gt;Peak!$G84,I$8*Peak!$AM$11,0))</f>
        <v>-</v>
      </c>
      <c r="J83" s="177" t="str">
        <f>IF('Peak Revenue'!$A$1="BL","-",IF(Peak!P84&gt;Peak!$G84,J$8*Peak!$AM$11,0))</f>
        <v>-</v>
      </c>
      <c r="K83" s="177" t="str">
        <f>IF('Peak Revenue'!$A$1="BL","-",IF(Peak!Q84&gt;Peak!$G84,K$8*Peak!$AM$11,0))</f>
        <v>-</v>
      </c>
      <c r="L83" s="177" t="str">
        <f>IF('Peak Revenue'!$A$1="BL","-",IF(Peak!R84&gt;Peak!$G84,L$8*Peak!$AM$11,0))</f>
        <v>-</v>
      </c>
      <c r="M83" s="177" t="str">
        <f>IF('Peak Revenue'!$A$1="BL","-",IF(Peak!S84&gt;Peak!$G84,M$8*Peak!$AM$11,0))</f>
        <v>-</v>
      </c>
      <c r="N83" s="177" t="str">
        <f>IF('Peak Revenue'!$A$1="BL","-",IF(Peak!T84&gt;Peak!$G84,N$8*Peak!$AM$11,0))</f>
        <v>-</v>
      </c>
      <c r="O83" s="177" t="str">
        <f>IF('Peak Revenue'!$A$1="BL","-",IF(Peak!U84&gt;Peak!$G84,O$8*Peak!$AM$11,0))</f>
        <v>-</v>
      </c>
      <c r="P83" s="177" t="str">
        <f>IF('Peak Revenue'!$A$1="BL","-",IF(Peak!V84&gt;Peak!$G84,P$8*Peak!$AM$11,0))</f>
        <v>-</v>
      </c>
      <c r="Q83" s="177" t="str">
        <f>IF('Peak Revenue'!$A$1="BL","-",IF(Peak!W84&gt;Peak!$G84,Q$8*Peak!$AM$11,0))</f>
        <v>-</v>
      </c>
      <c r="R83" s="177" t="str">
        <f>IF('Peak Revenue'!$A$1="BL","-",IF(Peak!X84&gt;Peak!$G84,R$8*Peak!$AM$11,0))</f>
        <v>-</v>
      </c>
      <c r="S83" s="177" t="str">
        <f>IF('Peak Revenue'!$A$1="BL","-",IF(Peak!Y84&gt;Peak!$G84,S$8*Peak!$AM$11,0))</f>
        <v>-</v>
      </c>
      <c r="T83" s="177" t="str">
        <f>IF('Peak Revenue'!$A$1="BL","-",IF(Peak!Z84&gt;Peak!$G84,T$8*Peak!$AM$11,0))</f>
        <v>-</v>
      </c>
      <c r="U83" s="177" t="str">
        <f>IF('Peak Revenue'!$A$1="BL","-",IF(Peak!AA84&gt;Peak!$G84,U$8*Peak!$AM$11,0))</f>
        <v>-</v>
      </c>
      <c r="V83" s="178">
        <f t="shared" si="2"/>
        <v>0</v>
      </c>
      <c r="W83" s="165"/>
    </row>
    <row r="84" spans="1:23" x14ac:dyDescent="0.2">
      <c r="A84" s="1">
        <f t="shared" si="3"/>
        <v>38790.858000000095</v>
      </c>
      <c r="B84" s="176" t="str">
        <f>IF('Peak Revenue'!$A$1="BL","-",IF(Peak!H85&gt;Peak!$G85,B$8*Peak!$AM$11,0))</f>
        <v>-</v>
      </c>
      <c r="C84" s="177" t="str">
        <f>IF('Peak Revenue'!$A$1="BL","-",IF(Peak!I85&gt;Peak!$G85,C$8*Peak!$AM$11,0))</f>
        <v>-</v>
      </c>
      <c r="D84" s="177" t="str">
        <f>IF('Peak Revenue'!$A$1="BL","-",IF(Peak!J85&gt;Peak!$G85,D$8*Peak!$AM$11,0))</f>
        <v>-</v>
      </c>
      <c r="E84" s="177" t="str">
        <f>IF('Peak Revenue'!$A$1="BL","-",IF(Peak!K85&gt;Peak!$G85,E$8*Peak!$AM$11,0))</f>
        <v>-</v>
      </c>
      <c r="F84" s="177" t="str">
        <f>IF('Peak Revenue'!$A$1="BL","-",IF(Peak!L85&gt;Peak!$G85,F$8*Peak!$AM$11,0))</f>
        <v>-</v>
      </c>
      <c r="G84" s="177" t="str">
        <f>IF('Peak Revenue'!$A$1="BL","-",IF(Peak!M85&gt;Peak!$G85,G$8*Peak!$AM$11,0))</f>
        <v>-</v>
      </c>
      <c r="H84" s="177" t="str">
        <f>IF('Peak Revenue'!$A$1="BL","-",IF(Peak!N85&gt;Peak!$G85,H$8*Peak!$AM$11,0))</f>
        <v>-</v>
      </c>
      <c r="I84" s="177" t="str">
        <f>IF('Peak Revenue'!$A$1="BL","-",IF(Peak!O85&gt;Peak!$G85,I$8*Peak!$AM$11,0))</f>
        <v>-</v>
      </c>
      <c r="J84" s="177" t="str">
        <f>IF('Peak Revenue'!$A$1="BL","-",IF(Peak!P85&gt;Peak!$G85,J$8*Peak!$AM$11,0))</f>
        <v>-</v>
      </c>
      <c r="K84" s="177" t="str">
        <f>IF('Peak Revenue'!$A$1="BL","-",IF(Peak!Q85&gt;Peak!$G85,K$8*Peak!$AM$11,0))</f>
        <v>-</v>
      </c>
      <c r="L84" s="177" t="str">
        <f>IF('Peak Revenue'!$A$1="BL","-",IF(Peak!R85&gt;Peak!$G85,L$8*Peak!$AM$11,0))</f>
        <v>-</v>
      </c>
      <c r="M84" s="177" t="str">
        <f>IF('Peak Revenue'!$A$1="BL","-",IF(Peak!S85&gt;Peak!$G85,M$8*Peak!$AM$11,0))</f>
        <v>-</v>
      </c>
      <c r="N84" s="177" t="str">
        <f>IF('Peak Revenue'!$A$1="BL","-",IF(Peak!T85&gt;Peak!$G85,N$8*Peak!$AM$11,0))</f>
        <v>-</v>
      </c>
      <c r="O84" s="177" t="str">
        <f>IF('Peak Revenue'!$A$1="BL","-",IF(Peak!U85&gt;Peak!$G85,O$8*Peak!$AM$11,0))</f>
        <v>-</v>
      </c>
      <c r="P84" s="177" t="str">
        <f>IF('Peak Revenue'!$A$1="BL","-",IF(Peak!V85&gt;Peak!$G85,P$8*Peak!$AM$11,0))</f>
        <v>-</v>
      </c>
      <c r="Q84" s="177" t="str">
        <f>IF('Peak Revenue'!$A$1="BL","-",IF(Peak!W85&gt;Peak!$G85,Q$8*Peak!$AM$11,0))</f>
        <v>-</v>
      </c>
      <c r="R84" s="177" t="str">
        <f>IF('Peak Revenue'!$A$1="BL","-",IF(Peak!X85&gt;Peak!$G85,R$8*Peak!$AM$11,0))</f>
        <v>-</v>
      </c>
      <c r="S84" s="177" t="str">
        <f>IF('Peak Revenue'!$A$1="BL","-",IF(Peak!Y85&gt;Peak!$G85,S$8*Peak!$AM$11,0))</f>
        <v>-</v>
      </c>
      <c r="T84" s="177" t="str">
        <f>IF('Peak Revenue'!$A$1="BL","-",IF(Peak!Z85&gt;Peak!$G85,T$8*Peak!$AM$11,0))</f>
        <v>-</v>
      </c>
      <c r="U84" s="177" t="str">
        <f>IF('Peak Revenue'!$A$1="BL","-",IF(Peak!AA85&gt;Peak!$G85,U$8*Peak!$AM$11,0))</f>
        <v>-</v>
      </c>
      <c r="V84" s="178">
        <f t="shared" si="2"/>
        <v>0</v>
      </c>
      <c r="W84" s="165"/>
    </row>
    <row r="85" spans="1:23" x14ac:dyDescent="0.2">
      <c r="A85" s="1">
        <f t="shared" si="3"/>
        <v>38821.275000000096</v>
      </c>
      <c r="B85" s="176" t="str">
        <f>IF('Peak Revenue'!$A$1="BL","-",IF(Peak!H86&gt;Peak!$G86,B$8*Peak!$AM$11,0))</f>
        <v>-</v>
      </c>
      <c r="C85" s="177" t="str">
        <f>IF('Peak Revenue'!$A$1="BL","-",IF(Peak!I86&gt;Peak!$G86,C$8*Peak!$AM$11,0))</f>
        <v>-</v>
      </c>
      <c r="D85" s="177" t="str">
        <f>IF('Peak Revenue'!$A$1="BL","-",IF(Peak!J86&gt;Peak!$G86,D$8*Peak!$AM$11,0))</f>
        <v>-</v>
      </c>
      <c r="E85" s="177" t="str">
        <f>IF('Peak Revenue'!$A$1="BL","-",IF(Peak!K86&gt;Peak!$G86,E$8*Peak!$AM$11,0))</f>
        <v>-</v>
      </c>
      <c r="F85" s="177" t="str">
        <f>IF('Peak Revenue'!$A$1="BL","-",IF(Peak!L86&gt;Peak!$G86,F$8*Peak!$AM$11,0))</f>
        <v>-</v>
      </c>
      <c r="G85" s="177" t="str">
        <f>IF('Peak Revenue'!$A$1="BL","-",IF(Peak!M86&gt;Peak!$G86,G$8*Peak!$AM$11,0))</f>
        <v>-</v>
      </c>
      <c r="H85" s="177" t="str">
        <f>IF('Peak Revenue'!$A$1="BL","-",IF(Peak!N86&gt;Peak!$G86,H$8*Peak!$AM$11,0))</f>
        <v>-</v>
      </c>
      <c r="I85" s="177" t="str">
        <f>IF('Peak Revenue'!$A$1="BL","-",IF(Peak!O86&gt;Peak!$G86,I$8*Peak!$AM$11,0))</f>
        <v>-</v>
      </c>
      <c r="J85" s="177" t="str">
        <f>IF('Peak Revenue'!$A$1="BL","-",IF(Peak!P86&gt;Peak!$G86,J$8*Peak!$AM$11,0))</f>
        <v>-</v>
      </c>
      <c r="K85" s="177" t="str">
        <f>IF('Peak Revenue'!$A$1="BL","-",IF(Peak!Q86&gt;Peak!$G86,K$8*Peak!$AM$11,0))</f>
        <v>-</v>
      </c>
      <c r="L85" s="177" t="str">
        <f>IF('Peak Revenue'!$A$1="BL","-",IF(Peak!R86&gt;Peak!$G86,L$8*Peak!$AM$11,0))</f>
        <v>-</v>
      </c>
      <c r="M85" s="177" t="str">
        <f>IF('Peak Revenue'!$A$1="BL","-",IF(Peak!S86&gt;Peak!$G86,M$8*Peak!$AM$11,0))</f>
        <v>-</v>
      </c>
      <c r="N85" s="177" t="str">
        <f>IF('Peak Revenue'!$A$1="BL","-",IF(Peak!T86&gt;Peak!$G86,N$8*Peak!$AM$11,0))</f>
        <v>-</v>
      </c>
      <c r="O85" s="177" t="str">
        <f>IF('Peak Revenue'!$A$1="BL","-",IF(Peak!U86&gt;Peak!$G86,O$8*Peak!$AM$11,0))</f>
        <v>-</v>
      </c>
      <c r="P85" s="177" t="str">
        <f>IF('Peak Revenue'!$A$1="BL","-",IF(Peak!V86&gt;Peak!$G86,P$8*Peak!$AM$11,0))</f>
        <v>-</v>
      </c>
      <c r="Q85" s="177" t="str">
        <f>IF('Peak Revenue'!$A$1="BL","-",IF(Peak!W86&gt;Peak!$G86,Q$8*Peak!$AM$11,0))</f>
        <v>-</v>
      </c>
      <c r="R85" s="177" t="str">
        <f>IF('Peak Revenue'!$A$1="BL","-",IF(Peak!X86&gt;Peak!$G86,R$8*Peak!$AM$11,0))</f>
        <v>-</v>
      </c>
      <c r="S85" s="177" t="str">
        <f>IF('Peak Revenue'!$A$1="BL","-",IF(Peak!Y86&gt;Peak!$G86,S$8*Peak!$AM$11,0))</f>
        <v>-</v>
      </c>
      <c r="T85" s="177" t="str">
        <f>IF('Peak Revenue'!$A$1="BL","-",IF(Peak!Z86&gt;Peak!$G86,T$8*Peak!$AM$11,0))</f>
        <v>-</v>
      </c>
      <c r="U85" s="177" t="str">
        <f>IF('Peak Revenue'!$A$1="BL","-",IF(Peak!AA86&gt;Peak!$G86,U$8*Peak!$AM$11,0))</f>
        <v>-</v>
      </c>
      <c r="V85" s="178">
        <f t="shared" si="2"/>
        <v>0</v>
      </c>
      <c r="W85" s="165"/>
    </row>
    <row r="86" spans="1:23" x14ac:dyDescent="0.2">
      <c r="A86" s="1">
        <f t="shared" si="3"/>
        <v>38851.692000000097</v>
      </c>
      <c r="B86" s="176" t="str">
        <f>IF('Peak Revenue'!$A$1="BL","-",IF(Peak!H87&gt;Peak!$G87,B$8*Peak!$AM$11,0))</f>
        <v>-</v>
      </c>
      <c r="C86" s="177" t="str">
        <f>IF('Peak Revenue'!$A$1="BL","-",IF(Peak!I87&gt;Peak!$G87,C$8*Peak!$AM$11,0))</f>
        <v>-</v>
      </c>
      <c r="D86" s="177" t="str">
        <f>IF('Peak Revenue'!$A$1="BL","-",IF(Peak!J87&gt;Peak!$G87,D$8*Peak!$AM$11,0))</f>
        <v>-</v>
      </c>
      <c r="E86" s="177" t="str">
        <f>IF('Peak Revenue'!$A$1="BL","-",IF(Peak!K87&gt;Peak!$G87,E$8*Peak!$AM$11,0))</f>
        <v>-</v>
      </c>
      <c r="F86" s="177" t="str">
        <f>IF('Peak Revenue'!$A$1="BL","-",IF(Peak!L87&gt;Peak!$G87,F$8*Peak!$AM$11,0))</f>
        <v>-</v>
      </c>
      <c r="G86" s="177" t="str">
        <f>IF('Peak Revenue'!$A$1="BL","-",IF(Peak!M87&gt;Peak!$G87,G$8*Peak!$AM$11,0))</f>
        <v>-</v>
      </c>
      <c r="H86" s="177" t="str">
        <f>IF('Peak Revenue'!$A$1="BL","-",IF(Peak!N87&gt;Peak!$G87,H$8*Peak!$AM$11,0))</f>
        <v>-</v>
      </c>
      <c r="I86" s="177" t="str">
        <f>IF('Peak Revenue'!$A$1="BL","-",IF(Peak!O87&gt;Peak!$G87,I$8*Peak!$AM$11,0))</f>
        <v>-</v>
      </c>
      <c r="J86" s="177" t="str">
        <f>IF('Peak Revenue'!$A$1="BL","-",IF(Peak!P87&gt;Peak!$G87,J$8*Peak!$AM$11,0))</f>
        <v>-</v>
      </c>
      <c r="K86" s="177" t="str">
        <f>IF('Peak Revenue'!$A$1="BL","-",IF(Peak!Q87&gt;Peak!$G87,K$8*Peak!$AM$11,0))</f>
        <v>-</v>
      </c>
      <c r="L86" s="177" t="str">
        <f>IF('Peak Revenue'!$A$1="BL","-",IF(Peak!R87&gt;Peak!$G87,L$8*Peak!$AM$11,0))</f>
        <v>-</v>
      </c>
      <c r="M86" s="177" t="str">
        <f>IF('Peak Revenue'!$A$1="BL","-",IF(Peak!S87&gt;Peak!$G87,M$8*Peak!$AM$11,0))</f>
        <v>-</v>
      </c>
      <c r="N86" s="177" t="str">
        <f>IF('Peak Revenue'!$A$1="BL","-",IF(Peak!T87&gt;Peak!$G87,N$8*Peak!$AM$11,0))</f>
        <v>-</v>
      </c>
      <c r="O86" s="177" t="str">
        <f>IF('Peak Revenue'!$A$1="BL","-",IF(Peak!U87&gt;Peak!$G87,O$8*Peak!$AM$11,0))</f>
        <v>-</v>
      </c>
      <c r="P86" s="177" t="str">
        <f>IF('Peak Revenue'!$A$1="BL","-",IF(Peak!V87&gt;Peak!$G87,P$8*Peak!$AM$11,0))</f>
        <v>-</v>
      </c>
      <c r="Q86" s="177" t="str">
        <f>IF('Peak Revenue'!$A$1="BL","-",IF(Peak!W87&gt;Peak!$G87,Q$8*Peak!$AM$11,0))</f>
        <v>-</v>
      </c>
      <c r="R86" s="177" t="str">
        <f>IF('Peak Revenue'!$A$1="BL","-",IF(Peak!X87&gt;Peak!$G87,R$8*Peak!$AM$11,0))</f>
        <v>-</v>
      </c>
      <c r="S86" s="177" t="str">
        <f>IF('Peak Revenue'!$A$1="BL","-",IF(Peak!Y87&gt;Peak!$G87,S$8*Peak!$AM$11,0))</f>
        <v>-</v>
      </c>
      <c r="T86" s="177" t="str">
        <f>IF('Peak Revenue'!$A$1="BL","-",IF(Peak!Z87&gt;Peak!$G87,T$8*Peak!$AM$11,0))</f>
        <v>-</v>
      </c>
      <c r="U86" s="177" t="str">
        <f>IF('Peak Revenue'!$A$1="BL","-",IF(Peak!AA87&gt;Peak!$G87,U$8*Peak!$AM$11,0))</f>
        <v>-</v>
      </c>
      <c r="V86" s="178">
        <f t="shared" si="2"/>
        <v>0</v>
      </c>
      <c r="W86" s="165"/>
    </row>
    <row r="87" spans="1:23" x14ac:dyDescent="0.2">
      <c r="A87" s="1">
        <f t="shared" si="3"/>
        <v>38882.109000000099</v>
      </c>
      <c r="B87" s="176" t="str">
        <f>IF('Peak Revenue'!$A$1="BL","-",IF(Peak!H88&gt;Peak!$G88,B$8*Peak!$AM$11,0))</f>
        <v>-</v>
      </c>
      <c r="C87" s="177" t="str">
        <f>IF('Peak Revenue'!$A$1="BL","-",IF(Peak!I88&gt;Peak!$G88,C$8*Peak!$AM$11,0))</f>
        <v>-</v>
      </c>
      <c r="D87" s="177" t="str">
        <f>IF('Peak Revenue'!$A$1="BL","-",IF(Peak!J88&gt;Peak!$G88,D$8*Peak!$AM$11,0))</f>
        <v>-</v>
      </c>
      <c r="E87" s="177" t="str">
        <f>IF('Peak Revenue'!$A$1="BL","-",IF(Peak!K88&gt;Peak!$G88,E$8*Peak!$AM$11,0))</f>
        <v>-</v>
      </c>
      <c r="F87" s="177" t="str">
        <f>IF('Peak Revenue'!$A$1="BL","-",IF(Peak!L88&gt;Peak!$G88,F$8*Peak!$AM$11,0))</f>
        <v>-</v>
      </c>
      <c r="G87" s="177" t="str">
        <f>IF('Peak Revenue'!$A$1="BL","-",IF(Peak!M88&gt;Peak!$G88,G$8*Peak!$AM$11,0))</f>
        <v>-</v>
      </c>
      <c r="H87" s="177" t="str">
        <f>IF('Peak Revenue'!$A$1="BL","-",IF(Peak!N88&gt;Peak!$G88,H$8*Peak!$AM$11,0))</f>
        <v>-</v>
      </c>
      <c r="I87" s="177" t="str">
        <f>IF('Peak Revenue'!$A$1="BL","-",IF(Peak!O88&gt;Peak!$G88,I$8*Peak!$AM$11,0))</f>
        <v>-</v>
      </c>
      <c r="J87" s="177" t="str">
        <f>IF('Peak Revenue'!$A$1="BL","-",IF(Peak!P88&gt;Peak!$G88,J$8*Peak!$AM$11,0))</f>
        <v>-</v>
      </c>
      <c r="K87" s="177" t="str">
        <f>IF('Peak Revenue'!$A$1="BL","-",IF(Peak!Q88&gt;Peak!$G88,K$8*Peak!$AM$11,0))</f>
        <v>-</v>
      </c>
      <c r="L87" s="177" t="str">
        <f>IF('Peak Revenue'!$A$1="BL","-",IF(Peak!R88&gt;Peak!$G88,L$8*Peak!$AM$11,0))</f>
        <v>-</v>
      </c>
      <c r="M87" s="177" t="str">
        <f>IF('Peak Revenue'!$A$1="BL","-",IF(Peak!S88&gt;Peak!$G88,M$8*Peak!$AM$11,0))</f>
        <v>-</v>
      </c>
      <c r="N87" s="177" t="str">
        <f>IF('Peak Revenue'!$A$1="BL","-",IF(Peak!T88&gt;Peak!$G88,N$8*Peak!$AM$11,0))</f>
        <v>-</v>
      </c>
      <c r="O87" s="177" t="str">
        <f>IF('Peak Revenue'!$A$1="BL","-",IF(Peak!U88&gt;Peak!$G88,O$8*Peak!$AM$11,0))</f>
        <v>-</v>
      </c>
      <c r="P87" s="177" t="str">
        <f>IF('Peak Revenue'!$A$1="BL","-",IF(Peak!V88&gt;Peak!$G88,P$8*Peak!$AM$11,0))</f>
        <v>-</v>
      </c>
      <c r="Q87" s="177" t="str">
        <f>IF('Peak Revenue'!$A$1="BL","-",IF(Peak!W88&gt;Peak!$G88,Q$8*Peak!$AM$11,0))</f>
        <v>-</v>
      </c>
      <c r="R87" s="177" t="str">
        <f>IF('Peak Revenue'!$A$1="BL","-",IF(Peak!X88&gt;Peak!$G88,R$8*Peak!$AM$11,0))</f>
        <v>-</v>
      </c>
      <c r="S87" s="177" t="str">
        <f>IF('Peak Revenue'!$A$1="BL","-",IF(Peak!Y88&gt;Peak!$G88,S$8*Peak!$AM$11,0))</f>
        <v>-</v>
      </c>
      <c r="T87" s="177" t="str">
        <f>IF('Peak Revenue'!$A$1="BL","-",IF(Peak!Z88&gt;Peak!$G88,T$8*Peak!$AM$11,0))</f>
        <v>-</v>
      </c>
      <c r="U87" s="177" t="str">
        <f>IF('Peak Revenue'!$A$1="BL","-",IF(Peak!AA88&gt;Peak!$G88,U$8*Peak!$AM$11,0))</f>
        <v>-</v>
      </c>
      <c r="V87" s="178">
        <f t="shared" si="2"/>
        <v>0</v>
      </c>
      <c r="W87" s="165"/>
    </row>
    <row r="88" spans="1:23" x14ac:dyDescent="0.2">
      <c r="A88" s="1">
        <f t="shared" si="3"/>
        <v>38912.5260000001</v>
      </c>
      <c r="B88" s="176" t="str">
        <f>IF('Peak Revenue'!$A$1="BL","-",IF(Peak!H89&gt;Peak!$G89,B$8*Peak!$AM$11,0))</f>
        <v>-</v>
      </c>
      <c r="C88" s="177" t="str">
        <f>IF('Peak Revenue'!$A$1="BL","-",IF(Peak!I89&gt;Peak!$G89,C$8*Peak!$AM$11,0))</f>
        <v>-</v>
      </c>
      <c r="D88" s="177" t="str">
        <f>IF('Peak Revenue'!$A$1="BL","-",IF(Peak!J89&gt;Peak!$G89,D$8*Peak!$AM$11,0))</f>
        <v>-</v>
      </c>
      <c r="E88" s="177" t="str">
        <f>IF('Peak Revenue'!$A$1="BL","-",IF(Peak!K89&gt;Peak!$G89,E$8*Peak!$AM$11,0))</f>
        <v>-</v>
      </c>
      <c r="F88" s="177" t="str">
        <f>IF('Peak Revenue'!$A$1="BL","-",IF(Peak!L89&gt;Peak!$G89,F$8*Peak!$AM$11,0))</f>
        <v>-</v>
      </c>
      <c r="G88" s="177" t="str">
        <f>IF('Peak Revenue'!$A$1="BL","-",IF(Peak!M89&gt;Peak!$G89,G$8*Peak!$AM$11,0))</f>
        <v>-</v>
      </c>
      <c r="H88" s="177" t="str">
        <f>IF('Peak Revenue'!$A$1="BL","-",IF(Peak!N89&gt;Peak!$G89,H$8*Peak!$AM$11,0))</f>
        <v>-</v>
      </c>
      <c r="I88" s="177" t="str">
        <f>IF('Peak Revenue'!$A$1="BL","-",IF(Peak!O89&gt;Peak!$G89,I$8*Peak!$AM$11,0))</f>
        <v>-</v>
      </c>
      <c r="J88" s="177" t="str">
        <f>IF('Peak Revenue'!$A$1="BL","-",IF(Peak!P89&gt;Peak!$G89,J$8*Peak!$AM$11,0))</f>
        <v>-</v>
      </c>
      <c r="K88" s="177" t="str">
        <f>IF('Peak Revenue'!$A$1="BL","-",IF(Peak!Q89&gt;Peak!$G89,K$8*Peak!$AM$11,0))</f>
        <v>-</v>
      </c>
      <c r="L88" s="177" t="str">
        <f>IF('Peak Revenue'!$A$1="BL","-",IF(Peak!R89&gt;Peak!$G89,L$8*Peak!$AM$11,0))</f>
        <v>-</v>
      </c>
      <c r="M88" s="177" t="str">
        <f>IF('Peak Revenue'!$A$1="BL","-",IF(Peak!S89&gt;Peak!$G89,M$8*Peak!$AM$11,0))</f>
        <v>-</v>
      </c>
      <c r="N88" s="177" t="str">
        <f>IF('Peak Revenue'!$A$1="BL","-",IF(Peak!T89&gt;Peak!$G89,N$8*Peak!$AM$11,0))</f>
        <v>-</v>
      </c>
      <c r="O88" s="177" t="str">
        <f>IF('Peak Revenue'!$A$1="BL","-",IF(Peak!U89&gt;Peak!$G89,O$8*Peak!$AM$11,0))</f>
        <v>-</v>
      </c>
      <c r="P88" s="177" t="str">
        <f>IF('Peak Revenue'!$A$1="BL","-",IF(Peak!V89&gt;Peak!$G89,P$8*Peak!$AM$11,0))</f>
        <v>-</v>
      </c>
      <c r="Q88" s="177" t="str">
        <f>IF('Peak Revenue'!$A$1="BL","-",IF(Peak!W89&gt;Peak!$G89,Q$8*Peak!$AM$11,0))</f>
        <v>-</v>
      </c>
      <c r="R88" s="177" t="str">
        <f>IF('Peak Revenue'!$A$1="BL","-",IF(Peak!X89&gt;Peak!$G89,R$8*Peak!$AM$11,0))</f>
        <v>-</v>
      </c>
      <c r="S88" s="177" t="str">
        <f>IF('Peak Revenue'!$A$1="BL","-",IF(Peak!Y89&gt;Peak!$G89,S$8*Peak!$AM$11,0))</f>
        <v>-</v>
      </c>
      <c r="T88" s="177" t="str">
        <f>IF('Peak Revenue'!$A$1="BL","-",IF(Peak!Z89&gt;Peak!$G89,T$8*Peak!$AM$11,0))</f>
        <v>-</v>
      </c>
      <c r="U88" s="177" t="str">
        <f>IF('Peak Revenue'!$A$1="BL","-",IF(Peak!AA89&gt;Peak!$G89,U$8*Peak!$AM$11,0))</f>
        <v>-</v>
      </c>
      <c r="V88" s="178">
        <f t="shared" si="2"/>
        <v>0</v>
      </c>
      <c r="W88" s="165"/>
    </row>
    <row r="89" spans="1:23" x14ac:dyDescent="0.2">
      <c r="A89" s="1">
        <f t="shared" si="3"/>
        <v>38942.943000000101</v>
      </c>
      <c r="B89" s="176" t="str">
        <f>IF('Peak Revenue'!$A$1="BL","-",IF(Peak!H90&gt;Peak!$G90,B$8*Peak!$AM$11,0))</f>
        <v>-</v>
      </c>
      <c r="C89" s="177" t="str">
        <f>IF('Peak Revenue'!$A$1="BL","-",IF(Peak!I90&gt;Peak!$G90,C$8*Peak!$AM$11,0))</f>
        <v>-</v>
      </c>
      <c r="D89" s="177" t="str">
        <f>IF('Peak Revenue'!$A$1="BL","-",IF(Peak!J90&gt;Peak!$G90,D$8*Peak!$AM$11,0))</f>
        <v>-</v>
      </c>
      <c r="E89" s="177" t="str">
        <f>IF('Peak Revenue'!$A$1="BL","-",IF(Peak!K90&gt;Peak!$G90,E$8*Peak!$AM$11,0))</f>
        <v>-</v>
      </c>
      <c r="F89" s="177" t="str">
        <f>IF('Peak Revenue'!$A$1="BL","-",IF(Peak!L90&gt;Peak!$G90,F$8*Peak!$AM$11,0))</f>
        <v>-</v>
      </c>
      <c r="G89" s="177" t="str">
        <f>IF('Peak Revenue'!$A$1="BL","-",IF(Peak!M90&gt;Peak!$G90,G$8*Peak!$AM$11,0))</f>
        <v>-</v>
      </c>
      <c r="H89" s="177" t="str">
        <f>IF('Peak Revenue'!$A$1="BL","-",IF(Peak!N90&gt;Peak!$G90,H$8*Peak!$AM$11,0))</f>
        <v>-</v>
      </c>
      <c r="I89" s="177" t="str">
        <f>IF('Peak Revenue'!$A$1="BL","-",IF(Peak!O90&gt;Peak!$G90,I$8*Peak!$AM$11,0))</f>
        <v>-</v>
      </c>
      <c r="J89" s="177" t="str">
        <f>IF('Peak Revenue'!$A$1="BL","-",IF(Peak!P90&gt;Peak!$G90,J$8*Peak!$AM$11,0))</f>
        <v>-</v>
      </c>
      <c r="K89" s="177" t="str">
        <f>IF('Peak Revenue'!$A$1="BL","-",IF(Peak!Q90&gt;Peak!$G90,K$8*Peak!$AM$11,0))</f>
        <v>-</v>
      </c>
      <c r="L89" s="177" t="str">
        <f>IF('Peak Revenue'!$A$1="BL","-",IF(Peak!R90&gt;Peak!$G90,L$8*Peak!$AM$11,0))</f>
        <v>-</v>
      </c>
      <c r="M89" s="177" t="str">
        <f>IF('Peak Revenue'!$A$1="BL","-",IF(Peak!S90&gt;Peak!$G90,M$8*Peak!$AM$11,0))</f>
        <v>-</v>
      </c>
      <c r="N89" s="177" t="str">
        <f>IF('Peak Revenue'!$A$1="BL","-",IF(Peak!T90&gt;Peak!$G90,N$8*Peak!$AM$11,0))</f>
        <v>-</v>
      </c>
      <c r="O89" s="177" t="str">
        <f>IF('Peak Revenue'!$A$1="BL","-",IF(Peak!U90&gt;Peak!$G90,O$8*Peak!$AM$11,0))</f>
        <v>-</v>
      </c>
      <c r="P89" s="177" t="str">
        <f>IF('Peak Revenue'!$A$1="BL","-",IF(Peak!V90&gt;Peak!$G90,P$8*Peak!$AM$11,0))</f>
        <v>-</v>
      </c>
      <c r="Q89" s="177" t="str">
        <f>IF('Peak Revenue'!$A$1="BL","-",IF(Peak!W90&gt;Peak!$G90,Q$8*Peak!$AM$11,0))</f>
        <v>-</v>
      </c>
      <c r="R89" s="177" t="str">
        <f>IF('Peak Revenue'!$A$1="BL","-",IF(Peak!X90&gt;Peak!$G90,R$8*Peak!$AM$11,0))</f>
        <v>-</v>
      </c>
      <c r="S89" s="177" t="str">
        <f>IF('Peak Revenue'!$A$1="BL","-",IF(Peak!Y90&gt;Peak!$G90,S$8*Peak!$AM$11,0))</f>
        <v>-</v>
      </c>
      <c r="T89" s="177" t="str">
        <f>IF('Peak Revenue'!$A$1="BL","-",IF(Peak!Z90&gt;Peak!$G90,T$8*Peak!$AM$11,0))</f>
        <v>-</v>
      </c>
      <c r="U89" s="177" t="str">
        <f>IF('Peak Revenue'!$A$1="BL","-",IF(Peak!AA90&gt;Peak!$G90,U$8*Peak!$AM$11,0))</f>
        <v>-</v>
      </c>
      <c r="V89" s="178">
        <f t="shared" si="2"/>
        <v>0</v>
      </c>
      <c r="W89" s="165"/>
    </row>
    <row r="90" spans="1:23" x14ac:dyDescent="0.2">
      <c r="A90" s="1">
        <f t="shared" si="3"/>
        <v>38973.360000000102</v>
      </c>
      <c r="B90" s="176" t="str">
        <f>IF('Peak Revenue'!$A$1="BL","-",IF(Peak!H91&gt;Peak!$G91,B$8*Peak!$AM$11,0))</f>
        <v>-</v>
      </c>
      <c r="C90" s="177" t="str">
        <f>IF('Peak Revenue'!$A$1="BL","-",IF(Peak!I91&gt;Peak!$G91,C$8*Peak!$AM$11,0))</f>
        <v>-</v>
      </c>
      <c r="D90" s="177" t="str">
        <f>IF('Peak Revenue'!$A$1="BL","-",IF(Peak!J91&gt;Peak!$G91,D$8*Peak!$AM$11,0))</f>
        <v>-</v>
      </c>
      <c r="E90" s="177" t="str">
        <f>IF('Peak Revenue'!$A$1="BL","-",IF(Peak!K91&gt;Peak!$G91,E$8*Peak!$AM$11,0))</f>
        <v>-</v>
      </c>
      <c r="F90" s="177" t="str">
        <f>IF('Peak Revenue'!$A$1="BL","-",IF(Peak!L91&gt;Peak!$G91,F$8*Peak!$AM$11,0))</f>
        <v>-</v>
      </c>
      <c r="G90" s="177" t="str">
        <f>IF('Peak Revenue'!$A$1="BL","-",IF(Peak!M91&gt;Peak!$G91,G$8*Peak!$AM$11,0))</f>
        <v>-</v>
      </c>
      <c r="H90" s="177" t="str">
        <f>IF('Peak Revenue'!$A$1="BL","-",IF(Peak!N91&gt;Peak!$G91,H$8*Peak!$AM$11,0))</f>
        <v>-</v>
      </c>
      <c r="I90" s="177" t="str">
        <f>IF('Peak Revenue'!$A$1="BL","-",IF(Peak!O91&gt;Peak!$G91,I$8*Peak!$AM$11,0))</f>
        <v>-</v>
      </c>
      <c r="J90" s="177" t="str">
        <f>IF('Peak Revenue'!$A$1="BL","-",IF(Peak!P91&gt;Peak!$G91,J$8*Peak!$AM$11,0))</f>
        <v>-</v>
      </c>
      <c r="K90" s="177" t="str">
        <f>IF('Peak Revenue'!$A$1="BL","-",IF(Peak!Q91&gt;Peak!$G91,K$8*Peak!$AM$11,0))</f>
        <v>-</v>
      </c>
      <c r="L90" s="177" t="str">
        <f>IF('Peak Revenue'!$A$1="BL","-",IF(Peak!R91&gt;Peak!$G91,L$8*Peak!$AM$11,0))</f>
        <v>-</v>
      </c>
      <c r="M90" s="177" t="str">
        <f>IF('Peak Revenue'!$A$1="BL","-",IF(Peak!S91&gt;Peak!$G91,M$8*Peak!$AM$11,0))</f>
        <v>-</v>
      </c>
      <c r="N90" s="177" t="str">
        <f>IF('Peak Revenue'!$A$1="BL","-",IF(Peak!T91&gt;Peak!$G91,N$8*Peak!$AM$11,0))</f>
        <v>-</v>
      </c>
      <c r="O90" s="177" t="str">
        <f>IF('Peak Revenue'!$A$1="BL","-",IF(Peak!U91&gt;Peak!$G91,O$8*Peak!$AM$11,0))</f>
        <v>-</v>
      </c>
      <c r="P90" s="177" t="str">
        <f>IF('Peak Revenue'!$A$1="BL","-",IF(Peak!V91&gt;Peak!$G91,P$8*Peak!$AM$11,0))</f>
        <v>-</v>
      </c>
      <c r="Q90" s="177" t="str">
        <f>IF('Peak Revenue'!$A$1="BL","-",IF(Peak!W91&gt;Peak!$G91,Q$8*Peak!$AM$11,0))</f>
        <v>-</v>
      </c>
      <c r="R90" s="177" t="str">
        <f>IF('Peak Revenue'!$A$1="BL","-",IF(Peak!X91&gt;Peak!$G91,R$8*Peak!$AM$11,0))</f>
        <v>-</v>
      </c>
      <c r="S90" s="177" t="str">
        <f>IF('Peak Revenue'!$A$1="BL","-",IF(Peak!Y91&gt;Peak!$G91,S$8*Peak!$AM$11,0))</f>
        <v>-</v>
      </c>
      <c r="T90" s="177" t="str">
        <f>IF('Peak Revenue'!$A$1="BL","-",IF(Peak!Z91&gt;Peak!$G91,T$8*Peak!$AM$11,0))</f>
        <v>-</v>
      </c>
      <c r="U90" s="177" t="str">
        <f>IF('Peak Revenue'!$A$1="BL","-",IF(Peak!AA91&gt;Peak!$G91,U$8*Peak!$AM$11,0))</f>
        <v>-</v>
      </c>
      <c r="V90" s="178">
        <f t="shared" si="2"/>
        <v>0</v>
      </c>
      <c r="W90" s="165"/>
    </row>
    <row r="91" spans="1:23" x14ac:dyDescent="0.2">
      <c r="A91" s="1">
        <f t="shared" si="3"/>
        <v>39003.777000000104</v>
      </c>
      <c r="B91" s="176" t="str">
        <f>IF('Peak Revenue'!$A$1="BL","-",IF(Peak!H92&gt;Peak!$G92,B$8*Peak!$AM$11,0))</f>
        <v>-</v>
      </c>
      <c r="C91" s="177" t="str">
        <f>IF('Peak Revenue'!$A$1="BL","-",IF(Peak!I92&gt;Peak!$G92,C$8*Peak!$AM$11,0))</f>
        <v>-</v>
      </c>
      <c r="D91" s="177" t="str">
        <f>IF('Peak Revenue'!$A$1="BL","-",IF(Peak!J92&gt;Peak!$G92,D$8*Peak!$AM$11,0))</f>
        <v>-</v>
      </c>
      <c r="E91" s="177" t="str">
        <f>IF('Peak Revenue'!$A$1="BL","-",IF(Peak!K92&gt;Peak!$G92,E$8*Peak!$AM$11,0))</f>
        <v>-</v>
      </c>
      <c r="F91" s="177" t="str">
        <f>IF('Peak Revenue'!$A$1="BL","-",IF(Peak!L92&gt;Peak!$G92,F$8*Peak!$AM$11,0))</f>
        <v>-</v>
      </c>
      <c r="G91" s="177" t="str">
        <f>IF('Peak Revenue'!$A$1="BL","-",IF(Peak!M92&gt;Peak!$G92,G$8*Peak!$AM$11,0))</f>
        <v>-</v>
      </c>
      <c r="H91" s="177" t="str">
        <f>IF('Peak Revenue'!$A$1="BL","-",IF(Peak!N92&gt;Peak!$G92,H$8*Peak!$AM$11,0))</f>
        <v>-</v>
      </c>
      <c r="I91" s="177" t="str">
        <f>IF('Peak Revenue'!$A$1="BL","-",IF(Peak!O92&gt;Peak!$G92,I$8*Peak!$AM$11,0))</f>
        <v>-</v>
      </c>
      <c r="J91" s="177" t="str">
        <f>IF('Peak Revenue'!$A$1="BL","-",IF(Peak!P92&gt;Peak!$G92,J$8*Peak!$AM$11,0))</f>
        <v>-</v>
      </c>
      <c r="K91" s="177" t="str">
        <f>IF('Peak Revenue'!$A$1="BL","-",IF(Peak!Q92&gt;Peak!$G92,K$8*Peak!$AM$11,0))</f>
        <v>-</v>
      </c>
      <c r="L91" s="177" t="str">
        <f>IF('Peak Revenue'!$A$1="BL","-",IF(Peak!R92&gt;Peak!$G92,L$8*Peak!$AM$11,0))</f>
        <v>-</v>
      </c>
      <c r="M91" s="177" t="str">
        <f>IF('Peak Revenue'!$A$1="BL","-",IF(Peak!S92&gt;Peak!$G92,M$8*Peak!$AM$11,0))</f>
        <v>-</v>
      </c>
      <c r="N91" s="177" t="str">
        <f>IF('Peak Revenue'!$A$1="BL","-",IF(Peak!T92&gt;Peak!$G92,N$8*Peak!$AM$11,0))</f>
        <v>-</v>
      </c>
      <c r="O91" s="177" t="str">
        <f>IF('Peak Revenue'!$A$1="BL","-",IF(Peak!U92&gt;Peak!$G92,O$8*Peak!$AM$11,0))</f>
        <v>-</v>
      </c>
      <c r="P91" s="177" t="str">
        <f>IF('Peak Revenue'!$A$1="BL","-",IF(Peak!V92&gt;Peak!$G92,P$8*Peak!$AM$11,0))</f>
        <v>-</v>
      </c>
      <c r="Q91" s="177" t="str">
        <f>IF('Peak Revenue'!$A$1="BL","-",IF(Peak!W92&gt;Peak!$G92,Q$8*Peak!$AM$11,0))</f>
        <v>-</v>
      </c>
      <c r="R91" s="177" t="str">
        <f>IF('Peak Revenue'!$A$1="BL","-",IF(Peak!X92&gt;Peak!$G92,R$8*Peak!$AM$11,0))</f>
        <v>-</v>
      </c>
      <c r="S91" s="177" t="str">
        <f>IF('Peak Revenue'!$A$1="BL","-",IF(Peak!Y92&gt;Peak!$G92,S$8*Peak!$AM$11,0))</f>
        <v>-</v>
      </c>
      <c r="T91" s="177" t="str">
        <f>IF('Peak Revenue'!$A$1="BL","-",IF(Peak!Z92&gt;Peak!$G92,T$8*Peak!$AM$11,0))</f>
        <v>-</v>
      </c>
      <c r="U91" s="177" t="str">
        <f>IF('Peak Revenue'!$A$1="BL","-",IF(Peak!AA92&gt;Peak!$G92,U$8*Peak!$AM$11,0))</f>
        <v>-</v>
      </c>
      <c r="V91" s="178">
        <f t="shared" si="2"/>
        <v>0</v>
      </c>
      <c r="W91" s="165"/>
    </row>
    <row r="92" spans="1:23" x14ac:dyDescent="0.2">
      <c r="A92" s="1">
        <f t="shared" si="3"/>
        <v>39034.194000000105</v>
      </c>
      <c r="B92" s="176" t="str">
        <f>IF('Peak Revenue'!$A$1="BL","-",IF(Peak!H93&gt;Peak!$G93,B$8*Peak!$AM$11,0))</f>
        <v>-</v>
      </c>
      <c r="C92" s="177" t="str">
        <f>IF('Peak Revenue'!$A$1="BL","-",IF(Peak!I93&gt;Peak!$G93,C$8*Peak!$AM$11,0))</f>
        <v>-</v>
      </c>
      <c r="D92" s="177" t="str">
        <f>IF('Peak Revenue'!$A$1="BL","-",IF(Peak!J93&gt;Peak!$G93,D$8*Peak!$AM$11,0))</f>
        <v>-</v>
      </c>
      <c r="E92" s="177" t="str">
        <f>IF('Peak Revenue'!$A$1="BL","-",IF(Peak!K93&gt;Peak!$G93,E$8*Peak!$AM$11,0))</f>
        <v>-</v>
      </c>
      <c r="F92" s="177" t="str">
        <f>IF('Peak Revenue'!$A$1="BL","-",IF(Peak!L93&gt;Peak!$G93,F$8*Peak!$AM$11,0))</f>
        <v>-</v>
      </c>
      <c r="G92" s="177" t="str">
        <f>IF('Peak Revenue'!$A$1="BL","-",IF(Peak!M93&gt;Peak!$G93,G$8*Peak!$AM$11,0))</f>
        <v>-</v>
      </c>
      <c r="H92" s="177" t="str">
        <f>IF('Peak Revenue'!$A$1="BL","-",IF(Peak!N93&gt;Peak!$G93,H$8*Peak!$AM$11,0))</f>
        <v>-</v>
      </c>
      <c r="I92" s="177" t="str">
        <f>IF('Peak Revenue'!$A$1="BL","-",IF(Peak!O93&gt;Peak!$G93,I$8*Peak!$AM$11,0))</f>
        <v>-</v>
      </c>
      <c r="J92" s="177" t="str">
        <f>IF('Peak Revenue'!$A$1="BL","-",IF(Peak!P93&gt;Peak!$G93,J$8*Peak!$AM$11,0))</f>
        <v>-</v>
      </c>
      <c r="K92" s="177" t="str">
        <f>IF('Peak Revenue'!$A$1="BL","-",IF(Peak!Q93&gt;Peak!$G93,K$8*Peak!$AM$11,0))</f>
        <v>-</v>
      </c>
      <c r="L92" s="177" t="str">
        <f>IF('Peak Revenue'!$A$1="BL","-",IF(Peak!R93&gt;Peak!$G93,L$8*Peak!$AM$11,0))</f>
        <v>-</v>
      </c>
      <c r="M92" s="177" t="str">
        <f>IF('Peak Revenue'!$A$1="BL","-",IF(Peak!S93&gt;Peak!$G93,M$8*Peak!$AM$11,0))</f>
        <v>-</v>
      </c>
      <c r="N92" s="177" t="str">
        <f>IF('Peak Revenue'!$A$1="BL","-",IF(Peak!T93&gt;Peak!$G93,N$8*Peak!$AM$11,0))</f>
        <v>-</v>
      </c>
      <c r="O92" s="177" t="str">
        <f>IF('Peak Revenue'!$A$1="BL","-",IF(Peak!U93&gt;Peak!$G93,O$8*Peak!$AM$11,0))</f>
        <v>-</v>
      </c>
      <c r="P92" s="177" t="str">
        <f>IF('Peak Revenue'!$A$1="BL","-",IF(Peak!V93&gt;Peak!$G93,P$8*Peak!$AM$11,0))</f>
        <v>-</v>
      </c>
      <c r="Q92" s="177" t="str">
        <f>IF('Peak Revenue'!$A$1="BL","-",IF(Peak!W93&gt;Peak!$G93,Q$8*Peak!$AM$11,0))</f>
        <v>-</v>
      </c>
      <c r="R92" s="177" t="str">
        <f>IF('Peak Revenue'!$A$1="BL","-",IF(Peak!X93&gt;Peak!$G93,R$8*Peak!$AM$11,0))</f>
        <v>-</v>
      </c>
      <c r="S92" s="177" t="str">
        <f>IF('Peak Revenue'!$A$1="BL","-",IF(Peak!Y93&gt;Peak!$G93,S$8*Peak!$AM$11,0))</f>
        <v>-</v>
      </c>
      <c r="T92" s="177" t="str">
        <f>IF('Peak Revenue'!$A$1="BL","-",IF(Peak!Z93&gt;Peak!$G93,T$8*Peak!$AM$11,0))</f>
        <v>-</v>
      </c>
      <c r="U92" s="177" t="str">
        <f>IF('Peak Revenue'!$A$1="BL","-",IF(Peak!AA93&gt;Peak!$G93,U$8*Peak!$AM$11,0))</f>
        <v>-</v>
      </c>
      <c r="V92" s="178">
        <f t="shared" si="2"/>
        <v>0</v>
      </c>
      <c r="W92" s="165"/>
    </row>
    <row r="93" spans="1:23" x14ac:dyDescent="0.2">
      <c r="A93" s="1">
        <f t="shared" si="3"/>
        <v>39064.611000000106</v>
      </c>
      <c r="B93" s="176" t="str">
        <f>IF('Peak Revenue'!$A$1="BL","-",IF(Peak!H94&gt;Peak!$G94,B$8*Peak!$AM$11,0))</f>
        <v>-</v>
      </c>
      <c r="C93" s="177" t="str">
        <f>IF('Peak Revenue'!$A$1="BL","-",IF(Peak!I94&gt;Peak!$G94,C$8*Peak!$AM$11,0))</f>
        <v>-</v>
      </c>
      <c r="D93" s="177" t="str">
        <f>IF('Peak Revenue'!$A$1="BL","-",IF(Peak!J94&gt;Peak!$G94,D$8*Peak!$AM$11,0))</f>
        <v>-</v>
      </c>
      <c r="E93" s="177" t="str">
        <f>IF('Peak Revenue'!$A$1="BL","-",IF(Peak!K94&gt;Peak!$G94,E$8*Peak!$AM$11,0))</f>
        <v>-</v>
      </c>
      <c r="F93" s="177" t="str">
        <f>IF('Peak Revenue'!$A$1="BL","-",IF(Peak!L94&gt;Peak!$G94,F$8*Peak!$AM$11,0))</f>
        <v>-</v>
      </c>
      <c r="G93" s="177" t="str">
        <f>IF('Peak Revenue'!$A$1="BL","-",IF(Peak!M94&gt;Peak!$G94,G$8*Peak!$AM$11,0))</f>
        <v>-</v>
      </c>
      <c r="H93" s="177" t="str">
        <f>IF('Peak Revenue'!$A$1="BL","-",IF(Peak!N94&gt;Peak!$G94,H$8*Peak!$AM$11,0))</f>
        <v>-</v>
      </c>
      <c r="I93" s="177" t="str">
        <f>IF('Peak Revenue'!$A$1="BL","-",IF(Peak!O94&gt;Peak!$G94,I$8*Peak!$AM$11,0))</f>
        <v>-</v>
      </c>
      <c r="J93" s="177" t="str">
        <f>IF('Peak Revenue'!$A$1="BL","-",IF(Peak!P94&gt;Peak!$G94,J$8*Peak!$AM$11,0))</f>
        <v>-</v>
      </c>
      <c r="K93" s="177" t="str">
        <f>IF('Peak Revenue'!$A$1="BL","-",IF(Peak!Q94&gt;Peak!$G94,K$8*Peak!$AM$11,0))</f>
        <v>-</v>
      </c>
      <c r="L93" s="177" t="str">
        <f>IF('Peak Revenue'!$A$1="BL","-",IF(Peak!R94&gt;Peak!$G94,L$8*Peak!$AM$11,0))</f>
        <v>-</v>
      </c>
      <c r="M93" s="177" t="str">
        <f>IF('Peak Revenue'!$A$1="BL","-",IF(Peak!S94&gt;Peak!$G94,M$8*Peak!$AM$11,0))</f>
        <v>-</v>
      </c>
      <c r="N93" s="177" t="str">
        <f>IF('Peak Revenue'!$A$1="BL","-",IF(Peak!T94&gt;Peak!$G94,N$8*Peak!$AM$11,0))</f>
        <v>-</v>
      </c>
      <c r="O93" s="177" t="str">
        <f>IF('Peak Revenue'!$A$1="BL","-",IF(Peak!U94&gt;Peak!$G94,O$8*Peak!$AM$11,0))</f>
        <v>-</v>
      </c>
      <c r="P93" s="177" t="str">
        <f>IF('Peak Revenue'!$A$1="BL","-",IF(Peak!V94&gt;Peak!$G94,P$8*Peak!$AM$11,0))</f>
        <v>-</v>
      </c>
      <c r="Q93" s="177" t="str">
        <f>IF('Peak Revenue'!$A$1="BL","-",IF(Peak!W94&gt;Peak!$G94,Q$8*Peak!$AM$11,0))</f>
        <v>-</v>
      </c>
      <c r="R93" s="177" t="str">
        <f>IF('Peak Revenue'!$A$1="BL","-",IF(Peak!X94&gt;Peak!$G94,R$8*Peak!$AM$11,0))</f>
        <v>-</v>
      </c>
      <c r="S93" s="177" t="str">
        <f>IF('Peak Revenue'!$A$1="BL","-",IF(Peak!Y94&gt;Peak!$G94,S$8*Peak!$AM$11,0))</f>
        <v>-</v>
      </c>
      <c r="T93" s="177" t="str">
        <f>IF('Peak Revenue'!$A$1="BL","-",IF(Peak!Z94&gt;Peak!$G94,T$8*Peak!$AM$11,0))</f>
        <v>-</v>
      </c>
      <c r="U93" s="177" t="str">
        <f>IF('Peak Revenue'!$A$1="BL","-",IF(Peak!AA94&gt;Peak!$G94,U$8*Peak!$AM$11,0))</f>
        <v>-</v>
      </c>
      <c r="V93" s="178">
        <f t="shared" si="2"/>
        <v>0</v>
      </c>
      <c r="W93" s="164">
        <f>SUM(V82:V93)</f>
        <v>0</v>
      </c>
    </row>
    <row r="94" spans="1:23" x14ac:dyDescent="0.2">
      <c r="A94" s="1">
        <f t="shared" si="3"/>
        <v>39095.028000000108</v>
      </c>
      <c r="B94" s="176" t="str">
        <f>IF('Peak Revenue'!$A$1="BL","-",IF(Peak!H95&gt;Peak!$G95,B$8*Peak!$AM$11,0))</f>
        <v>-</v>
      </c>
      <c r="C94" s="177" t="str">
        <f>IF('Peak Revenue'!$A$1="BL","-",IF(Peak!I95&gt;Peak!$G95,C$8*Peak!$AM$11,0))</f>
        <v>-</v>
      </c>
      <c r="D94" s="177" t="str">
        <f>IF('Peak Revenue'!$A$1="BL","-",IF(Peak!J95&gt;Peak!$G95,D$8*Peak!$AM$11,0))</f>
        <v>-</v>
      </c>
      <c r="E94" s="177" t="str">
        <f>IF('Peak Revenue'!$A$1="BL","-",IF(Peak!K95&gt;Peak!$G95,E$8*Peak!$AM$11,0))</f>
        <v>-</v>
      </c>
      <c r="F94" s="177" t="str">
        <f>IF('Peak Revenue'!$A$1="BL","-",IF(Peak!L95&gt;Peak!$G95,F$8*Peak!$AM$11,0))</f>
        <v>-</v>
      </c>
      <c r="G94" s="177" t="str">
        <f>IF('Peak Revenue'!$A$1="BL","-",IF(Peak!M95&gt;Peak!$G95,G$8*Peak!$AM$11,0))</f>
        <v>-</v>
      </c>
      <c r="H94" s="177" t="str">
        <f>IF('Peak Revenue'!$A$1="BL","-",IF(Peak!N95&gt;Peak!$G95,H$8*Peak!$AM$11,0))</f>
        <v>-</v>
      </c>
      <c r="I94" s="177" t="str">
        <f>IF('Peak Revenue'!$A$1="BL","-",IF(Peak!O95&gt;Peak!$G95,I$8*Peak!$AM$11,0))</f>
        <v>-</v>
      </c>
      <c r="J94" s="177" t="str">
        <f>IF('Peak Revenue'!$A$1="BL","-",IF(Peak!P95&gt;Peak!$G95,J$8*Peak!$AM$11,0))</f>
        <v>-</v>
      </c>
      <c r="K94" s="177" t="str">
        <f>IF('Peak Revenue'!$A$1="BL","-",IF(Peak!Q95&gt;Peak!$G95,K$8*Peak!$AM$11,0))</f>
        <v>-</v>
      </c>
      <c r="L94" s="177" t="str">
        <f>IF('Peak Revenue'!$A$1="BL","-",IF(Peak!R95&gt;Peak!$G95,L$8*Peak!$AM$11,0))</f>
        <v>-</v>
      </c>
      <c r="M94" s="177" t="str">
        <f>IF('Peak Revenue'!$A$1="BL","-",IF(Peak!S95&gt;Peak!$G95,M$8*Peak!$AM$11,0))</f>
        <v>-</v>
      </c>
      <c r="N94" s="177" t="str">
        <f>IF('Peak Revenue'!$A$1="BL","-",IF(Peak!T95&gt;Peak!$G95,N$8*Peak!$AM$11,0))</f>
        <v>-</v>
      </c>
      <c r="O94" s="177" t="str">
        <f>IF('Peak Revenue'!$A$1="BL","-",IF(Peak!U95&gt;Peak!$G95,O$8*Peak!$AM$11,0))</f>
        <v>-</v>
      </c>
      <c r="P94" s="177" t="str">
        <f>IF('Peak Revenue'!$A$1="BL","-",IF(Peak!V95&gt;Peak!$G95,P$8*Peak!$AM$11,0))</f>
        <v>-</v>
      </c>
      <c r="Q94" s="177" t="str">
        <f>IF('Peak Revenue'!$A$1="BL","-",IF(Peak!W95&gt;Peak!$G95,Q$8*Peak!$AM$11,0))</f>
        <v>-</v>
      </c>
      <c r="R94" s="177" t="str">
        <f>IF('Peak Revenue'!$A$1="BL","-",IF(Peak!X95&gt;Peak!$G95,R$8*Peak!$AM$11,0))</f>
        <v>-</v>
      </c>
      <c r="S94" s="177" t="str">
        <f>IF('Peak Revenue'!$A$1="BL","-",IF(Peak!Y95&gt;Peak!$G95,S$8*Peak!$AM$11,0))</f>
        <v>-</v>
      </c>
      <c r="T94" s="177" t="str">
        <f>IF('Peak Revenue'!$A$1="BL","-",IF(Peak!Z95&gt;Peak!$G95,T$8*Peak!$AM$11,0))</f>
        <v>-</v>
      </c>
      <c r="U94" s="177" t="str">
        <f>IF('Peak Revenue'!$A$1="BL","-",IF(Peak!AA95&gt;Peak!$G95,U$8*Peak!$AM$11,0))</f>
        <v>-</v>
      </c>
      <c r="V94" s="178">
        <f t="shared" si="2"/>
        <v>0</v>
      </c>
      <c r="W94" s="165"/>
    </row>
    <row r="95" spans="1:23" x14ac:dyDescent="0.2">
      <c r="A95" s="1">
        <f t="shared" si="3"/>
        <v>39125.445000000109</v>
      </c>
      <c r="B95" s="176" t="str">
        <f>IF('Peak Revenue'!$A$1="BL","-",IF(Peak!H96&gt;Peak!$G96,B$8*Peak!$AM$11,0))</f>
        <v>-</v>
      </c>
      <c r="C95" s="177" t="str">
        <f>IF('Peak Revenue'!$A$1="BL","-",IF(Peak!I96&gt;Peak!$G96,C$8*Peak!$AM$11,0))</f>
        <v>-</v>
      </c>
      <c r="D95" s="177" t="str">
        <f>IF('Peak Revenue'!$A$1="BL","-",IF(Peak!J96&gt;Peak!$G96,D$8*Peak!$AM$11,0))</f>
        <v>-</v>
      </c>
      <c r="E95" s="177" t="str">
        <f>IF('Peak Revenue'!$A$1="BL","-",IF(Peak!K96&gt;Peak!$G96,E$8*Peak!$AM$11,0))</f>
        <v>-</v>
      </c>
      <c r="F95" s="177" t="str">
        <f>IF('Peak Revenue'!$A$1="BL","-",IF(Peak!L96&gt;Peak!$G96,F$8*Peak!$AM$11,0))</f>
        <v>-</v>
      </c>
      <c r="G95" s="177" t="str">
        <f>IF('Peak Revenue'!$A$1="BL","-",IF(Peak!M96&gt;Peak!$G96,G$8*Peak!$AM$11,0))</f>
        <v>-</v>
      </c>
      <c r="H95" s="177" t="str">
        <f>IF('Peak Revenue'!$A$1="BL","-",IF(Peak!N96&gt;Peak!$G96,H$8*Peak!$AM$11,0))</f>
        <v>-</v>
      </c>
      <c r="I95" s="177" t="str">
        <f>IF('Peak Revenue'!$A$1="BL","-",IF(Peak!O96&gt;Peak!$G96,I$8*Peak!$AM$11,0))</f>
        <v>-</v>
      </c>
      <c r="J95" s="177" t="str">
        <f>IF('Peak Revenue'!$A$1="BL","-",IF(Peak!P96&gt;Peak!$G96,J$8*Peak!$AM$11,0))</f>
        <v>-</v>
      </c>
      <c r="K95" s="177" t="str">
        <f>IF('Peak Revenue'!$A$1="BL","-",IF(Peak!Q96&gt;Peak!$G96,K$8*Peak!$AM$11,0))</f>
        <v>-</v>
      </c>
      <c r="L95" s="177" t="str">
        <f>IF('Peak Revenue'!$A$1="BL","-",IF(Peak!R96&gt;Peak!$G96,L$8*Peak!$AM$11,0))</f>
        <v>-</v>
      </c>
      <c r="M95" s="177" t="str">
        <f>IF('Peak Revenue'!$A$1="BL","-",IF(Peak!S96&gt;Peak!$G96,M$8*Peak!$AM$11,0))</f>
        <v>-</v>
      </c>
      <c r="N95" s="177" t="str">
        <f>IF('Peak Revenue'!$A$1="BL","-",IF(Peak!T96&gt;Peak!$G96,N$8*Peak!$AM$11,0))</f>
        <v>-</v>
      </c>
      <c r="O95" s="177" t="str">
        <f>IF('Peak Revenue'!$A$1="BL","-",IF(Peak!U96&gt;Peak!$G96,O$8*Peak!$AM$11,0))</f>
        <v>-</v>
      </c>
      <c r="P95" s="177" t="str">
        <f>IF('Peak Revenue'!$A$1="BL","-",IF(Peak!V96&gt;Peak!$G96,P$8*Peak!$AM$11,0))</f>
        <v>-</v>
      </c>
      <c r="Q95" s="177" t="str">
        <f>IF('Peak Revenue'!$A$1="BL","-",IF(Peak!W96&gt;Peak!$G96,Q$8*Peak!$AM$11,0))</f>
        <v>-</v>
      </c>
      <c r="R95" s="177" t="str">
        <f>IF('Peak Revenue'!$A$1="BL","-",IF(Peak!X96&gt;Peak!$G96,R$8*Peak!$AM$11,0))</f>
        <v>-</v>
      </c>
      <c r="S95" s="177" t="str">
        <f>IF('Peak Revenue'!$A$1="BL","-",IF(Peak!Y96&gt;Peak!$G96,S$8*Peak!$AM$11,0))</f>
        <v>-</v>
      </c>
      <c r="T95" s="177" t="str">
        <f>IF('Peak Revenue'!$A$1="BL","-",IF(Peak!Z96&gt;Peak!$G96,T$8*Peak!$AM$11,0))</f>
        <v>-</v>
      </c>
      <c r="U95" s="177" t="str">
        <f>IF('Peak Revenue'!$A$1="BL","-",IF(Peak!AA96&gt;Peak!$G96,U$8*Peak!$AM$11,0))</f>
        <v>-</v>
      </c>
      <c r="V95" s="178">
        <f t="shared" si="2"/>
        <v>0</v>
      </c>
      <c r="W95" s="165"/>
    </row>
    <row r="96" spans="1:23" x14ac:dyDescent="0.2">
      <c r="A96" s="1">
        <f t="shared" si="3"/>
        <v>39155.86200000011</v>
      </c>
      <c r="B96" s="176" t="str">
        <f>IF('Peak Revenue'!$A$1="BL","-",IF(Peak!H97&gt;Peak!$G97,B$8*Peak!$AM$11,0))</f>
        <v>-</v>
      </c>
      <c r="C96" s="177" t="str">
        <f>IF('Peak Revenue'!$A$1="BL","-",IF(Peak!I97&gt;Peak!$G97,C$8*Peak!$AM$11,0))</f>
        <v>-</v>
      </c>
      <c r="D96" s="177" t="str">
        <f>IF('Peak Revenue'!$A$1="BL","-",IF(Peak!J97&gt;Peak!$G97,D$8*Peak!$AM$11,0))</f>
        <v>-</v>
      </c>
      <c r="E96" s="177" t="str">
        <f>IF('Peak Revenue'!$A$1="BL","-",IF(Peak!K97&gt;Peak!$G97,E$8*Peak!$AM$11,0))</f>
        <v>-</v>
      </c>
      <c r="F96" s="177" t="str">
        <f>IF('Peak Revenue'!$A$1="BL","-",IF(Peak!L97&gt;Peak!$G97,F$8*Peak!$AM$11,0))</f>
        <v>-</v>
      </c>
      <c r="G96" s="177" t="str">
        <f>IF('Peak Revenue'!$A$1="BL","-",IF(Peak!M97&gt;Peak!$G97,G$8*Peak!$AM$11,0))</f>
        <v>-</v>
      </c>
      <c r="H96" s="177" t="str">
        <f>IF('Peak Revenue'!$A$1="BL","-",IF(Peak!N97&gt;Peak!$G97,H$8*Peak!$AM$11,0))</f>
        <v>-</v>
      </c>
      <c r="I96" s="177" t="str">
        <f>IF('Peak Revenue'!$A$1="BL","-",IF(Peak!O97&gt;Peak!$G97,I$8*Peak!$AM$11,0))</f>
        <v>-</v>
      </c>
      <c r="J96" s="177" t="str">
        <f>IF('Peak Revenue'!$A$1="BL","-",IF(Peak!P97&gt;Peak!$G97,J$8*Peak!$AM$11,0))</f>
        <v>-</v>
      </c>
      <c r="K96" s="177" t="str">
        <f>IF('Peak Revenue'!$A$1="BL","-",IF(Peak!Q97&gt;Peak!$G97,K$8*Peak!$AM$11,0))</f>
        <v>-</v>
      </c>
      <c r="L96" s="177" t="str">
        <f>IF('Peak Revenue'!$A$1="BL","-",IF(Peak!R97&gt;Peak!$G97,L$8*Peak!$AM$11,0))</f>
        <v>-</v>
      </c>
      <c r="M96" s="177" t="str">
        <f>IF('Peak Revenue'!$A$1="BL","-",IF(Peak!S97&gt;Peak!$G97,M$8*Peak!$AM$11,0))</f>
        <v>-</v>
      </c>
      <c r="N96" s="177" t="str">
        <f>IF('Peak Revenue'!$A$1="BL","-",IF(Peak!T97&gt;Peak!$G97,N$8*Peak!$AM$11,0))</f>
        <v>-</v>
      </c>
      <c r="O96" s="177" t="str">
        <f>IF('Peak Revenue'!$A$1="BL","-",IF(Peak!U97&gt;Peak!$G97,O$8*Peak!$AM$11,0))</f>
        <v>-</v>
      </c>
      <c r="P96" s="177" t="str">
        <f>IF('Peak Revenue'!$A$1="BL","-",IF(Peak!V97&gt;Peak!$G97,P$8*Peak!$AM$11,0))</f>
        <v>-</v>
      </c>
      <c r="Q96" s="177" t="str">
        <f>IF('Peak Revenue'!$A$1="BL","-",IF(Peak!W97&gt;Peak!$G97,Q$8*Peak!$AM$11,0))</f>
        <v>-</v>
      </c>
      <c r="R96" s="177" t="str">
        <f>IF('Peak Revenue'!$A$1="BL","-",IF(Peak!X97&gt;Peak!$G97,R$8*Peak!$AM$11,0))</f>
        <v>-</v>
      </c>
      <c r="S96" s="177" t="str">
        <f>IF('Peak Revenue'!$A$1="BL","-",IF(Peak!Y97&gt;Peak!$G97,S$8*Peak!$AM$11,0))</f>
        <v>-</v>
      </c>
      <c r="T96" s="177" t="str">
        <f>IF('Peak Revenue'!$A$1="BL","-",IF(Peak!Z97&gt;Peak!$G97,T$8*Peak!$AM$11,0))</f>
        <v>-</v>
      </c>
      <c r="U96" s="177" t="str">
        <f>IF('Peak Revenue'!$A$1="BL","-",IF(Peak!AA97&gt;Peak!$G97,U$8*Peak!$AM$11,0))</f>
        <v>-</v>
      </c>
      <c r="V96" s="178">
        <f t="shared" si="2"/>
        <v>0</v>
      </c>
      <c r="W96" s="165"/>
    </row>
    <row r="97" spans="1:23" x14ac:dyDescent="0.2">
      <c r="A97" s="1">
        <f t="shared" si="3"/>
        <v>39186.279000000111</v>
      </c>
      <c r="B97" s="176" t="str">
        <f>IF('Peak Revenue'!$A$1="BL","-",IF(Peak!H98&gt;Peak!$G98,B$8*Peak!$AM$11,0))</f>
        <v>-</v>
      </c>
      <c r="C97" s="177" t="str">
        <f>IF('Peak Revenue'!$A$1="BL","-",IF(Peak!I98&gt;Peak!$G98,C$8*Peak!$AM$11,0))</f>
        <v>-</v>
      </c>
      <c r="D97" s="177" t="str">
        <f>IF('Peak Revenue'!$A$1="BL","-",IF(Peak!J98&gt;Peak!$G98,D$8*Peak!$AM$11,0))</f>
        <v>-</v>
      </c>
      <c r="E97" s="177" t="str">
        <f>IF('Peak Revenue'!$A$1="BL","-",IF(Peak!K98&gt;Peak!$G98,E$8*Peak!$AM$11,0))</f>
        <v>-</v>
      </c>
      <c r="F97" s="177" t="str">
        <f>IF('Peak Revenue'!$A$1="BL","-",IF(Peak!L98&gt;Peak!$G98,F$8*Peak!$AM$11,0))</f>
        <v>-</v>
      </c>
      <c r="G97" s="177" t="str">
        <f>IF('Peak Revenue'!$A$1="BL","-",IF(Peak!M98&gt;Peak!$G98,G$8*Peak!$AM$11,0))</f>
        <v>-</v>
      </c>
      <c r="H97" s="177" t="str">
        <f>IF('Peak Revenue'!$A$1="BL","-",IF(Peak!N98&gt;Peak!$G98,H$8*Peak!$AM$11,0))</f>
        <v>-</v>
      </c>
      <c r="I97" s="177" t="str">
        <f>IF('Peak Revenue'!$A$1="BL","-",IF(Peak!O98&gt;Peak!$G98,I$8*Peak!$AM$11,0))</f>
        <v>-</v>
      </c>
      <c r="J97" s="177" t="str">
        <f>IF('Peak Revenue'!$A$1="BL","-",IF(Peak!P98&gt;Peak!$G98,J$8*Peak!$AM$11,0))</f>
        <v>-</v>
      </c>
      <c r="K97" s="177" t="str">
        <f>IF('Peak Revenue'!$A$1="BL","-",IF(Peak!Q98&gt;Peak!$G98,K$8*Peak!$AM$11,0))</f>
        <v>-</v>
      </c>
      <c r="L97" s="177" t="str">
        <f>IF('Peak Revenue'!$A$1="BL","-",IF(Peak!R98&gt;Peak!$G98,L$8*Peak!$AM$11,0))</f>
        <v>-</v>
      </c>
      <c r="M97" s="177" t="str">
        <f>IF('Peak Revenue'!$A$1="BL","-",IF(Peak!S98&gt;Peak!$G98,M$8*Peak!$AM$11,0))</f>
        <v>-</v>
      </c>
      <c r="N97" s="177" t="str">
        <f>IF('Peak Revenue'!$A$1="BL","-",IF(Peak!T98&gt;Peak!$G98,N$8*Peak!$AM$11,0))</f>
        <v>-</v>
      </c>
      <c r="O97" s="177" t="str">
        <f>IF('Peak Revenue'!$A$1="BL","-",IF(Peak!U98&gt;Peak!$G98,O$8*Peak!$AM$11,0))</f>
        <v>-</v>
      </c>
      <c r="P97" s="177" t="str">
        <f>IF('Peak Revenue'!$A$1="BL","-",IF(Peak!V98&gt;Peak!$G98,P$8*Peak!$AM$11,0))</f>
        <v>-</v>
      </c>
      <c r="Q97" s="177" t="str">
        <f>IF('Peak Revenue'!$A$1="BL","-",IF(Peak!W98&gt;Peak!$G98,Q$8*Peak!$AM$11,0))</f>
        <v>-</v>
      </c>
      <c r="R97" s="177" t="str">
        <f>IF('Peak Revenue'!$A$1="BL","-",IF(Peak!X98&gt;Peak!$G98,R$8*Peak!$AM$11,0))</f>
        <v>-</v>
      </c>
      <c r="S97" s="177" t="str">
        <f>IF('Peak Revenue'!$A$1="BL","-",IF(Peak!Y98&gt;Peak!$G98,S$8*Peak!$AM$11,0))</f>
        <v>-</v>
      </c>
      <c r="T97" s="177" t="str">
        <f>IF('Peak Revenue'!$A$1="BL","-",IF(Peak!Z98&gt;Peak!$G98,T$8*Peak!$AM$11,0))</f>
        <v>-</v>
      </c>
      <c r="U97" s="177" t="str">
        <f>IF('Peak Revenue'!$A$1="BL","-",IF(Peak!AA98&gt;Peak!$G98,U$8*Peak!$AM$11,0))</f>
        <v>-</v>
      </c>
      <c r="V97" s="178">
        <f t="shared" si="2"/>
        <v>0</v>
      </c>
      <c r="W97" s="165"/>
    </row>
    <row r="98" spans="1:23" x14ac:dyDescent="0.2">
      <c r="A98" s="1">
        <f t="shared" si="3"/>
        <v>39216.696000000113</v>
      </c>
      <c r="B98" s="176" t="str">
        <f>IF('Peak Revenue'!$A$1="BL","-",IF(Peak!H99&gt;Peak!$G99,B$8*Peak!$AM$11,0))</f>
        <v>-</v>
      </c>
      <c r="C98" s="177" t="str">
        <f>IF('Peak Revenue'!$A$1="BL","-",IF(Peak!I99&gt;Peak!$G99,C$8*Peak!$AM$11,0))</f>
        <v>-</v>
      </c>
      <c r="D98" s="177" t="str">
        <f>IF('Peak Revenue'!$A$1="BL","-",IF(Peak!J99&gt;Peak!$G99,D$8*Peak!$AM$11,0))</f>
        <v>-</v>
      </c>
      <c r="E98" s="177" t="str">
        <f>IF('Peak Revenue'!$A$1="BL","-",IF(Peak!K99&gt;Peak!$G99,E$8*Peak!$AM$11,0))</f>
        <v>-</v>
      </c>
      <c r="F98" s="177" t="str">
        <f>IF('Peak Revenue'!$A$1="BL","-",IF(Peak!L99&gt;Peak!$G99,F$8*Peak!$AM$11,0))</f>
        <v>-</v>
      </c>
      <c r="G98" s="177" t="str">
        <f>IF('Peak Revenue'!$A$1="BL","-",IF(Peak!M99&gt;Peak!$G99,G$8*Peak!$AM$11,0))</f>
        <v>-</v>
      </c>
      <c r="H98" s="177" t="str">
        <f>IF('Peak Revenue'!$A$1="BL","-",IF(Peak!N99&gt;Peak!$G99,H$8*Peak!$AM$11,0))</f>
        <v>-</v>
      </c>
      <c r="I98" s="177" t="str">
        <f>IF('Peak Revenue'!$A$1="BL","-",IF(Peak!O99&gt;Peak!$G99,I$8*Peak!$AM$11,0))</f>
        <v>-</v>
      </c>
      <c r="J98" s="177" t="str">
        <f>IF('Peak Revenue'!$A$1="BL","-",IF(Peak!P99&gt;Peak!$G99,J$8*Peak!$AM$11,0))</f>
        <v>-</v>
      </c>
      <c r="K98" s="177" t="str">
        <f>IF('Peak Revenue'!$A$1="BL","-",IF(Peak!Q99&gt;Peak!$G99,K$8*Peak!$AM$11,0))</f>
        <v>-</v>
      </c>
      <c r="L98" s="177" t="str">
        <f>IF('Peak Revenue'!$A$1="BL","-",IF(Peak!R99&gt;Peak!$G99,L$8*Peak!$AM$11,0))</f>
        <v>-</v>
      </c>
      <c r="M98" s="177" t="str">
        <f>IF('Peak Revenue'!$A$1="BL","-",IF(Peak!S99&gt;Peak!$G99,M$8*Peak!$AM$11,0))</f>
        <v>-</v>
      </c>
      <c r="N98" s="177" t="str">
        <f>IF('Peak Revenue'!$A$1="BL","-",IF(Peak!T99&gt;Peak!$G99,N$8*Peak!$AM$11,0))</f>
        <v>-</v>
      </c>
      <c r="O98" s="177" t="str">
        <f>IF('Peak Revenue'!$A$1="BL","-",IF(Peak!U99&gt;Peak!$G99,O$8*Peak!$AM$11,0))</f>
        <v>-</v>
      </c>
      <c r="P98" s="177" t="str">
        <f>IF('Peak Revenue'!$A$1="BL","-",IF(Peak!V99&gt;Peak!$G99,P$8*Peak!$AM$11,0))</f>
        <v>-</v>
      </c>
      <c r="Q98" s="177" t="str">
        <f>IF('Peak Revenue'!$A$1="BL","-",IF(Peak!W99&gt;Peak!$G99,Q$8*Peak!$AM$11,0))</f>
        <v>-</v>
      </c>
      <c r="R98" s="177" t="str">
        <f>IF('Peak Revenue'!$A$1="BL","-",IF(Peak!X99&gt;Peak!$G99,R$8*Peak!$AM$11,0))</f>
        <v>-</v>
      </c>
      <c r="S98" s="177" t="str">
        <f>IF('Peak Revenue'!$A$1="BL","-",IF(Peak!Y99&gt;Peak!$G99,S$8*Peak!$AM$11,0))</f>
        <v>-</v>
      </c>
      <c r="T98" s="177" t="str">
        <f>IF('Peak Revenue'!$A$1="BL","-",IF(Peak!Z99&gt;Peak!$G99,T$8*Peak!$AM$11,0))</f>
        <v>-</v>
      </c>
      <c r="U98" s="177" t="str">
        <f>IF('Peak Revenue'!$A$1="BL","-",IF(Peak!AA99&gt;Peak!$G99,U$8*Peak!$AM$11,0))</f>
        <v>-</v>
      </c>
      <c r="V98" s="178">
        <f t="shared" si="2"/>
        <v>0</v>
      </c>
      <c r="W98" s="165"/>
    </row>
    <row r="99" spans="1:23" x14ac:dyDescent="0.2">
      <c r="A99" s="1">
        <f t="shared" si="3"/>
        <v>39247.113000000114</v>
      </c>
      <c r="B99" s="176" t="str">
        <f>IF('Peak Revenue'!$A$1="BL","-",IF(Peak!H100&gt;Peak!$G100,B$8*Peak!$AM$11,0))</f>
        <v>-</v>
      </c>
      <c r="C99" s="177" t="str">
        <f>IF('Peak Revenue'!$A$1="BL","-",IF(Peak!I100&gt;Peak!$G100,C$8*Peak!$AM$11,0))</f>
        <v>-</v>
      </c>
      <c r="D99" s="177" t="str">
        <f>IF('Peak Revenue'!$A$1="BL","-",IF(Peak!J100&gt;Peak!$G100,D$8*Peak!$AM$11,0))</f>
        <v>-</v>
      </c>
      <c r="E99" s="177" t="str">
        <f>IF('Peak Revenue'!$A$1="BL","-",IF(Peak!K100&gt;Peak!$G100,E$8*Peak!$AM$11,0))</f>
        <v>-</v>
      </c>
      <c r="F99" s="177" t="str">
        <f>IF('Peak Revenue'!$A$1="BL","-",IF(Peak!L100&gt;Peak!$G100,F$8*Peak!$AM$11,0))</f>
        <v>-</v>
      </c>
      <c r="G99" s="177" t="str">
        <f>IF('Peak Revenue'!$A$1="BL","-",IF(Peak!M100&gt;Peak!$G100,G$8*Peak!$AM$11,0))</f>
        <v>-</v>
      </c>
      <c r="H99" s="177" t="str">
        <f>IF('Peak Revenue'!$A$1="BL","-",IF(Peak!N100&gt;Peak!$G100,H$8*Peak!$AM$11,0))</f>
        <v>-</v>
      </c>
      <c r="I99" s="177" t="str">
        <f>IF('Peak Revenue'!$A$1="BL","-",IF(Peak!O100&gt;Peak!$G100,I$8*Peak!$AM$11,0))</f>
        <v>-</v>
      </c>
      <c r="J99" s="177" t="str">
        <f>IF('Peak Revenue'!$A$1="BL","-",IF(Peak!P100&gt;Peak!$G100,J$8*Peak!$AM$11,0))</f>
        <v>-</v>
      </c>
      <c r="K99" s="177" t="str">
        <f>IF('Peak Revenue'!$A$1="BL","-",IF(Peak!Q100&gt;Peak!$G100,K$8*Peak!$AM$11,0))</f>
        <v>-</v>
      </c>
      <c r="L99" s="177" t="str">
        <f>IF('Peak Revenue'!$A$1="BL","-",IF(Peak!R100&gt;Peak!$G100,L$8*Peak!$AM$11,0))</f>
        <v>-</v>
      </c>
      <c r="M99" s="177" t="str">
        <f>IF('Peak Revenue'!$A$1="BL","-",IF(Peak!S100&gt;Peak!$G100,M$8*Peak!$AM$11,0))</f>
        <v>-</v>
      </c>
      <c r="N99" s="177" t="str">
        <f>IF('Peak Revenue'!$A$1="BL","-",IF(Peak!T100&gt;Peak!$G100,N$8*Peak!$AM$11,0))</f>
        <v>-</v>
      </c>
      <c r="O99" s="177" t="str">
        <f>IF('Peak Revenue'!$A$1="BL","-",IF(Peak!U100&gt;Peak!$G100,O$8*Peak!$AM$11,0))</f>
        <v>-</v>
      </c>
      <c r="P99" s="177" t="str">
        <f>IF('Peak Revenue'!$A$1="BL","-",IF(Peak!V100&gt;Peak!$G100,P$8*Peak!$AM$11,0))</f>
        <v>-</v>
      </c>
      <c r="Q99" s="177" t="str">
        <f>IF('Peak Revenue'!$A$1="BL","-",IF(Peak!W100&gt;Peak!$G100,Q$8*Peak!$AM$11,0))</f>
        <v>-</v>
      </c>
      <c r="R99" s="177" t="str">
        <f>IF('Peak Revenue'!$A$1="BL","-",IF(Peak!X100&gt;Peak!$G100,R$8*Peak!$AM$11,0))</f>
        <v>-</v>
      </c>
      <c r="S99" s="177" t="str">
        <f>IF('Peak Revenue'!$A$1="BL","-",IF(Peak!Y100&gt;Peak!$G100,S$8*Peak!$AM$11,0))</f>
        <v>-</v>
      </c>
      <c r="T99" s="177" t="str">
        <f>IF('Peak Revenue'!$A$1="BL","-",IF(Peak!Z100&gt;Peak!$G100,T$8*Peak!$AM$11,0))</f>
        <v>-</v>
      </c>
      <c r="U99" s="177" t="str">
        <f>IF('Peak Revenue'!$A$1="BL","-",IF(Peak!AA100&gt;Peak!$G100,U$8*Peak!$AM$11,0))</f>
        <v>-</v>
      </c>
      <c r="V99" s="178">
        <f t="shared" si="2"/>
        <v>0</v>
      </c>
      <c r="W99" s="165"/>
    </row>
    <row r="100" spans="1:23" x14ac:dyDescent="0.2">
      <c r="A100" s="1">
        <f t="shared" si="3"/>
        <v>39277.530000000115</v>
      </c>
      <c r="B100" s="176" t="str">
        <f>IF('Peak Revenue'!$A$1="BL","-",IF(Peak!H101&gt;Peak!$G101,B$8*Peak!$AM$11,0))</f>
        <v>-</v>
      </c>
      <c r="C100" s="177" t="str">
        <f>IF('Peak Revenue'!$A$1="BL","-",IF(Peak!I101&gt;Peak!$G101,C$8*Peak!$AM$11,0))</f>
        <v>-</v>
      </c>
      <c r="D100" s="177" t="str">
        <f>IF('Peak Revenue'!$A$1="BL","-",IF(Peak!J101&gt;Peak!$G101,D$8*Peak!$AM$11,0))</f>
        <v>-</v>
      </c>
      <c r="E100" s="177" t="str">
        <f>IF('Peak Revenue'!$A$1="BL","-",IF(Peak!K101&gt;Peak!$G101,E$8*Peak!$AM$11,0))</f>
        <v>-</v>
      </c>
      <c r="F100" s="177" t="str">
        <f>IF('Peak Revenue'!$A$1="BL","-",IF(Peak!L101&gt;Peak!$G101,F$8*Peak!$AM$11,0))</f>
        <v>-</v>
      </c>
      <c r="G100" s="177" t="str">
        <f>IF('Peak Revenue'!$A$1="BL","-",IF(Peak!M101&gt;Peak!$G101,G$8*Peak!$AM$11,0))</f>
        <v>-</v>
      </c>
      <c r="H100" s="177" t="str">
        <f>IF('Peak Revenue'!$A$1="BL","-",IF(Peak!N101&gt;Peak!$G101,H$8*Peak!$AM$11,0))</f>
        <v>-</v>
      </c>
      <c r="I100" s="177" t="str">
        <f>IF('Peak Revenue'!$A$1="BL","-",IF(Peak!O101&gt;Peak!$G101,I$8*Peak!$AM$11,0))</f>
        <v>-</v>
      </c>
      <c r="J100" s="177" t="str">
        <f>IF('Peak Revenue'!$A$1="BL","-",IF(Peak!P101&gt;Peak!$G101,J$8*Peak!$AM$11,0))</f>
        <v>-</v>
      </c>
      <c r="K100" s="177" t="str">
        <f>IF('Peak Revenue'!$A$1="BL","-",IF(Peak!Q101&gt;Peak!$G101,K$8*Peak!$AM$11,0))</f>
        <v>-</v>
      </c>
      <c r="L100" s="177" t="str">
        <f>IF('Peak Revenue'!$A$1="BL","-",IF(Peak!R101&gt;Peak!$G101,L$8*Peak!$AM$11,0))</f>
        <v>-</v>
      </c>
      <c r="M100" s="177" t="str">
        <f>IF('Peak Revenue'!$A$1="BL","-",IF(Peak!S101&gt;Peak!$G101,M$8*Peak!$AM$11,0))</f>
        <v>-</v>
      </c>
      <c r="N100" s="177" t="str">
        <f>IF('Peak Revenue'!$A$1="BL","-",IF(Peak!T101&gt;Peak!$G101,N$8*Peak!$AM$11,0))</f>
        <v>-</v>
      </c>
      <c r="O100" s="177" t="str">
        <f>IF('Peak Revenue'!$A$1="BL","-",IF(Peak!U101&gt;Peak!$G101,O$8*Peak!$AM$11,0))</f>
        <v>-</v>
      </c>
      <c r="P100" s="177" t="str">
        <f>IF('Peak Revenue'!$A$1="BL","-",IF(Peak!V101&gt;Peak!$G101,P$8*Peak!$AM$11,0))</f>
        <v>-</v>
      </c>
      <c r="Q100" s="177" t="str">
        <f>IF('Peak Revenue'!$A$1="BL","-",IF(Peak!W101&gt;Peak!$G101,Q$8*Peak!$AM$11,0))</f>
        <v>-</v>
      </c>
      <c r="R100" s="177" t="str">
        <f>IF('Peak Revenue'!$A$1="BL","-",IF(Peak!X101&gt;Peak!$G101,R$8*Peak!$AM$11,0))</f>
        <v>-</v>
      </c>
      <c r="S100" s="177" t="str">
        <f>IF('Peak Revenue'!$A$1="BL","-",IF(Peak!Y101&gt;Peak!$G101,S$8*Peak!$AM$11,0))</f>
        <v>-</v>
      </c>
      <c r="T100" s="177" t="str">
        <f>IF('Peak Revenue'!$A$1="BL","-",IF(Peak!Z101&gt;Peak!$G101,T$8*Peak!$AM$11,0))</f>
        <v>-</v>
      </c>
      <c r="U100" s="177" t="str">
        <f>IF('Peak Revenue'!$A$1="BL","-",IF(Peak!AA101&gt;Peak!$G101,U$8*Peak!$AM$11,0))</f>
        <v>-</v>
      </c>
      <c r="V100" s="178">
        <f t="shared" si="2"/>
        <v>0</v>
      </c>
      <c r="W100" s="165"/>
    </row>
    <row r="101" spans="1:23" x14ac:dyDescent="0.2">
      <c r="A101" s="1">
        <f t="shared" si="3"/>
        <v>39307.947000000117</v>
      </c>
      <c r="B101" s="176" t="str">
        <f>IF('Peak Revenue'!$A$1="BL","-",IF(Peak!H102&gt;Peak!$G102,B$8*Peak!$AM$11,0))</f>
        <v>-</v>
      </c>
      <c r="C101" s="177" t="str">
        <f>IF('Peak Revenue'!$A$1="BL","-",IF(Peak!I102&gt;Peak!$G102,C$8*Peak!$AM$11,0))</f>
        <v>-</v>
      </c>
      <c r="D101" s="177" t="str">
        <f>IF('Peak Revenue'!$A$1="BL","-",IF(Peak!J102&gt;Peak!$G102,D$8*Peak!$AM$11,0))</f>
        <v>-</v>
      </c>
      <c r="E101" s="177" t="str">
        <f>IF('Peak Revenue'!$A$1="BL","-",IF(Peak!K102&gt;Peak!$G102,E$8*Peak!$AM$11,0))</f>
        <v>-</v>
      </c>
      <c r="F101" s="177" t="str">
        <f>IF('Peak Revenue'!$A$1="BL","-",IF(Peak!L102&gt;Peak!$G102,F$8*Peak!$AM$11,0))</f>
        <v>-</v>
      </c>
      <c r="G101" s="177" t="str">
        <f>IF('Peak Revenue'!$A$1="BL","-",IF(Peak!M102&gt;Peak!$G102,G$8*Peak!$AM$11,0))</f>
        <v>-</v>
      </c>
      <c r="H101" s="177" t="str">
        <f>IF('Peak Revenue'!$A$1="BL","-",IF(Peak!N102&gt;Peak!$G102,H$8*Peak!$AM$11,0))</f>
        <v>-</v>
      </c>
      <c r="I101" s="177" t="str">
        <f>IF('Peak Revenue'!$A$1="BL","-",IF(Peak!O102&gt;Peak!$G102,I$8*Peak!$AM$11,0))</f>
        <v>-</v>
      </c>
      <c r="J101" s="177" t="str">
        <f>IF('Peak Revenue'!$A$1="BL","-",IF(Peak!P102&gt;Peak!$G102,J$8*Peak!$AM$11,0))</f>
        <v>-</v>
      </c>
      <c r="K101" s="177" t="str">
        <f>IF('Peak Revenue'!$A$1="BL","-",IF(Peak!Q102&gt;Peak!$G102,K$8*Peak!$AM$11,0))</f>
        <v>-</v>
      </c>
      <c r="L101" s="177" t="str">
        <f>IF('Peak Revenue'!$A$1="BL","-",IF(Peak!R102&gt;Peak!$G102,L$8*Peak!$AM$11,0))</f>
        <v>-</v>
      </c>
      <c r="M101" s="177" t="str">
        <f>IF('Peak Revenue'!$A$1="BL","-",IF(Peak!S102&gt;Peak!$G102,M$8*Peak!$AM$11,0))</f>
        <v>-</v>
      </c>
      <c r="N101" s="177" t="str">
        <f>IF('Peak Revenue'!$A$1="BL","-",IF(Peak!T102&gt;Peak!$G102,N$8*Peak!$AM$11,0))</f>
        <v>-</v>
      </c>
      <c r="O101" s="177" t="str">
        <f>IF('Peak Revenue'!$A$1="BL","-",IF(Peak!U102&gt;Peak!$G102,O$8*Peak!$AM$11,0))</f>
        <v>-</v>
      </c>
      <c r="P101" s="177" t="str">
        <f>IF('Peak Revenue'!$A$1="BL","-",IF(Peak!V102&gt;Peak!$G102,P$8*Peak!$AM$11,0))</f>
        <v>-</v>
      </c>
      <c r="Q101" s="177" t="str">
        <f>IF('Peak Revenue'!$A$1="BL","-",IF(Peak!W102&gt;Peak!$G102,Q$8*Peak!$AM$11,0))</f>
        <v>-</v>
      </c>
      <c r="R101" s="177" t="str">
        <f>IF('Peak Revenue'!$A$1="BL","-",IF(Peak!X102&gt;Peak!$G102,R$8*Peak!$AM$11,0))</f>
        <v>-</v>
      </c>
      <c r="S101" s="177" t="str">
        <f>IF('Peak Revenue'!$A$1="BL","-",IF(Peak!Y102&gt;Peak!$G102,S$8*Peak!$AM$11,0))</f>
        <v>-</v>
      </c>
      <c r="T101" s="177" t="str">
        <f>IF('Peak Revenue'!$A$1="BL","-",IF(Peak!Z102&gt;Peak!$G102,T$8*Peak!$AM$11,0))</f>
        <v>-</v>
      </c>
      <c r="U101" s="177" t="str">
        <f>IF('Peak Revenue'!$A$1="BL","-",IF(Peak!AA102&gt;Peak!$G102,U$8*Peak!$AM$11,0))</f>
        <v>-</v>
      </c>
      <c r="V101" s="178">
        <f t="shared" si="2"/>
        <v>0</v>
      </c>
      <c r="W101" s="165"/>
    </row>
    <row r="102" spans="1:23" x14ac:dyDescent="0.2">
      <c r="A102" s="1">
        <f t="shared" si="3"/>
        <v>39338.364000000118</v>
      </c>
      <c r="B102" s="176" t="str">
        <f>IF('Peak Revenue'!$A$1="BL","-",IF(Peak!H103&gt;Peak!$G103,B$8*Peak!$AM$11,0))</f>
        <v>-</v>
      </c>
      <c r="C102" s="177" t="str">
        <f>IF('Peak Revenue'!$A$1="BL","-",IF(Peak!I103&gt;Peak!$G103,C$8*Peak!$AM$11,0))</f>
        <v>-</v>
      </c>
      <c r="D102" s="177" t="str">
        <f>IF('Peak Revenue'!$A$1="BL","-",IF(Peak!J103&gt;Peak!$G103,D$8*Peak!$AM$11,0))</f>
        <v>-</v>
      </c>
      <c r="E102" s="177" t="str">
        <f>IF('Peak Revenue'!$A$1="BL","-",IF(Peak!K103&gt;Peak!$G103,E$8*Peak!$AM$11,0))</f>
        <v>-</v>
      </c>
      <c r="F102" s="177" t="str">
        <f>IF('Peak Revenue'!$A$1="BL","-",IF(Peak!L103&gt;Peak!$G103,F$8*Peak!$AM$11,0))</f>
        <v>-</v>
      </c>
      <c r="G102" s="177" t="str">
        <f>IF('Peak Revenue'!$A$1="BL","-",IF(Peak!M103&gt;Peak!$G103,G$8*Peak!$AM$11,0))</f>
        <v>-</v>
      </c>
      <c r="H102" s="177" t="str">
        <f>IF('Peak Revenue'!$A$1="BL","-",IF(Peak!N103&gt;Peak!$G103,H$8*Peak!$AM$11,0))</f>
        <v>-</v>
      </c>
      <c r="I102" s="177" t="str">
        <f>IF('Peak Revenue'!$A$1="BL","-",IF(Peak!O103&gt;Peak!$G103,I$8*Peak!$AM$11,0))</f>
        <v>-</v>
      </c>
      <c r="J102" s="177" t="str">
        <f>IF('Peak Revenue'!$A$1="BL","-",IF(Peak!P103&gt;Peak!$G103,J$8*Peak!$AM$11,0))</f>
        <v>-</v>
      </c>
      <c r="K102" s="177" t="str">
        <f>IF('Peak Revenue'!$A$1="BL","-",IF(Peak!Q103&gt;Peak!$G103,K$8*Peak!$AM$11,0))</f>
        <v>-</v>
      </c>
      <c r="L102" s="177" t="str">
        <f>IF('Peak Revenue'!$A$1="BL","-",IF(Peak!R103&gt;Peak!$G103,L$8*Peak!$AM$11,0))</f>
        <v>-</v>
      </c>
      <c r="M102" s="177" t="str">
        <f>IF('Peak Revenue'!$A$1="BL","-",IF(Peak!S103&gt;Peak!$G103,M$8*Peak!$AM$11,0))</f>
        <v>-</v>
      </c>
      <c r="N102" s="177" t="str">
        <f>IF('Peak Revenue'!$A$1="BL","-",IF(Peak!T103&gt;Peak!$G103,N$8*Peak!$AM$11,0))</f>
        <v>-</v>
      </c>
      <c r="O102" s="177" t="str">
        <f>IF('Peak Revenue'!$A$1="BL","-",IF(Peak!U103&gt;Peak!$G103,O$8*Peak!$AM$11,0))</f>
        <v>-</v>
      </c>
      <c r="P102" s="177" t="str">
        <f>IF('Peak Revenue'!$A$1="BL","-",IF(Peak!V103&gt;Peak!$G103,P$8*Peak!$AM$11,0))</f>
        <v>-</v>
      </c>
      <c r="Q102" s="177" t="str">
        <f>IF('Peak Revenue'!$A$1="BL","-",IF(Peak!W103&gt;Peak!$G103,Q$8*Peak!$AM$11,0))</f>
        <v>-</v>
      </c>
      <c r="R102" s="177" t="str">
        <f>IF('Peak Revenue'!$A$1="BL","-",IF(Peak!X103&gt;Peak!$G103,R$8*Peak!$AM$11,0))</f>
        <v>-</v>
      </c>
      <c r="S102" s="177" t="str">
        <f>IF('Peak Revenue'!$A$1="BL","-",IF(Peak!Y103&gt;Peak!$G103,S$8*Peak!$AM$11,0))</f>
        <v>-</v>
      </c>
      <c r="T102" s="177" t="str">
        <f>IF('Peak Revenue'!$A$1="BL","-",IF(Peak!Z103&gt;Peak!$G103,T$8*Peak!$AM$11,0))</f>
        <v>-</v>
      </c>
      <c r="U102" s="177" t="str">
        <f>IF('Peak Revenue'!$A$1="BL","-",IF(Peak!AA103&gt;Peak!$G103,U$8*Peak!$AM$11,0))</f>
        <v>-</v>
      </c>
      <c r="V102" s="178">
        <f t="shared" si="2"/>
        <v>0</v>
      </c>
      <c r="W102" s="165"/>
    </row>
    <row r="103" spans="1:23" x14ac:dyDescent="0.2">
      <c r="A103" s="1">
        <f t="shared" si="3"/>
        <v>39368.781000000119</v>
      </c>
      <c r="B103" s="176" t="str">
        <f>IF('Peak Revenue'!$A$1="BL","-",IF(Peak!H104&gt;Peak!$G104,B$8*Peak!$AM$11,0))</f>
        <v>-</v>
      </c>
      <c r="C103" s="177" t="str">
        <f>IF('Peak Revenue'!$A$1="BL","-",IF(Peak!I104&gt;Peak!$G104,C$8*Peak!$AM$11,0))</f>
        <v>-</v>
      </c>
      <c r="D103" s="177" t="str">
        <f>IF('Peak Revenue'!$A$1="BL","-",IF(Peak!J104&gt;Peak!$G104,D$8*Peak!$AM$11,0))</f>
        <v>-</v>
      </c>
      <c r="E103" s="177" t="str">
        <f>IF('Peak Revenue'!$A$1="BL","-",IF(Peak!K104&gt;Peak!$G104,E$8*Peak!$AM$11,0))</f>
        <v>-</v>
      </c>
      <c r="F103" s="177" t="str">
        <f>IF('Peak Revenue'!$A$1="BL","-",IF(Peak!L104&gt;Peak!$G104,F$8*Peak!$AM$11,0))</f>
        <v>-</v>
      </c>
      <c r="G103" s="177" t="str">
        <f>IF('Peak Revenue'!$A$1="BL","-",IF(Peak!M104&gt;Peak!$G104,G$8*Peak!$AM$11,0))</f>
        <v>-</v>
      </c>
      <c r="H103" s="177" t="str">
        <f>IF('Peak Revenue'!$A$1="BL","-",IF(Peak!N104&gt;Peak!$G104,H$8*Peak!$AM$11,0))</f>
        <v>-</v>
      </c>
      <c r="I103" s="177" t="str">
        <f>IF('Peak Revenue'!$A$1="BL","-",IF(Peak!O104&gt;Peak!$G104,I$8*Peak!$AM$11,0))</f>
        <v>-</v>
      </c>
      <c r="J103" s="177" t="str">
        <f>IF('Peak Revenue'!$A$1="BL","-",IF(Peak!P104&gt;Peak!$G104,J$8*Peak!$AM$11,0))</f>
        <v>-</v>
      </c>
      <c r="K103" s="177" t="str">
        <f>IF('Peak Revenue'!$A$1="BL","-",IF(Peak!Q104&gt;Peak!$G104,K$8*Peak!$AM$11,0))</f>
        <v>-</v>
      </c>
      <c r="L103" s="177" t="str">
        <f>IF('Peak Revenue'!$A$1="BL","-",IF(Peak!R104&gt;Peak!$G104,L$8*Peak!$AM$11,0))</f>
        <v>-</v>
      </c>
      <c r="M103" s="177" t="str">
        <f>IF('Peak Revenue'!$A$1="BL","-",IF(Peak!S104&gt;Peak!$G104,M$8*Peak!$AM$11,0))</f>
        <v>-</v>
      </c>
      <c r="N103" s="177" t="str">
        <f>IF('Peak Revenue'!$A$1="BL","-",IF(Peak!T104&gt;Peak!$G104,N$8*Peak!$AM$11,0))</f>
        <v>-</v>
      </c>
      <c r="O103" s="177" t="str">
        <f>IF('Peak Revenue'!$A$1="BL","-",IF(Peak!U104&gt;Peak!$G104,O$8*Peak!$AM$11,0))</f>
        <v>-</v>
      </c>
      <c r="P103" s="177" t="str">
        <f>IF('Peak Revenue'!$A$1="BL","-",IF(Peak!V104&gt;Peak!$G104,P$8*Peak!$AM$11,0))</f>
        <v>-</v>
      </c>
      <c r="Q103" s="177" t="str">
        <f>IF('Peak Revenue'!$A$1="BL","-",IF(Peak!W104&gt;Peak!$G104,Q$8*Peak!$AM$11,0))</f>
        <v>-</v>
      </c>
      <c r="R103" s="177" t="str">
        <f>IF('Peak Revenue'!$A$1="BL","-",IF(Peak!X104&gt;Peak!$G104,R$8*Peak!$AM$11,0))</f>
        <v>-</v>
      </c>
      <c r="S103" s="177" t="str">
        <f>IF('Peak Revenue'!$A$1="BL","-",IF(Peak!Y104&gt;Peak!$G104,S$8*Peak!$AM$11,0))</f>
        <v>-</v>
      </c>
      <c r="T103" s="177" t="str">
        <f>IF('Peak Revenue'!$A$1="BL","-",IF(Peak!Z104&gt;Peak!$G104,T$8*Peak!$AM$11,0))</f>
        <v>-</v>
      </c>
      <c r="U103" s="177" t="str">
        <f>IF('Peak Revenue'!$A$1="BL","-",IF(Peak!AA104&gt;Peak!$G104,U$8*Peak!$AM$11,0))</f>
        <v>-</v>
      </c>
      <c r="V103" s="178">
        <f t="shared" si="2"/>
        <v>0</v>
      </c>
      <c r="W103" s="165"/>
    </row>
    <row r="104" spans="1:23" x14ac:dyDescent="0.2">
      <c r="A104" s="1">
        <f t="shared" si="3"/>
        <v>39399.19800000012</v>
      </c>
      <c r="B104" s="176" t="str">
        <f>IF('Peak Revenue'!$A$1="BL","-",IF(Peak!H105&gt;Peak!$G105,B$8*Peak!$AM$11,0))</f>
        <v>-</v>
      </c>
      <c r="C104" s="177" t="str">
        <f>IF('Peak Revenue'!$A$1="BL","-",IF(Peak!I105&gt;Peak!$G105,C$8*Peak!$AM$11,0))</f>
        <v>-</v>
      </c>
      <c r="D104" s="177" t="str">
        <f>IF('Peak Revenue'!$A$1="BL","-",IF(Peak!J105&gt;Peak!$G105,D$8*Peak!$AM$11,0))</f>
        <v>-</v>
      </c>
      <c r="E104" s="177" t="str">
        <f>IF('Peak Revenue'!$A$1="BL","-",IF(Peak!K105&gt;Peak!$G105,E$8*Peak!$AM$11,0))</f>
        <v>-</v>
      </c>
      <c r="F104" s="177" t="str">
        <f>IF('Peak Revenue'!$A$1="BL","-",IF(Peak!L105&gt;Peak!$G105,F$8*Peak!$AM$11,0))</f>
        <v>-</v>
      </c>
      <c r="G104" s="177" t="str">
        <f>IF('Peak Revenue'!$A$1="BL","-",IF(Peak!M105&gt;Peak!$G105,G$8*Peak!$AM$11,0))</f>
        <v>-</v>
      </c>
      <c r="H104" s="177" t="str">
        <f>IF('Peak Revenue'!$A$1="BL","-",IF(Peak!N105&gt;Peak!$G105,H$8*Peak!$AM$11,0))</f>
        <v>-</v>
      </c>
      <c r="I104" s="177" t="str">
        <f>IF('Peak Revenue'!$A$1="BL","-",IF(Peak!O105&gt;Peak!$G105,I$8*Peak!$AM$11,0))</f>
        <v>-</v>
      </c>
      <c r="J104" s="177" t="str">
        <f>IF('Peak Revenue'!$A$1="BL","-",IF(Peak!P105&gt;Peak!$G105,J$8*Peak!$AM$11,0))</f>
        <v>-</v>
      </c>
      <c r="K104" s="177" t="str">
        <f>IF('Peak Revenue'!$A$1="BL","-",IF(Peak!Q105&gt;Peak!$G105,K$8*Peak!$AM$11,0))</f>
        <v>-</v>
      </c>
      <c r="L104" s="177" t="str">
        <f>IF('Peak Revenue'!$A$1="BL","-",IF(Peak!R105&gt;Peak!$G105,L$8*Peak!$AM$11,0))</f>
        <v>-</v>
      </c>
      <c r="M104" s="177" t="str">
        <f>IF('Peak Revenue'!$A$1="BL","-",IF(Peak!S105&gt;Peak!$G105,M$8*Peak!$AM$11,0))</f>
        <v>-</v>
      </c>
      <c r="N104" s="177" t="str">
        <f>IF('Peak Revenue'!$A$1="BL","-",IF(Peak!T105&gt;Peak!$G105,N$8*Peak!$AM$11,0))</f>
        <v>-</v>
      </c>
      <c r="O104" s="177" t="str">
        <f>IF('Peak Revenue'!$A$1="BL","-",IF(Peak!U105&gt;Peak!$G105,O$8*Peak!$AM$11,0))</f>
        <v>-</v>
      </c>
      <c r="P104" s="177" t="str">
        <f>IF('Peak Revenue'!$A$1="BL","-",IF(Peak!V105&gt;Peak!$G105,P$8*Peak!$AM$11,0))</f>
        <v>-</v>
      </c>
      <c r="Q104" s="177" t="str">
        <f>IF('Peak Revenue'!$A$1="BL","-",IF(Peak!W105&gt;Peak!$G105,Q$8*Peak!$AM$11,0))</f>
        <v>-</v>
      </c>
      <c r="R104" s="177" t="str">
        <f>IF('Peak Revenue'!$A$1="BL","-",IF(Peak!X105&gt;Peak!$G105,R$8*Peak!$AM$11,0))</f>
        <v>-</v>
      </c>
      <c r="S104" s="177" t="str">
        <f>IF('Peak Revenue'!$A$1="BL","-",IF(Peak!Y105&gt;Peak!$G105,S$8*Peak!$AM$11,0))</f>
        <v>-</v>
      </c>
      <c r="T104" s="177" t="str">
        <f>IF('Peak Revenue'!$A$1="BL","-",IF(Peak!Z105&gt;Peak!$G105,T$8*Peak!$AM$11,0))</f>
        <v>-</v>
      </c>
      <c r="U104" s="177" t="str">
        <f>IF('Peak Revenue'!$A$1="BL","-",IF(Peak!AA105&gt;Peak!$G105,U$8*Peak!$AM$11,0))</f>
        <v>-</v>
      </c>
      <c r="V104" s="178">
        <f t="shared" si="2"/>
        <v>0</v>
      </c>
      <c r="W104" s="165"/>
    </row>
    <row r="105" spans="1:23" x14ac:dyDescent="0.2">
      <c r="A105" s="1">
        <f t="shared" si="3"/>
        <v>39429.615000000122</v>
      </c>
      <c r="B105" s="176" t="str">
        <f>IF('Peak Revenue'!$A$1="BL","-",IF(Peak!H106&gt;Peak!$G106,B$8*Peak!$AM$11,0))</f>
        <v>-</v>
      </c>
      <c r="C105" s="177" t="str">
        <f>IF('Peak Revenue'!$A$1="BL","-",IF(Peak!I106&gt;Peak!$G106,C$8*Peak!$AM$11,0))</f>
        <v>-</v>
      </c>
      <c r="D105" s="177" t="str">
        <f>IF('Peak Revenue'!$A$1="BL","-",IF(Peak!J106&gt;Peak!$G106,D$8*Peak!$AM$11,0))</f>
        <v>-</v>
      </c>
      <c r="E105" s="177" t="str">
        <f>IF('Peak Revenue'!$A$1="BL","-",IF(Peak!K106&gt;Peak!$G106,E$8*Peak!$AM$11,0))</f>
        <v>-</v>
      </c>
      <c r="F105" s="177" t="str">
        <f>IF('Peak Revenue'!$A$1="BL","-",IF(Peak!L106&gt;Peak!$G106,F$8*Peak!$AM$11,0))</f>
        <v>-</v>
      </c>
      <c r="G105" s="177" t="str">
        <f>IF('Peak Revenue'!$A$1="BL","-",IF(Peak!M106&gt;Peak!$G106,G$8*Peak!$AM$11,0))</f>
        <v>-</v>
      </c>
      <c r="H105" s="177" t="str">
        <f>IF('Peak Revenue'!$A$1="BL","-",IF(Peak!N106&gt;Peak!$G106,H$8*Peak!$AM$11,0))</f>
        <v>-</v>
      </c>
      <c r="I105" s="177" t="str">
        <f>IF('Peak Revenue'!$A$1="BL","-",IF(Peak!O106&gt;Peak!$G106,I$8*Peak!$AM$11,0))</f>
        <v>-</v>
      </c>
      <c r="J105" s="177" t="str">
        <f>IF('Peak Revenue'!$A$1="BL","-",IF(Peak!P106&gt;Peak!$G106,J$8*Peak!$AM$11,0))</f>
        <v>-</v>
      </c>
      <c r="K105" s="177" t="str">
        <f>IF('Peak Revenue'!$A$1="BL","-",IF(Peak!Q106&gt;Peak!$G106,K$8*Peak!$AM$11,0))</f>
        <v>-</v>
      </c>
      <c r="L105" s="177" t="str">
        <f>IF('Peak Revenue'!$A$1="BL","-",IF(Peak!R106&gt;Peak!$G106,L$8*Peak!$AM$11,0))</f>
        <v>-</v>
      </c>
      <c r="M105" s="177" t="str">
        <f>IF('Peak Revenue'!$A$1="BL","-",IF(Peak!S106&gt;Peak!$G106,M$8*Peak!$AM$11,0))</f>
        <v>-</v>
      </c>
      <c r="N105" s="177" t="str">
        <f>IF('Peak Revenue'!$A$1="BL","-",IF(Peak!T106&gt;Peak!$G106,N$8*Peak!$AM$11,0))</f>
        <v>-</v>
      </c>
      <c r="O105" s="177" t="str">
        <f>IF('Peak Revenue'!$A$1="BL","-",IF(Peak!U106&gt;Peak!$G106,O$8*Peak!$AM$11,0))</f>
        <v>-</v>
      </c>
      <c r="P105" s="177" t="str">
        <f>IF('Peak Revenue'!$A$1="BL","-",IF(Peak!V106&gt;Peak!$G106,P$8*Peak!$AM$11,0))</f>
        <v>-</v>
      </c>
      <c r="Q105" s="177" t="str">
        <f>IF('Peak Revenue'!$A$1="BL","-",IF(Peak!W106&gt;Peak!$G106,Q$8*Peak!$AM$11,0))</f>
        <v>-</v>
      </c>
      <c r="R105" s="177" t="str">
        <f>IF('Peak Revenue'!$A$1="BL","-",IF(Peak!X106&gt;Peak!$G106,R$8*Peak!$AM$11,0))</f>
        <v>-</v>
      </c>
      <c r="S105" s="177" t="str">
        <f>IF('Peak Revenue'!$A$1="BL","-",IF(Peak!Y106&gt;Peak!$G106,S$8*Peak!$AM$11,0))</f>
        <v>-</v>
      </c>
      <c r="T105" s="177" t="str">
        <f>IF('Peak Revenue'!$A$1="BL","-",IF(Peak!Z106&gt;Peak!$G106,T$8*Peak!$AM$11,0))</f>
        <v>-</v>
      </c>
      <c r="U105" s="177" t="str">
        <f>IF('Peak Revenue'!$A$1="BL","-",IF(Peak!AA106&gt;Peak!$G106,U$8*Peak!$AM$11,0))</f>
        <v>-</v>
      </c>
      <c r="V105" s="178">
        <f t="shared" si="2"/>
        <v>0</v>
      </c>
      <c r="W105" s="164">
        <f>SUM(V94:V105)</f>
        <v>0</v>
      </c>
    </row>
    <row r="106" spans="1:23" x14ac:dyDescent="0.2">
      <c r="A106" s="1">
        <f t="shared" si="3"/>
        <v>39460.032000000123</v>
      </c>
      <c r="B106" s="176" t="str">
        <f>IF('Peak Revenue'!$A$1="BL","-",IF(Peak!H107&gt;Peak!$G107,B$8*Peak!$AM$11,0))</f>
        <v>-</v>
      </c>
      <c r="C106" s="177" t="str">
        <f>IF('Peak Revenue'!$A$1="BL","-",IF(Peak!I107&gt;Peak!$G107,C$8*Peak!$AM$11,0))</f>
        <v>-</v>
      </c>
      <c r="D106" s="177" t="str">
        <f>IF('Peak Revenue'!$A$1="BL","-",IF(Peak!J107&gt;Peak!$G107,D$8*Peak!$AM$11,0))</f>
        <v>-</v>
      </c>
      <c r="E106" s="177" t="str">
        <f>IF('Peak Revenue'!$A$1="BL","-",IF(Peak!K107&gt;Peak!$G107,E$8*Peak!$AM$11,0))</f>
        <v>-</v>
      </c>
      <c r="F106" s="177" t="str">
        <f>IF('Peak Revenue'!$A$1="BL","-",IF(Peak!L107&gt;Peak!$G107,F$8*Peak!$AM$11,0))</f>
        <v>-</v>
      </c>
      <c r="G106" s="177" t="str">
        <f>IF('Peak Revenue'!$A$1="BL","-",IF(Peak!M107&gt;Peak!$G107,G$8*Peak!$AM$11,0))</f>
        <v>-</v>
      </c>
      <c r="H106" s="177" t="str">
        <f>IF('Peak Revenue'!$A$1="BL","-",IF(Peak!N107&gt;Peak!$G107,H$8*Peak!$AM$11,0))</f>
        <v>-</v>
      </c>
      <c r="I106" s="177" t="str">
        <f>IF('Peak Revenue'!$A$1="BL","-",IF(Peak!O107&gt;Peak!$G107,I$8*Peak!$AM$11,0))</f>
        <v>-</v>
      </c>
      <c r="J106" s="177" t="str">
        <f>IF('Peak Revenue'!$A$1="BL","-",IF(Peak!P107&gt;Peak!$G107,J$8*Peak!$AM$11,0))</f>
        <v>-</v>
      </c>
      <c r="K106" s="177" t="str">
        <f>IF('Peak Revenue'!$A$1="BL","-",IF(Peak!Q107&gt;Peak!$G107,K$8*Peak!$AM$11,0))</f>
        <v>-</v>
      </c>
      <c r="L106" s="177" t="str">
        <f>IF('Peak Revenue'!$A$1="BL","-",IF(Peak!R107&gt;Peak!$G107,L$8*Peak!$AM$11,0))</f>
        <v>-</v>
      </c>
      <c r="M106" s="177" t="str">
        <f>IF('Peak Revenue'!$A$1="BL","-",IF(Peak!S107&gt;Peak!$G107,M$8*Peak!$AM$11,0))</f>
        <v>-</v>
      </c>
      <c r="N106" s="177" t="str">
        <f>IF('Peak Revenue'!$A$1="BL","-",IF(Peak!T107&gt;Peak!$G107,N$8*Peak!$AM$11,0))</f>
        <v>-</v>
      </c>
      <c r="O106" s="177" t="str">
        <f>IF('Peak Revenue'!$A$1="BL","-",IF(Peak!U107&gt;Peak!$G107,O$8*Peak!$AM$11,0))</f>
        <v>-</v>
      </c>
      <c r="P106" s="177" t="str">
        <f>IF('Peak Revenue'!$A$1="BL","-",IF(Peak!V107&gt;Peak!$G107,P$8*Peak!$AM$11,0))</f>
        <v>-</v>
      </c>
      <c r="Q106" s="177" t="str">
        <f>IF('Peak Revenue'!$A$1="BL","-",IF(Peak!W107&gt;Peak!$G107,Q$8*Peak!$AM$11,0))</f>
        <v>-</v>
      </c>
      <c r="R106" s="177" t="str">
        <f>IF('Peak Revenue'!$A$1="BL","-",IF(Peak!X107&gt;Peak!$G107,R$8*Peak!$AM$11,0))</f>
        <v>-</v>
      </c>
      <c r="S106" s="177" t="str">
        <f>IF('Peak Revenue'!$A$1="BL","-",IF(Peak!Y107&gt;Peak!$G107,S$8*Peak!$AM$11,0))</f>
        <v>-</v>
      </c>
      <c r="T106" s="177" t="str">
        <f>IF('Peak Revenue'!$A$1="BL","-",IF(Peak!Z107&gt;Peak!$G107,T$8*Peak!$AM$11,0))</f>
        <v>-</v>
      </c>
      <c r="U106" s="177" t="str">
        <f>IF('Peak Revenue'!$A$1="BL","-",IF(Peak!AA107&gt;Peak!$G107,U$8*Peak!$AM$11,0))</f>
        <v>-</v>
      </c>
      <c r="V106" s="178">
        <f t="shared" si="2"/>
        <v>0</v>
      </c>
      <c r="W106" s="165"/>
    </row>
    <row r="107" spans="1:23" x14ac:dyDescent="0.2">
      <c r="A107" s="1">
        <f t="shared" si="3"/>
        <v>39490.449000000124</v>
      </c>
      <c r="B107" s="176" t="str">
        <f>IF('Peak Revenue'!$A$1="BL","-",IF(Peak!H108&gt;Peak!$G108,B$8*Peak!$AM$11,0))</f>
        <v>-</v>
      </c>
      <c r="C107" s="177" t="str">
        <f>IF('Peak Revenue'!$A$1="BL","-",IF(Peak!I108&gt;Peak!$G108,C$8*Peak!$AM$11,0))</f>
        <v>-</v>
      </c>
      <c r="D107" s="177" t="str">
        <f>IF('Peak Revenue'!$A$1="BL","-",IF(Peak!J108&gt;Peak!$G108,D$8*Peak!$AM$11,0))</f>
        <v>-</v>
      </c>
      <c r="E107" s="177" t="str">
        <f>IF('Peak Revenue'!$A$1="BL","-",IF(Peak!K108&gt;Peak!$G108,E$8*Peak!$AM$11,0))</f>
        <v>-</v>
      </c>
      <c r="F107" s="177" t="str">
        <f>IF('Peak Revenue'!$A$1="BL","-",IF(Peak!L108&gt;Peak!$G108,F$8*Peak!$AM$11,0))</f>
        <v>-</v>
      </c>
      <c r="G107" s="177" t="str">
        <f>IF('Peak Revenue'!$A$1="BL","-",IF(Peak!M108&gt;Peak!$G108,G$8*Peak!$AM$11,0))</f>
        <v>-</v>
      </c>
      <c r="H107" s="177" t="str">
        <f>IF('Peak Revenue'!$A$1="BL","-",IF(Peak!N108&gt;Peak!$G108,H$8*Peak!$AM$11,0))</f>
        <v>-</v>
      </c>
      <c r="I107" s="177" t="str">
        <f>IF('Peak Revenue'!$A$1="BL","-",IF(Peak!O108&gt;Peak!$G108,I$8*Peak!$AM$11,0))</f>
        <v>-</v>
      </c>
      <c r="J107" s="177" t="str">
        <f>IF('Peak Revenue'!$A$1="BL","-",IF(Peak!P108&gt;Peak!$G108,J$8*Peak!$AM$11,0))</f>
        <v>-</v>
      </c>
      <c r="K107" s="177" t="str">
        <f>IF('Peak Revenue'!$A$1="BL","-",IF(Peak!Q108&gt;Peak!$G108,K$8*Peak!$AM$11,0))</f>
        <v>-</v>
      </c>
      <c r="L107" s="177" t="str">
        <f>IF('Peak Revenue'!$A$1="BL","-",IF(Peak!R108&gt;Peak!$G108,L$8*Peak!$AM$11,0))</f>
        <v>-</v>
      </c>
      <c r="M107" s="177" t="str">
        <f>IF('Peak Revenue'!$A$1="BL","-",IF(Peak!S108&gt;Peak!$G108,M$8*Peak!$AM$11,0))</f>
        <v>-</v>
      </c>
      <c r="N107" s="177" t="str">
        <f>IF('Peak Revenue'!$A$1="BL","-",IF(Peak!T108&gt;Peak!$G108,N$8*Peak!$AM$11,0))</f>
        <v>-</v>
      </c>
      <c r="O107" s="177" t="str">
        <f>IF('Peak Revenue'!$A$1="BL","-",IF(Peak!U108&gt;Peak!$G108,O$8*Peak!$AM$11,0))</f>
        <v>-</v>
      </c>
      <c r="P107" s="177" t="str">
        <f>IF('Peak Revenue'!$A$1="BL","-",IF(Peak!V108&gt;Peak!$G108,P$8*Peak!$AM$11,0))</f>
        <v>-</v>
      </c>
      <c r="Q107" s="177" t="str">
        <f>IF('Peak Revenue'!$A$1="BL","-",IF(Peak!W108&gt;Peak!$G108,Q$8*Peak!$AM$11,0))</f>
        <v>-</v>
      </c>
      <c r="R107" s="177" t="str">
        <f>IF('Peak Revenue'!$A$1="BL","-",IF(Peak!X108&gt;Peak!$G108,R$8*Peak!$AM$11,0))</f>
        <v>-</v>
      </c>
      <c r="S107" s="177" t="str">
        <f>IF('Peak Revenue'!$A$1="BL","-",IF(Peak!Y108&gt;Peak!$G108,S$8*Peak!$AM$11,0))</f>
        <v>-</v>
      </c>
      <c r="T107" s="177" t="str">
        <f>IF('Peak Revenue'!$A$1="BL","-",IF(Peak!Z108&gt;Peak!$G108,T$8*Peak!$AM$11,0))</f>
        <v>-</v>
      </c>
      <c r="U107" s="177" t="str">
        <f>IF('Peak Revenue'!$A$1="BL","-",IF(Peak!AA108&gt;Peak!$G108,U$8*Peak!$AM$11,0))</f>
        <v>-</v>
      </c>
      <c r="V107" s="178">
        <f t="shared" si="2"/>
        <v>0</v>
      </c>
      <c r="W107" s="165"/>
    </row>
    <row r="108" spans="1:23" x14ac:dyDescent="0.2">
      <c r="A108" s="1">
        <f t="shared" si="3"/>
        <v>39520.866000000125</v>
      </c>
      <c r="B108" s="176" t="str">
        <f>IF('Peak Revenue'!$A$1="BL","-",IF(Peak!H109&gt;Peak!$G109,B$8*Peak!$AM$11,0))</f>
        <v>-</v>
      </c>
      <c r="C108" s="177" t="str">
        <f>IF('Peak Revenue'!$A$1="BL","-",IF(Peak!I109&gt;Peak!$G109,C$8*Peak!$AM$11,0))</f>
        <v>-</v>
      </c>
      <c r="D108" s="177" t="str">
        <f>IF('Peak Revenue'!$A$1="BL","-",IF(Peak!J109&gt;Peak!$G109,D$8*Peak!$AM$11,0))</f>
        <v>-</v>
      </c>
      <c r="E108" s="177" t="str">
        <f>IF('Peak Revenue'!$A$1="BL","-",IF(Peak!K109&gt;Peak!$G109,E$8*Peak!$AM$11,0))</f>
        <v>-</v>
      </c>
      <c r="F108" s="177" t="str">
        <f>IF('Peak Revenue'!$A$1="BL","-",IF(Peak!L109&gt;Peak!$G109,F$8*Peak!$AM$11,0))</f>
        <v>-</v>
      </c>
      <c r="G108" s="177" t="str">
        <f>IF('Peak Revenue'!$A$1="BL","-",IF(Peak!M109&gt;Peak!$G109,G$8*Peak!$AM$11,0))</f>
        <v>-</v>
      </c>
      <c r="H108" s="177" t="str">
        <f>IF('Peak Revenue'!$A$1="BL","-",IF(Peak!N109&gt;Peak!$G109,H$8*Peak!$AM$11,0))</f>
        <v>-</v>
      </c>
      <c r="I108" s="177" t="str">
        <f>IF('Peak Revenue'!$A$1="BL","-",IF(Peak!O109&gt;Peak!$G109,I$8*Peak!$AM$11,0))</f>
        <v>-</v>
      </c>
      <c r="J108" s="177" t="str">
        <f>IF('Peak Revenue'!$A$1="BL","-",IF(Peak!P109&gt;Peak!$G109,J$8*Peak!$AM$11,0))</f>
        <v>-</v>
      </c>
      <c r="K108" s="177" t="str">
        <f>IF('Peak Revenue'!$A$1="BL","-",IF(Peak!Q109&gt;Peak!$G109,K$8*Peak!$AM$11,0))</f>
        <v>-</v>
      </c>
      <c r="L108" s="177" t="str">
        <f>IF('Peak Revenue'!$A$1="BL","-",IF(Peak!R109&gt;Peak!$G109,L$8*Peak!$AM$11,0))</f>
        <v>-</v>
      </c>
      <c r="M108" s="177" t="str">
        <f>IF('Peak Revenue'!$A$1="BL","-",IF(Peak!S109&gt;Peak!$G109,M$8*Peak!$AM$11,0))</f>
        <v>-</v>
      </c>
      <c r="N108" s="177" t="str">
        <f>IF('Peak Revenue'!$A$1="BL","-",IF(Peak!T109&gt;Peak!$G109,N$8*Peak!$AM$11,0))</f>
        <v>-</v>
      </c>
      <c r="O108" s="177" t="str">
        <f>IF('Peak Revenue'!$A$1="BL","-",IF(Peak!U109&gt;Peak!$G109,O$8*Peak!$AM$11,0))</f>
        <v>-</v>
      </c>
      <c r="P108" s="177" t="str">
        <f>IF('Peak Revenue'!$A$1="BL","-",IF(Peak!V109&gt;Peak!$G109,P$8*Peak!$AM$11,0))</f>
        <v>-</v>
      </c>
      <c r="Q108" s="177" t="str">
        <f>IF('Peak Revenue'!$A$1="BL","-",IF(Peak!W109&gt;Peak!$G109,Q$8*Peak!$AM$11,0))</f>
        <v>-</v>
      </c>
      <c r="R108" s="177" t="str">
        <f>IF('Peak Revenue'!$A$1="BL","-",IF(Peak!X109&gt;Peak!$G109,R$8*Peak!$AM$11,0))</f>
        <v>-</v>
      </c>
      <c r="S108" s="177" t="str">
        <f>IF('Peak Revenue'!$A$1="BL","-",IF(Peak!Y109&gt;Peak!$G109,S$8*Peak!$AM$11,0))</f>
        <v>-</v>
      </c>
      <c r="T108" s="177" t="str">
        <f>IF('Peak Revenue'!$A$1="BL","-",IF(Peak!Z109&gt;Peak!$G109,T$8*Peak!$AM$11,0))</f>
        <v>-</v>
      </c>
      <c r="U108" s="177" t="str">
        <f>IF('Peak Revenue'!$A$1="BL","-",IF(Peak!AA109&gt;Peak!$G109,U$8*Peak!$AM$11,0))</f>
        <v>-</v>
      </c>
      <c r="V108" s="178">
        <f t="shared" si="2"/>
        <v>0</v>
      </c>
      <c r="W108" s="165"/>
    </row>
    <row r="109" spans="1:23" x14ac:dyDescent="0.2">
      <c r="A109" s="1">
        <f t="shared" si="3"/>
        <v>39551.283000000127</v>
      </c>
      <c r="B109" s="176" t="str">
        <f>IF('Peak Revenue'!$A$1="BL","-",IF(Peak!H110&gt;Peak!$G110,B$8*Peak!$AM$11,0))</f>
        <v>-</v>
      </c>
      <c r="C109" s="177" t="str">
        <f>IF('Peak Revenue'!$A$1="BL","-",IF(Peak!I110&gt;Peak!$G110,C$8*Peak!$AM$11,0))</f>
        <v>-</v>
      </c>
      <c r="D109" s="177" t="str">
        <f>IF('Peak Revenue'!$A$1="BL","-",IF(Peak!J110&gt;Peak!$G110,D$8*Peak!$AM$11,0))</f>
        <v>-</v>
      </c>
      <c r="E109" s="177" t="str">
        <f>IF('Peak Revenue'!$A$1="BL","-",IF(Peak!K110&gt;Peak!$G110,E$8*Peak!$AM$11,0))</f>
        <v>-</v>
      </c>
      <c r="F109" s="177" t="str">
        <f>IF('Peak Revenue'!$A$1="BL","-",IF(Peak!L110&gt;Peak!$G110,F$8*Peak!$AM$11,0))</f>
        <v>-</v>
      </c>
      <c r="G109" s="177" t="str">
        <f>IF('Peak Revenue'!$A$1="BL","-",IF(Peak!M110&gt;Peak!$G110,G$8*Peak!$AM$11,0))</f>
        <v>-</v>
      </c>
      <c r="H109" s="177" t="str">
        <f>IF('Peak Revenue'!$A$1="BL","-",IF(Peak!N110&gt;Peak!$G110,H$8*Peak!$AM$11,0))</f>
        <v>-</v>
      </c>
      <c r="I109" s="177" t="str">
        <f>IF('Peak Revenue'!$A$1="BL","-",IF(Peak!O110&gt;Peak!$G110,I$8*Peak!$AM$11,0))</f>
        <v>-</v>
      </c>
      <c r="J109" s="177" t="str">
        <f>IF('Peak Revenue'!$A$1="BL","-",IF(Peak!P110&gt;Peak!$G110,J$8*Peak!$AM$11,0))</f>
        <v>-</v>
      </c>
      <c r="K109" s="177" t="str">
        <f>IF('Peak Revenue'!$A$1="BL","-",IF(Peak!Q110&gt;Peak!$G110,K$8*Peak!$AM$11,0))</f>
        <v>-</v>
      </c>
      <c r="L109" s="177" t="str">
        <f>IF('Peak Revenue'!$A$1="BL","-",IF(Peak!R110&gt;Peak!$G110,L$8*Peak!$AM$11,0))</f>
        <v>-</v>
      </c>
      <c r="M109" s="177" t="str">
        <f>IF('Peak Revenue'!$A$1="BL","-",IF(Peak!S110&gt;Peak!$G110,M$8*Peak!$AM$11,0))</f>
        <v>-</v>
      </c>
      <c r="N109" s="177" t="str">
        <f>IF('Peak Revenue'!$A$1="BL","-",IF(Peak!T110&gt;Peak!$G110,N$8*Peak!$AM$11,0))</f>
        <v>-</v>
      </c>
      <c r="O109" s="177" t="str">
        <f>IF('Peak Revenue'!$A$1="BL","-",IF(Peak!U110&gt;Peak!$G110,O$8*Peak!$AM$11,0))</f>
        <v>-</v>
      </c>
      <c r="P109" s="177" t="str">
        <f>IF('Peak Revenue'!$A$1="BL","-",IF(Peak!V110&gt;Peak!$G110,P$8*Peak!$AM$11,0))</f>
        <v>-</v>
      </c>
      <c r="Q109" s="177" t="str">
        <f>IF('Peak Revenue'!$A$1="BL","-",IF(Peak!W110&gt;Peak!$G110,Q$8*Peak!$AM$11,0))</f>
        <v>-</v>
      </c>
      <c r="R109" s="177" t="str">
        <f>IF('Peak Revenue'!$A$1="BL","-",IF(Peak!X110&gt;Peak!$G110,R$8*Peak!$AM$11,0))</f>
        <v>-</v>
      </c>
      <c r="S109" s="177" t="str">
        <f>IF('Peak Revenue'!$A$1="BL","-",IF(Peak!Y110&gt;Peak!$G110,S$8*Peak!$AM$11,0))</f>
        <v>-</v>
      </c>
      <c r="T109" s="177" t="str">
        <f>IF('Peak Revenue'!$A$1="BL","-",IF(Peak!Z110&gt;Peak!$G110,T$8*Peak!$AM$11,0))</f>
        <v>-</v>
      </c>
      <c r="U109" s="177" t="str">
        <f>IF('Peak Revenue'!$A$1="BL","-",IF(Peak!AA110&gt;Peak!$G110,U$8*Peak!$AM$11,0))</f>
        <v>-</v>
      </c>
      <c r="V109" s="178">
        <f t="shared" si="2"/>
        <v>0</v>
      </c>
      <c r="W109" s="165"/>
    </row>
    <row r="110" spans="1:23" x14ac:dyDescent="0.2">
      <c r="A110" s="1">
        <f t="shared" si="3"/>
        <v>39581.700000000128</v>
      </c>
      <c r="B110" s="176" t="str">
        <f>IF('Peak Revenue'!$A$1="BL","-",IF(Peak!H111&gt;Peak!$G111,B$8*Peak!$AM$11,0))</f>
        <v>-</v>
      </c>
      <c r="C110" s="177" t="str">
        <f>IF('Peak Revenue'!$A$1="BL","-",IF(Peak!I111&gt;Peak!$G111,C$8*Peak!$AM$11,0))</f>
        <v>-</v>
      </c>
      <c r="D110" s="177" t="str">
        <f>IF('Peak Revenue'!$A$1="BL","-",IF(Peak!J111&gt;Peak!$G111,D$8*Peak!$AM$11,0))</f>
        <v>-</v>
      </c>
      <c r="E110" s="177" t="str">
        <f>IF('Peak Revenue'!$A$1="BL","-",IF(Peak!K111&gt;Peak!$G111,E$8*Peak!$AM$11,0))</f>
        <v>-</v>
      </c>
      <c r="F110" s="177" t="str">
        <f>IF('Peak Revenue'!$A$1="BL","-",IF(Peak!L111&gt;Peak!$G111,F$8*Peak!$AM$11,0))</f>
        <v>-</v>
      </c>
      <c r="G110" s="177" t="str">
        <f>IF('Peak Revenue'!$A$1="BL","-",IF(Peak!M111&gt;Peak!$G111,G$8*Peak!$AM$11,0))</f>
        <v>-</v>
      </c>
      <c r="H110" s="177" t="str">
        <f>IF('Peak Revenue'!$A$1="BL","-",IF(Peak!N111&gt;Peak!$G111,H$8*Peak!$AM$11,0))</f>
        <v>-</v>
      </c>
      <c r="I110" s="177" t="str">
        <f>IF('Peak Revenue'!$A$1="BL","-",IF(Peak!O111&gt;Peak!$G111,I$8*Peak!$AM$11,0))</f>
        <v>-</v>
      </c>
      <c r="J110" s="177" t="str">
        <f>IF('Peak Revenue'!$A$1="BL","-",IF(Peak!P111&gt;Peak!$G111,J$8*Peak!$AM$11,0))</f>
        <v>-</v>
      </c>
      <c r="K110" s="177" t="str">
        <f>IF('Peak Revenue'!$A$1="BL","-",IF(Peak!Q111&gt;Peak!$G111,K$8*Peak!$AM$11,0))</f>
        <v>-</v>
      </c>
      <c r="L110" s="177" t="str">
        <f>IF('Peak Revenue'!$A$1="BL","-",IF(Peak!R111&gt;Peak!$G111,L$8*Peak!$AM$11,0))</f>
        <v>-</v>
      </c>
      <c r="M110" s="177" t="str">
        <f>IF('Peak Revenue'!$A$1="BL","-",IF(Peak!S111&gt;Peak!$G111,M$8*Peak!$AM$11,0))</f>
        <v>-</v>
      </c>
      <c r="N110" s="177" t="str">
        <f>IF('Peak Revenue'!$A$1="BL","-",IF(Peak!T111&gt;Peak!$G111,N$8*Peak!$AM$11,0))</f>
        <v>-</v>
      </c>
      <c r="O110" s="177" t="str">
        <f>IF('Peak Revenue'!$A$1="BL","-",IF(Peak!U111&gt;Peak!$G111,O$8*Peak!$AM$11,0))</f>
        <v>-</v>
      </c>
      <c r="P110" s="177" t="str">
        <f>IF('Peak Revenue'!$A$1="BL","-",IF(Peak!V111&gt;Peak!$G111,P$8*Peak!$AM$11,0))</f>
        <v>-</v>
      </c>
      <c r="Q110" s="177" t="str">
        <f>IF('Peak Revenue'!$A$1="BL","-",IF(Peak!W111&gt;Peak!$G111,Q$8*Peak!$AM$11,0))</f>
        <v>-</v>
      </c>
      <c r="R110" s="177" t="str">
        <f>IF('Peak Revenue'!$A$1="BL","-",IF(Peak!X111&gt;Peak!$G111,R$8*Peak!$AM$11,0))</f>
        <v>-</v>
      </c>
      <c r="S110" s="177" t="str">
        <f>IF('Peak Revenue'!$A$1="BL","-",IF(Peak!Y111&gt;Peak!$G111,S$8*Peak!$AM$11,0))</f>
        <v>-</v>
      </c>
      <c r="T110" s="177" t="str">
        <f>IF('Peak Revenue'!$A$1="BL","-",IF(Peak!Z111&gt;Peak!$G111,T$8*Peak!$AM$11,0))</f>
        <v>-</v>
      </c>
      <c r="U110" s="177" t="str">
        <f>IF('Peak Revenue'!$A$1="BL","-",IF(Peak!AA111&gt;Peak!$G111,U$8*Peak!$AM$11,0))</f>
        <v>-</v>
      </c>
      <c r="V110" s="178">
        <f t="shared" si="2"/>
        <v>0</v>
      </c>
      <c r="W110" s="165"/>
    </row>
    <row r="111" spans="1:23" x14ac:dyDescent="0.2">
      <c r="A111" s="1">
        <f t="shared" si="3"/>
        <v>39612.117000000129</v>
      </c>
      <c r="B111" s="176" t="str">
        <f>IF('Peak Revenue'!$A$1="BL","-",IF(Peak!H112&gt;Peak!$G112,B$8*Peak!$AM$11,0))</f>
        <v>-</v>
      </c>
      <c r="C111" s="177" t="str">
        <f>IF('Peak Revenue'!$A$1="BL","-",IF(Peak!I112&gt;Peak!$G112,C$8*Peak!$AM$11,0))</f>
        <v>-</v>
      </c>
      <c r="D111" s="177" t="str">
        <f>IF('Peak Revenue'!$A$1="BL","-",IF(Peak!J112&gt;Peak!$G112,D$8*Peak!$AM$11,0))</f>
        <v>-</v>
      </c>
      <c r="E111" s="177" t="str">
        <f>IF('Peak Revenue'!$A$1="BL","-",IF(Peak!K112&gt;Peak!$G112,E$8*Peak!$AM$11,0))</f>
        <v>-</v>
      </c>
      <c r="F111" s="177" t="str">
        <f>IF('Peak Revenue'!$A$1="BL","-",IF(Peak!L112&gt;Peak!$G112,F$8*Peak!$AM$11,0))</f>
        <v>-</v>
      </c>
      <c r="G111" s="177" t="str">
        <f>IF('Peak Revenue'!$A$1="BL","-",IF(Peak!M112&gt;Peak!$G112,G$8*Peak!$AM$11,0))</f>
        <v>-</v>
      </c>
      <c r="H111" s="177" t="str">
        <f>IF('Peak Revenue'!$A$1="BL","-",IF(Peak!N112&gt;Peak!$G112,H$8*Peak!$AM$11,0))</f>
        <v>-</v>
      </c>
      <c r="I111" s="177" t="str">
        <f>IF('Peak Revenue'!$A$1="BL","-",IF(Peak!O112&gt;Peak!$G112,I$8*Peak!$AM$11,0))</f>
        <v>-</v>
      </c>
      <c r="J111" s="177" t="str">
        <f>IF('Peak Revenue'!$A$1="BL","-",IF(Peak!P112&gt;Peak!$G112,J$8*Peak!$AM$11,0))</f>
        <v>-</v>
      </c>
      <c r="K111" s="177" t="str">
        <f>IF('Peak Revenue'!$A$1="BL","-",IF(Peak!Q112&gt;Peak!$G112,K$8*Peak!$AM$11,0))</f>
        <v>-</v>
      </c>
      <c r="L111" s="177" t="str">
        <f>IF('Peak Revenue'!$A$1="BL","-",IF(Peak!R112&gt;Peak!$G112,L$8*Peak!$AM$11,0))</f>
        <v>-</v>
      </c>
      <c r="M111" s="177" t="str">
        <f>IF('Peak Revenue'!$A$1="BL","-",IF(Peak!S112&gt;Peak!$G112,M$8*Peak!$AM$11,0))</f>
        <v>-</v>
      </c>
      <c r="N111" s="177" t="str">
        <f>IF('Peak Revenue'!$A$1="BL","-",IF(Peak!T112&gt;Peak!$G112,N$8*Peak!$AM$11,0))</f>
        <v>-</v>
      </c>
      <c r="O111" s="177" t="str">
        <f>IF('Peak Revenue'!$A$1="BL","-",IF(Peak!U112&gt;Peak!$G112,O$8*Peak!$AM$11,0))</f>
        <v>-</v>
      </c>
      <c r="P111" s="177" t="str">
        <f>IF('Peak Revenue'!$A$1="BL","-",IF(Peak!V112&gt;Peak!$G112,P$8*Peak!$AM$11,0))</f>
        <v>-</v>
      </c>
      <c r="Q111" s="177" t="str">
        <f>IF('Peak Revenue'!$A$1="BL","-",IF(Peak!W112&gt;Peak!$G112,Q$8*Peak!$AM$11,0))</f>
        <v>-</v>
      </c>
      <c r="R111" s="177" t="str">
        <f>IF('Peak Revenue'!$A$1="BL","-",IF(Peak!X112&gt;Peak!$G112,R$8*Peak!$AM$11,0))</f>
        <v>-</v>
      </c>
      <c r="S111" s="177" t="str">
        <f>IF('Peak Revenue'!$A$1="BL","-",IF(Peak!Y112&gt;Peak!$G112,S$8*Peak!$AM$11,0))</f>
        <v>-</v>
      </c>
      <c r="T111" s="177" t="str">
        <f>IF('Peak Revenue'!$A$1="BL","-",IF(Peak!Z112&gt;Peak!$G112,T$8*Peak!$AM$11,0))</f>
        <v>-</v>
      </c>
      <c r="U111" s="177" t="str">
        <f>IF('Peak Revenue'!$A$1="BL","-",IF(Peak!AA112&gt;Peak!$G112,U$8*Peak!$AM$11,0))</f>
        <v>-</v>
      </c>
      <c r="V111" s="178">
        <f t="shared" si="2"/>
        <v>0</v>
      </c>
      <c r="W111" s="165"/>
    </row>
    <row r="112" spans="1:23" x14ac:dyDescent="0.2">
      <c r="A112" s="1">
        <f t="shared" si="3"/>
        <v>39642.534000000131</v>
      </c>
      <c r="B112" s="176" t="str">
        <f>IF('Peak Revenue'!$A$1="BL","-",IF(Peak!H113&gt;Peak!$G113,B$8*Peak!$AM$11,0))</f>
        <v>-</v>
      </c>
      <c r="C112" s="177" t="str">
        <f>IF('Peak Revenue'!$A$1="BL","-",IF(Peak!I113&gt;Peak!$G113,C$8*Peak!$AM$11,0))</f>
        <v>-</v>
      </c>
      <c r="D112" s="177" t="str">
        <f>IF('Peak Revenue'!$A$1="BL","-",IF(Peak!J113&gt;Peak!$G113,D$8*Peak!$AM$11,0))</f>
        <v>-</v>
      </c>
      <c r="E112" s="177" t="str">
        <f>IF('Peak Revenue'!$A$1="BL","-",IF(Peak!K113&gt;Peak!$G113,E$8*Peak!$AM$11,0))</f>
        <v>-</v>
      </c>
      <c r="F112" s="177" t="str">
        <f>IF('Peak Revenue'!$A$1="BL","-",IF(Peak!L113&gt;Peak!$G113,F$8*Peak!$AM$11,0))</f>
        <v>-</v>
      </c>
      <c r="G112" s="177" t="str">
        <f>IF('Peak Revenue'!$A$1="BL","-",IF(Peak!M113&gt;Peak!$G113,G$8*Peak!$AM$11,0))</f>
        <v>-</v>
      </c>
      <c r="H112" s="177" t="str">
        <f>IF('Peak Revenue'!$A$1="BL","-",IF(Peak!N113&gt;Peak!$G113,H$8*Peak!$AM$11,0))</f>
        <v>-</v>
      </c>
      <c r="I112" s="177" t="str">
        <f>IF('Peak Revenue'!$A$1="BL","-",IF(Peak!O113&gt;Peak!$G113,I$8*Peak!$AM$11,0))</f>
        <v>-</v>
      </c>
      <c r="J112" s="177" t="str">
        <f>IF('Peak Revenue'!$A$1="BL","-",IF(Peak!P113&gt;Peak!$G113,J$8*Peak!$AM$11,0))</f>
        <v>-</v>
      </c>
      <c r="K112" s="177" t="str">
        <f>IF('Peak Revenue'!$A$1="BL","-",IF(Peak!Q113&gt;Peak!$G113,K$8*Peak!$AM$11,0))</f>
        <v>-</v>
      </c>
      <c r="L112" s="177" t="str">
        <f>IF('Peak Revenue'!$A$1="BL","-",IF(Peak!R113&gt;Peak!$G113,L$8*Peak!$AM$11,0))</f>
        <v>-</v>
      </c>
      <c r="M112" s="177" t="str">
        <f>IF('Peak Revenue'!$A$1="BL","-",IF(Peak!S113&gt;Peak!$G113,M$8*Peak!$AM$11,0))</f>
        <v>-</v>
      </c>
      <c r="N112" s="177" t="str">
        <f>IF('Peak Revenue'!$A$1="BL","-",IF(Peak!T113&gt;Peak!$G113,N$8*Peak!$AM$11,0))</f>
        <v>-</v>
      </c>
      <c r="O112" s="177" t="str">
        <f>IF('Peak Revenue'!$A$1="BL","-",IF(Peak!U113&gt;Peak!$G113,O$8*Peak!$AM$11,0))</f>
        <v>-</v>
      </c>
      <c r="P112" s="177" t="str">
        <f>IF('Peak Revenue'!$A$1="BL","-",IF(Peak!V113&gt;Peak!$G113,P$8*Peak!$AM$11,0))</f>
        <v>-</v>
      </c>
      <c r="Q112" s="177" t="str">
        <f>IF('Peak Revenue'!$A$1="BL","-",IF(Peak!W113&gt;Peak!$G113,Q$8*Peak!$AM$11,0))</f>
        <v>-</v>
      </c>
      <c r="R112" s="177" t="str">
        <f>IF('Peak Revenue'!$A$1="BL","-",IF(Peak!X113&gt;Peak!$G113,R$8*Peak!$AM$11,0))</f>
        <v>-</v>
      </c>
      <c r="S112" s="177" t="str">
        <f>IF('Peak Revenue'!$A$1="BL","-",IF(Peak!Y113&gt;Peak!$G113,S$8*Peak!$AM$11,0))</f>
        <v>-</v>
      </c>
      <c r="T112" s="177" t="str">
        <f>IF('Peak Revenue'!$A$1="BL","-",IF(Peak!Z113&gt;Peak!$G113,T$8*Peak!$AM$11,0))</f>
        <v>-</v>
      </c>
      <c r="U112" s="177" t="str">
        <f>IF('Peak Revenue'!$A$1="BL","-",IF(Peak!AA113&gt;Peak!$G113,U$8*Peak!$AM$11,0))</f>
        <v>-</v>
      </c>
      <c r="V112" s="178">
        <f t="shared" si="2"/>
        <v>0</v>
      </c>
      <c r="W112" s="165"/>
    </row>
    <row r="113" spans="1:23" x14ac:dyDescent="0.2">
      <c r="A113" s="1">
        <f t="shared" si="3"/>
        <v>39672.951000000132</v>
      </c>
      <c r="B113" s="176" t="str">
        <f>IF('Peak Revenue'!$A$1="BL","-",IF(Peak!H114&gt;Peak!$G114,B$8*Peak!$AM$11,0))</f>
        <v>-</v>
      </c>
      <c r="C113" s="177" t="str">
        <f>IF('Peak Revenue'!$A$1="BL","-",IF(Peak!I114&gt;Peak!$G114,C$8*Peak!$AM$11,0))</f>
        <v>-</v>
      </c>
      <c r="D113" s="177" t="str">
        <f>IF('Peak Revenue'!$A$1="BL","-",IF(Peak!J114&gt;Peak!$G114,D$8*Peak!$AM$11,0))</f>
        <v>-</v>
      </c>
      <c r="E113" s="177" t="str">
        <f>IF('Peak Revenue'!$A$1="BL","-",IF(Peak!K114&gt;Peak!$G114,E$8*Peak!$AM$11,0))</f>
        <v>-</v>
      </c>
      <c r="F113" s="177" t="str">
        <f>IF('Peak Revenue'!$A$1="BL","-",IF(Peak!L114&gt;Peak!$G114,F$8*Peak!$AM$11,0))</f>
        <v>-</v>
      </c>
      <c r="G113" s="177" t="str">
        <f>IF('Peak Revenue'!$A$1="BL","-",IF(Peak!M114&gt;Peak!$G114,G$8*Peak!$AM$11,0))</f>
        <v>-</v>
      </c>
      <c r="H113" s="177" t="str">
        <f>IF('Peak Revenue'!$A$1="BL","-",IF(Peak!N114&gt;Peak!$G114,H$8*Peak!$AM$11,0))</f>
        <v>-</v>
      </c>
      <c r="I113" s="177" t="str">
        <f>IF('Peak Revenue'!$A$1="BL","-",IF(Peak!O114&gt;Peak!$G114,I$8*Peak!$AM$11,0))</f>
        <v>-</v>
      </c>
      <c r="J113" s="177" t="str">
        <f>IF('Peak Revenue'!$A$1="BL","-",IF(Peak!P114&gt;Peak!$G114,J$8*Peak!$AM$11,0))</f>
        <v>-</v>
      </c>
      <c r="K113" s="177" t="str">
        <f>IF('Peak Revenue'!$A$1="BL","-",IF(Peak!Q114&gt;Peak!$G114,K$8*Peak!$AM$11,0))</f>
        <v>-</v>
      </c>
      <c r="L113" s="177" t="str">
        <f>IF('Peak Revenue'!$A$1="BL","-",IF(Peak!R114&gt;Peak!$G114,L$8*Peak!$AM$11,0))</f>
        <v>-</v>
      </c>
      <c r="M113" s="177" t="str">
        <f>IF('Peak Revenue'!$A$1="BL","-",IF(Peak!S114&gt;Peak!$G114,M$8*Peak!$AM$11,0))</f>
        <v>-</v>
      </c>
      <c r="N113" s="177" t="str">
        <f>IF('Peak Revenue'!$A$1="BL","-",IF(Peak!T114&gt;Peak!$G114,N$8*Peak!$AM$11,0))</f>
        <v>-</v>
      </c>
      <c r="O113" s="177" t="str">
        <f>IF('Peak Revenue'!$A$1="BL","-",IF(Peak!U114&gt;Peak!$G114,O$8*Peak!$AM$11,0))</f>
        <v>-</v>
      </c>
      <c r="P113" s="177" t="str">
        <f>IF('Peak Revenue'!$A$1="BL","-",IF(Peak!V114&gt;Peak!$G114,P$8*Peak!$AM$11,0))</f>
        <v>-</v>
      </c>
      <c r="Q113" s="177" t="str">
        <f>IF('Peak Revenue'!$A$1="BL","-",IF(Peak!W114&gt;Peak!$G114,Q$8*Peak!$AM$11,0))</f>
        <v>-</v>
      </c>
      <c r="R113" s="177" t="str">
        <f>IF('Peak Revenue'!$A$1="BL","-",IF(Peak!X114&gt;Peak!$G114,R$8*Peak!$AM$11,0))</f>
        <v>-</v>
      </c>
      <c r="S113" s="177" t="str">
        <f>IF('Peak Revenue'!$A$1="BL","-",IF(Peak!Y114&gt;Peak!$G114,S$8*Peak!$AM$11,0))</f>
        <v>-</v>
      </c>
      <c r="T113" s="177" t="str">
        <f>IF('Peak Revenue'!$A$1="BL","-",IF(Peak!Z114&gt;Peak!$G114,T$8*Peak!$AM$11,0))</f>
        <v>-</v>
      </c>
      <c r="U113" s="177" t="str">
        <f>IF('Peak Revenue'!$A$1="BL","-",IF(Peak!AA114&gt;Peak!$G114,U$8*Peak!$AM$11,0))</f>
        <v>-</v>
      </c>
      <c r="V113" s="178">
        <f t="shared" si="2"/>
        <v>0</v>
      </c>
      <c r="W113" s="165"/>
    </row>
    <row r="114" spans="1:23" x14ac:dyDescent="0.2">
      <c r="A114" s="1">
        <f t="shared" si="3"/>
        <v>39703.368000000133</v>
      </c>
      <c r="B114" s="176" t="str">
        <f>IF('Peak Revenue'!$A$1="BL","-",IF(Peak!H115&gt;Peak!$G115,B$8*Peak!$AM$11,0))</f>
        <v>-</v>
      </c>
      <c r="C114" s="177" t="str">
        <f>IF('Peak Revenue'!$A$1="BL","-",IF(Peak!I115&gt;Peak!$G115,C$8*Peak!$AM$11,0))</f>
        <v>-</v>
      </c>
      <c r="D114" s="177" t="str">
        <f>IF('Peak Revenue'!$A$1="BL","-",IF(Peak!J115&gt;Peak!$G115,D$8*Peak!$AM$11,0))</f>
        <v>-</v>
      </c>
      <c r="E114" s="177" t="str">
        <f>IF('Peak Revenue'!$A$1="BL","-",IF(Peak!K115&gt;Peak!$G115,E$8*Peak!$AM$11,0))</f>
        <v>-</v>
      </c>
      <c r="F114" s="177" t="str">
        <f>IF('Peak Revenue'!$A$1="BL","-",IF(Peak!L115&gt;Peak!$G115,F$8*Peak!$AM$11,0))</f>
        <v>-</v>
      </c>
      <c r="G114" s="177" t="str">
        <f>IF('Peak Revenue'!$A$1="BL","-",IF(Peak!M115&gt;Peak!$G115,G$8*Peak!$AM$11,0))</f>
        <v>-</v>
      </c>
      <c r="H114" s="177" t="str">
        <f>IF('Peak Revenue'!$A$1="BL","-",IF(Peak!N115&gt;Peak!$G115,H$8*Peak!$AM$11,0))</f>
        <v>-</v>
      </c>
      <c r="I114" s="177" t="str">
        <f>IF('Peak Revenue'!$A$1="BL","-",IF(Peak!O115&gt;Peak!$G115,I$8*Peak!$AM$11,0))</f>
        <v>-</v>
      </c>
      <c r="J114" s="177" t="str">
        <f>IF('Peak Revenue'!$A$1="BL","-",IF(Peak!P115&gt;Peak!$G115,J$8*Peak!$AM$11,0))</f>
        <v>-</v>
      </c>
      <c r="K114" s="177" t="str">
        <f>IF('Peak Revenue'!$A$1="BL","-",IF(Peak!Q115&gt;Peak!$G115,K$8*Peak!$AM$11,0))</f>
        <v>-</v>
      </c>
      <c r="L114" s="177" t="str">
        <f>IF('Peak Revenue'!$A$1="BL","-",IF(Peak!R115&gt;Peak!$G115,L$8*Peak!$AM$11,0))</f>
        <v>-</v>
      </c>
      <c r="M114" s="177" t="str">
        <f>IF('Peak Revenue'!$A$1="BL","-",IF(Peak!S115&gt;Peak!$G115,M$8*Peak!$AM$11,0))</f>
        <v>-</v>
      </c>
      <c r="N114" s="177" t="str">
        <f>IF('Peak Revenue'!$A$1="BL","-",IF(Peak!T115&gt;Peak!$G115,N$8*Peak!$AM$11,0))</f>
        <v>-</v>
      </c>
      <c r="O114" s="177" t="str">
        <f>IF('Peak Revenue'!$A$1="BL","-",IF(Peak!U115&gt;Peak!$G115,O$8*Peak!$AM$11,0))</f>
        <v>-</v>
      </c>
      <c r="P114" s="177" t="str">
        <f>IF('Peak Revenue'!$A$1="BL","-",IF(Peak!V115&gt;Peak!$G115,P$8*Peak!$AM$11,0))</f>
        <v>-</v>
      </c>
      <c r="Q114" s="177" t="str">
        <f>IF('Peak Revenue'!$A$1="BL","-",IF(Peak!W115&gt;Peak!$G115,Q$8*Peak!$AM$11,0))</f>
        <v>-</v>
      </c>
      <c r="R114" s="177" t="str">
        <f>IF('Peak Revenue'!$A$1="BL","-",IF(Peak!X115&gt;Peak!$G115,R$8*Peak!$AM$11,0))</f>
        <v>-</v>
      </c>
      <c r="S114" s="177" t="str">
        <f>IF('Peak Revenue'!$A$1="BL","-",IF(Peak!Y115&gt;Peak!$G115,S$8*Peak!$AM$11,0))</f>
        <v>-</v>
      </c>
      <c r="T114" s="177" t="str">
        <f>IF('Peak Revenue'!$A$1="BL","-",IF(Peak!Z115&gt;Peak!$G115,T$8*Peak!$AM$11,0))</f>
        <v>-</v>
      </c>
      <c r="U114" s="177" t="str">
        <f>IF('Peak Revenue'!$A$1="BL","-",IF(Peak!AA115&gt;Peak!$G115,U$8*Peak!$AM$11,0))</f>
        <v>-</v>
      </c>
      <c r="V114" s="178">
        <f t="shared" si="2"/>
        <v>0</v>
      </c>
      <c r="W114" s="165"/>
    </row>
    <row r="115" spans="1:23" x14ac:dyDescent="0.2">
      <c r="A115" s="1">
        <f t="shared" si="3"/>
        <v>39733.785000000134</v>
      </c>
      <c r="B115" s="176" t="str">
        <f>IF('Peak Revenue'!$A$1="BL","-",IF(Peak!H116&gt;Peak!$G116,B$8*Peak!$AM$11,0))</f>
        <v>-</v>
      </c>
      <c r="C115" s="177" t="str">
        <f>IF('Peak Revenue'!$A$1="BL","-",IF(Peak!I116&gt;Peak!$G116,C$8*Peak!$AM$11,0))</f>
        <v>-</v>
      </c>
      <c r="D115" s="177" t="str">
        <f>IF('Peak Revenue'!$A$1="BL","-",IF(Peak!J116&gt;Peak!$G116,D$8*Peak!$AM$11,0))</f>
        <v>-</v>
      </c>
      <c r="E115" s="177" t="str">
        <f>IF('Peak Revenue'!$A$1="BL","-",IF(Peak!K116&gt;Peak!$G116,E$8*Peak!$AM$11,0))</f>
        <v>-</v>
      </c>
      <c r="F115" s="177" t="str">
        <f>IF('Peak Revenue'!$A$1="BL","-",IF(Peak!L116&gt;Peak!$G116,F$8*Peak!$AM$11,0))</f>
        <v>-</v>
      </c>
      <c r="G115" s="177" t="str">
        <f>IF('Peak Revenue'!$A$1="BL","-",IF(Peak!M116&gt;Peak!$G116,G$8*Peak!$AM$11,0))</f>
        <v>-</v>
      </c>
      <c r="H115" s="177" t="str">
        <f>IF('Peak Revenue'!$A$1="BL","-",IF(Peak!N116&gt;Peak!$G116,H$8*Peak!$AM$11,0))</f>
        <v>-</v>
      </c>
      <c r="I115" s="177" t="str">
        <f>IF('Peak Revenue'!$A$1="BL","-",IF(Peak!O116&gt;Peak!$G116,I$8*Peak!$AM$11,0))</f>
        <v>-</v>
      </c>
      <c r="J115" s="177" t="str">
        <f>IF('Peak Revenue'!$A$1="BL","-",IF(Peak!P116&gt;Peak!$G116,J$8*Peak!$AM$11,0))</f>
        <v>-</v>
      </c>
      <c r="K115" s="177" t="str">
        <f>IF('Peak Revenue'!$A$1="BL","-",IF(Peak!Q116&gt;Peak!$G116,K$8*Peak!$AM$11,0))</f>
        <v>-</v>
      </c>
      <c r="L115" s="177" t="str">
        <f>IF('Peak Revenue'!$A$1="BL","-",IF(Peak!R116&gt;Peak!$G116,L$8*Peak!$AM$11,0))</f>
        <v>-</v>
      </c>
      <c r="M115" s="177" t="str">
        <f>IF('Peak Revenue'!$A$1="BL","-",IF(Peak!S116&gt;Peak!$G116,M$8*Peak!$AM$11,0))</f>
        <v>-</v>
      </c>
      <c r="N115" s="177" t="str">
        <f>IF('Peak Revenue'!$A$1="BL","-",IF(Peak!T116&gt;Peak!$G116,N$8*Peak!$AM$11,0))</f>
        <v>-</v>
      </c>
      <c r="O115" s="177" t="str">
        <f>IF('Peak Revenue'!$A$1="BL","-",IF(Peak!U116&gt;Peak!$G116,O$8*Peak!$AM$11,0))</f>
        <v>-</v>
      </c>
      <c r="P115" s="177" t="str">
        <f>IF('Peak Revenue'!$A$1="BL","-",IF(Peak!V116&gt;Peak!$G116,P$8*Peak!$AM$11,0))</f>
        <v>-</v>
      </c>
      <c r="Q115" s="177" t="str">
        <f>IF('Peak Revenue'!$A$1="BL","-",IF(Peak!W116&gt;Peak!$G116,Q$8*Peak!$AM$11,0))</f>
        <v>-</v>
      </c>
      <c r="R115" s="177" t="str">
        <f>IF('Peak Revenue'!$A$1="BL","-",IF(Peak!X116&gt;Peak!$G116,R$8*Peak!$AM$11,0))</f>
        <v>-</v>
      </c>
      <c r="S115" s="177" t="str">
        <f>IF('Peak Revenue'!$A$1="BL","-",IF(Peak!Y116&gt;Peak!$G116,S$8*Peak!$AM$11,0))</f>
        <v>-</v>
      </c>
      <c r="T115" s="177" t="str">
        <f>IF('Peak Revenue'!$A$1="BL","-",IF(Peak!Z116&gt;Peak!$G116,T$8*Peak!$AM$11,0))</f>
        <v>-</v>
      </c>
      <c r="U115" s="177" t="str">
        <f>IF('Peak Revenue'!$A$1="BL","-",IF(Peak!AA116&gt;Peak!$G116,U$8*Peak!$AM$11,0))</f>
        <v>-</v>
      </c>
      <c r="V115" s="178">
        <f t="shared" si="2"/>
        <v>0</v>
      </c>
      <c r="W115" s="165"/>
    </row>
    <row r="116" spans="1:23" x14ac:dyDescent="0.2">
      <c r="A116" s="1">
        <f t="shared" si="3"/>
        <v>39764.202000000136</v>
      </c>
      <c r="B116" s="176" t="str">
        <f>IF('Peak Revenue'!$A$1="BL","-",IF(Peak!H117&gt;Peak!$G117,B$8*Peak!$AM$11,0))</f>
        <v>-</v>
      </c>
      <c r="C116" s="177" t="str">
        <f>IF('Peak Revenue'!$A$1="BL","-",IF(Peak!I117&gt;Peak!$G117,C$8*Peak!$AM$11,0))</f>
        <v>-</v>
      </c>
      <c r="D116" s="177" t="str">
        <f>IF('Peak Revenue'!$A$1="BL","-",IF(Peak!J117&gt;Peak!$G117,D$8*Peak!$AM$11,0))</f>
        <v>-</v>
      </c>
      <c r="E116" s="177" t="str">
        <f>IF('Peak Revenue'!$A$1="BL","-",IF(Peak!K117&gt;Peak!$G117,E$8*Peak!$AM$11,0))</f>
        <v>-</v>
      </c>
      <c r="F116" s="177" t="str">
        <f>IF('Peak Revenue'!$A$1="BL","-",IF(Peak!L117&gt;Peak!$G117,F$8*Peak!$AM$11,0))</f>
        <v>-</v>
      </c>
      <c r="G116" s="177" t="str">
        <f>IF('Peak Revenue'!$A$1="BL","-",IF(Peak!M117&gt;Peak!$G117,G$8*Peak!$AM$11,0))</f>
        <v>-</v>
      </c>
      <c r="H116" s="177" t="str">
        <f>IF('Peak Revenue'!$A$1="BL","-",IF(Peak!N117&gt;Peak!$G117,H$8*Peak!$AM$11,0))</f>
        <v>-</v>
      </c>
      <c r="I116" s="177" t="str">
        <f>IF('Peak Revenue'!$A$1="BL","-",IF(Peak!O117&gt;Peak!$G117,I$8*Peak!$AM$11,0))</f>
        <v>-</v>
      </c>
      <c r="J116" s="177" t="str">
        <f>IF('Peak Revenue'!$A$1="BL","-",IF(Peak!P117&gt;Peak!$G117,J$8*Peak!$AM$11,0))</f>
        <v>-</v>
      </c>
      <c r="K116" s="177" t="str">
        <f>IF('Peak Revenue'!$A$1="BL","-",IF(Peak!Q117&gt;Peak!$G117,K$8*Peak!$AM$11,0))</f>
        <v>-</v>
      </c>
      <c r="L116" s="177" t="str">
        <f>IF('Peak Revenue'!$A$1="BL","-",IF(Peak!R117&gt;Peak!$G117,L$8*Peak!$AM$11,0))</f>
        <v>-</v>
      </c>
      <c r="M116" s="177" t="str">
        <f>IF('Peak Revenue'!$A$1="BL","-",IF(Peak!S117&gt;Peak!$G117,M$8*Peak!$AM$11,0))</f>
        <v>-</v>
      </c>
      <c r="N116" s="177" t="str">
        <f>IF('Peak Revenue'!$A$1="BL","-",IF(Peak!T117&gt;Peak!$G117,N$8*Peak!$AM$11,0))</f>
        <v>-</v>
      </c>
      <c r="O116" s="177" t="str">
        <f>IF('Peak Revenue'!$A$1="BL","-",IF(Peak!U117&gt;Peak!$G117,O$8*Peak!$AM$11,0))</f>
        <v>-</v>
      </c>
      <c r="P116" s="177" t="str">
        <f>IF('Peak Revenue'!$A$1="BL","-",IF(Peak!V117&gt;Peak!$G117,P$8*Peak!$AM$11,0))</f>
        <v>-</v>
      </c>
      <c r="Q116" s="177" t="str">
        <f>IF('Peak Revenue'!$A$1="BL","-",IF(Peak!W117&gt;Peak!$G117,Q$8*Peak!$AM$11,0))</f>
        <v>-</v>
      </c>
      <c r="R116" s="177" t="str">
        <f>IF('Peak Revenue'!$A$1="BL","-",IF(Peak!X117&gt;Peak!$G117,R$8*Peak!$AM$11,0))</f>
        <v>-</v>
      </c>
      <c r="S116" s="177" t="str">
        <f>IF('Peak Revenue'!$A$1="BL","-",IF(Peak!Y117&gt;Peak!$G117,S$8*Peak!$AM$11,0))</f>
        <v>-</v>
      </c>
      <c r="T116" s="177" t="str">
        <f>IF('Peak Revenue'!$A$1="BL","-",IF(Peak!Z117&gt;Peak!$G117,T$8*Peak!$AM$11,0))</f>
        <v>-</v>
      </c>
      <c r="U116" s="177" t="str">
        <f>IF('Peak Revenue'!$A$1="BL","-",IF(Peak!AA117&gt;Peak!$G117,U$8*Peak!$AM$11,0))</f>
        <v>-</v>
      </c>
      <c r="V116" s="178">
        <f t="shared" si="2"/>
        <v>0</v>
      </c>
      <c r="W116" s="165"/>
    </row>
    <row r="117" spans="1:23" x14ac:dyDescent="0.2">
      <c r="A117" s="1">
        <f t="shared" si="3"/>
        <v>39794.619000000137</v>
      </c>
      <c r="B117" s="176" t="str">
        <f>IF('Peak Revenue'!$A$1="BL","-",IF(Peak!H118&gt;Peak!$G118,B$8*Peak!$AM$11,0))</f>
        <v>-</v>
      </c>
      <c r="C117" s="177" t="str">
        <f>IF('Peak Revenue'!$A$1="BL","-",IF(Peak!I118&gt;Peak!$G118,C$8*Peak!$AM$11,0))</f>
        <v>-</v>
      </c>
      <c r="D117" s="177" t="str">
        <f>IF('Peak Revenue'!$A$1="BL","-",IF(Peak!J118&gt;Peak!$G118,D$8*Peak!$AM$11,0))</f>
        <v>-</v>
      </c>
      <c r="E117" s="177" t="str">
        <f>IF('Peak Revenue'!$A$1="BL","-",IF(Peak!K118&gt;Peak!$G118,E$8*Peak!$AM$11,0))</f>
        <v>-</v>
      </c>
      <c r="F117" s="177" t="str">
        <f>IF('Peak Revenue'!$A$1="BL","-",IF(Peak!L118&gt;Peak!$G118,F$8*Peak!$AM$11,0))</f>
        <v>-</v>
      </c>
      <c r="G117" s="177" t="str">
        <f>IF('Peak Revenue'!$A$1="BL","-",IF(Peak!M118&gt;Peak!$G118,G$8*Peak!$AM$11,0))</f>
        <v>-</v>
      </c>
      <c r="H117" s="177" t="str">
        <f>IF('Peak Revenue'!$A$1="BL","-",IF(Peak!N118&gt;Peak!$G118,H$8*Peak!$AM$11,0))</f>
        <v>-</v>
      </c>
      <c r="I117" s="177" t="str">
        <f>IF('Peak Revenue'!$A$1="BL","-",IF(Peak!O118&gt;Peak!$G118,I$8*Peak!$AM$11,0))</f>
        <v>-</v>
      </c>
      <c r="J117" s="177" t="str">
        <f>IF('Peak Revenue'!$A$1="BL","-",IF(Peak!P118&gt;Peak!$G118,J$8*Peak!$AM$11,0))</f>
        <v>-</v>
      </c>
      <c r="K117" s="177" t="str">
        <f>IF('Peak Revenue'!$A$1="BL","-",IF(Peak!Q118&gt;Peak!$G118,K$8*Peak!$AM$11,0))</f>
        <v>-</v>
      </c>
      <c r="L117" s="177" t="str">
        <f>IF('Peak Revenue'!$A$1="BL","-",IF(Peak!R118&gt;Peak!$G118,L$8*Peak!$AM$11,0))</f>
        <v>-</v>
      </c>
      <c r="M117" s="177" t="str">
        <f>IF('Peak Revenue'!$A$1="BL","-",IF(Peak!S118&gt;Peak!$G118,M$8*Peak!$AM$11,0))</f>
        <v>-</v>
      </c>
      <c r="N117" s="177" t="str">
        <f>IF('Peak Revenue'!$A$1="BL","-",IF(Peak!T118&gt;Peak!$G118,N$8*Peak!$AM$11,0))</f>
        <v>-</v>
      </c>
      <c r="O117" s="177" t="str">
        <f>IF('Peak Revenue'!$A$1="BL","-",IF(Peak!U118&gt;Peak!$G118,O$8*Peak!$AM$11,0))</f>
        <v>-</v>
      </c>
      <c r="P117" s="177" t="str">
        <f>IF('Peak Revenue'!$A$1="BL","-",IF(Peak!V118&gt;Peak!$G118,P$8*Peak!$AM$11,0))</f>
        <v>-</v>
      </c>
      <c r="Q117" s="177" t="str">
        <f>IF('Peak Revenue'!$A$1="BL","-",IF(Peak!W118&gt;Peak!$G118,Q$8*Peak!$AM$11,0))</f>
        <v>-</v>
      </c>
      <c r="R117" s="177" t="str">
        <f>IF('Peak Revenue'!$A$1="BL","-",IF(Peak!X118&gt;Peak!$G118,R$8*Peak!$AM$11,0))</f>
        <v>-</v>
      </c>
      <c r="S117" s="177" t="str">
        <f>IF('Peak Revenue'!$A$1="BL","-",IF(Peak!Y118&gt;Peak!$G118,S$8*Peak!$AM$11,0))</f>
        <v>-</v>
      </c>
      <c r="T117" s="177" t="str">
        <f>IF('Peak Revenue'!$A$1="BL","-",IF(Peak!Z118&gt;Peak!$G118,T$8*Peak!$AM$11,0))</f>
        <v>-</v>
      </c>
      <c r="U117" s="177" t="str">
        <f>IF('Peak Revenue'!$A$1="BL","-",IF(Peak!AA118&gt;Peak!$G118,U$8*Peak!$AM$11,0))</f>
        <v>-</v>
      </c>
      <c r="V117" s="178">
        <f t="shared" si="2"/>
        <v>0</v>
      </c>
      <c r="W117" s="164">
        <f>SUM(V106:V117)</f>
        <v>0</v>
      </c>
    </row>
    <row r="118" spans="1:23" x14ac:dyDescent="0.2">
      <c r="A118" s="1">
        <f t="shared" si="3"/>
        <v>39825.036000000138</v>
      </c>
      <c r="B118" s="176" t="str">
        <f>IF('Peak Revenue'!$A$1="BL","-",IF(Peak!H119&gt;Peak!$G119,B$8*Peak!$AM$11,0))</f>
        <v>-</v>
      </c>
      <c r="C118" s="177" t="str">
        <f>IF('Peak Revenue'!$A$1="BL","-",IF(Peak!I119&gt;Peak!$G119,C$8*Peak!$AM$11,0))</f>
        <v>-</v>
      </c>
      <c r="D118" s="177" t="str">
        <f>IF('Peak Revenue'!$A$1="BL","-",IF(Peak!J119&gt;Peak!$G119,D$8*Peak!$AM$11,0))</f>
        <v>-</v>
      </c>
      <c r="E118" s="177" t="str">
        <f>IF('Peak Revenue'!$A$1="BL","-",IF(Peak!K119&gt;Peak!$G119,E$8*Peak!$AM$11,0))</f>
        <v>-</v>
      </c>
      <c r="F118" s="177" t="str">
        <f>IF('Peak Revenue'!$A$1="BL","-",IF(Peak!L119&gt;Peak!$G119,F$8*Peak!$AM$11,0))</f>
        <v>-</v>
      </c>
      <c r="G118" s="177" t="str">
        <f>IF('Peak Revenue'!$A$1="BL","-",IF(Peak!M119&gt;Peak!$G119,G$8*Peak!$AM$11,0))</f>
        <v>-</v>
      </c>
      <c r="H118" s="177" t="str">
        <f>IF('Peak Revenue'!$A$1="BL","-",IF(Peak!N119&gt;Peak!$G119,H$8*Peak!$AM$11,0))</f>
        <v>-</v>
      </c>
      <c r="I118" s="177" t="str">
        <f>IF('Peak Revenue'!$A$1="BL","-",IF(Peak!O119&gt;Peak!$G119,I$8*Peak!$AM$11,0))</f>
        <v>-</v>
      </c>
      <c r="J118" s="177" t="str">
        <f>IF('Peak Revenue'!$A$1="BL","-",IF(Peak!P119&gt;Peak!$G119,J$8*Peak!$AM$11,0))</f>
        <v>-</v>
      </c>
      <c r="K118" s="177" t="str">
        <f>IF('Peak Revenue'!$A$1="BL","-",IF(Peak!Q119&gt;Peak!$G119,K$8*Peak!$AM$11,0))</f>
        <v>-</v>
      </c>
      <c r="L118" s="177" t="str">
        <f>IF('Peak Revenue'!$A$1="BL","-",IF(Peak!R119&gt;Peak!$G119,L$8*Peak!$AM$11,0))</f>
        <v>-</v>
      </c>
      <c r="M118" s="177" t="str">
        <f>IF('Peak Revenue'!$A$1="BL","-",IF(Peak!S119&gt;Peak!$G119,M$8*Peak!$AM$11,0))</f>
        <v>-</v>
      </c>
      <c r="N118" s="177" t="str">
        <f>IF('Peak Revenue'!$A$1="BL","-",IF(Peak!T119&gt;Peak!$G119,N$8*Peak!$AM$11,0))</f>
        <v>-</v>
      </c>
      <c r="O118" s="177" t="str">
        <f>IF('Peak Revenue'!$A$1="BL","-",IF(Peak!U119&gt;Peak!$G119,O$8*Peak!$AM$11,0))</f>
        <v>-</v>
      </c>
      <c r="P118" s="177" t="str">
        <f>IF('Peak Revenue'!$A$1="BL","-",IF(Peak!V119&gt;Peak!$G119,P$8*Peak!$AM$11,0))</f>
        <v>-</v>
      </c>
      <c r="Q118" s="177" t="str">
        <f>IF('Peak Revenue'!$A$1="BL","-",IF(Peak!W119&gt;Peak!$G119,Q$8*Peak!$AM$11,0))</f>
        <v>-</v>
      </c>
      <c r="R118" s="177" t="str">
        <f>IF('Peak Revenue'!$A$1="BL","-",IF(Peak!X119&gt;Peak!$G119,R$8*Peak!$AM$11,0))</f>
        <v>-</v>
      </c>
      <c r="S118" s="177" t="str">
        <f>IF('Peak Revenue'!$A$1="BL","-",IF(Peak!Y119&gt;Peak!$G119,S$8*Peak!$AM$11,0))</f>
        <v>-</v>
      </c>
      <c r="T118" s="177" t="str">
        <f>IF('Peak Revenue'!$A$1="BL","-",IF(Peak!Z119&gt;Peak!$G119,T$8*Peak!$AM$11,0))</f>
        <v>-</v>
      </c>
      <c r="U118" s="177" t="str">
        <f>IF('Peak Revenue'!$A$1="BL","-",IF(Peak!AA119&gt;Peak!$G119,U$8*Peak!$AM$11,0))</f>
        <v>-</v>
      </c>
      <c r="V118" s="178">
        <f t="shared" si="2"/>
        <v>0</v>
      </c>
      <c r="W118" s="165"/>
    </row>
    <row r="119" spans="1:23" x14ac:dyDescent="0.2">
      <c r="A119" s="1">
        <f t="shared" si="3"/>
        <v>39855.45300000014</v>
      </c>
      <c r="B119" s="176" t="str">
        <f>IF('Peak Revenue'!$A$1="BL","-",IF(Peak!H120&gt;Peak!$G120,B$8*Peak!$AM$11,0))</f>
        <v>-</v>
      </c>
      <c r="C119" s="177" t="str">
        <f>IF('Peak Revenue'!$A$1="BL","-",IF(Peak!I120&gt;Peak!$G120,C$8*Peak!$AM$11,0))</f>
        <v>-</v>
      </c>
      <c r="D119" s="177" t="str">
        <f>IF('Peak Revenue'!$A$1="BL","-",IF(Peak!J120&gt;Peak!$G120,D$8*Peak!$AM$11,0))</f>
        <v>-</v>
      </c>
      <c r="E119" s="177" t="str">
        <f>IF('Peak Revenue'!$A$1="BL","-",IF(Peak!K120&gt;Peak!$G120,E$8*Peak!$AM$11,0))</f>
        <v>-</v>
      </c>
      <c r="F119" s="177" t="str">
        <f>IF('Peak Revenue'!$A$1="BL","-",IF(Peak!L120&gt;Peak!$G120,F$8*Peak!$AM$11,0))</f>
        <v>-</v>
      </c>
      <c r="G119" s="177" t="str">
        <f>IF('Peak Revenue'!$A$1="BL","-",IF(Peak!M120&gt;Peak!$G120,G$8*Peak!$AM$11,0))</f>
        <v>-</v>
      </c>
      <c r="H119" s="177" t="str">
        <f>IF('Peak Revenue'!$A$1="BL","-",IF(Peak!N120&gt;Peak!$G120,H$8*Peak!$AM$11,0))</f>
        <v>-</v>
      </c>
      <c r="I119" s="177" t="str">
        <f>IF('Peak Revenue'!$A$1="BL","-",IF(Peak!O120&gt;Peak!$G120,I$8*Peak!$AM$11,0))</f>
        <v>-</v>
      </c>
      <c r="J119" s="177" t="str">
        <f>IF('Peak Revenue'!$A$1="BL","-",IF(Peak!P120&gt;Peak!$G120,J$8*Peak!$AM$11,0))</f>
        <v>-</v>
      </c>
      <c r="K119" s="177" t="str">
        <f>IF('Peak Revenue'!$A$1="BL","-",IF(Peak!Q120&gt;Peak!$G120,K$8*Peak!$AM$11,0))</f>
        <v>-</v>
      </c>
      <c r="L119" s="177" t="str">
        <f>IF('Peak Revenue'!$A$1="BL","-",IF(Peak!R120&gt;Peak!$G120,L$8*Peak!$AM$11,0))</f>
        <v>-</v>
      </c>
      <c r="M119" s="177" t="str">
        <f>IF('Peak Revenue'!$A$1="BL","-",IF(Peak!S120&gt;Peak!$G120,M$8*Peak!$AM$11,0))</f>
        <v>-</v>
      </c>
      <c r="N119" s="177" t="str">
        <f>IF('Peak Revenue'!$A$1="BL","-",IF(Peak!T120&gt;Peak!$G120,N$8*Peak!$AM$11,0))</f>
        <v>-</v>
      </c>
      <c r="O119" s="177" t="str">
        <f>IF('Peak Revenue'!$A$1="BL","-",IF(Peak!U120&gt;Peak!$G120,O$8*Peak!$AM$11,0))</f>
        <v>-</v>
      </c>
      <c r="P119" s="177" t="str">
        <f>IF('Peak Revenue'!$A$1="BL","-",IF(Peak!V120&gt;Peak!$G120,P$8*Peak!$AM$11,0))</f>
        <v>-</v>
      </c>
      <c r="Q119" s="177" t="str">
        <f>IF('Peak Revenue'!$A$1="BL","-",IF(Peak!W120&gt;Peak!$G120,Q$8*Peak!$AM$11,0))</f>
        <v>-</v>
      </c>
      <c r="R119" s="177" t="str">
        <f>IF('Peak Revenue'!$A$1="BL","-",IF(Peak!X120&gt;Peak!$G120,R$8*Peak!$AM$11,0))</f>
        <v>-</v>
      </c>
      <c r="S119" s="177" t="str">
        <f>IF('Peak Revenue'!$A$1="BL","-",IF(Peak!Y120&gt;Peak!$G120,S$8*Peak!$AM$11,0))</f>
        <v>-</v>
      </c>
      <c r="T119" s="177" t="str">
        <f>IF('Peak Revenue'!$A$1="BL","-",IF(Peak!Z120&gt;Peak!$G120,T$8*Peak!$AM$11,0))</f>
        <v>-</v>
      </c>
      <c r="U119" s="177" t="str">
        <f>IF('Peak Revenue'!$A$1="BL","-",IF(Peak!AA120&gt;Peak!$G120,U$8*Peak!$AM$11,0))</f>
        <v>-</v>
      </c>
      <c r="V119" s="178">
        <f t="shared" si="2"/>
        <v>0</v>
      </c>
      <c r="W119" s="165"/>
    </row>
    <row r="120" spans="1:23" x14ac:dyDescent="0.2">
      <c r="A120" s="1">
        <f t="shared" si="3"/>
        <v>39885.870000000141</v>
      </c>
      <c r="B120" s="176" t="str">
        <f>IF('Peak Revenue'!$A$1="BL","-",IF(Peak!H121&gt;Peak!$G121,B$8*Peak!$AM$11,0))</f>
        <v>-</v>
      </c>
      <c r="C120" s="177" t="str">
        <f>IF('Peak Revenue'!$A$1="BL","-",IF(Peak!I121&gt;Peak!$G121,C$8*Peak!$AM$11,0))</f>
        <v>-</v>
      </c>
      <c r="D120" s="177" t="str">
        <f>IF('Peak Revenue'!$A$1="BL","-",IF(Peak!J121&gt;Peak!$G121,D$8*Peak!$AM$11,0))</f>
        <v>-</v>
      </c>
      <c r="E120" s="177" t="str">
        <f>IF('Peak Revenue'!$A$1="BL","-",IF(Peak!K121&gt;Peak!$G121,E$8*Peak!$AM$11,0))</f>
        <v>-</v>
      </c>
      <c r="F120" s="177" t="str">
        <f>IF('Peak Revenue'!$A$1="BL","-",IF(Peak!L121&gt;Peak!$G121,F$8*Peak!$AM$11,0))</f>
        <v>-</v>
      </c>
      <c r="G120" s="177" t="str">
        <f>IF('Peak Revenue'!$A$1="BL","-",IF(Peak!M121&gt;Peak!$G121,G$8*Peak!$AM$11,0))</f>
        <v>-</v>
      </c>
      <c r="H120" s="177" t="str">
        <f>IF('Peak Revenue'!$A$1="BL","-",IF(Peak!N121&gt;Peak!$G121,H$8*Peak!$AM$11,0))</f>
        <v>-</v>
      </c>
      <c r="I120" s="177" t="str">
        <f>IF('Peak Revenue'!$A$1="BL","-",IF(Peak!O121&gt;Peak!$G121,I$8*Peak!$AM$11,0))</f>
        <v>-</v>
      </c>
      <c r="J120" s="177" t="str">
        <f>IF('Peak Revenue'!$A$1="BL","-",IF(Peak!P121&gt;Peak!$G121,J$8*Peak!$AM$11,0))</f>
        <v>-</v>
      </c>
      <c r="K120" s="177" t="str">
        <f>IF('Peak Revenue'!$A$1="BL","-",IF(Peak!Q121&gt;Peak!$G121,K$8*Peak!$AM$11,0))</f>
        <v>-</v>
      </c>
      <c r="L120" s="177" t="str">
        <f>IF('Peak Revenue'!$A$1="BL","-",IF(Peak!R121&gt;Peak!$G121,L$8*Peak!$AM$11,0))</f>
        <v>-</v>
      </c>
      <c r="M120" s="177" t="str">
        <f>IF('Peak Revenue'!$A$1="BL","-",IF(Peak!S121&gt;Peak!$G121,M$8*Peak!$AM$11,0))</f>
        <v>-</v>
      </c>
      <c r="N120" s="177" t="str">
        <f>IF('Peak Revenue'!$A$1="BL","-",IF(Peak!T121&gt;Peak!$G121,N$8*Peak!$AM$11,0))</f>
        <v>-</v>
      </c>
      <c r="O120" s="177" t="str">
        <f>IF('Peak Revenue'!$A$1="BL","-",IF(Peak!U121&gt;Peak!$G121,O$8*Peak!$AM$11,0))</f>
        <v>-</v>
      </c>
      <c r="P120" s="177" t="str">
        <f>IF('Peak Revenue'!$A$1="BL","-",IF(Peak!V121&gt;Peak!$G121,P$8*Peak!$AM$11,0))</f>
        <v>-</v>
      </c>
      <c r="Q120" s="177" t="str">
        <f>IF('Peak Revenue'!$A$1="BL","-",IF(Peak!W121&gt;Peak!$G121,Q$8*Peak!$AM$11,0))</f>
        <v>-</v>
      </c>
      <c r="R120" s="177" t="str">
        <f>IF('Peak Revenue'!$A$1="BL","-",IF(Peak!X121&gt;Peak!$G121,R$8*Peak!$AM$11,0))</f>
        <v>-</v>
      </c>
      <c r="S120" s="177" t="str">
        <f>IF('Peak Revenue'!$A$1="BL","-",IF(Peak!Y121&gt;Peak!$G121,S$8*Peak!$AM$11,0))</f>
        <v>-</v>
      </c>
      <c r="T120" s="177" t="str">
        <f>IF('Peak Revenue'!$A$1="BL","-",IF(Peak!Z121&gt;Peak!$G121,T$8*Peak!$AM$11,0))</f>
        <v>-</v>
      </c>
      <c r="U120" s="177" t="str">
        <f>IF('Peak Revenue'!$A$1="BL","-",IF(Peak!AA121&gt;Peak!$G121,U$8*Peak!$AM$11,0))</f>
        <v>-</v>
      </c>
      <c r="V120" s="178">
        <f t="shared" si="2"/>
        <v>0</v>
      </c>
      <c r="W120" s="165"/>
    </row>
    <row r="121" spans="1:23" x14ac:dyDescent="0.2">
      <c r="A121" s="1">
        <f t="shared" si="3"/>
        <v>39916.287000000142</v>
      </c>
      <c r="B121" s="176" t="str">
        <f>IF('Peak Revenue'!$A$1="BL","-",IF(Peak!H122&gt;Peak!$G122,B$8*Peak!$AM$11,0))</f>
        <v>-</v>
      </c>
      <c r="C121" s="177" t="str">
        <f>IF('Peak Revenue'!$A$1="BL","-",IF(Peak!I122&gt;Peak!$G122,C$8*Peak!$AM$11,0))</f>
        <v>-</v>
      </c>
      <c r="D121" s="177" t="str">
        <f>IF('Peak Revenue'!$A$1="BL","-",IF(Peak!J122&gt;Peak!$G122,D$8*Peak!$AM$11,0))</f>
        <v>-</v>
      </c>
      <c r="E121" s="177" t="str">
        <f>IF('Peak Revenue'!$A$1="BL","-",IF(Peak!K122&gt;Peak!$G122,E$8*Peak!$AM$11,0))</f>
        <v>-</v>
      </c>
      <c r="F121" s="177" t="str">
        <f>IF('Peak Revenue'!$A$1="BL","-",IF(Peak!L122&gt;Peak!$G122,F$8*Peak!$AM$11,0))</f>
        <v>-</v>
      </c>
      <c r="G121" s="177" t="str">
        <f>IF('Peak Revenue'!$A$1="BL","-",IF(Peak!M122&gt;Peak!$G122,G$8*Peak!$AM$11,0))</f>
        <v>-</v>
      </c>
      <c r="H121" s="177" t="str">
        <f>IF('Peak Revenue'!$A$1="BL","-",IF(Peak!N122&gt;Peak!$G122,H$8*Peak!$AM$11,0))</f>
        <v>-</v>
      </c>
      <c r="I121" s="177" t="str">
        <f>IF('Peak Revenue'!$A$1="BL","-",IF(Peak!O122&gt;Peak!$G122,I$8*Peak!$AM$11,0))</f>
        <v>-</v>
      </c>
      <c r="J121" s="177" t="str">
        <f>IF('Peak Revenue'!$A$1="BL","-",IF(Peak!P122&gt;Peak!$G122,J$8*Peak!$AM$11,0))</f>
        <v>-</v>
      </c>
      <c r="K121" s="177" t="str">
        <f>IF('Peak Revenue'!$A$1="BL","-",IF(Peak!Q122&gt;Peak!$G122,K$8*Peak!$AM$11,0))</f>
        <v>-</v>
      </c>
      <c r="L121" s="177" t="str">
        <f>IF('Peak Revenue'!$A$1="BL","-",IF(Peak!R122&gt;Peak!$G122,L$8*Peak!$AM$11,0))</f>
        <v>-</v>
      </c>
      <c r="M121" s="177" t="str">
        <f>IF('Peak Revenue'!$A$1="BL","-",IF(Peak!S122&gt;Peak!$G122,M$8*Peak!$AM$11,0))</f>
        <v>-</v>
      </c>
      <c r="N121" s="177" t="str">
        <f>IF('Peak Revenue'!$A$1="BL","-",IF(Peak!T122&gt;Peak!$G122,N$8*Peak!$AM$11,0))</f>
        <v>-</v>
      </c>
      <c r="O121" s="177" t="str">
        <f>IF('Peak Revenue'!$A$1="BL","-",IF(Peak!U122&gt;Peak!$G122,O$8*Peak!$AM$11,0))</f>
        <v>-</v>
      </c>
      <c r="P121" s="177" t="str">
        <f>IF('Peak Revenue'!$A$1="BL","-",IF(Peak!V122&gt;Peak!$G122,P$8*Peak!$AM$11,0))</f>
        <v>-</v>
      </c>
      <c r="Q121" s="177" t="str">
        <f>IF('Peak Revenue'!$A$1="BL","-",IF(Peak!W122&gt;Peak!$G122,Q$8*Peak!$AM$11,0))</f>
        <v>-</v>
      </c>
      <c r="R121" s="177" t="str">
        <f>IF('Peak Revenue'!$A$1="BL","-",IF(Peak!X122&gt;Peak!$G122,R$8*Peak!$AM$11,0))</f>
        <v>-</v>
      </c>
      <c r="S121" s="177" t="str">
        <f>IF('Peak Revenue'!$A$1="BL","-",IF(Peak!Y122&gt;Peak!$G122,S$8*Peak!$AM$11,0))</f>
        <v>-</v>
      </c>
      <c r="T121" s="177" t="str">
        <f>IF('Peak Revenue'!$A$1="BL","-",IF(Peak!Z122&gt;Peak!$G122,T$8*Peak!$AM$11,0))</f>
        <v>-</v>
      </c>
      <c r="U121" s="177" t="str">
        <f>IF('Peak Revenue'!$A$1="BL","-",IF(Peak!AA122&gt;Peak!$G122,U$8*Peak!$AM$11,0))</f>
        <v>-</v>
      </c>
      <c r="V121" s="178">
        <f t="shared" si="2"/>
        <v>0</v>
      </c>
      <c r="W121" s="165"/>
    </row>
    <row r="122" spans="1:23" x14ac:dyDescent="0.2">
      <c r="A122" s="1">
        <f t="shared" si="3"/>
        <v>39946.704000000143</v>
      </c>
      <c r="B122" s="176" t="str">
        <f>IF('Peak Revenue'!$A$1="BL","-",IF(Peak!H123&gt;Peak!$G123,B$8*Peak!$AM$11,0))</f>
        <v>-</v>
      </c>
      <c r="C122" s="177" t="str">
        <f>IF('Peak Revenue'!$A$1="BL","-",IF(Peak!I123&gt;Peak!$G123,C$8*Peak!$AM$11,0))</f>
        <v>-</v>
      </c>
      <c r="D122" s="177" t="str">
        <f>IF('Peak Revenue'!$A$1="BL","-",IF(Peak!J123&gt;Peak!$G123,D$8*Peak!$AM$11,0))</f>
        <v>-</v>
      </c>
      <c r="E122" s="177" t="str">
        <f>IF('Peak Revenue'!$A$1="BL","-",IF(Peak!K123&gt;Peak!$G123,E$8*Peak!$AM$11,0))</f>
        <v>-</v>
      </c>
      <c r="F122" s="177" t="str">
        <f>IF('Peak Revenue'!$A$1="BL","-",IF(Peak!L123&gt;Peak!$G123,F$8*Peak!$AM$11,0))</f>
        <v>-</v>
      </c>
      <c r="G122" s="177" t="str">
        <f>IF('Peak Revenue'!$A$1="BL","-",IF(Peak!M123&gt;Peak!$G123,G$8*Peak!$AM$11,0))</f>
        <v>-</v>
      </c>
      <c r="H122" s="177" t="str">
        <f>IF('Peak Revenue'!$A$1="BL","-",IF(Peak!N123&gt;Peak!$G123,H$8*Peak!$AM$11,0))</f>
        <v>-</v>
      </c>
      <c r="I122" s="177" t="str">
        <f>IF('Peak Revenue'!$A$1="BL","-",IF(Peak!O123&gt;Peak!$G123,I$8*Peak!$AM$11,0))</f>
        <v>-</v>
      </c>
      <c r="J122" s="177" t="str">
        <f>IF('Peak Revenue'!$A$1="BL","-",IF(Peak!P123&gt;Peak!$G123,J$8*Peak!$AM$11,0))</f>
        <v>-</v>
      </c>
      <c r="K122" s="177" t="str">
        <f>IF('Peak Revenue'!$A$1="BL","-",IF(Peak!Q123&gt;Peak!$G123,K$8*Peak!$AM$11,0))</f>
        <v>-</v>
      </c>
      <c r="L122" s="177" t="str">
        <f>IF('Peak Revenue'!$A$1="BL","-",IF(Peak!R123&gt;Peak!$G123,L$8*Peak!$AM$11,0))</f>
        <v>-</v>
      </c>
      <c r="M122" s="177" t="str">
        <f>IF('Peak Revenue'!$A$1="BL","-",IF(Peak!S123&gt;Peak!$G123,M$8*Peak!$AM$11,0))</f>
        <v>-</v>
      </c>
      <c r="N122" s="177" t="str">
        <f>IF('Peak Revenue'!$A$1="BL","-",IF(Peak!T123&gt;Peak!$G123,N$8*Peak!$AM$11,0))</f>
        <v>-</v>
      </c>
      <c r="O122" s="177" t="str">
        <f>IF('Peak Revenue'!$A$1="BL","-",IF(Peak!U123&gt;Peak!$G123,O$8*Peak!$AM$11,0))</f>
        <v>-</v>
      </c>
      <c r="P122" s="177" t="str">
        <f>IF('Peak Revenue'!$A$1="BL","-",IF(Peak!V123&gt;Peak!$G123,P$8*Peak!$AM$11,0))</f>
        <v>-</v>
      </c>
      <c r="Q122" s="177" t="str">
        <f>IF('Peak Revenue'!$A$1="BL","-",IF(Peak!W123&gt;Peak!$G123,Q$8*Peak!$AM$11,0))</f>
        <v>-</v>
      </c>
      <c r="R122" s="177" t="str">
        <f>IF('Peak Revenue'!$A$1="BL","-",IF(Peak!X123&gt;Peak!$G123,R$8*Peak!$AM$11,0))</f>
        <v>-</v>
      </c>
      <c r="S122" s="177" t="str">
        <f>IF('Peak Revenue'!$A$1="BL","-",IF(Peak!Y123&gt;Peak!$G123,S$8*Peak!$AM$11,0))</f>
        <v>-</v>
      </c>
      <c r="T122" s="177" t="str">
        <f>IF('Peak Revenue'!$A$1="BL","-",IF(Peak!Z123&gt;Peak!$G123,T$8*Peak!$AM$11,0))</f>
        <v>-</v>
      </c>
      <c r="U122" s="177" t="str">
        <f>IF('Peak Revenue'!$A$1="BL","-",IF(Peak!AA123&gt;Peak!$G123,U$8*Peak!$AM$11,0))</f>
        <v>-</v>
      </c>
      <c r="V122" s="178">
        <f t="shared" si="2"/>
        <v>0</v>
      </c>
      <c r="W122" s="165"/>
    </row>
    <row r="123" spans="1:23" x14ac:dyDescent="0.2">
      <c r="A123" s="1">
        <f t="shared" si="3"/>
        <v>39977.121000000145</v>
      </c>
      <c r="B123" s="176" t="str">
        <f>IF('Peak Revenue'!$A$1="BL","-",IF(Peak!H124&gt;Peak!$G124,B$8*Peak!$AM$11,0))</f>
        <v>-</v>
      </c>
      <c r="C123" s="177" t="str">
        <f>IF('Peak Revenue'!$A$1="BL","-",IF(Peak!I124&gt;Peak!$G124,C$8*Peak!$AM$11,0))</f>
        <v>-</v>
      </c>
      <c r="D123" s="177" t="str">
        <f>IF('Peak Revenue'!$A$1="BL","-",IF(Peak!J124&gt;Peak!$G124,D$8*Peak!$AM$11,0))</f>
        <v>-</v>
      </c>
      <c r="E123" s="177" t="str">
        <f>IF('Peak Revenue'!$A$1="BL","-",IF(Peak!K124&gt;Peak!$G124,E$8*Peak!$AM$11,0))</f>
        <v>-</v>
      </c>
      <c r="F123" s="177" t="str">
        <f>IF('Peak Revenue'!$A$1="BL","-",IF(Peak!L124&gt;Peak!$G124,F$8*Peak!$AM$11,0))</f>
        <v>-</v>
      </c>
      <c r="G123" s="177" t="str">
        <f>IF('Peak Revenue'!$A$1="BL","-",IF(Peak!M124&gt;Peak!$G124,G$8*Peak!$AM$11,0))</f>
        <v>-</v>
      </c>
      <c r="H123" s="177" t="str">
        <f>IF('Peak Revenue'!$A$1="BL","-",IF(Peak!N124&gt;Peak!$G124,H$8*Peak!$AM$11,0))</f>
        <v>-</v>
      </c>
      <c r="I123" s="177" t="str">
        <f>IF('Peak Revenue'!$A$1="BL","-",IF(Peak!O124&gt;Peak!$G124,I$8*Peak!$AM$11,0))</f>
        <v>-</v>
      </c>
      <c r="J123" s="177" t="str">
        <f>IF('Peak Revenue'!$A$1="BL","-",IF(Peak!P124&gt;Peak!$G124,J$8*Peak!$AM$11,0))</f>
        <v>-</v>
      </c>
      <c r="K123" s="177" t="str">
        <f>IF('Peak Revenue'!$A$1="BL","-",IF(Peak!Q124&gt;Peak!$G124,K$8*Peak!$AM$11,0))</f>
        <v>-</v>
      </c>
      <c r="L123" s="177" t="str">
        <f>IF('Peak Revenue'!$A$1="BL","-",IF(Peak!R124&gt;Peak!$G124,L$8*Peak!$AM$11,0))</f>
        <v>-</v>
      </c>
      <c r="M123" s="177" t="str">
        <f>IF('Peak Revenue'!$A$1="BL","-",IF(Peak!S124&gt;Peak!$G124,M$8*Peak!$AM$11,0))</f>
        <v>-</v>
      </c>
      <c r="N123" s="177" t="str">
        <f>IF('Peak Revenue'!$A$1="BL","-",IF(Peak!T124&gt;Peak!$G124,N$8*Peak!$AM$11,0))</f>
        <v>-</v>
      </c>
      <c r="O123" s="177" t="str">
        <f>IF('Peak Revenue'!$A$1="BL","-",IF(Peak!U124&gt;Peak!$G124,O$8*Peak!$AM$11,0))</f>
        <v>-</v>
      </c>
      <c r="P123" s="177" t="str">
        <f>IF('Peak Revenue'!$A$1="BL","-",IF(Peak!V124&gt;Peak!$G124,P$8*Peak!$AM$11,0))</f>
        <v>-</v>
      </c>
      <c r="Q123" s="177" t="str">
        <f>IF('Peak Revenue'!$A$1="BL","-",IF(Peak!W124&gt;Peak!$G124,Q$8*Peak!$AM$11,0))</f>
        <v>-</v>
      </c>
      <c r="R123" s="177" t="str">
        <f>IF('Peak Revenue'!$A$1="BL","-",IF(Peak!X124&gt;Peak!$G124,R$8*Peak!$AM$11,0))</f>
        <v>-</v>
      </c>
      <c r="S123" s="177" t="str">
        <f>IF('Peak Revenue'!$A$1="BL","-",IF(Peak!Y124&gt;Peak!$G124,S$8*Peak!$AM$11,0))</f>
        <v>-</v>
      </c>
      <c r="T123" s="177" t="str">
        <f>IF('Peak Revenue'!$A$1="BL","-",IF(Peak!Z124&gt;Peak!$G124,T$8*Peak!$AM$11,0))</f>
        <v>-</v>
      </c>
      <c r="U123" s="177" t="str">
        <f>IF('Peak Revenue'!$A$1="BL","-",IF(Peak!AA124&gt;Peak!$G124,U$8*Peak!$AM$11,0))</f>
        <v>-</v>
      </c>
      <c r="V123" s="178">
        <f t="shared" si="2"/>
        <v>0</v>
      </c>
      <c r="W123" s="165"/>
    </row>
    <row r="124" spans="1:23" x14ac:dyDescent="0.2">
      <c r="A124" s="1">
        <f t="shared" si="3"/>
        <v>40007.538000000146</v>
      </c>
      <c r="B124" s="176" t="str">
        <f>IF('Peak Revenue'!$A$1="BL","-",IF(Peak!H125&gt;Peak!$G125,B$8*Peak!$AM$11,0))</f>
        <v>-</v>
      </c>
      <c r="C124" s="177" t="str">
        <f>IF('Peak Revenue'!$A$1="BL","-",IF(Peak!I125&gt;Peak!$G125,C$8*Peak!$AM$11,0))</f>
        <v>-</v>
      </c>
      <c r="D124" s="177" t="str">
        <f>IF('Peak Revenue'!$A$1="BL","-",IF(Peak!J125&gt;Peak!$G125,D$8*Peak!$AM$11,0))</f>
        <v>-</v>
      </c>
      <c r="E124" s="177" t="str">
        <f>IF('Peak Revenue'!$A$1="BL","-",IF(Peak!K125&gt;Peak!$G125,E$8*Peak!$AM$11,0))</f>
        <v>-</v>
      </c>
      <c r="F124" s="177" t="str">
        <f>IF('Peak Revenue'!$A$1="BL","-",IF(Peak!L125&gt;Peak!$G125,F$8*Peak!$AM$11,0))</f>
        <v>-</v>
      </c>
      <c r="G124" s="177" t="str">
        <f>IF('Peak Revenue'!$A$1="BL","-",IF(Peak!M125&gt;Peak!$G125,G$8*Peak!$AM$11,0))</f>
        <v>-</v>
      </c>
      <c r="H124" s="177" t="str">
        <f>IF('Peak Revenue'!$A$1="BL","-",IF(Peak!N125&gt;Peak!$G125,H$8*Peak!$AM$11,0))</f>
        <v>-</v>
      </c>
      <c r="I124" s="177" t="str">
        <f>IF('Peak Revenue'!$A$1="BL","-",IF(Peak!O125&gt;Peak!$G125,I$8*Peak!$AM$11,0))</f>
        <v>-</v>
      </c>
      <c r="J124" s="177" t="str">
        <f>IF('Peak Revenue'!$A$1="BL","-",IF(Peak!P125&gt;Peak!$G125,J$8*Peak!$AM$11,0))</f>
        <v>-</v>
      </c>
      <c r="K124" s="177" t="str">
        <f>IF('Peak Revenue'!$A$1="BL","-",IF(Peak!Q125&gt;Peak!$G125,K$8*Peak!$AM$11,0))</f>
        <v>-</v>
      </c>
      <c r="L124" s="177" t="str">
        <f>IF('Peak Revenue'!$A$1="BL","-",IF(Peak!R125&gt;Peak!$G125,L$8*Peak!$AM$11,0))</f>
        <v>-</v>
      </c>
      <c r="M124" s="177" t="str">
        <f>IF('Peak Revenue'!$A$1="BL","-",IF(Peak!S125&gt;Peak!$G125,M$8*Peak!$AM$11,0))</f>
        <v>-</v>
      </c>
      <c r="N124" s="177" t="str">
        <f>IF('Peak Revenue'!$A$1="BL","-",IF(Peak!T125&gt;Peak!$G125,N$8*Peak!$AM$11,0))</f>
        <v>-</v>
      </c>
      <c r="O124" s="177" t="str">
        <f>IF('Peak Revenue'!$A$1="BL","-",IF(Peak!U125&gt;Peak!$G125,O$8*Peak!$AM$11,0))</f>
        <v>-</v>
      </c>
      <c r="P124" s="177" t="str">
        <f>IF('Peak Revenue'!$A$1="BL","-",IF(Peak!V125&gt;Peak!$G125,P$8*Peak!$AM$11,0))</f>
        <v>-</v>
      </c>
      <c r="Q124" s="177" t="str">
        <f>IF('Peak Revenue'!$A$1="BL","-",IF(Peak!W125&gt;Peak!$G125,Q$8*Peak!$AM$11,0))</f>
        <v>-</v>
      </c>
      <c r="R124" s="177" t="str">
        <f>IF('Peak Revenue'!$A$1="BL","-",IF(Peak!X125&gt;Peak!$G125,R$8*Peak!$AM$11,0))</f>
        <v>-</v>
      </c>
      <c r="S124" s="177" t="str">
        <f>IF('Peak Revenue'!$A$1="BL","-",IF(Peak!Y125&gt;Peak!$G125,S$8*Peak!$AM$11,0))</f>
        <v>-</v>
      </c>
      <c r="T124" s="177" t="str">
        <f>IF('Peak Revenue'!$A$1="BL","-",IF(Peak!Z125&gt;Peak!$G125,T$8*Peak!$AM$11,0))</f>
        <v>-</v>
      </c>
      <c r="U124" s="177" t="str">
        <f>IF('Peak Revenue'!$A$1="BL","-",IF(Peak!AA125&gt;Peak!$G125,U$8*Peak!$AM$11,0))</f>
        <v>-</v>
      </c>
      <c r="V124" s="178">
        <f t="shared" si="2"/>
        <v>0</v>
      </c>
      <c r="W124" s="165"/>
    </row>
    <row r="125" spans="1:23" x14ac:dyDescent="0.2">
      <c r="A125" s="1">
        <f t="shared" si="3"/>
        <v>40037.955000000147</v>
      </c>
      <c r="B125" s="176" t="str">
        <f>IF('Peak Revenue'!$A$1="BL","-",IF(Peak!H126&gt;Peak!$G126,B$8*Peak!$AM$11,0))</f>
        <v>-</v>
      </c>
      <c r="C125" s="177" t="str">
        <f>IF('Peak Revenue'!$A$1="BL","-",IF(Peak!I126&gt;Peak!$G126,C$8*Peak!$AM$11,0))</f>
        <v>-</v>
      </c>
      <c r="D125" s="177" t="str">
        <f>IF('Peak Revenue'!$A$1="BL","-",IF(Peak!J126&gt;Peak!$G126,D$8*Peak!$AM$11,0))</f>
        <v>-</v>
      </c>
      <c r="E125" s="177" t="str">
        <f>IF('Peak Revenue'!$A$1="BL","-",IF(Peak!K126&gt;Peak!$G126,E$8*Peak!$AM$11,0))</f>
        <v>-</v>
      </c>
      <c r="F125" s="177" t="str">
        <f>IF('Peak Revenue'!$A$1="BL","-",IF(Peak!L126&gt;Peak!$G126,F$8*Peak!$AM$11,0))</f>
        <v>-</v>
      </c>
      <c r="G125" s="177" t="str">
        <f>IF('Peak Revenue'!$A$1="BL","-",IF(Peak!M126&gt;Peak!$G126,G$8*Peak!$AM$11,0))</f>
        <v>-</v>
      </c>
      <c r="H125" s="177" t="str">
        <f>IF('Peak Revenue'!$A$1="BL","-",IF(Peak!N126&gt;Peak!$G126,H$8*Peak!$AM$11,0))</f>
        <v>-</v>
      </c>
      <c r="I125" s="177" t="str">
        <f>IF('Peak Revenue'!$A$1="BL","-",IF(Peak!O126&gt;Peak!$G126,I$8*Peak!$AM$11,0))</f>
        <v>-</v>
      </c>
      <c r="J125" s="177" t="str">
        <f>IF('Peak Revenue'!$A$1="BL","-",IF(Peak!P126&gt;Peak!$G126,J$8*Peak!$AM$11,0))</f>
        <v>-</v>
      </c>
      <c r="K125" s="177" t="str">
        <f>IF('Peak Revenue'!$A$1="BL","-",IF(Peak!Q126&gt;Peak!$G126,K$8*Peak!$AM$11,0))</f>
        <v>-</v>
      </c>
      <c r="L125" s="177" t="str">
        <f>IF('Peak Revenue'!$A$1="BL","-",IF(Peak!R126&gt;Peak!$G126,L$8*Peak!$AM$11,0))</f>
        <v>-</v>
      </c>
      <c r="M125" s="177" t="str">
        <f>IF('Peak Revenue'!$A$1="BL","-",IF(Peak!S126&gt;Peak!$G126,M$8*Peak!$AM$11,0))</f>
        <v>-</v>
      </c>
      <c r="N125" s="177" t="str">
        <f>IF('Peak Revenue'!$A$1="BL","-",IF(Peak!T126&gt;Peak!$G126,N$8*Peak!$AM$11,0))</f>
        <v>-</v>
      </c>
      <c r="O125" s="177" t="str">
        <f>IF('Peak Revenue'!$A$1="BL","-",IF(Peak!U126&gt;Peak!$G126,O$8*Peak!$AM$11,0))</f>
        <v>-</v>
      </c>
      <c r="P125" s="177" t="str">
        <f>IF('Peak Revenue'!$A$1="BL","-",IF(Peak!V126&gt;Peak!$G126,P$8*Peak!$AM$11,0))</f>
        <v>-</v>
      </c>
      <c r="Q125" s="177" t="str">
        <f>IF('Peak Revenue'!$A$1="BL","-",IF(Peak!W126&gt;Peak!$G126,Q$8*Peak!$AM$11,0))</f>
        <v>-</v>
      </c>
      <c r="R125" s="177" t="str">
        <f>IF('Peak Revenue'!$A$1="BL","-",IF(Peak!X126&gt;Peak!$G126,R$8*Peak!$AM$11,0))</f>
        <v>-</v>
      </c>
      <c r="S125" s="177" t="str">
        <f>IF('Peak Revenue'!$A$1="BL","-",IF(Peak!Y126&gt;Peak!$G126,S$8*Peak!$AM$11,0))</f>
        <v>-</v>
      </c>
      <c r="T125" s="177" t="str">
        <f>IF('Peak Revenue'!$A$1="BL","-",IF(Peak!Z126&gt;Peak!$G126,T$8*Peak!$AM$11,0))</f>
        <v>-</v>
      </c>
      <c r="U125" s="177" t="str">
        <f>IF('Peak Revenue'!$A$1="BL","-",IF(Peak!AA126&gt;Peak!$G126,U$8*Peak!$AM$11,0))</f>
        <v>-</v>
      </c>
      <c r="V125" s="178">
        <f t="shared" si="2"/>
        <v>0</v>
      </c>
      <c r="W125" s="165"/>
    </row>
    <row r="126" spans="1:23" x14ac:dyDescent="0.2">
      <c r="A126" s="1">
        <f t="shared" si="3"/>
        <v>40068.372000000149</v>
      </c>
      <c r="B126" s="176" t="str">
        <f>IF('Peak Revenue'!$A$1="BL","-",IF(Peak!H127&gt;Peak!$G127,B$8*Peak!$AM$11,0))</f>
        <v>-</v>
      </c>
      <c r="C126" s="177" t="str">
        <f>IF('Peak Revenue'!$A$1="BL","-",IF(Peak!I127&gt;Peak!$G127,C$8*Peak!$AM$11,0))</f>
        <v>-</v>
      </c>
      <c r="D126" s="177" t="str">
        <f>IF('Peak Revenue'!$A$1="BL","-",IF(Peak!J127&gt;Peak!$G127,D$8*Peak!$AM$11,0))</f>
        <v>-</v>
      </c>
      <c r="E126" s="177" t="str">
        <f>IF('Peak Revenue'!$A$1="BL","-",IF(Peak!K127&gt;Peak!$G127,E$8*Peak!$AM$11,0))</f>
        <v>-</v>
      </c>
      <c r="F126" s="177" t="str">
        <f>IF('Peak Revenue'!$A$1="BL","-",IF(Peak!L127&gt;Peak!$G127,F$8*Peak!$AM$11,0))</f>
        <v>-</v>
      </c>
      <c r="G126" s="177" t="str">
        <f>IF('Peak Revenue'!$A$1="BL","-",IF(Peak!M127&gt;Peak!$G127,G$8*Peak!$AM$11,0))</f>
        <v>-</v>
      </c>
      <c r="H126" s="177" t="str">
        <f>IF('Peak Revenue'!$A$1="BL","-",IF(Peak!N127&gt;Peak!$G127,H$8*Peak!$AM$11,0))</f>
        <v>-</v>
      </c>
      <c r="I126" s="177" t="str">
        <f>IF('Peak Revenue'!$A$1="BL","-",IF(Peak!O127&gt;Peak!$G127,I$8*Peak!$AM$11,0))</f>
        <v>-</v>
      </c>
      <c r="J126" s="177" t="str">
        <f>IF('Peak Revenue'!$A$1="BL","-",IF(Peak!P127&gt;Peak!$G127,J$8*Peak!$AM$11,0))</f>
        <v>-</v>
      </c>
      <c r="K126" s="177" t="str">
        <f>IF('Peak Revenue'!$A$1="BL","-",IF(Peak!Q127&gt;Peak!$G127,K$8*Peak!$AM$11,0))</f>
        <v>-</v>
      </c>
      <c r="L126" s="177" t="str">
        <f>IF('Peak Revenue'!$A$1="BL","-",IF(Peak!R127&gt;Peak!$G127,L$8*Peak!$AM$11,0))</f>
        <v>-</v>
      </c>
      <c r="M126" s="177" t="str">
        <f>IF('Peak Revenue'!$A$1="BL","-",IF(Peak!S127&gt;Peak!$G127,M$8*Peak!$AM$11,0))</f>
        <v>-</v>
      </c>
      <c r="N126" s="177" t="str">
        <f>IF('Peak Revenue'!$A$1="BL","-",IF(Peak!T127&gt;Peak!$G127,N$8*Peak!$AM$11,0))</f>
        <v>-</v>
      </c>
      <c r="O126" s="177" t="str">
        <f>IF('Peak Revenue'!$A$1="BL","-",IF(Peak!U127&gt;Peak!$G127,O$8*Peak!$AM$11,0))</f>
        <v>-</v>
      </c>
      <c r="P126" s="177" t="str">
        <f>IF('Peak Revenue'!$A$1="BL","-",IF(Peak!V127&gt;Peak!$G127,P$8*Peak!$AM$11,0))</f>
        <v>-</v>
      </c>
      <c r="Q126" s="177" t="str">
        <f>IF('Peak Revenue'!$A$1="BL","-",IF(Peak!W127&gt;Peak!$G127,Q$8*Peak!$AM$11,0))</f>
        <v>-</v>
      </c>
      <c r="R126" s="177" t="str">
        <f>IF('Peak Revenue'!$A$1="BL","-",IF(Peak!X127&gt;Peak!$G127,R$8*Peak!$AM$11,0))</f>
        <v>-</v>
      </c>
      <c r="S126" s="177" t="str">
        <f>IF('Peak Revenue'!$A$1="BL","-",IF(Peak!Y127&gt;Peak!$G127,S$8*Peak!$AM$11,0))</f>
        <v>-</v>
      </c>
      <c r="T126" s="177" t="str">
        <f>IF('Peak Revenue'!$A$1="BL","-",IF(Peak!Z127&gt;Peak!$G127,T$8*Peak!$AM$11,0))</f>
        <v>-</v>
      </c>
      <c r="U126" s="177" t="str">
        <f>IF('Peak Revenue'!$A$1="BL","-",IF(Peak!AA127&gt;Peak!$G127,U$8*Peak!$AM$11,0))</f>
        <v>-</v>
      </c>
      <c r="V126" s="178">
        <f t="shared" si="2"/>
        <v>0</v>
      </c>
      <c r="W126" s="165"/>
    </row>
    <row r="127" spans="1:23" x14ac:dyDescent="0.2">
      <c r="A127" s="1">
        <f t="shared" si="3"/>
        <v>40098.78900000015</v>
      </c>
      <c r="B127" s="176" t="str">
        <f>IF('Peak Revenue'!$A$1="BL","-",IF(Peak!H128&gt;Peak!$G128,B$8*Peak!$AM$11,0))</f>
        <v>-</v>
      </c>
      <c r="C127" s="177" t="str">
        <f>IF('Peak Revenue'!$A$1="BL","-",IF(Peak!I128&gt;Peak!$G128,C$8*Peak!$AM$11,0))</f>
        <v>-</v>
      </c>
      <c r="D127" s="177" t="str">
        <f>IF('Peak Revenue'!$A$1="BL","-",IF(Peak!J128&gt;Peak!$G128,D$8*Peak!$AM$11,0))</f>
        <v>-</v>
      </c>
      <c r="E127" s="177" t="str">
        <f>IF('Peak Revenue'!$A$1="BL","-",IF(Peak!K128&gt;Peak!$G128,E$8*Peak!$AM$11,0))</f>
        <v>-</v>
      </c>
      <c r="F127" s="177" t="str">
        <f>IF('Peak Revenue'!$A$1="BL","-",IF(Peak!L128&gt;Peak!$G128,F$8*Peak!$AM$11,0))</f>
        <v>-</v>
      </c>
      <c r="G127" s="177" t="str">
        <f>IF('Peak Revenue'!$A$1="BL","-",IF(Peak!M128&gt;Peak!$G128,G$8*Peak!$AM$11,0))</f>
        <v>-</v>
      </c>
      <c r="H127" s="177" t="str">
        <f>IF('Peak Revenue'!$A$1="BL","-",IF(Peak!N128&gt;Peak!$G128,H$8*Peak!$AM$11,0))</f>
        <v>-</v>
      </c>
      <c r="I127" s="177" t="str">
        <f>IF('Peak Revenue'!$A$1="BL","-",IF(Peak!O128&gt;Peak!$G128,I$8*Peak!$AM$11,0))</f>
        <v>-</v>
      </c>
      <c r="J127" s="177" t="str">
        <f>IF('Peak Revenue'!$A$1="BL","-",IF(Peak!P128&gt;Peak!$G128,J$8*Peak!$AM$11,0))</f>
        <v>-</v>
      </c>
      <c r="K127" s="177" t="str">
        <f>IF('Peak Revenue'!$A$1="BL","-",IF(Peak!Q128&gt;Peak!$G128,K$8*Peak!$AM$11,0))</f>
        <v>-</v>
      </c>
      <c r="L127" s="177" t="str">
        <f>IF('Peak Revenue'!$A$1="BL","-",IF(Peak!R128&gt;Peak!$G128,L$8*Peak!$AM$11,0))</f>
        <v>-</v>
      </c>
      <c r="M127" s="177" t="str">
        <f>IF('Peak Revenue'!$A$1="BL","-",IF(Peak!S128&gt;Peak!$G128,M$8*Peak!$AM$11,0))</f>
        <v>-</v>
      </c>
      <c r="N127" s="177" t="str">
        <f>IF('Peak Revenue'!$A$1="BL","-",IF(Peak!T128&gt;Peak!$G128,N$8*Peak!$AM$11,0))</f>
        <v>-</v>
      </c>
      <c r="O127" s="177" t="str">
        <f>IF('Peak Revenue'!$A$1="BL","-",IF(Peak!U128&gt;Peak!$G128,O$8*Peak!$AM$11,0))</f>
        <v>-</v>
      </c>
      <c r="P127" s="177" t="str">
        <f>IF('Peak Revenue'!$A$1="BL","-",IF(Peak!V128&gt;Peak!$G128,P$8*Peak!$AM$11,0))</f>
        <v>-</v>
      </c>
      <c r="Q127" s="177" t="str">
        <f>IF('Peak Revenue'!$A$1="BL","-",IF(Peak!W128&gt;Peak!$G128,Q$8*Peak!$AM$11,0))</f>
        <v>-</v>
      </c>
      <c r="R127" s="177" t="str">
        <f>IF('Peak Revenue'!$A$1="BL","-",IF(Peak!X128&gt;Peak!$G128,R$8*Peak!$AM$11,0))</f>
        <v>-</v>
      </c>
      <c r="S127" s="177" t="str">
        <f>IF('Peak Revenue'!$A$1="BL","-",IF(Peak!Y128&gt;Peak!$G128,S$8*Peak!$AM$11,0))</f>
        <v>-</v>
      </c>
      <c r="T127" s="177" t="str">
        <f>IF('Peak Revenue'!$A$1="BL","-",IF(Peak!Z128&gt;Peak!$G128,T$8*Peak!$AM$11,0))</f>
        <v>-</v>
      </c>
      <c r="U127" s="177" t="str">
        <f>IF('Peak Revenue'!$A$1="BL","-",IF(Peak!AA128&gt;Peak!$G128,U$8*Peak!$AM$11,0))</f>
        <v>-</v>
      </c>
      <c r="V127" s="178">
        <f t="shared" si="2"/>
        <v>0</v>
      </c>
      <c r="W127" s="165"/>
    </row>
    <row r="128" spans="1:23" x14ac:dyDescent="0.2">
      <c r="A128" s="1">
        <f t="shared" si="3"/>
        <v>40129.206000000151</v>
      </c>
      <c r="B128" s="176" t="str">
        <f>IF('Peak Revenue'!$A$1="BL","-",IF(Peak!H129&gt;Peak!$G129,B$8*Peak!$AM$11,0))</f>
        <v>-</v>
      </c>
      <c r="C128" s="177" t="str">
        <f>IF('Peak Revenue'!$A$1="BL","-",IF(Peak!I129&gt;Peak!$G129,C$8*Peak!$AM$11,0))</f>
        <v>-</v>
      </c>
      <c r="D128" s="177" t="str">
        <f>IF('Peak Revenue'!$A$1="BL","-",IF(Peak!J129&gt;Peak!$G129,D$8*Peak!$AM$11,0))</f>
        <v>-</v>
      </c>
      <c r="E128" s="177" t="str">
        <f>IF('Peak Revenue'!$A$1="BL","-",IF(Peak!K129&gt;Peak!$G129,E$8*Peak!$AM$11,0))</f>
        <v>-</v>
      </c>
      <c r="F128" s="177" t="str">
        <f>IF('Peak Revenue'!$A$1="BL","-",IF(Peak!L129&gt;Peak!$G129,F$8*Peak!$AM$11,0))</f>
        <v>-</v>
      </c>
      <c r="G128" s="177" t="str">
        <f>IF('Peak Revenue'!$A$1="BL","-",IF(Peak!M129&gt;Peak!$G129,G$8*Peak!$AM$11,0))</f>
        <v>-</v>
      </c>
      <c r="H128" s="177" t="str">
        <f>IF('Peak Revenue'!$A$1="BL","-",IF(Peak!N129&gt;Peak!$G129,H$8*Peak!$AM$11,0))</f>
        <v>-</v>
      </c>
      <c r="I128" s="177" t="str">
        <f>IF('Peak Revenue'!$A$1="BL","-",IF(Peak!O129&gt;Peak!$G129,I$8*Peak!$AM$11,0))</f>
        <v>-</v>
      </c>
      <c r="J128" s="177" t="str">
        <f>IF('Peak Revenue'!$A$1="BL","-",IF(Peak!P129&gt;Peak!$G129,J$8*Peak!$AM$11,0))</f>
        <v>-</v>
      </c>
      <c r="K128" s="177" t="str">
        <f>IF('Peak Revenue'!$A$1="BL","-",IF(Peak!Q129&gt;Peak!$G129,K$8*Peak!$AM$11,0))</f>
        <v>-</v>
      </c>
      <c r="L128" s="177" t="str">
        <f>IF('Peak Revenue'!$A$1="BL","-",IF(Peak!R129&gt;Peak!$G129,L$8*Peak!$AM$11,0))</f>
        <v>-</v>
      </c>
      <c r="M128" s="177" t="str">
        <f>IF('Peak Revenue'!$A$1="BL","-",IF(Peak!S129&gt;Peak!$G129,M$8*Peak!$AM$11,0))</f>
        <v>-</v>
      </c>
      <c r="N128" s="177" t="str">
        <f>IF('Peak Revenue'!$A$1="BL","-",IF(Peak!T129&gt;Peak!$G129,N$8*Peak!$AM$11,0))</f>
        <v>-</v>
      </c>
      <c r="O128" s="177" t="str">
        <f>IF('Peak Revenue'!$A$1="BL","-",IF(Peak!U129&gt;Peak!$G129,O$8*Peak!$AM$11,0))</f>
        <v>-</v>
      </c>
      <c r="P128" s="177" t="str">
        <f>IF('Peak Revenue'!$A$1="BL","-",IF(Peak!V129&gt;Peak!$G129,P$8*Peak!$AM$11,0))</f>
        <v>-</v>
      </c>
      <c r="Q128" s="177" t="str">
        <f>IF('Peak Revenue'!$A$1="BL","-",IF(Peak!W129&gt;Peak!$G129,Q$8*Peak!$AM$11,0))</f>
        <v>-</v>
      </c>
      <c r="R128" s="177" t="str">
        <f>IF('Peak Revenue'!$A$1="BL","-",IF(Peak!X129&gt;Peak!$G129,R$8*Peak!$AM$11,0))</f>
        <v>-</v>
      </c>
      <c r="S128" s="177" t="str">
        <f>IF('Peak Revenue'!$A$1="BL","-",IF(Peak!Y129&gt;Peak!$G129,S$8*Peak!$AM$11,0))</f>
        <v>-</v>
      </c>
      <c r="T128" s="177" t="str">
        <f>IF('Peak Revenue'!$A$1="BL","-",IF(Peak!Z129&gt;Peak!$G129,T$8*Peak!$AM$11,0))</f>
        <v>-</v>
      </c>
      <c r="U128" s="177" t="str">
        <f>IF('Peak Revenue'!$A$1="BL","-",IF(Peak!AA129&gt;Peak!$G129,U$8*Peak!$AM$11,0))</f>
        <v>-</v>
      </c>
      <c r="V128" s="178">
        <f t="shared" si="2"/>
        <v>0</v>
      </c>
      <c r="W128" s="165"/>
    </row>
    <row r="129" spans="1:23" x14ac:dyDescent="0.2">
      <c r="A129" s="1">
        <f t="shared" si="3"/>
        <v>40159.623000000152</v>
      </c>
      <c r="B129" s="176" t="str">
        <f>IF('Peak Revenue'!$A$1="BL","-",IF(Peak!H130&gt;Peak!$G130,B$8*Peak!$AM$11,0))</f>
        <v>-</v>
      </c>
      <c r="C129" s="177" t="str">
        <f>IF('Peak Revenue'!$A$1="BL","-",IF(Peak!I130&gt;Peak!$G130,C$8*Peak!$AM$11,0))</f>
        <v>-</v>
      </c>
      <c r="D129" s="177" t="str">
        <f>IF('Peak Revenue'!$A$1="BL","-",IF(Peak!J130&gt;Peak!$G130,D$8*Peak!$AM$11,0))</f>
        <v>-</v>
      </c>
      <c r="E129" s="177" t="str">
        <f>IF('Peak Revenue'!$A$1="BL","-",IF(Peak!K130&gt;Peak!$G130,E$8*Peak!$AM$11,0))</f>
        <v>-</v>
      </c>
      <c r="F129" s="177" t="str">
        <f>IF('Peak Revenue'!$A$1="BL","-",IF(Peak!L130&gt;Peak!$G130,F$8*Peak!$AM$11,0))</f>
        <v>-</v>
      </c>
      <c r="G129" s="177" t="str">
        <f>IF('Peak Revenue'!$A$1="BL","-",IF(Peak!M130&gt;Peak!$G130,G$8*Peak!$AM$11,0))</f>
        <v>-</v>
      </c>
      <c r="H129" s="177" t="str">
        <f>IF('Peak Revenue'!$A$1="BL","-",IF(Peak!N130&gt;Peak!$G130,H$8*Peak!$AM$11,0))</f>
        <v>-</v>
      </c>
      <c r="I129" s="177" t="str">
        <f>IF('Peak Revenue'!$A$1="BL","-",IF(Peak!O130&gt;Peak!$G130,I$8*Peak!$AM$11,0))</f>
        <v>-</v>
      </c>
      <c r="J129" s="177" t="str">
        <f>IF('Peak Revenue'!$A$1="BL","-",IF(Peak!P130&gt;Peak!$G130,J$8*Peak!$AM$11,0))</f>
        <v>-</v>
      </c>
      <c r="K129" s="177" t="str">
        <f>IF('Peak Revenue'!$A$1="BL","-",IF(Peak!Q130&gt;Peak!$G130,K$8*Peak!$AM$11,0))</f>
        <v>-</v>
      </c>
      <c r="L129" s="177" t="str">
        <f>IF('Peak Revenue'!$A$1="BL","-",IF(Peak!R130&gt;Peak!$G130,L$8*Peak!$AM$11,0))</f>
        <v>-</v>
      </c>
      <c r="M129" s="177" t="str">
        <f>IF('Peak Revenue'!$A$1="BL","-",IF(Peak!S130&gt;Peak!$G130,M$8*Peak!$AM$11,0))</f>
        <v>-</v>
      </c>
      <c r="N129" s="177" t="str">
        <f>IF('Peak Revenue'!$A$1="BL","-",IF(Peak!T130&gt;Peak!$G130,N$8*Peak!$AM$11,0))</f>
        <v>-</v>
      </c>
      <c r="O129" s="177" t="str">
        <f>IF('Peak Revenue'!$A$1="BL","-",IF(Peak!U130&gt;Peak!$G130,O$8*Peak!$AM$11,0))</f>
        <v>-</v>
      </c>
      <c r="P129" s="177" t="str">
        <f>IF('Peak Revenue'!$A$1="BL","-",IF(Peak!V130&gt;Peak!$G130,P$8*Peak!$AM$11,0))</f>
        <v>-</v>
      </c>
      <c r="Q129" s="177" t="str">
        <f>IF('Peak Revenue'!$A$1="BL","-",IF(Peak!W130&gt;Peak!$G130,Q$8*Peak!$AM$11,0))</f>
        <v>-</v>
      </c>
      <c r="R129" s="177" t="str">
        <f>IF('Peak Revenue'!$A$1="BL","-",IF(Peak!X130&gt;Peak!$G130,R$8*Peak!$AM$11,0))</f>
        <v>-</v>
      </c>
      <c r="S129" s="177" t="str">
        <f>IF('Peak Revenue'!$A$1="BL","-",IF(Peak!Y130&gt;Peak!$G130,S$8*Peak!$AM$11,0))</f>
        <v>-</v>
      </c>
      <c r="T129" s="177" t="str">
        <f>IF('Peak Revenue'!$A$1="BL","-",IF(Peak!Z130&gt;Peak!$G130,T$8*Peak!$AM$11,0))</f>
        <v>-</v>
      </c>
      <c r="U129" s="177" t="str">
        <f>IF('Peak Revenue'!$A$1="BL","-",IF(Peak!AA130&gt;Peak!$G130,U$8*Peak!$AM$11,0))</f>
        <v>-</v>
      </c>
      <c r="V129" s="178">
        <f t="shared" si="2"/>
        <v>0</v>
      </c>
      <c r="W129" s="164">
        <f>SUM(V118:V129)</f>
        <v>0</v>
      </c>
    </row>
    <row r="130" spans="1:23" x14ac:dyDescent="0.2">
      <c r="A130" s="1">
        <f t="shared" si="3"/>
        <v>40190.040000000154</v>
      </c>
      <c r="B130" s="176" t="str">
        <f>IF('Peak Revenue'!$A$1="BL","-",IF(Peak!H131&gt;Peak!$G131,B$8*Peak!$AM$11,0))</f>
        <v>-</v>
      </c>
      <c r="C130" s="177" t="str">
        <f>IF('Peak Revenue'!$A$1="BL","-",IF(Peak!I131&gt;Peak!$G131,C$8*Peak!$AM$11,0))</f>
        <v>-</v>
      </c>
      <c r="D130" s="177" t="str">
        <f>IF('Peak Revenue'!$A$1="BL","-",IF(Peak!J131&gt;Peak!$G131,D$8*Peak!$AM$11,0))</f>
        <v>-</v>
      </c>
      <c r="E130" s="177" t="str">
        <f>IF('Peak Revenue'!$A$1="BL","-",IF(Peak!K131&gt;Peak!$G131,E$8*Peak!$AM$11,0))</f>
        <v>-</v>
      </c>
      <c r="F130" s="177" t="str">
        <f>IF('Peak Revenue'!$A$1="BL","-",IF(Peak!L131&gt;Peak!$G131,F$8*Peak!$AM$11,0))</f>
        <v>-</v>
      </c>
      <c r="G130" s="177" t="str">
        <f>IF('Peak Revenue'!$A$1="BL","-",IF(Peak!M131&gt;Peak!$G131,G$8*Peak!$AM$11,0))</f>
        <v>-</v>
      </c>
      <c r="H130" s="177" t="str">
        <f>IF('Peak Revenue'!$A$1="BL","-",IF(Peak!N131&gt;Peak!$G131,H$8*Peak!$AM$11,0))</f>
        <v>-</v>
      </c>
      <c r="I130" s="177" t="str">
        <f>IF('Peak Revenue'!$A$1="BL","-",IF(Peak!O131&gt;Peak!$G131,I$8*Peak!$AM$11,0))</f>
        <v>-</v>
      </c>
      <c r="J130" s="177" t="str">
        <f>IF('Peak Revenue'!$A$1="BL","-",IF(Peak!P131&gt;Peak!$G131,J$8*Peak!$AM$11,0))</f>
        <v>-</v>
      </c>
      <c r="K130" s="177" t="str">
        <f>IF('Peak Revenue'!$A$1="BL","-",IF(Peak!Q131&gt;Peak!$G131,K$8*Peak!$AM$11,0))</f>
        <v>-</v>
      </c>
      <c r="L130" s="177" t="str">
        <f>IF('Peak Revenue'!$A$1="BL","-",IF(Peak!R131&gt;Peak!$G131,L$8*Peak!$AM$11,0))</f>
        <v>-</v>
      </c>
      <c r="M130" s="177" t="str">
        <f>IF('Peak Revenue'!$A$1="BL","-",IF(Peak!S131&gt;Peak!$G131,M$8*Peak!$AM$11,0))</f>
        <v>-</v>
      </c>
      <c r="N130" s="177" t="str">
        <f>IF('Peak Revenue'!$A$1="BL","-",IF(Peak!T131&gt;Peak!$G131,N$8*Peak!$AM$11,0))</f>
        <v>-</v>
      </c>
      <c r="O130" s="177" t="str">
        <f>IF('Peak Revenue'!$A$1="BL","-",IF(Peak!U131&gt;Peak!$G131,O$8*Peak!$AM$11,0))</f>
        <v>-</v>
      </c>
      <c r="P130" s="177" t="str">
        <f>IF('Peak Revenue'!$A$1="BL","-",IF(Peak!V131&gt;Peak!$G131,P$8*Peak!$AM$11,0))</f>
        <v>-</v>
      </c>
      <c r="Q130" s="177" t="str">
        <f>IF('Peak Revenue'!$A$1="BL","-",IF(Peak!W131&gt;Peak!$G131,Q$8*Peak!$AM$11,0))</f>
        <v>-</v>
      </c>
      <c r="R130" s="177" t="str">
        <f>IF('Peak Revenue'!$A$1="BL","-",IF(Peak!X131&gt;Peak!$G131,R$8*Peak!$AM$11,0))</f>
        <v>-</v>
      </c>
      <c r="S130" s="177" t="str">
        <f>IF('Peak Revenue'!$A$1="BL","-",IF(Peak!Y131&gt;Peak!$G131,S$8*Peak!$AM$11,0))</f>
        <v>-</v>
      </c>
      <c r="T130" s="177" t="str">
        <f>IF('Peak Revenue'!$A$1="BL","-",IF(Peak!Z131&gt;Peak!$G131,T$8*Peak!$AM$11,0))</f>
        <v>-</v>
      </c>
      <c r="U130" s="177" t="str">
        <f>IF('Peak Revenue'!$A$1="BL","-",IF(Peak!AA131&gt;Peak!$G131,U$8*Peak!$AM$11,0))</f>
        <v>-</v>
      </c>
      <c r="V130" s="178">
        <f t="shared" si="2"/>
        <v>0</v>
      </c>
      <c r="W130" s="165"/>
    </row>
    <row r="131" spans="1:23" x14ac:dyDescent="0.2">
      <c r="A131" s="1">
        <f t="shared" si="3"/>
        <v>40220.457000000155</v>
      </c>
      <c r="B131" s="176" t="str">
        <f>IF('Peak Revenue'!$A$1="BL","-",IF(Peak!H132&gt;Peak!$G132,B$8*Peak!$AM$11,0))</f>
        <v>-</v>
      </c>
      <c r="C131" s="177" t="str">
        <f>IF('Peak Revenue'!$A$1="BL","-",IF(Peak!I132&gt;Peak!$G132,C$8*Peak!$AM$11,0))</f>
        <v>-</v>
      </c>
      <c r="D131" s="177" t="str">
        <f>IF('Peak Revenue'!$A$1="BL","-",IF(Peak!J132&gt;Peak!$G132,D$8*Peak!$AM$11,0))</f>
        <v>-</v>
      </c>
      <c r="E131" s="177" t="str">
        <f>IF('Peak Revenue'!$A$1="BL","-",IF(Peak!K132&gt;Peak!$G132,E$8*Peak!$AM$11,0))</f>
        <v>-</v>
      </c>
      <c r="F131" s="177" t="str">
        <f>IF('Peak Revenue'!$A$1="BL","-",IF(Peak!L132&gt;Peak!$G132,F$8*Peak!$AM$11,0))</f>
        <v>-</v>
      </c>
      <c r="G131" s="177" t="str">
        <f>IF('Peak Revenue'!$A$1="BL","-",IF(Peak!M132&gt;Peak!$G132,G$8*Peak!$AM$11,0))</f>
        <v>-</v>
      </c>
      <c r="H131" s="177" t="str">
        <f>IF('Peak Revenue'!$A$1="BL","-",IF(Peak!N132&gt;Peak!$G132,H$8*Peak!$AM$11,0))</f>
        <v>-</v>
      </c>
      <c r="I131" s="177" t="str">
        <f>IF('Peak Revenue'!$A$1="BL","-",IF(Peak!O132&gt;Peak!$G132,I$8*Peak!$AM$11,0))</f>
        <v>-</v>
      </c>
      <c r="J131" s="177" t="str">
        <f>IF('Peak Revenue'!$A$1="BL","-",IF(Peak!P132&gt;Peak!$G132,J$8*Peak!$AM$11,0))</f>
        <v>-</v>
      </c>
      <c r="K131" s="177" t="str">
        <f>IF('Peak Revenue'!$A$1="BL","-",IF(Peak!Q132&gt;Peak!$G132,K$8*Peak!$AM$11,0))</f>
        <v>-</v>
      </c>
      <c r="L131" s="177" t="str">
        <f>IF('Peak Revenue'!$A$1="BL","-",IF(Peak!R132&gt;Peak!$G132,L$8*Peak!$AM$11,0))</f>
        <v>-</v>
      </c>
      <c r="M131" s="177" t="str">
        <f>IF('Peak Revenue'!$A$1="BL","-",IF(Peak!S132&gt;Peak!$G132,M$8*Peak!$AM$11,0))</f>
        <v>-</v>
      </c>
      <c r="N131" s="177" t="str">
        <f>IF('Peak Revenue'!$A$1="BL","-",IF(Peak!T132&gt;Peak!$G132,N$8*Peak!$AM$11,0))</f>
        <v>-</v>
      </c>
      <c r="O131" s="177" t="str">
        <f>IF('Peak Revenue'!$A$1="BL","-",IF(Peak!U132&gt;Peak!$G132,O$8*Peak!$AM$11,0))</f>
        <v>-</v>
      </c>
      <c r="P131" s="177" t="str">
        <f>IF('Peak Revenue'!$A$1="BL","-",IF(Peak!V132&gt;Peak!$G132,P$8*Peak!$AM$11,0))</f>
        <v>-</v>
      </c>
      <c r="Q131" s="177" t="str">
        <f>IF('Peak Revenue'!$A$1="BL","-",IF(Peak!W132&gt;Peak!$G132,Q$8*Peak!$AM$11,0))</f>
        <v>-</v>
      </c>
      <c r="R131" s="177" t="str">
        <f>IF('Peak Revenue'!$A$1="BL","-",IF(Peak!X132&gt;Peak!$G132,R$8*Peak!$AM$11,0))</f>
        <v>-</v>
      </c>
      <c r="S131" s="177" t="str">
        <f>IF('Peak Revenue'!$A$1="BL","-",IF(Peak!Y132&gt;Peak!$G132,S$8*Peak!$AM$11,0))</f>
        <v>-</v>
      </c>
      <c r="T131" s="177" t="str">
        <f>IF('Peak Revenue'!$A$1="BL","-",IF(Peak!Z132&gt;Peak!$G132,T$8*Peak!$AM$11,0))</f>
        <v>-</v>
      </c>
      <c r="U131" s="177" t="str">
        <f>IF('Peak Revenue'!$A$1="BL","-",IF(Peak!AA132&gt;Peak!$G132,U$8*Peak!$AM$11,0))</f>
        <v>-</v>
      </c>
      <c r="V131" s="178">
        <f t="shared" si="2"/>
        <v>0</v>
      </c>
      <c r="W131" s="165"/>
    </row>
    <row r="132" spans="1:23" x14ac:dyDescent="0.2">
      <c r="A132" s="1">
        <f t="shared" si="3"/>
        <v>40250.874000000156</v>
      </c>
      <c r="B132" s="176" t="str">
        <f>IF('Peak Revenue'!$A$1="BL","-",IF(Peak!H133&gt;Peak!$G133,B$8*Peak!$AM$11,0))</f>
        <v>-</v>
      </c>
      <c r="C132" s="177" t="str">
        <f>IF('Peak Revenue'!$A$1="BL","-",IF(Peak!I133&gt;Peak!$G133,C$8*Peak!$AM$11,0))</f>
        <v>-</v>
      </c>
      <c r="D132" s="177" t="str">
        <f>IF('Peak Revenue'!$A$1="BL","-",IF(Peak!J133&gt;Peak!$G133,D$8*Peak!$AM$11,0))</f>
        <v>-</v>
      </c>
      <c r="E132" s="177" t="str">
        <f>IF('Peak Revenue'!$A$1="BL","-",IF(Peak!K133&gt;Peak!$G133,E$8*Peak!$AM$11,0))</f>
        <v>-</v>
      </c>
      <c r="F132" s="177" t="str">
        <f>IF('Peak Revenue'!$A$1="BL","-",IF(Peak!L133&gt;Peak!$G133,F$8*Peak!$AM$11,0))</f>
        <v>-</v>
      </c>
      <c r="G132" s="177" t="str">
        <f>IF('Peak Revenue'!$A$1="BL","-",IF(Peak!M133&gt;Peak!$G133,G$8*Peak!$AM$11,0))</f>
        <v>-</v>
      </c>
      <c r="H132" s="177" t="str">
        <f>IF('Peak Revenue'!$A$1="BL","-",IF(Peak!N133&gt;Peak!$G133,H$8*Peak!$AM$11,0))</f>
        <v>-</v>
      </c>
      <c r="I132" s="177" t="str">
        <f>IF('Peak Revenue'!$A$1="BL","-",IF(Peak!O133&gt;Peak!$G133,I$8*Peak!$AM$11,0))</f>
        <v>-</v>
      </c>
      <c r="J132" s="177" t="str">
        <f>IF('Peak Revenue'!$A$1="BL","-",IF(Peak!P133&gt;Peak!$G133,J$8*Peak!$AM$11,0))</f>
        <v>-</v>
      </c>
      <c r="K132" s="177" t="str">
        <f>IF('Peak Revenue'!$A$1="BL","-",IF(Peak!Q133&gt;Peak!$G133,K$8*Peak!$AM$11,0))</f>
        <v>-</v>
      </c>
      <c r="L132" s="177" t="str">
        <f>IF('Peak Revenue'!$A$1="BL","-",IF(Peak!R133&gt;Peak!$G133,L$8*Peak!$AM$11,0))</f>
        <v>-</v>
      </c>
      <c r="M132" s="177" t="str">
        <f>IF('Peak Revenue'!$A$1="BL","-",IF(Peak!S133&gt;Peak!$G133,M$8*Peak!$AM$11,0))</f>
        <v>-</v>
      </c>
      <c r="N132" s="177" t="str">
        <f>IF('Peak Revenue'!$A$1="BL","-",IF(Peak!T133&gt;Peak!$G133,N$8*Peak!$AM$11,0))</f>
        <v>-</v>
      </c>
      <c r="O132" s="177" t="str">
        <f>IF('Peak Revenue'!$A$1="BL","-",IF(Peak!U133&gt;Peak!$G133,O$8*Peak!$AM$11,0))</f>
        <v>-</v>
      </c>
      <c r="P132" s="177" t="str">
        <f>IF('Peak Revenue'!$A$1="BL","-",IF(Peak!V133&gt;Peak!$G133,P$8*Peak!$AM$11,0))</f>
        <v>-</v>
      </c>
      <c r="Q132" s="177" t="str">
        <f>IF('Peak Revenue'!$A$1="BL","-",IF(Peak!W133&gt;Peak!$G133,Q$8*Peak!$AM$11,0))</f>
        <v>-</v>
      </c>
      <c r="R132" s="177" t="str">
        <f>IF('Peak Revenue'!$A$1="BL","-",IF(Peak!X133&gt;Peak!$G133,R$8*Peak!$AM$11,0))</f>
        <v>-</v>
      </c>
      <c r="S132" s="177" t="str">
        <f>IF('Peak Revenue'!$A$1="BL","-",IF(Peak!Y133&gt;Peak!$G133,S$8*Peak!$AM$11,0))</f>
        <v>-</v>
      </c>
      <c r="T132" s="177" t="str">
        <f>IF('Peak Revenue'!$A$1="BL","-",IF(Peak!Z133&gt;Peak!$G133,T$8*Peak!$AM$11,0))</f>
        <v>-</v>
      </c>
      <c r="U132" s="177" t="str">
        <f>IF('Peak Revenue'!$A$1="BL","-",IF(Peak!AA133&gt;Peak!$G133,U$8*Peak!$AM$11,0))</f>
        <v>-</v>
      </c>
      <c r="V132" s="178">
        <f t="shared" si="2"/>
        <v>0</v>
      </c>
      <c r="W132" s="165"/>
    </row>
    <row r="133" spans="1:23" x14ac:dyDescent="0.2">
      <c r="A133" s="1">
        <f t="shared" si="3"/>
        <v>40281.291000000158</v>
      </c>
      <c r="B133" s="176" t="str">
        <f>IF('Peak Revenue'!$A$1="BL","-",IF(Peak!H134&gt;Peak!$G134,B$8*Peak!$AM$11,0))</f>
        <v>-</v>
      </c>
      <c r="C133" s="177" t="str">
        <f>IF('Peak Revenue'!$A$1="BL","-",IF(Peak!I134&gt;Peak!$G134,C$8*Peak!$AM$11,0))</f>
        <v>-</v>
      </c>
      <c r="D133" s="177" t="str">
        <f>IF('Peak Revenue'!$A$1="BL","-",IF(Peak!J134&gt;Peak!$G134,D$8*Peak!$AM$11,0))</f>
        <v>-</v>
      </c>
      <c r="E133" s="177" t="str">
        <f>IF('Peak Revenue'!$A$1="BL","-",IF(Peak!K134&gt;Peak!$G134,E$8*Peak!$AM$11,0))</f>
        <v>-</v>
      </c>
      <c r="F133" s="177" t="str">
        <f>IF('Peak Revenue'!$A$1="BL","-",IF(Peak!L134&gt;Peak!$G134,F$8*Peak!$AM$11,0))</f>
        <v>-</v>
      </c>
      <c r="G133" s="177" t="str">
        <f>IF('Peak Revenue'!$A$1="BL","-",IF(Peak!M134&gt;Peak!$G134,G$8*Peak!$AM$11,0))</f>
        <v>-</v>
      </c>
      <c r="H133" s="177" t="str">
        <f>IF('Peak Revenue'!$A$1="BL","-",IF(Peak!N134&gt;Peak!$G134,H$8*Peak!$AM$11,0))</f>
        <v>-</v>
      </c>
      <c r="I133" s="177" t="str">
        <f>IF('Peak Revenue'!$A$1="BL","-",IF(Peak!O134&gt;Peak!$G134,I$8*Peak!$AM$11,0))</f>
        <v>-</v>
      </c>
      <c r="J133" s="177" t="str">
        <f>IF('Peak Revenue'!$A$1="BL","-",IF(Peak!P134&gt;Peak!$G134,J$8*Peak!$AM$11,0))</f>
        <v>-</v>
      </c>
      <c r="K133" s="177" t="str">
        <f>IF('Peak Revenue'!$A$1="BL","-",IF(Peak!Q134&gt;Peak!$G134,K$8*Peak!$AM$11,0))</f>
        <v>-</v>
      </c>
      <c r="L133" s="177" t="str">
        <f>IF('Peak Revenue'!$A$1="BL","-",IF(Peak!R134&gt;Peak!$G134,L$8*Peak!$AM$11,0))</f>
        <v>-</v>
      </c>
      <c r="M133" s="177" t="str">
        <f>IF('Peak Revenue'!$A$1="BL","-",IF(Peak!S134&gt;Peak!$G134,M$8*Peak!$AM$11,0))</f>
        <v>-</v>
      </c>
      <c r="N133" s="177" t="str">
        <f>IF('Peak Revenue'!$A$1="BL","-",IF(Peak!T134&gt;Peak!$G134,N$8*Peak!$AM$11,0))</f>
        <v>-</v>
      </c>
      <c r="O133" s="177" t="str">
        <f>IF('Peak Revenue'!$A$1="BL","-",IF(Peak!U134&gt;Peak!$G134,O$8*Peak!$AM$11,0))</f>
        <v>-</v>
      </c>
      <c r="P133" s="177" t="str">
        <f>IF('Peak Revenue'!$A$1="BL","-",IF(Peak!V134&gt;Peak!$G134,P$8*Peak!$AM$11,0))</f>
        <v>-</v>
      </c>
      <c r="Q133" s="177" t="str">
        <f>IF('Peak Revenue'!$A$1="BL","-",IF(Peak!W134&gt;Peak!$G134,Q$8*Peak!$AM$11,0))</f>
        <v>-</v>
      </c>
      <c r="R133" s="177" t="str">
        <f>IF('Peak Revenue'!$A$1="BL","-",IF(Peak!X134&gt;Peak!$G134,R$8*Peak!$AM$11,0))</f>
        <v>-</v>
      </c>
      <c r="S133" s="177" t="str">
        <f>IF('Peak Revenue'!$A$1="BL","-",IF(Peak!Y134&gt;Peak!$G134,S$8*Peak!$AM$11,0))</f>
        <v>-</v>
      </c>
      <c r="T133" s="177" t="str">
        <f>IF('Peak Revenue'!$A$1="BL","-",IF(Peak!Z134&gt;Peak!$G134,T$8*Peak!$AM$11,0))</f>
        <v>-</v>
      </c>
      <c r="U133" s="177" t="str">
        <f>IF('Peak Revenue'!$A$1="BL","-",IF(Peak!AA134&gt;Peak!$G134,U$8*Peak!$AM$11,0))</f>
        <v>-</v>
      </c>
      <c r="V133" s="178">
        <f t="shared" si="2"/>
        <v>0</v>
      </c>
      <c r="W133" s="165"/>
    </row>
    <row r="134" spans="1:23" x14ac:dyDescent="0.2">
      <c r="A134" s="1">
        <f t="shared" si="3"/>
        <v>40311.708000000159</v>
      </c>
      <c r="B134" s="176" t="str">
        <f>IF('Peak Revenue'!$A$1="BL","-",IF(Peak!H135&gt;Peak!$G135,B$8*Peak!$AM$11,0))</f>
        <v>-</v>
      </c>
      <c r="C134" s="177" t="str">
        <f>IF('Peak Revenue'!$A$1="BL","-",IF(Peak!I135&gt;Peak!$G135,C$8*Peak!$AM$11,0))</f>
        <v>-</v>
      </c>
      <c r="D134" s="177" t="str">
        <f>IF('Peak Revenue'!$A$1="BL","-",IF(Peak!J135&gt;Peak!$G135,D$8*Peak!$AM$11,0))</f>
        <v>-</v>
      </c>
      <c r="E134" s="177" t="str">
        <f>IF('Peak Revenue'!$A$1="BL","-",IF(Peak!K135&gt;Peak!$G135,E$8*Peak!$AM$11,0))</f>
        <v>-</v>
      </c>
      <c r="F134" s="177" t="str">
        <f>IF('Peak Revenue'!$A$1="BL","-",IF(Peak!L135&gt;Peak!$G135,F$8*Peak!$AM$11,0))</f>
        <v>-</v>
      </c>
      <c r="G134" s="177" t="str">
        <f>IF('Peak Revenue'!$A$1="BL","-",IF(Peak!M135&gt;Peak!$G135,G$8*Peak!$AM$11,0))</f>
        <v>-</v>
      </c>
      <c r="H134" s="177" t="str">
        <f>IF('Peak Revenue'!$A$1="BL","-",IF(Peak!N135&gt;Peak!$G135,H$8*Peak!$AM$11,0))</f>
        <v>-</v>
      </c>
      <c r="I134" s="177" t="str">
        <f>IF('Peak Revenue'!$A$1="BL","-",IF(Peak!O135&gt;Peak!$G135,I$8*Peak!$AM$11,0))</f>
        <v>-</v>
      </c>
      <c r="J134" s="177" t="str">
        <f>IF('Peak Revenue'!$A$1="BL","-",IF(Peak!P135&gt;Peak!$G135,J$8*Peak!$AM$11,0))</f>
        <v>-</v>
      </c>
      <c r="K134" s="177" t="str">
        <f>IF('Peak Revenue'!$A$1="BL","-",IF(Peak!Q135&gt;Peak!$G135,K$8*Peak!$AM$11,0))</f>
        <v>-</v>
      </c>
      <c r="L134" s="177" t="str">
        <f>IF('Peak Revenue'!$A$1="BL","-",IF(Peak!R135&gt;Peak!$G135,L$8*Peak!$AM$11,0))</f>
        <v>-</v>
      </c>
      <c r="M134" s="177" t="str">
        <f>IF('Peak Revenue'!$A$1="BL","-",IF(Peak!S135&gt;Peak!$G135,M$8*Peak!$AM$11,0))</f>
        <v>-</v>
      </c>
      <c r="N134" s="177" t="str">
        <f>IF('Peak Revenue'!$A$1="BL","-",IF(Peak!T135&gt;Peak!$G135,N$8*Peak!$AM$11,0))</f>
        <v>-</v>
      </c>
      <c r="O134" s="177" t="str">
        <f>IF('Peak Revenue'!$A$1="BL","-",IF(Peak!U135&gt;Peak!$G135,O$8*Peak!$AM$11,0))</f>
        <v>-</v>
      </c>
      <c r="P134" s="177" t="str">
        <f>IF('Peak Revenue'!$A$1="BL","-",IF(Peak!V135&gt;Peak!$G135,P$8*Peak!$AM$11,0))</f>
        <v>-</v>
      </c>
      <c r="Q134" s="177" t="str">
        <f>IF('Peak Revenue'!$A$1="BL","-",IF(Peak!W135&gt;Peak!$G135,Q$8*Peak!$AM$11,0))</f>
        <v>-</v>
      </c>
      <c r="R134" s="177" t="str">
        <f>IF('Peak Revenue'!$A$1="BL","-",IF(Peak!X135&gt;Peak!$G135,R$8*Peak!$AM$11,0))</f>
        <v>-</v>
      </c>
      <c r="S134" s="177" t="str">
        <f>IF('Peak Revenue'!$A$1="BL","-",IF(Peak!Y135&gt;Peak!$G135,S$8*Peak!$AM$11,0))</f>
        <v>-</v>
      </c>
      <c r="T134" s="177" t="str">
        <f>IF('Peak Revenue'!$A$1="BL","-",IF(Peak!Z135&gt;Peak!$G135,T$8*Peak!$AM$11,0))</f>
        <v>-</v>
      </c>
      <c r="U134" s="177" t="str">
        <f>IF('Peak Revenue'!$A$1="BL","-",IF(Peak!AA135&gt;Peak!$G135,U$8*Peak!$AM$11,0))</f>
        <v>-</v>
      </c>
      <c r="V134" s="178">
        <f t="shared" si="2"/>
        <v>0</v>
      </c>
      <c r="W134" s="165"/>
    </row>
    <row r="135" spans="1:23" x14ac:dyDescent="0.2">
      <c r="A135" s="1">
        <f t="shared" si="3"/>
        <v>40342.12500000016</v>
      </c>
      <c r="B135" s="176" t="str">
        <f>IF('Peak Revenue'!$A$1="BL","-",IF(Peak!H136&gt;Peak!$G136,B$8*Peak!$AM$11,0))</f>
        <v>-</v>
      </c>
      <c r="C135" s="177" t="str">
        <f>IF('Peak Revenue'!$A$1="BL","-",IF(Peak!I136&gt;Peak!$G136,C$8*Peak!$AM$11,0))</f>
        <v>-</v>
      </c>
      <c r="D135" s="177" t="str">
        <f>IF('Peak Revenue'!$A$1="BL","-",IF(Peak!J136&gt;Peak!$G136,D$8*Peak!$AM$11,0))</f>
        <v>-</v>
      </c>
      <c r="E135" s="177" t="str">
        <f>IF('Peak Revenue'!$A$1="BL","-",IF(Peak!K136&gt;Peak!$G136,E$8*Peak!$AM$11,0))</f>
        <v>-</v>
      </c>
      <c r="F135" s="177" t="str">
        <f>IF('Peak Revenue'!$A$1="BL","-",IF(Peak!L136&gt;Peak!$G136,F$8*Peak!$AM$11,0))</f>
        <v>-</v>
      </c>
      <c r="G135" s="177" t="str">
        <f>IF('Peak Revenue'!$A$1="BL","-",IF(Peak!M136&gt;Peak!$G136,G$8*Peak!$AM$11,0))</f>
        <v>-</v>
      </c>
      <c r="H135" s="177" t="str">
        <f>IF('Peak Revenue'!$A$1="BL","-",IF(Peak!N136&gt;Peak!$G136,H$8*Peak!$AM$11,0))</f>
        <v>-</v>
      </c>
      <c r="I135" s="177" t="str">
        <f>IF('Peak Revenue'!$A$1="BL","-",IF(Peak!O136&gt;Peak!$G136,I$8*Peak!$AM$11,0))</f>
        <v>-</v>
      </c>
      <c r="J135" s="177" t="str">
        <f>IF('Peak Revenue'!$A$1="BL","-",IF(Peak!P136&gt;Peak!$G136,J$8*Peak!$AM$11,0))</f>
        <v>-</v>
      </c>
      <c r="K135" s="177" t="str">
        <f>IF('Peak Revenue'!$A$1="BL","-",IF(Peak!Q136&gt;Peak!$G136,K$8*Peak!$AM$11,0))</f>
        <v>-</v>
      </c>
      <c r="L135" s="177" t="str">
        <f>IF('Peak Revenue'!$A$1="BL","-",IF(Peak!R136&gt;Peak!$G136,L$8*Peak!$AM$11,0))</f>
        <v>-</v>
      </c>
      <c r="M135" s="177" t="str">
        <f>IF('Peak Revenue'!$A$1="BL","-",IF(Peak!S136&gt;Peak!$G136,M$8*Peak!$AM$11,0))</f>
        <v>-</v>
      </c>
      <c r="N135" s="177" t="str">
        <f>IF('Peak Revenue'!$A$1="BL","-",IF(Peak!T136&gt;Peak!$G136,N$8*Peak!$AM$11,0))</f>
        <v>-</v>
      </c>
      <c r="O135" s="177" t="str">
        <f>IF('Peak Revenue'!$A$1="BL","-",IF(Peak!U136&gt;Peak!$G136,O$8*Peak!$AM$11,0))</f>
        <v>-</v>
      </c>
      <c r="P135" s="177" t="str">
        <f>IF('Peak Revenue'!$A$1="BL","-",IF(Peak!V136&gt;Peak!$G136,P$8*Peak!$AM$11,0))</f>
        <v>-</v>
      </c>
      <c r="Q135" s="177" t="str">
        <f>IF('Peak Revenue'!$A$1="BL","-",IF(Peak!W136&gt;Peak!$G136,Q$8*Peak!$AM$11,0))</f>
        <v>-</v>
      </c>
      <c r="R135" s="177" t="str">
        <f>IF('Peak Revenue'!$A$1="BL","-",IF(Peak!X136&gt;Peak!$G136,R$8*Peak!$AM$11,0))</f>
        <v>-</v>
      </c>
      <c r="S135" s="177" t="str">
        <f>IF('Peak Revenue'!$A$1="BL","-",IF(Peak!Y136&gt;Peak!$G136,S$8*Peak!$AM$11,0))</f>
        <v>-</v>
      </c>
      <c r="T135" s="177" t="str">
        <f>IF('Peak Revenue'!$A$1="BL","-",IF(Peak!Z136&gt;Peak!$G136,T$8*Peak!$AM$11,0))</f>
        <v>-</v>
      </c>
      <c r="U135" s="177" t="str">
        <f>IF('Peak Revenue'!$A$1="BL","-",IF(Peak!AA136&gt;Peak!$G136,U$8*Peak!$AM$11,0))</f>
        <v>-</v>
      </c>
      <c r="V135" s="178">
        <f t="shared" si="2"/>
        <v>0</v>
      </c>
      <c r="W135" s="165"/>
    </row>
    <row r="136" spans="1:23" x14ac:dyDescent="0.2">
      <c r="A136" s="1">
        <f t="shared" si="3"/>
        <v>40372.542000000161</v>
      </c>
      <c r="B136" s="176" t="str">
        <f>IF('Peak Revenue'!$A$1="BL","-",IF(Peak!H137&gt;Peak!$G137,B$8*Peak!$AM$11,0))</f>
        <v>-</v>
      </c>
      <c r="C136" s="177" t="str">
        <f>IF('Peak Revenue'!$A$1="BL","-",IF(Peak!I137&gt;Peak!$G137,C$8*Peak!$AM$11,0))</f>
        <v>-</v>
      </c>
      <c r="D136" s="177" t="str">
        <f>IF('Peak Revenue'!$A$1="BL","-",IF(Peak!J137&gt;Peak!$G137,D$8*Peak!$AM$11,0))</f>
        <v>-</v>
      </c>
      <c r="E136" s="177" t="str">
        <f>IF('Peak Revenue'!$A$1="BL","-",IF(Peak!K137&gt;Peak!$G137,E$8*Peak!$AM$11,0))</f>
        <v>-</v>
      </c>
      <c r="F136" s="177" t="str">
        <f>IF('Peak Revenue'!$A$1="BL","-",IF(Peak!L137&gt;Peak!$G137,F$8*Peak!$AM$11,0))</f>
        <v>-</v>
      </c>
      <c r="G136" s="177" t="str">
        <f>IF('Peak Revenue'!$A$1="BL","-",IF(Peak!M137&gt;Peak!$G137,G$8*Peak!$AM$11,0))</f>
        <v>-</v>
      </c>
      <c r="H136" s="177" t="str">
        <f>IF('Peak Revenue'!$A$1="BL","-",IF(Peak!N137&gt;Peak!$G137,H$8*Peak!$AM$11,0))</f>
        <v>-</v>
      </c>
      <c r="I136" s="177" t="str">
        <f>IF('Peak Revenue'!$A$1="BL","-",IF(Peak!O137&gt;Peak!$G137,I$8*Peak!$AM$11,0))</f>
        <v>-</v>
      </c>
      <c r="J136" s="177" t="str">
        <f>IF('Peak Revenue'!$A$1="BL","-",IF(Peak!P137&gt;Peak!$G137,J$8*Peak!$AM$11,0))</f>
        <v>-</v>
      </c>
      <c r="K136" s="177" t="str">
        <f>IF('Peak Revenue'!$A$1="BL","-",IF(Peak!Q137&gt;Peak!$G137,K$8*Peak!$AM$11,0))</f>
        <v>-</v>
      </c>
      <c r="L136" s="177" t="str">
        <f>IF('Peak Revenue'!$A$1="BL","-",IF(Peak!R137&gt;Peak!$G137,L$8*Peak!$AM$11,0))</f>
        <v>-</v>
      </c>
      <c r="M136" s="177" t="str">
        <f>IF('Peak Revenue'!$A$1="BL","-",IF(Peak!S137&gt;Peak!$G137,M$8*Peak!$AM$11,0))</f>
        <v>-</v>
      </c>
      <c r="N136" s="177" t="str">
        <f>IF('Peak Revenue'!$A$1="BL","-",IF(Peak!T137&gt;Peak!$G137,N$8*Peak!$AM$11,0))</f>
        <v>-</v>
      </c>
      <c r="O136" s="177" t="str">
        <f>IF('Peak Revenue'!$A$1="BL","-",IF(Peak!U137&gt;Peak!$G137,O$8*Peak!$AM$11,0))</f>
        <v>-</v>
      </c>
      <c r="P136" s="177" t="str">
        <f>IF('Peak Revenue'!$A$1="BL","-",IF(Peak!V137&gt;Peak!$G137,P$8*Peak!$AM$11,0))</f>
        <v>-</v>
      </c>
      <c r="Q136" s="177" t="str">
        <f>IF('Peak Revenue'!$A$1="BL","-",IF(Peak!W137&gt;Peak!$G137,Q$8*Peak!$AM$11,0))</f>
        <v>-</v>
      </c>
      <c r="R136" s="177" t="str">
        <f>IF('Peak Revenue'!$A$1="BL","-",IF(Peak!X137&gt;Peak!$G137,R$8*Peak!$AM$11,0))</f>
        <v>-</v>
      </c>
      <c r="S136" s="177" t="str">
        <f>IF('Peak Revenue'!$A$1="BL","-",IF(Peak!Y137&gt;Peak!$G137,S$8*Peak!$AM$11,0))</f>
        <v>-</v>
      </c>
      <c r="T136" s="177" t="str">
        <f>IF('Peak Revenue'!$A$1="BL","-",IF(Peak!Z137&gt;Peak!$G137,T$8*Peak!$AM$11,0))</f>
        <v>-</v>
      </c>
      <c r="U136" s="177" t="str">
        <f>IF('Peak Revenue'!$A$1="BL","-",IF(Peak!AA137&gt;Peak!$G137,U$8*Peak!$AM$11,0))</f>
        <v>-</v>
      </c>
      <c r="V136" s="178">
        <f t="shared" si="2"/>
        <v>0</v>
      </c>
      <c r="W136" s="165"/>
    </row>
    <row r="137" spans="1:23" x14ac:dyDescent="0.2">
      <c r="A137" s="1">
        <f t="shared" si="3"/>
        <v>40402.959000000163</v>
      </c>
      <c r="B137" s="176" t="str">
        <f>IF('Peak Revenue'!$A$1="BL","-",IF(Peak!H138&gt;Peak!$G138,B$8*Peak!$AM$11,0))</f>
        <v>-</v>
      </c>
      <c r="C137" s="177" t="str">
        <f>IF('Peak Revenue'!$A$1="BL","-",IF(Peak!I138&gt;Peak!$G138,C$8*Peak!$AM$11,0))</f>
        <v>-</v>
      </c>
      <c r="D137" s="177" t="str">
        <f>IF('Peak Revenue'!$A$1="BL","-",IF(Peak!J138&gt;Peak!$G138,D$8*Peak!$AM$11,0))</f>
        <v>-</v>
      </c>
      <c r="E137" s="177" t="str">
        <f>IF('Peak Revenue'!$A$1="BL","-",IF(Peak!K138&gt;Peak!$G138,E$8*Peak!$AM$11,0))</f>
        <v>-</v>
      </c>
      <c r="F137" s="177" t="str">
        <f>IF('Peak Revenue'!$A$1="BL","-",IF(Peak!L138&gt;Peak!$G138,F$8*Peak!$AM$11,0))</f>
        <v>-</v>
      </c>
      <c r="G137" s="177" t="str">
        <f>IF('Peak Revenue'!$A$1="BL","-",IF(Peak!M138&gt;Peak!$G138,G$8*Peak!$AM$11,0))</f>
        <v>-</v>
      </c>
      <c r="H137" s="177" t="str">
        <f>IF('Peak Revenue'!$A$1="BL","-",IF(Peak!N138&gt;Peak!$G138,H$8*Peak!$AM$11,0))</f>
        <v>-</v>
      </c>
      <c r="I137" s="177" t="str">
        <f>IF('Peak Revenue'!$A$1="BL","-",IF(Peak!O138&gt;Peak!$G138,I$8*Peak!$AM$11,0))</f>
        <v>-</v>
      </c>
      <c r="J137" s="177" t="str">
        <f>IF('Peak Revenue'!$A$1="BL","-",IF(Peak!P138&gt;Peak!$G138,J$8*Peak!$AM$11,0))</f>
        <v>-</v>
      </c>
      <c r="K137" s="177" t="str">
        <f>IF('Peak Revenue'!$A$1="BL","-",IF(Peak!Q138&gt;Peak!$G138,K$8*Peak!$AM$11,0))</f>
        <v>-</v>
      </c>
      <c r="L137" s="177" t="str">
        <f>IF('Peak Revenue'!$A$1="BL","-",IF(Peak!R138&gt;Peak!$G138,L$8*Peak!$AM$11,0))</f>
        <v>-</v>
      </c>
      <c r="M137" s="177" t="str">
        <f>IF('Peak Revenue'!$A$1="BL","-",IF(Peak!S138&gt;Peak!$G138,M$8*Peak!$AM$11,0))</f>
        <v>-</v>
      </c>
      <c r="N137" s="177" t="str">
        <f>IF('Peak Revenue'!$A$1="BL","-",IF(Peak!T138&gt;Peak!$G138,N$8*Peak!$AM$11,0))</f>
        <v>-</v>
      </c>
      <c r="O137" s="177" t="str">
        <f>IF('Peak Revenue'!$A$1="BL","-",IF(Peak!U138&gt;Peak!$G138,O$8*Peak!$AM$11,0))</f>
        <v>-</v>
      </c>
      <c r="P137" s="177" t="str">
        <f>IF('Peak Revenue'!$A$1="BL","-",IF(Peak!V138&gt;Peak!$G138,P$8*Peak!$AM$11,0))</f>
        <v>-</v>
      </c>
      <c r="Q137" s="177" t="str">
        <f>IF('Peak Revenue'!$A$1="BL","-",IF(Peak!W138&gt;Peak!$G138,Q$8*Peak!$AM$11,0))</f>
        <v>-</v>
      </c>
      <c r="R137" s="177" t="str">
        <f>IF('Peak Revenue'!$A$1="BL","-",IF(Peak!X138&gt;Peak!$G138,R$8*Peak!$AM$11,0))</f>
        <v>-</v>
      </c>
      <c r="S137" s="177" t="str">
        <f>IF('Peak Revenue'!$A$1="BL","-",IF(Peak!Y138&gt;Peak!$G138,S$8*Peak!$AM$11,0))</f>
        <v>-</v>
      </c>
      <c r="T137" s="177" t="str">
        <f>IF('Peak Revenue'!$A$1="BL","-",IF(Peak!Z138&gt;Peak!$G138,T$8*Peak!$AM$11,0))</f>
        <v>-</v>
      </c>
      <c r="U137" s="177" t="str">
        <f>IF('Peak Revenue'!$A$1="BL","-",IF(Peak!AA138&gt;Peak!$G138,U$8*Peak!$AM$11,0))</f>
        <v>-</v>
      </c>
      <c r="V137" s="178">
        <f t="shared" si="2"/>
        <v>0</v>
      </c>
      <c r="W137" s="165"/>
    </row>
    <row r="138" spans="1:23" x14ac:dyDescent="0.2">
      <c r="A138" s="1">
        <f t="shared" si="3"/>
        <v>40433.376000000164</v>
      </c>
      <c r="B138" s="176" t="str">
        <f>IF('Peak Revenue'!$A$1="BL","-",IF(Peak!H139&gt;Peak!$G139,B$8*Peak!$AM$11,0))</f>
        <v>-</v>
      </c>
      <c r="C138" s="177" t="str">
        <f>IF('Peak Revenue'!$A$1="BL","-",IF(Peak!I139&gt;Peak!$G139,C$8*Peak!$AM$11,0))</f>
        <v>-</v>
      </c>
      <c r="D138" s="177" t="str">
        <f>IF('Peak Revenue'!$A$1="BL","-",IF(Peak!J139&gt;Peak!$G139,D$8*Peak!$AM$11,0))</f>
        <v>-</v>
      </c>
      <c r="E138" s="177" t="str">
        <f>IF('Peak Revenue'!$A$1="BL","-",IF(Peak!K139&gt;Peak!$G139,E$8*Peak!$AM$11,0))</f>
        <v>-</v>
      </c>
      <c r="F138" s="177" t="str">
        <f>IF('Peak Revenue'!$A$1="BL","-",IF(Peak!L139&gt;Peak!$G139,F$8*Peak!$AM$11,0))</f>
        <v>-</v>
      </c>
      <c r="G138" s="177" t="str">
        <f>IF('Peak Revenue'!$A$1="BL","-",IF(Peak!M139&gt;Peak!$G139,G$8*Peak!$AM$11,0))</f>
        <v>-</v>
      </c>
      <c r="H138" s="177" t="str">
        <f>IF('Peak Revenue'!$A$1="BL","-",IF(Peak!N139&gt;Peak!$G139,H$8*Peak!$AM$11,0))</f>
        <v>-</v>
      </c>
      <c r="I138" s="177" t="str">
        <f>IF('Peak Revenue'!$A$1="BL","-",IF(Peak!O139&gt;Peak!$G139,I$8*Peak!$AM$11,0))</f>
        <v>-</v>
      </c>
      <c r="J138" s="177" t="str">
        <f>IF('Peak Revenue'!$A$1="BL","-",IF(Peak!P139&gt;Peak!$G139,J$8*Peak!$AM$11,0))</f>
        <v>-</v>
      </c>
      <c r="K138" s="177" t="str">
        <f>IF('Peak Revenue'!$A$1="BL","-",IF(Peak!Q139&gt;Peak!$G139,K$8*Peak!$AM$11,0))</f>
        <v>-</v>
      </c>
      <c r="L138" s="177" t="str">
        <f>IF('Peak Revenue'!$A$1="BL","-",IF(Peak!R139&gt;Peak!$G139,L$8*Peak!$AM$11,0))</f>
        <v>-</v>
      </c>
      <c r="M138" s="177" t="str">
        <f>IF('Peak Revenue'!$A$1="BL","-",IF(Peak!S139&gt;Peak!$G139,M$8*Peak!$AM$11,0))</f>
        <v>-</v>
      </c>
      <c r="N138" s="177" t="str">
        <f>IF('Peak Revenue'!$A$1="BL","-",IF(Peak!T139&gt;Peak!$G139,N$8*Peak!$AM$11,0))</f>
        <v>-</v>
      </c>
      <c r="O138" s="177" t="str">
        <f>IF('Peak Revenue'!$A$1="BL","-",IF(Peak!U139&gt;Peak!$G139,O$8*Peak!$AM$11,0))</f>
        <v>-</v>
      </c>
      <c r="P138" s="177" t="str">
        <f>IF('Peak Revenue'!$A$1="BL","-",IF(Peak!V139&gt;Peak!$G139,P$8*Peak!$AM$11,0))</f>
        <v>-</v>
      </c>
      <c r="Q138" s="177" t="str">
        <f>IF('Peak Revenue'!$A$1="BL","-",IF(Peak!W139&gt;Peak!$G139,Q$8*Peak!$AM$11,0))</f>
        <v>-</v>
      </c>
      <c r="R138" s="177" t="str">
        <f>IF('Peak Revenue'!$A$1="BL","-",IF(Peak!X139&gt;Peak!$G139,R$8*Peak!$AM$11,0))</f>
        <v>-</v>
      </c>
      <c r="S138" s="177" t="str">
        <f>IF('Peak Revenue'!$A$1="BL","-",IF(Peak!Y139&gt;Peak!$G139,S$8*Peak!$AM$11,0))</f>
        <v>-</v>
      </c>
      <c r="T138" s="177" t="str">
        <f>IF('Peak Revenue'!$A$1="BL","-",IF(Peak!Z139&gt;Peak!$G139,T$8*Peak!$AM$11,0))</f>
        <v>-</v>
      </c>
      <c r="U138" s="177" t="str">
        <f>IF('Peak Revenue'!$A$1="BL","-",IF(Peak!AA139&gt;Peak!$G139,U$8*Peak!$AM$11,0))</f>
        <v>-</v>
      </c>
      <c r="V138" s="178">
        <f t="shared" si="2"/>
        <v>0</v>
      </c>
      <c r="W138" s="165"/>
    </row>
    <row r="139" spans="1:23" x14ac:dyDescent="0.2">
      <c r="A139" s="1">
        <f t="shared" si="3"/>
        <v>40463.793000000165</v>
      </c>
      <c r="B139" s="176" t="str">
        <f>IF('Peak Revenue'!$A$1="BL","-",IF(Peak!H140&gt;Peak!$G140,B$8*Peak!$AM$11,0))</f>
        <v>-</v>
      </c>
      <c r="C139" s="177" t="str">
        <f>IF('Peak Revenue'!$A$1="BL","-",IF(Peak!I140&gt;Peak!$G140,C$8*Peak!$AM$11,0))</f>
        <v>-</v>
      </c>
      <c r="D139" s="177" t="str">
        <f>IF('Peak Revenue'!$A$1="BL","-",IF(Peak!J140&gt;Peak!$G140,D$8*Peak!$AM$11,0))</f>
        <v>-</v>
      </c>
      <c r="E139" s="177" t="str">
        <f>IF('Peak Revenue'!$A$1="BL","-",IF(Peak!K140&gt;Peak!$G140,E$8*Peak!$AM$11,0))</f>
        <v>-</v>
      </c>
      <c r="F139" s="177" t="str">
        <f>IF('Peak Revenue'!$A$1="BL","-",IF(Peak!L140&gt;Peak!$G140,F$8*Peak!$AM$11,0))</f>
        <v>-</v>
      </c>
      <c r="G139" s="177" t="str">
        <f>IF('Peak Revenue'!$A$1="BL","-",IF(Peak!M140&gt;Peak!$G140,G$8*Peak!$AM$11,0))</f>
        <v>-</v>
      </c>
      <c r="H139" s="177" t="str">
        <f>IF('Peak Revenue'!$A$1="BL","-",IF(Peak!N140&gt;Peak!$G140,H$8*Peak!$AM$11,0))</f>
        <v>-</v>
      </c>
      <c r="I139" s="177" t="str">
        <f>IF('Peak Revenue'!$A$1="BL","-",IF(Peak!O140&gt;Peak!$G140,I$8*Peak!$AM$11,0))</f>
        <v>-</v>
      </c>
      <c r="J139" s="177" t="str">
        <f>IF('Peak Revenue'!$A$1="BL","-",IF(Peak!P140&gt;Peak!$G140,J$8*Peak!$AM$11,0))</f>
        <v>-</v>
      </c>
      <c r="K139" s="177" t="str">
        <f>IF('Peak Revenue'!$A$1="BL","-",IF(Peak!Q140&gt;Peak!$G140,K$8*Peak!$AM$11,0))</f>
        <v>-</v>
      </c>
      <c r="L139" s="177" t="str">
        <f>IF('Peak Revenue'!$A$1="BL","-",IF(Peak!R140&gt;Peak!$G140,L$8*Peak!$AM$11,0))</f>
        <v>-</v>
      </c>
      <c r="M139" s="177" t="str">
        <f>IF('Peak Revenue'!$A$1="BL","-",IF(Peak!S140&gt;Peak!$G140,M$8*Peak!$AM$11,0))</f>
        <v>-</v>
      </c>
      <c r="N139" s="177" t="str">
        <f>IF('Peak Revenue'!$A$1="BL","-",IF(Peak!T140&gt;Peak!$G140,N$8*Peak!$AM$11,0))</f>
        <v>-</v>
      </c>
      <c r="O139" s="177" t="str">
        <f>IF('Peak Revenue'!$A$1="BL","-",IF(Peak!U140&gt;Peak!$G140,O$8*Peak!$AM$11,0))</f>
        <v>-</v>
      </c>
      <c r="P139" s="177" t="str">
        <f>IF('Peak Revenue'!$A$1="BL","-",IF(Peak!V140&gt;Peak!$G140,P$8*Peak!$AM$11,0))</f>
        <v>-</v>
      </c>
      <c r="Q139" s="177" t="str">
        <f>IF('Peak Revenue'!$A$1="BL","-",IF(Peak!W140&gt;Peak!$G140,Q$8*Peak!$AM$11,0))</f>
        <v>-</v>
      </c>
      <c r="R139" s="177" t="str">
        <f>IF('Peak Revenue'!$A$1="BL","-",IF(Peak!X140&gt;Peak!$G140,R$8*Peak!$AM$11,0))</f>
        <v>-</v>
      </c>
      <c r="S139" s="177" t="str">
        <f>IF('Peak Revenue'!$A$1="BL","-",IF(Peak!Y140&gt;Peak!$G140,S$8*Peak!$AM$11,0))</f>
        <v>-</v>
      </c>
      <c r="T139" s="177" t="str">
        <f>IF('Peak Revenue'!$A$1="BL","-",IF(Peak!Z140&gt;Peak!$G140,T$8*Peak!$AM$11,0))</f>
        <v>-</v>
      </c>
      <c r="U139" s="177" t="str">
        <f>IF('Peak Revenue'!$A$1="BL","-",IF(Peak!AA140&gt;Peak!$G140,U$8*Peak!$AM$11,0))</f>
        <v>-</v>
      </c>
      <c r="V139" s="178">
        <f t="shared" ref="V139:V202" si="4">SUM(B139:U139)</f>
        <v>0</v>
      </c>
      <c r="W139" s="165"/>
    </row>
    <row r="140" spans="1:23" x14ac:dyDescent="0.2">
      <c r="A140" s="1">
        <f t="shared" ref="A140:A203" si="5">A139+30.417</f>
        <v>40494.210000000166</v>
      </c>
      <c r="B140" s="176" t="str">
        <f>IF('Peak Revenue'!$A$1="BL","-",IF(Peak!H141&gt;Peak!$G141,B$8*Peak!$AM$11,0))</f>
        <v>-</v>
      </c>
      <c r="C140" s="177" t="str">
        <f>IF('Peak Revenue'!$A$1="BL","-",IF(Peak!I141&gt;Peak!$G141,C$8*Peak!$AM$11,0))</f>
        <v>-</v>
      </c>
      <c r="D140" s="177" t="str">
        <f>IF('Peak Revenue'!$A$1="BL","-",IF(Peak!J141&gt;Peak!$G141,D$8*Peak!$AM$11,0))</f>
        <v>-</v>
      </c>
      <c r="E140" s="177" t="str">
        <f>IF('Peak Revenue'!$A$1="BL","-",IF(Peak!K141&gt;Peak!$G141,E$8*Peak!$AM$11,0))</f>
        <v>-</v>
      </c>
      <c r="F140" s="177" t="str">
        <f>IF('Peak Revenue'!$A$1="BL","-",IF(Peak!L141&gt;Peak!$G141,F$8*Peak!$AM$11,0))</f>
        <v>-</v>
      </c>
      <c r="G140" s="177" t="str">
        <f>IF('Peak Revenue'!$A$1="BL","-",IF(Peak!M141&gt;Peak!$G141,G$8*Peak!$AM$11,0))</f>
        <v>-</v>
      </c>
      <c r="H140" s="177" t="str">
        <f>IF('Peak Revenue'!$A$1="BL","-",IF(Peak!N141&gt;Peak!$G141,H$8*Peak!$AM$11,0))</f>
        <v>-</v>
      </c>
      <c r="I140" s="177" t="str">
        <f>IF('Peak Revenue'!$A$1="BL","-",IF(Peak!O141&gt;Peak!$G141,I$8*Peak!$AM$11,0))</f>
        <v>-</v>
      </c>
      <c r="J140" s="177" t="str">
        <f>IF('Peak Revenue'!$A$1="BL","-",IF(Peak!P141&gt;Peak!$G141,J$8*Peak!$AM$11,0))</f>
        <v>-</v>
      </c>
      <c r="K140" s="177" t="str">
        <f>IF('Peak Revenue'!$A$1="BL","-",IF(Peak!Q141&gt;Peak!$G141,K$8*Peak!$AM$11,0))</f>
        <v>-</v>
      </c>
      <c r="L140" s="177" t="str">
        <f>IF('Peak Revenue'!$A$1="BL","-",IF(Peak!R141&gt;Peak!$G141,L$8*Peak!$AM$11,0))</f>
        <v>-</v>
      </c>
      <c r="M140" s="177" t="str">
        <f>IF('Peak Revenue'!$A$1="BL","-",IF(Peak!S141&gt;Peak!$G141,M$8*Peak!$AM$11,0))</f>
        <v>-</v>
      </c>
      <c r="N140" s="177" t="str">
        <f>IF('Peak Revenue'!$A$1="BL","-",IF(Peak!T141&gt;Peak!$G141,N$8*Peak!$AM$11,0))</f>
        <v>-</v>
      </c>
      <c r="O140" s="177" t="str">
        <f>IF('Peak Revenue'!$A$1="BL","-",IF(Peak!U141&gt;Peak!$G141,O$8*Peak!$AM$11,0))</f>
        <v>-</v>
      </c>
      <c r="P140" s="177" t="str">
        <f>IF('Peak Revenue'!$A$1="BL","-",IF(Peak!V141&gt;Peak!$G141,P$8*Peak!$AM$11,0))</f>
        <v>-</v>
      </c>
      <c r="Q140" s="177" t="str">
        <f>IF('Peak Revenue'!$A$1="BL","-",IF(Peak!W141&gt;Peak!$G141,Q$8*Peak!$AM$11,0))</f>
        <v>-</v>
      </c>
      <c r="R140" s="177" t="str">
        <f>IF('Peak Revenue'!$A$1="BL","-",IF(Peak!X141&gt;Peak!$G141,R$8*Peak!$AM$11,0))</f>
        <v>-</v>
      </c>
      <c r="S140" s="177" t="str">
        <f>IF('Peak Revenue'!$A$1="BL","-",IF(Peak!Y141&gt;Peak!$G141,S$8*Peak!$AM$11,0))</f>
        <v>-</v>
      </c>
      <c r="T140" s="177" t="str">
        <f>IF('Peak Revenue'!$A$1="BL","-",IF(Peak!Z141&gt;Peak!$G141,T$8*Peak!$AM$11,0))</f>
        <v>-</v>
      </c>
      <c r="U140" s="177" t="str">
        <f>IF('Peak Revenue'!$A$1="BL","-",IF(Peak!AA141&gt;Peak!$G141,U$8*Peak!$AM$11,0))</f>
        <v>-</v>
      </c>
      <c r="V140" s="178">
        <f t="shared" si="4"/>
        <v>0</v>
      </c>
      <c r="W140" s="165"/>
    </row>
    <row r="141" spans="1:23" x14ac:dyDescent="0.2">
      <c r="A141" s="1">
        <f t="shared" si="5"/>
        <v>40524.627000000168</v>
      </c>
      <c r="B141" s="176" t="str">
        <f>IF('Peak Revenue'!$A$1="BL","-",IF(Peak!H142&gt;Peak!$G142,B$8*Peak!$AM$11,0))</f>
        <v>-</v>
      </c>
      <c r="C141" s="177" t="str">
        <f>IF('Peak Revenue'!$A$1="BL","-",IF(Peak!I142&gt;Peak!$G142,C$8*Peak!$AM$11,0))</f>
        <v>-</v>
      </c>
      <c r="D141" s="177" t="str">
        <f>IF('Peak Revenue'!$A$1="BL","-",IF(Peak!J142&gt;Peak!$G142,D$8*Peak!$AM$11,0))</f>
        <v>-</v>
      </c>
      <c r="E141" s="177" t="str">
        <f>IF('Peak Revenue'!$A$1="BL","-",IF(Peak!K142&gt;Peak!$G142,E$8*Peak!$AM$11,0))</f>
        <v>-</v>
      </c>
      <c r="F141" s="177" t="str">
        <f>IF('Peak Revenue'!$A$1="BL","-",IF(Peak!L142&gt;Peak!$G142,F$8*Peak!$AM$11,0))</f>
        <v>-</v>
      </c>
      <c r="G141" s="177" t="str">
        <f>IF('Peak Revenue'!$A$1="BL","-",IF(Peak!M142&gt;Peak!$G142,G$8*Peak!$AM$11,0))</f>
        <v>-</v>
      </c>
      <c r="H141" s="177" t="str">
        <f>IF('Peak Revenue'!$A$1="BL","-",IF(Peak!N142&gt;Peak!$G142,H$8*Peak!$AM$11,0))</f>
        <v>-</v>
      </c>
      <c r="I141" s="177" t="str">
        <f>IF('Peak Revenue'!$A$1="BL","-",IF(Peak!O142&gt;Peak!$G142,I$8*Peak!$AM$11,0))</f>
        <v>-</v>
      </c>
      <c r="J141" s="177" t="str">
        <f>IF('Peak Revenue'!$A$1="BL","-",IF(Peak!P142&gt;Peak!$G142,J$8*Peak!$AM$11,0))</f>
        <v>-</v>
      </c>
      <c r="K141" s="177" t="str">
        <f>IF('Peak Revenue'!$A$1="BL","-",IF(Peak!Q142&gt;Peak!$G142,K$8*Peak!$AM$11,0))</f>
        <v>-</v>
      </c>
      <c r="L141" s="177" t="str">
        <f>IF('Peak Revenue'!$A$1="BL","-",IF(Peak!R142&gt;Peak!$G142,L$8*Peak!$AM$11,0))</f>
        <v>-</v>
      </c>
      <c r="M141" s="177" t="str">
        <f>IF('Peak Revenue'!$A$1="BL","-",IF(Peak!S142&gt;Peak!$G142,M$8*Peak!$AM$11,0))</f>
        <v>-</v>
      </c>
      <c r="N141" s="177" t="str">
        <f>IF('Peak Revenue'!$A$1="BL","-",IF(Peak!T142&gt;Peak!$G142,N$8*Peak!$AM$11,0))</f>
        <v>-</v>
      </c>
      <c r="O141" s="177" t="str">
        <f>IF('Peak Revenue'!$A$1="BL","-",IF(Peak!U142&gt;Peak!$G142,O$8*Peak!$AM$11,0))</f>
        <v>-</v>
      </c>
      <c r="P141" s="177" t="str">
        <f>IF('Peak Revenue'!$A$1="BL","-",IF(Peak!V142&gt;Peak!$G142,P$8*Peak!$AM$11,0))</f>
        <v>-</v>
      </c>
      <c r="Q141" s="177" t="str">
        <f>IF('Peak Revenue'!$A$1="BL","-",IF(Peak!W142&gt;Peak!$G142,Q$8*Peak!$AM$11,0))</f>
        <v>-</v>
      </c>
      <c r="R141" s="177" t="str">
        <f>IF('Peak Revenue'!$A$1="BL","-",IF(Peak!X142&gt;Peak!$G142,R$8*Peak!$AM$11,0))</f>
        <v>-</v>
      </c>
      <c r="S141" s="177" t="str">
        <f>IF('Peak Revenue'!$A$1="BL","-",IF(Peak!Y142&gt;Peak!$G142,S$8*Peak!$AM$11,0))</f>
        <v>-</v>
      </c>
      <c r="T141" s="177" t="str">
        <f>IF('Peak Revenue'!$A$1="BL","-",IF(Peak!Z142&gt;Peak!$G142,T$8*Peak!$AM$11,0))</f>
        <v>-</v>
      </c>
      <c r="U141" s="177" t="str">
        <f>IF('Peak Revenue'!$A$1="BL","-",IF(Peak!AA142&gt;Peak!$G142,U$8*Peak!$AM$11,0))</f>
        <v>-</v>
      </c>
      <c r="V141" s="178">
        <f t="shared" si="4"/>
        <v>0</v>
      </c>
      <c r="W141" s="164">
        <f>SUM(V130:V141)</f>
        <v>0</v>
      </c>
    </row>
    <row r="142" spans="1:23" x14ac:dyDescent="0.2">
      <c r="A142" s="1">
        <f t="shared" si="5"/>
        <v>40555.044000000169</v>
      </c>
      <c r="B142" s="176" t="str">
        <f>IF('Peak Revenue'!$A$1="BL","-",IF(Peak!H143&gt;Peak!$G143,B$8*Peak!$AM$11,0))</f>
        <v>-</v>
      </c>
      <c r="C142" s="177" t="str">
        <f>IF('Peak Revenue'!$A$1="BL","-",IF(Peak!I143&gt;Peak!$G143,C$8*Peak!$AM$11,0))</f>
        <v>-</v>
      </c>
      <c r="D142" s="177" t="str">
        <f>IF('Peak Revenue'!$A$1="BL","-",IF(Peak!J143&gt;Peak!$G143,D$8*Peak!$AM$11,0))</f>
        <v>-</v>
      </c>
      <c r="E142" s="177" t="str">
        <f>IF('Peak Revenue'!$A$1="BL","-",IF(Peak!K143&gt;Peak!$G143,E$8*Peak!$AM$11,0))</f>
        <v>-</v>
      </c>
      <c r="F142" s="177" t="str">
        <f>IF('Peak Revenue'!$A$1="BL","-",IF(Peak!L143&gt;Peak!$G143,F$8*Peak!$AM$11,0))</f>
        <v>-</v>
      </c>
      <c r="G142" s="177" t="str">
        <f>IF('Peak Revenue'!$A$1="BL","-",IF(Peak!M143&gt;Peak!$G143,G$8*Peak!$AM$11,0))</f>
        <v>-</v>
      </c>
      <c r="H142" s="177" t="str">
        <f>IF('Peak Revenue'!$A$1="BL","-",IF(Peak!N143&gt;Peak!$G143,H$8*Peak!$AM$11,0))</f>
        <v>-</v>
      </c>
      <c r="I142" s="177" t="str">
        <f>IF('Peak Revenue'!$A$1="BL","-",IF(Peak!O143&gt;Peak!$G143,I$8*Peak!$AM$11,0))</f>
        <v>-</v>
      </c>
      <c r="J142" s="177" t="str">
        <f>IF('Peak Revenue'!$A$1="BL","-",IF(Peak!P143&gt;Peak!$G143,J$8*Peak!$AM$11,0))</f>
        <v>-</v>
      </c>
      <c r="K142" s="177" t="str">
        <f>IF('Peak Revenue'!$A$1="BL","-",IF(Peak!Q143&gt;Peak!$G143,K$8*Peak!$AM$11,0))</f>
        <v>-</v>
      </c>
      <c r="L142" s="177" t="str">
        <f>IF('Peak Revenue'!$A$1="BL","-",IF(Peak!R143&gt;Peak!$G143,L$8*Peak!$AM$11,0))</f>
        <v>-</v>
      </c>
      <c r="M142" s="177" t="str">
        <f>IF('Peak Revenue'!$A$1="BL","-",IF(Peak!S143&gt;Peak!$G143,M$8*Peak!$AM$11,0))</f>
        <v>-</v>
      </c>
      <c r="N142" s="177" t="str">
        <f>IF('Peak Revenue'!$A$1="BL","-",IF(Peak!T143&gt;Peak!$G143,N$8*Peak!$AM$11,0))</f>
        <v>-</v>
      </c>
      <c r="O142" s="177" t="str">
        <f>IF('Peak Revenue'!$A$1="BL","-",IF(Peak!U143&gt;Peak!$G143,O$8*Peak!$AM$11,0))</f>
        <v>-</v>
      </c>
      <c r="P142" s="177" t="str">
        <f>IF('Peak Revenue'!$A$1="BL","-",IF(Peak!V143&gt;Peak!$G143,P$8*Peak!$AM$11,0))</f>
        <v>-</v>
      </c>
      <c r="Q142" s="177" t="str">
        <f>IF('Peak Revenue'!$A$1="BL","-",IF(Peak!W143&gt;Peak!$G143,Q$8*Peak!$AM$11,0))</f>
        <v>-</v>
      </c>
      <c r="R142" s="177" t="str">
        <f>IF('Peak Revenue'!$A$1="BL","-",IF(Peak!X143&gt;Peak!$G143,R$8*Peak!$AM$11,0))</f>
        <v>-</v>
      </c>
      <c r="S142" s="177" t="str">
        <f>IF('Peak Revenue'!$A$1="BL","-",IF(Peak!Y143&gt;Peak!$G143,S$8*Peak!$AM$11,0))</f>
        <v>-</v>
      </c>
      <c r="T142" s="177" t="str">
        <f>IF('Peak Revenue'!$A$1="BL","-",IF(Peak!Z143&gt;Peak!$G143,T$8*Peak!$AM$11,0))</f>
        <v>-</v>
      </c>
      <c r="U142" s="177" t="str">
        <f>IF('Peak Revenue'!$A$1="BL","-",IF(Peak!AA143&gt;Peak!$G143,U$8*Peak!$AM$11,0))</f>
        <v>-</v>
      </c>
      <c r="V142" s="178">
        <f t="shared" si="4"/>
        <v>0</v>
      </c>
      <c r="W142" s="165"/>
    </row>
    <row r="143" spans="1:23" x14ac:dyDescent="0.2">
      <c r="A143" s="1">
        <f t="shared" si="5"/>
        <v>40585.46100000017</v>
      </c>
      <c r="B143" s="176" t="str">
        <f>IF('Peak Revenue'!$A$1="BL","-",IF(Peak!H144&gt;Peak!$G144,B$8*Peak!$AM$11,0))</f>
        <v>-</v>
      </c>
      <c r="C143" s="177" t="str">
        <f>IF('Peak Revenue'!$A$1="BL","-",IF(Peak!I144&gt;Peak!$G144,C$8*Peak!$AM$11,0))</f>
        <v>-</v>
      </c>
      <c r="D143" s="177" t="str">
        <f>IF('Peak Revenue'!$A$1="BL","-",IF(Peak!J144&gt;Peak!$G144,D$8*Peak!$AM$11,0))</f>
        <v>-</v>
      </c>
      <c r="E143" s="177" t="str">
        <f>IF('Peak Revenue'!$A$1="BL","-",IF(Peak!K144&gt;Peak!$G144,E$8*Peak!$AM$11,0))</f>
        <v>-</v>
      </c>
      <c r="F143" s="177" t="str">
        <f>IF('Peak Revenue'!$A$1="BL","-",IF(Peak!L144&gt;Peak!$G144,F$8*Peak!$AM$11,0))</f>
        <v>-</v>
      </c>
      <c r="G143" s="177" t="str">
        <f>IF('Peak Revenue'!$A$1="BL","-",IF(Peak!M144&gt;Peak!$G144,G$8*Peak!$AM$11,0))</f>
        <v>-</v>
      </c>
      <c r="H143" s="177" t="str">
        <f>IF('Peak Revenue'!$A$1="BL","-",IF(Peak!N144&gt;Peak!$G144,H$8*Peak!$AM$11,0))</f>
        <v>-</v>
      </c>
      <c r="I143" s="177" t="str">
        <f>IF('Peak Revenue'!$A$1="BL","-",IF(Peak!O144&gt;Peak!$G144,I$8*Peak!$AM$11,0))</f>
        <v>-</v>
      </c>
      <c r="J143" s="177" t="str">
        <f>IF('Peak Revenue'!$A$1="BL","-",IF(Peak!P144&gt;Peak!$G144,J$8*Peak!$AM$11,0))</f>
        <v>-</v>
      </c>
      <c r="K143" s="177" t="str">
        <f>IF('Peak Revenue'!$A$1="BL","-",IF(Peak!Q144&gt;Peak!$G144,K$8*Peak!$AM$11,0))</f>
        <v>-</v>
      </c>
      <c r="L143" s="177" t="str">
        <f>IF('Peak Revenue'!$A$1="BL","-",IF(Peak!R144&gt;Peak!$G144,L$8*Peak!$AM$11,0))</f>
        <v>-</v>
      </c>
      <c r="M143" s="177" t="str">
        <f>IF('Peak Revenue'!$A$1="BL","-",IF(Peak!S144&gt;Peak!$G144,M$8*Peak!$AM$11,0))</f>
        <v>-</v>
      </c>
      <c r="N143" s="177" t="str">
        <f>IF('Peak Revenue'!$A$1="BL","-",IF(Peak!T144&gt;Peak!$G144,N$8*Peak!$AM$11,0))</f>
        <v>-</v>
      </c>
      <c r="O143" s="177" t="str">
        <f>IF('Peak Revenue'!$A$1="BL","-",IF(Peak!U144&gt;Peak!$G144,O$8*Peak!$AM$11,0))</f>
        <v>-</v>
      </c>
      <c r="P143" s="177" t="str">
        <f>IF('Peak Revenue'!$A$1="BL","-",IF(Peak!V144&gt;Peak!$G144,P$8*Peak!$AM$11,0))</f>
        <v>-</v>
      </c>
      <c r="Q143" s="177" t="str">
        <f>IF('Peak Revenue'!$A$1="BL","-",IF(Peak!W144&gt;Peak!$G144,Q$8*Peak!$AM$11,0))</f>
        <v>-</v>
      </c>
      <c r="R143" s="177" t="str">
        <f>IF('Peak Revenue'!$A$1="BL","-",IF(Peak!X144&gt;Peak!$G144,R$8*Peak!$AM$11,0))</f>
        <v>-</v>
      </c>
      <c r="S143" s="177" t="str">
        <f>IF('Peak Revenue'!$A$1="BL","-",IF(Peak!Y144&gt;Peak!$G144,S$8*Peak!$AM$11,0))</f>
        <v>-</v>
      </c>
      <c r="T143" s="177" t="str">
        <f>IF('Peak Revenue'!$A$1="BL","-",IF(Peak!Z144&gt;Peak!$G144,T$8*Peak!$AM$11,0))</f>
        <v>-</v>
      </c>
      <c r="U143" s="177" t="str">
        <f>IF('Peak Revenue'!$A$1="BL","-",IF(Peak!AA144&gt;Peak!$G144,U$8*Peak!$AM$11,0))</f>
        <v>-</v>
      </c>
      <c r="V143" s="178">
        <f t="shared" si="4"/>
        <v>0</v>
      </c>
      <c r="W143" s="165"/>
    </row>
    <row r="144" spans="1:23" x14ac:dyDescent="0.2">
      <c r="A144" s="1">
        <f t="shared" si="5"/>
        <v>40615.878000000172</v>
      </c>
      <c r="B144" s="176" t="str">
        <f>IF('Peak Revenue'!$A$1="BL","-",IF(Peak!H145&gt;Peak!$G145,B$8*Peak!$AM$11,0))</f>
        <v>-</v>
      </c>
      <c r="C144" s="177" t="str">
        <f>IF('Peak Revenue'!$A$1="BL","-",IF(Peak!I145&gt;Peak!$G145,C$8*Peak!$AM$11,0))</f>
        <v>-</v>
      </c>
      <c r="D144" s="177" t="str">
        <f>IF('Peak Revenue'!$A$1="BL","-",IF(Peak!J145&gt;Peak!$G145,D$8*Peak!$AM$11,0))</f>
        <v>-</v>
      </c>
      <c r="E144" s="177" t="str">
        <f>IF('Peak Revenue'!$A$1="BL","-",IF(Peak!K145&gt;Peak!$G145,E$8*Peak!$AM$11,0))</f>
        <v>-</v>
      </c>
      <c r="F144" s="177" t="str">
        <f>IF('Peak Revenue'!$A$1="BL","-",IF(Peak!L145&gt;Peak!$G145,F$8*Peak!$AM$11,0))</f>
        <v>-</v>
      </c>
      <c r="G144" s="177" t="str">
        <f>IF('Peak Revenue'!$A$1="BL","-",IF(Peak!M145&gt;Peak!$G145,G$8*Peak!$AM$11,0))</f>
        <v>-</v>
      </c>
      <c r="H144" s="177" t="str">
        <f>IF('Peak Revenue'!$A$1="BL","-",IF(Peak!N145&gt;Peak!$G145,H$8*Peak!$AM$11,0))</f>
        <v>-</v>
      </c>
      <c r="I144" s="177" t="str">
        <f>IF('Peak Revenue'!$A$1="BL","-",IF(Peak!O145&gt;Peak!$G145,I$8*Peak!$AM$11,0))</f>
        <v>-</v>
      </c>
      <c r="J144" s="177" t="str">
        <f>IF('Peak Revenue'!$A$1="BL","-",IF(Peak!P145&gt;Peak!$G145,J$8*Peak!$AM$11,0))</f>
        <v>-</v>
      </c>
      <c r="K144" s="177" t="str">
        <f>IF('Peak Revenue'!$A$1="BL","-",IF(Peak!Q145&gt;Peak!$G145,K$8*Peak!$AM$11,0))</f>
        <v>-</v>
      </c>
      <c r="L144" s="177" t="str">
        <f>IF('Peak Revenue'!$A$1="BL","-",IF(Peak!R145&gt;Peak!$G145,L$8*Peak!$AM$11,0))</f>
        <v>-</v>
      </c>
      <c r="M144" s="177" t="str">
        <f>IF('Peak Revenue'!$A$1="BL","-",IF(Peak!S145&gt;Peak!$G145,M$8*Peak!$AM$11,0))</f>
        <v>-</v>
      </c>
      <c r="N144" s="177" t="str">
        <f>IF('Peak Revenue'!$A$1="BL","-",IF(Peak!T145&gt;Peak!$G145,N$8*Peak!$AM$11,0))</f>
        <v>-</v>
      </c>
      <c r="O144" s="177" t="str">
        <f>IF('Peak Revenue'!$A$1="BL","-",IF(Peak!U145&gt;Peak!$G145,O$8*Peak!$AM$11,0))</f>
        <v>-</v>
      </c>
      <c r="P144" s="177" t="str">
        <f>IF('Peak Revenue'!$A$1="BL","-",IF(Peak!V145&gt;Peak!$G145,P$8*Peak!$AM$11,0))</f>
        <v>-</v>
      </c>
      <c r="Q144" s="177" t="str">
        <f>IF('Peak Revenue'!$A$1="BL","-",IF(Peak!W145&gt;Peak!$G145,Q$8*Peak!$AM$11,0))</f>
        <v>-</v>
      </c>
      <c r="R144" s="177" t="str">
        <f>IF('Peak Revenue'!$A$1="BL","-",IF(Peak!X145&gt;Peak!$G145,R$8*Peak!$AM$11,0))</f>
        <v>-</v>
      </c>
      <c r="S144" s="177" t="str">
        <f>IF('Peak Revenue'!$A$1="BL","-",IF(Peak!Y145&gt;Peak!$G145,S$8*Peak!$AM$11,0))</f>
        <v>-</v>
      </c>
      <c r="T144" s="177" t="str">
        <f>IF('Peak Revenue'!$A$1="BL","-",IF(Peak!Z145&gt;Peak!$G145,T$8*Peak!$AM$11,0))</f>
        <v>-</v>
      </c>
      <c r="U144" s="177" t="str">
        <f>IF('Peak Revenue'!$A$1="BL","-",IF(Peak!AA145&gt;Peak!$G145,U$8*Peak!$AM$11,0))</f>
        <v>-</v>
      </c>
      <c r="V144" s="178">
        <f t="shared" si="4"/>
        <v>0</v>
      </c>
      <c r="W144" s="165"/>
    </row>
    <row r="145" spans="1:23" x14ac:dyDescent="0.2">
      <c r="A145" s="1">
        <f t="shared" si="5"/>
        <v>40646.295000000173</v>
      </c>
      <c r="B145" s="176" t="str">
        <f>IF('Peak Revenue'!$A$1="BL","-",IF(Peak!H146&gt;Peak!$G146,B$8*Peak!$AM$11,0))</f>
        <v>-</v>
      </c>
      <c r="C145" s="177" t="str">
        <f>IF('Peak Revenue'!$A$1="BL","-",IF(Peak!I146&gt;Peak!$G146,C$8*Peak!$AM$11,0))</f>
        <v>-</v>
      </c>
      <c r="D145" s="177" t="str">
        <f>IF('Peak Revenue'!$A$1="BL","-",IF(Peak!J146&gt;Peak!$G146,D$8*Peak!$AM$11,0))</f>
        <v>-</v>
      </c>
      <c r="E145" s="177" t="str">
        <f>IF('Peak Revenue'!$A$1="BL","-",IF(Peak!K146&gt;Peak!$G146,E$8*Peak!$AM$11,0))</f>
        <v>-</v>
      </c>
      <c r="F145" s="177" t="str">
        <f>IF('Peak Revenue'!$A$1="BL","-",IF(Peak!L146&gt;Peak!$G146,F$8*Peak!$AM$11,0))</f>
        <v>-</v>
      </c>
      <c r="G145" s="177" t="str">
        <f>IF('Peak Revenue'!$A$1="BL","-",IF(Peak!M146&gt;Peak!$G146,G$8*Peak!$AM$11,0))</f>
        <v>-</v>
      </c>
      <c r="H145" s="177" t="str">
        <f>IF('Peak Revenue'!$A$1="BL","-",IF(Peak!N146&gt;Peak!$G146,H$8*Peak!$AM$11,0))</f>
        <v>-</v>
      </c>
      <c r="I145" s="177" t="str">
        <f>IF('Peak Revenue'!$A$1="BL","-",IF(Peak!O146&gt;Peak!$G146,I$8*Peak!$AM$11,0))</f>
        <v>-</v>
      </c>
      <c r="J145" s="177" t="str">
        <f>IF('Peak Revenue'!$A$1="BL","-",IF(Peak!P146&gt;Peak!$G146,J$8*Peak!$AM$11,0))</f>
        <v>-</v>
      </c>
      <c r="K145" s="177" t="str">
        <f>IF('Peak Revenue'!$A$1="BL","-",IF(Peak!Q146&gt;Peak!$G146,K$8*Peak!$AM$11,0))</f>
        <v>-</v>
      </c>
      <c r="L145" s="177" t="str">
        <f>IF('Peak Revenue'!$A$1="BL","-",IF(Peak!R146&gt;Peak!$G146,L$8*Peak!$AM$11,0))</f>
        <v>-</v>
      </c>
      <c r="M145" s="177" t="str">
        <f>IF('Peak Revenue'!$A$1="BL","-",IF(Peak!S146&gt;Peak!$G146,M$8*Peak!$AM$11,0))</f>
        <v>-</v>
      </c>
      <c r="N145" s="177" t="str">
        <f>IF('Peak Revenue'!$A$1="BL","-",IF(Peak!T146&gt;Peak!$G146,N$8*Peak!$AM$11,0))</f>
        <v>-</v>
      </c>
      <c r="O145" s="177" t="str">
        <f>IF('Peak Revenue'!$A$1="BL","-",IF(Peak!U146&gt;Peak!$G146,O$8*Peak!$AM$11,0))</f>
        <v>-</v>
      </c>
      <c r="P145" s="177" t="str">
        <f>IF('Peak Revenue'!$A$1="BL","-",IF(Peak!V146&gt;Peak!$G146,P$8*Peak!$AM$11,0))</f>
        <v>-</v>
      </c>
      <c r="Q145" s="177" t="str">
        <f>IF('Peak Revenue'!$A$1="BL","-",IF(Peak!W146&gt;Peak!$G146,Q$8*Peak!$AM$11,0))</f>
        <v>-</v>
      </c>
      <c r="R145" s="177" t="str">
        <f>IF('Peak Revenue'!$A$1="BL","-",IF(Peak!X146&gt;Peak!$G146,R$8*Peak!$AM$11,0))</f>
        <v>-</v>
      </c>
      <c r="S145" s="177" t="str">
        <f>IF('Peak Revenue'!$A$1="BL","-",IF(Peak!Y146&gt;Peak!$G146,S$8*Peak!$AM$11,0))</f>
        <v>-</v>
      </c>
      <c r="T145" s="177" t="str">
        <f>IF('Peak Revenue'!$A$1="BL","-",IF(Peak!Z146&gt;Peak!$G146,T$8*Peak!$AM$11,0))</f>
        <v>-</v>
      </c>
      <c r="U145" s="177" t="str">
        <f>IF('Peak Revenue'!$A$1="BL","-",IF(Peak!AA146&gt;Peak!$G146,U$8*Peak!$AM$11,0))</f>
        <v>-</v>
      </c>
      <c r="V145" s="178">
        <f t="shared" si="4"/>
        <v>0</v>
      </c>
      <c r="W145" s="165"/>
    </row>
    <row r="146" spans="1:23" x14ac:dyDescent="0.2">
      <c r="A146" s="1">
        <f t="shared" si="5"/>
        <v>40676.712000000174</v>
      </c>
      <c r="B146" s="176" t="str">
        <f>IF('Peak Revenue'!$A$1="BL","-",IF(Peak!H147&gt;Peak!$G147,B$8*Peak!$AM$11,0))</f>
        <v>-</v>
      </c>
      <c r="C146" s="177" t="str">
        <f>IF('Peak Revenue'!$A$1="BL","-",IF(Peak!I147&gt;Peak!$G147,C$8*Peak!$AM$11,0))</f>
        <v>-</v>
      </c>
      <c r="D146" s="177" t="str">
        <f>IF('Peak Revenue'!$A$1="BL","-",IF(Peak!J147&gt;Peak!$G147,D$8*Peak!$AM$11,0))</f>
        <v>-</v>
      </c>
      <c r="E146" s="177" t="str">
        <f>IF('Peak Revenue'!$A$1="BL","-",IF(Peak!K147&gt;Peak!$G147,E$8*Peak!$AM$11,0))</f>
        <v>-</v>
      </c>
      <c r="F146" s="177" t="str">
        <f>IF('Peak Revenue'!$A$1="BL","-",IF(Peak!L147&gt;Peak!$G147,F$8*Peak!$AM$11,0))</f>
        <v>-</v>
      </c>
      <c r="G146" s="177" t="str">
        <f>IF('Peak Revenue'!$A$1="BL","-",IF(Peak!M147&gt;Peak!$G147,G$8*Peak!$AM$11,0))</f>
        <v>-</v>
      </c>
      <c r="H146" s="177" t="str">
        <f>IF('Peak Revenue'!$A$1="BL","-",IF(Peak!N147&gt;Peak!$G147,H$8*Peak!$AM$11,0))</f>
        <v>-</v>
      </c>
      <c r="I146" s="177" t="str">
        <f>IF('Peak Revenue'!$A$1="BL","-",IF(Peak!O147&gt;Peak!$G147,I$8*Peak!$AM$11,0))</f>
        <v>-</v>
      </c>
      <c r="J146" s="177" t="str">
        <f>IF('Peak Revenue'!$A$1="BL","-",IF(Peak!P147&gt;Peak!$G147,J$8*Peak!$AM$11,0))</f>
        <v>-</v>
      </c>
      <c r="K146" s="177" t="str">
        <f>IF('Peak Revenue'!$A$1="BL","-",IF(Peak!Q147&gt;Peak!$G147,K$8*Peak!$AM$11,0))</f>
        <v>-</v>
      </c>
      <c r="L146" s="177" t="str">
        <f>IF('Peak Revenue'!$A$1="BL","-",IF(Peak!R147&gt;Peak!$G147,L$8*Peak!$AM$11,0))</f>
        <v>-</v>
      </c>
      <c r="M146" s="177" t="str">
        <f>IF('Peak Revenue'!$A$1="BL","-",IF(Peak!S147&gt;Peak!$G147,M$8*Peak!$AM$11,0))</f>
        <v>-</v>
      </c>
      <c r="N146" s="177" t="str">
        <f>IF('Peak Revenue'!$A$1="BL","-",IF(Peak!T147&gt;Peak!$G147,N$8*Peak!$AM$11,0))</f>
        <v>-</v>
      </c>
      <c r="O146" s="177" t="str">
        <f>IF('Peak Revenue'!$A$1="BL","-",IF(Peak!U147&gt;Peak!$G147,O$8*Peak!$AM$11,0))</f>
        <v>-</v>
      </c>
      <c r="P146" s="177" t="str">
        <f>IF('Peak Revenue'!$A$1="BL","-",IF(Peak!V147&gt;Peak!$G147,P$8*Peak!$AM$11,0))</f>
        <v>-</v>
      </c>
      <c r="Q146" s="177" t="str">
        <f>IF('Peak Revenue'!$A$1="BL","-",IF(Peak!W147&gt;Peak!$G147,Q$8*Peak!$AM$11,0))</f>
        <v>-</v>
      </c>
      <c r="R146" s="177" t="str">
        <f>IF('Peak Revenue'!$A$1="BL","-",IF(Peak!X147&gt;Peak!$G147,R$8*Peak!$AM$11,0))</f>
        <v>-</v>
      </c>
      <c r="S146" s="177" t="str">
        <f>IF('Peak Revenue'!$A$1="BL","-",IF(Peak!Y147&gt;Peak!$G147,S$8*Peak!$AM$11,0))</f>
        <v>-</v>
      </c>
      <c r="T146" s="177" t="str">
        <f>IF('Peak Revenue'!$A$1="BL","-",IF(Peak!Z147&gt;Peak!$G147,T$8*Peak!$AM$11,0))</f>
        <v>-</v>
      </c>
      <c r="U146" s="177" t="str">
        <f>IF('Peak Revenue'!$A$1="BL","-",IF(Peak!AA147&gt;Peak!$G147,U$8*Peak!$AM$11,0))</f>
        <v>-</v>
      </c>
      <c r="V146" s="178">
        <f t="shared" si="4"/>
        <v>0</v>
      </c>
      <c r="W146" s="165"/>
    </row>
    <row r="147" spans="1:23" x14ac:dyDescent="0.2">
      <c r="A147" s="1">
        <f t="shared" si="5"/>
        <v>40707.129000000175</v>
      </c>
      <c r="B147" s="176" t="str">
        <f>IF('Peak Revenue'!$A$1="BL","-",IF(Peak!H148&gt;Peak!$G148,B$8*Peak!$AM$11,0))</f>
        <v>-</v>
      </c>
      <c r="C147" s="177" t="str">
        <f>IF('Peak Revenue'!$A$1="BL","-",IF(Peak!I148&gt;Peak!$G148,C$8*Peak!$AM$11,0))</f>
        <v>-</v>
      </c>
      <c r="D147" s="177" t="str">
        <f>IF('Peak Revenue'!$A$1="BL","-",IF(Peak!J148&gt;Peak!$G148,D$8*Peak!$AM$11,0))</f>
        <v>-</v>
      </c>
      <c r="E147" s="177" t="str">
        <f>IF('Peak Revenue'!$A$1="BL","-",IF(Peak!K148&gt;Peak!$G148,E$8*Peak!$AM$11,0))</f>
        <v>-</v>
      </c>
      <c r="F147" s="177" t="str">
        <f>IF('Peak Revenue'!$A$1="BL","-",IF(Peak!L148&gt;Peak!$G148,F$8*Peak!$AM$11,0))</f>
        <v>-</v>
      </c>
      <c r="G147" s="177" t="str">
        <f>IF('Peak Revenue'!$A$1="BL","-",IF(Peak!M148&gt;Peak!$G148,G$8*Peak!$AM$11,0))</f>
        <v>-</v>
      </c>
      <c r="H147" s="177" t="str">
        <f>IF('Peak Revenue'!$A$1="BL","-",IF(Peak!N148&gt;Peak!$G148,H$8*Peak!$AM$11,0))</f>
        <v>-</v>
      </c>
      <c r="I147" s="177" t="str">
        <f>IF('Peak Revenue'!$A$1="BL","-",IF(Peak!O148&gt;Peak!$G148,I$8*Peak!$AM$11,0))</f>
        <v>-</v>
      </c>
      <c r="J147" s="177" t="str">
        <f>IF('Peak Revenue'!$A$1="BL","-",IF(Peak!P148&gt;Peak!$G148,J$8*Peak!$AM$11,0))</f>
        <v>-</v>
      </c>
      <c r="K147" s="177" t="str">
        <f>IF('Peak Revenue'!$A$1="BL","-",IF(Peak!Q148&gt;Peak!$G148,K$8*Peak!$AM$11,0))</f>
        <v>-</v>
      </c>
      <c r="L147" s="177" t="str">
        <f>IF('Peak Revenue'!$A$1="BL","-",IF(Peak!R148&gt;Peak!$G148,L$8*Peak!$AM$11,0))</f>
        <v>-</v>
      </c>
      <c r="M147" s="177" t="str">
        <f>IF('Peak Revenue'!$A$1="BL","-",IF(Peak!S148&gt;Peak!$G148,M$8*Peak!$AM$11,0))</f>
        <v>-</v>
      </c>
      <c r="N147" s="177" t="str">
        <f>IF('Peak Revenue'!$A$1="BL","-",IF(Peak!T148&gt;Peak!$G148,N$8*Peak!$AM$11,0))</f>
        <v>-</v>
      </c>
      <c r="O147" s="177" t="str">
        <f>IF('Peak Revenue'!$A$1="BL","-",IF(Peak!U148&gt;Peak!$G148,O$8*Peak!$AM$11,0))</f>
        <v>-</v>
      </c>
      <c r="P147" s="177" t="str">
        <f>IF('Peak Revenue'!$A$1="BL","-",IF(Peak!V148&gt;Peak!$G148,P$8*Peak!$AM$11,0))</f>
        <v>-</v>
      </c>
      <c r="Q147" s="177" t="str">
        <f>IF('Peak Revenue'!$A$1="BL","-",IF(Peak!W148&gt;Peak!$G148,Q$8*Peak!$AM$11,0))</f>
        <v>-</v>
      </c>
      <c r="R147" s="177" t="str">
        <f>IF('Peak Revenue'!$A$1="BL","-",IF(Peak!X148&gt;Peak!$G148,R$8*Peak!$AM$11,0))</f>
        <v>-</v>
      </c>
      <c r="S147" s="177" t="str">
        <f>IF('Peak Revenue'!$A$1="BL","-",IF(Peak!Y148&gt;Peak!$G148,S$8*Peak!$AM$11,0))</f>
        <v>-</v>
      </c>
      <c r="T147" s="177" t="str">
        <f>IF('Peak Revenue'!$A$1="BL","-",IF(Peak!Z148&gt;Peak!$G148,T$8*Peak!$AM$11,0))</f>
        <v>-</v>
      </c>
      <c r="U147" s="177" t="str">
        <f>IF('Peak Revenue'!$A$1="BL","-",IF(Peak!AA148&gt;Peak!$G148,U$8*Peak!$AM$11,0))</f>
        <v>-</v>
      </c>
      <c r="V147" s="178">
        <f t="shared" si="4"/>
        <v>0</v>
      </c>
      <c r="W147" s="165"/>
    </row>
    <row r="148" spans="1:23" x14ac:dyDescent="0.2">
      <c r="A148" s="1">
        <f t="shared" si="5"/>
        <v>40737.546000000177</v>
      </c>
      <c r="B148" s="176" t="str">
        <f>IF('Peak Revenue'!$A$1="BL","-",IF(Peak!H149&gt;Peak!$G149,B$8*Peak!$AM$11,0))</f>
        <v>-</v>
      </c>
      <c r="C148" s="177" t="str">
        <f>IF('Peak Revenue'!$A$1="BL","-",IF(Peak!I149&gt;Peak!$G149,C$8*Peak!$AM$11,0))</f>
        <v>-</v>
      </c>
      <c r="D148" s="177" t="str">
        <f>IF('Peak Revenue'!$A$1="BL","-",IF(Peak!J149&gt;Peak!$G149,D$8*Peak!$AM$11,0))</f>
        <v>-</v>
      </c>
      <c r="E148" s="177" t="str">
        <f>IF('Peak Revenue'!$A$1="BL","-",IF(Peak!K149&gt;Peak!$G149,E$8*Peak!$AM$11,0))</f>
        <v>-</v>
      </c>
      <c r="F148" s="177" t="str">
        <f>IF('Peak Revenue'!$A$1="BL","-",IF(Peak!L149&gt;Peak!$G149,F$8*Peak!$AM$11,0))</f>
        <v>-</v>
      </c>
      <c r="G148" s="177" t="str">
        <f>IF('Peak Revenue'!$A$1="BL","-",IF(Peak!M149&gt;Peak!$G149,G$8*Peak!$AM$11,0))</f>
        <v>-</v>
      </c>
      <c r="H148" s="177" t="str">
        <f>IF('Peak Revenue'!$A$1="BL","-",IF(Peak!N149&gt;Peak!$G149,H$8*Peak!$AM$11,0))</f>
        <v>-</v>
      </c>
      <c r="I148" s="177" t="str">
        <f>IF('Peak Revenue'!$A$1="BL","-",IF(Peak!O149&gt;Peak!$G149,I$8*Peak!$AM$11,0))</f>
        <v>-</v>
      </c>
      <c r="J148" s="177" t="str">
        <f>IF('Peak Revenue'!$A$1="BL","-",IF(Peak!P149&gt;Peak!$G149,J$8*Peak!$AM$11,0))</f>
        <v>-</v>
      </c>
      <c r="K148" s="177" t="str">
        <f>IF('Peak Revenue'!$A$1="BL","-",IF(Peak!Q149&gt;Peak!$G149,K$8*Peak!$AM$11,0))</f>
        <v>-</v>
      </c>
      <c r="L148" s="177" t="str">
        <f>IF('Peak Revenue'!$A$1="BL","-",IF(Peak!R149&gt;Peak!$G149,L$8*Peak!$AM$11,0))</f>
        <v>-</v>
      </c>
      <c r="M148" s="177" t="str">
        <f>IF('Peak Revenue'!$A$1="BL","-",IF(Peak!S149&gt;Peak!$G149,M$8*Peak!$AM$11,0))</f>
        <v>-</v>
      </c>
      <c r="N148" s="177" t="str">
        <f>IF('Peak Revenue'!$A$1="BL","-",IF(Peak!T149&gt;Peak!$G149,N$8*Peak!$AM$11,0))</f>
        <v>-</v>
      </c>
      <c r="O148" s="177" t="str">
        <f>IF('Peak Revenue'!$A$1="BL","-",IF(Peak!U149&gt;Peak!$G149,O$8*Peak!$AM$11,0))</f>
        <v>-</v>
      </c>
      <c r="P148" s="177" t="str">
        <f>IF('Peak Revenue'!$A$1="BL","-",IF(Peak!V149&gt;Peak!$G149,P$8*Peak!$AM$11,0))</f>
        <v>-</v>
      </c>
      <c r="Q148" s="177" t="str">
        <f>IF('Peak Revenue'!$A$1="BL","-",IF(Peak!W149&gt;Peak!$G149,Q$8*Peak!$AM$11,0))</f>
        <v>-</v>
      </c>
      <c r="R148" s="177" t="str">
        <f>IF('Peak Revenue'!$A$1="BL","-",IF(Peak!X149&gt;Peak!$G149,R$8*Peak!$AM$11,0))</f>
        <v>-</v>
      </c>
      <c r="S148" s="177" t="str">
        <f>IF('Peak Revenue'!$A$1="BL","-",IF(Peak!Y149&gt;Peak!$G149,S$8*Peak!$AM$11,0))</f>
        <v>-</v>
      </c>
      <c r="T148" s="177" t="str">
        <f>IF('Peak Revenue'!$A$1="BL","-",IF(Peak!Z149&gt;Peak!$G149,T$8*Peak!$AM$11,0))</f>
        <v>-</v>
      </c>
      <c r="U148" s="177" t="str">
        <f>IF('Peak Revenue'!$A$1="BL","-",IF(Peak!AA149&gt;Peak!$G149,U$8*Peak!$AM$11,0))</f>
        <v>-</v>
      </c>
      <c r="V148" s="178">
        <f t="shared" si="4"/>
        <v>0</v>
      </c>
      <c r="W148" s="165"/>
    </row>
    <row r="149" spans="1:23" x14ac:dyDescent="0.2">
      <c r="A149" s="1">
        <f t="shared" si="5"/>
        <v>40767.963000000178</v>
      </c>
      <c r="B149" s="176" t="str">
        <f>IF('Peak Revenue'!$A$1="BL","-",IF(Peak!H150&gt;Peak!$G150,B$8*Peak!$AM$11,0))</f>
        <v>-</v>
      </c>
      <c r="C149" s="177" t="str">
        <f>IF('Peak Revenue'!$A$1="BL","-",IF(Peak!I150&gt;Peak!$G150,C$8*Peak!$AM$11,0))</f>
        <v>-</v>
      </c>
      <c r="D149" s="177" t="str">
        <f>IF('Peak Revenue'!$A$1="BL","-",IF(Peak!J150&gt;Peak!$G150,D$8*Peak!$AM$11,0))</f>
        <v>-</v>
      </c>
      <c r="E149" s="177" t="str">
        <f>IF('Peak Revenue'!$A$1="BL","-",IF(Peak!K150&gt;Peak!$G150,E$8*Peak!$AM$11,0))</f>
        <v>-</v>
      </c>
      <c r="F149" s="177" t="str">
        <f>IF('Peak Revenue'!$A$1="BL","-",IF(Peak!L150&gt;Peak!$G150,F$8*Peak!$AM$11,0))</f>
        <v>-</v>
      </c>
      <c r="G149" s="177" t="str">
        <f>IF('Peak Revenue'!$A$1="BL","-",IF(Peak!M150&gt;Peak!$G150,G$8*Peak!$AM$11,0))</f>
        <v>-</v>
      </c>
      <c r="H149" s="177" t="str">
        <f>IF('Peak Revenue'!$A$1="BL","-",IF(Peak!N150&gt;Peak!$G150,H$8*Peak!$AM$11,0))</f>
        <v>-</v>
      </c>
      <c r="I149" s="177" t="str">
        <f>IF('Peak Revenue'!$A$1="BL","-",IF(Peak!O150&gt;Peak!$G150,I$8*Peak!$AM$11,0))</f>
        <v>-</v>
      </c>
      <c r="J149" s="177" t="str">
        <f>IF('Peak Revenue'!$A$1="BL","-",IF(Peak!P150&gt;Peak!$G150,J$8*Peak!$AM$11,0))</f>
        <v>-</v>
      </c>
      <c r="K149" s="177" t="str">
        <f>IF('Peak Revenue'!$A$1="BL","-",IF(Peak!Q150&gt;Peak!$G150,K$8*Peak!$AM$11,0))</f>
        <v>-</v>
      </c>
      <c r="L149" s="177" t="str">
        <f>IF('Peak Revenue'!$A$1="BL","-",IF(Peak!R150&gt;Peak!$G150,L$8*Peak!$AM$11,0))</f>
        <v>-</v>
      </c>
      <c r="M149" s="177" t="str">
        <f>IF('Peak Revenue'!$A$1="BL","-",IF(Peak!S150&gt;Peak!$G150,M$8*Peak!$AM$11,0))</f>
        <v>-</v>
      </c>
      <c r="N149" s="177" t="str">
        <f>IF('Peak Revenue'!$A$1="BL","-",IF(Peak!T150&gt;Peak!$G150,N$8*Peak!$AM$11,0))</f>
        <v>-</v>
      </c>
      <c r="O149" s="177" t="str">
        <f>IF('Peak Revenue'!$A$1="BL","-",IF(Peak!U150&gt;Peak!$G150,O$8*Peak!$AM$11,0))</f>
        <v>-</v>
      </c>
      <c r="P149" s="177" t="str">
        <f>IF('Peak Revenue'!$A$1="BL","-",IF(Peak!V150&gt;Peak!$G150,P$8*Peak!$AM$11,0))</f>
        <v>-</v>
      </c>
      <c r="Q149" s="177" t="str">
        <f>IF('Peak Revenue'!$A$1="BL","-",IF(Peak!W150&gt;Peak!$G150,Q$8*Peak!$AM$11,0))</f>
        <v>-</v>
      </c>
      <c r="R149" s="177" t="str">
        <f>IF('Peak Revenue'!$A$1="BL","-",IF(Peak!X150&gt;Peak!$G150,R$8*Peak!$AM$11,0))</f>
        <v>-</v>
      </c>
      <c r="S149" s="177" t="str">
        <f>IF('Peak Revenue'!$A$1="BL","-",IF(Peak!Y150&gt;Peak!$G150,S$8*Peak!$AM$11,0))</f>
        <v>-</v>
      </c>
      <c r="T149" s="177" t="str">
        <f>IF('Peak Revenue'!$A$1="BL","-",IF(Peak!Z150&gt;Peak!$G150,T$8*Peak!$AM$11,0))</f>
        <v>-</v>
      </c>
      <c r="U149" s="177" t="str">
        <f>IF('Peak Revenue'!$A$1="BL","-",IF(Peak!AA150&gt;Peak!$G150,U$8*Peak!$AM$11,0))</f>
        <v>-</v>
      </c>
      <c r="V149" s="178">
        <f t="shared" si="4"/>
        <v>0</v>
      </c>
      <c r="W149" s="165"/>
    </row>
    <row r="150" spans="1:23" x14ac:dyDescent="0.2">
      <c r="A150" s="1">
        <f t="shared" si="5"/>
        <v>40798.380000000179</v>
      </c>
      <c r="B150" s="176" t="str">
        <f>IF('Peak Revenue'!$A$1="BL","-",IF(Peak!H151&gt;Peak!$G151,B$8*Peak!$AM$11,0))</f>
        <v>-</v>
      </c>
      <c r="C150" s="177" t="str">
        <f>IF('Peak Revenue'!$A$1="BL","-",IF(Peak!I151&gt;Peak!$G151,C$8*Peak!$AM$11,0))</f>
        <v>-</v>
      </c>
      <c r="D150" s="177" t="str">
        <f>IF('Peak Revenue'!$A$1="BL","-",IF(Peak!J151&gt;Peak!$G151,D$8*Peak!$AM$11,0))</f>
        <v>-</v>
      </c>
      <c r="E150" s="177" t="str">
        <f>IF('Peak Revenue'!$A$1="BL","-",IF(Peak!K151&gt;Peak!$G151,E$8*Peak!$AM$11,0))</f>
        <v>-</v>
      </c>
      <c r="F150" s="177" t="str">
        <f>IF('Peak Revenue'!$A$1="BL","-",IF(Peak!L151&gt;Peak!$G151,F$8*Peak!$AM$11,0))</f>
        <v>-</v>
      </c>
      <c r="G150" s="177" t="str">
        <f>IF('Peak Revenue'!$A$1="BL","-",IF(Peak!M151&gt;Peak!$G151,G$8*Peak!$AM$11,0))</f>
        <v>-</v>
      </c>
      <c r="H150" s="177" t="str">
        <f>IF('Peak Revenue'!$A$1="BL","-",IF(Peak!N151&gt;Peak!$G151,H$8*Peak!$AM$11,0))</f>
        <v>-</v>
      </c>
      <c r="I150" s="177" t="str">
        <f>IF('Peak Revenue'!$A$1="BL","-",IF(Peak!O151&gt;Peak!$G151,I$8*Peak!$AM$11,0))</f>
        <v>-</v>
      </c>
      <c r="J150" s="177" t="str">
        <f>IF('Peak Revenue'!$A$1="BL","-",IF(Peak!P151&gt;Peak!$G151,J$8*Peak!$AM$11,0))</f>
        <v>-</v>
      </c>
      <c r="K150" s="177" t="str">
        <f>IF('Peak Revenue'!$A$1="BL","-",IF(Peak!Q151&gt;Peak!$G151,K$8*Peak!$AM$11,0))</f>
        <v>-</v>
      </c>
      <c r="L150" s="177" t="str">
        <f>IF('Peak Revenue'!$A$1="BL","-",IF(Peak!R151&gt;Peak!$G151,L$8*Peak!$AM$11,0))</f>
        <v>-</v>
      </c>
      <c r="M150" s="177" t="str">
        <f>IF('Peak Revenue'!$A$1="BL","-",IF(Peak!S151&gt;Peak!$G151,M$8*Peak!$AM$11,0))</f>
        <v>-</v>
      </c>
      <c r="N150" s="177" t="str">
        <f>IF('Peak Revenue'!$A$1="BL","-",IF(Peak!T151&gt;Peak!$G151,N$8*Peak!$AM$11,0))</f>
        <v>-</v>
      </c>
      <c r="O150" s="177" t="str">
        <f>IF('Peak Revenue'!$A$1="BL","-",IF(Peak!U151&gt;Peak!$G151,O$8*Peak!$AM$11,0))</f>
        <v>-</v>
      </c>
      <c r="P150" s="177" t="str">
        <f>IF('Peak Revenue'!$A$1="BL","-",IF(Peak!V151&gt;Peak!$G151,P$8*Peak!$AM$11,0))</f>
        <v>-</v>
      </c>
      <c r="Q150" s="177" t="str">
        <f>IF('Peak Revenue'!$A$1="BL","-",IF(Peak!W151&gt;Peak!$G151,Q$8*Peak!$AM$11,0))</f>
        <v>-</v>
      </c>
      <c r="R150" s="177" t="str">
        <f>IF('Peak Revenue'!$A$1="BL","-",IF(Peak!X151&gt;Peak!$G151,R$8*Peak!$AM$11,0))</f>
        <v>-</v>
      </c>
      <c r="S150" s="177" t="str">
        <f>IF('Peak Revenue'!$A$1="BL","-",IF(Peak!Y151&gt;Peak!$G151,S$8*Peak!$AM$11,0))</f>
        <v>-</v>
      </c>
      <c r="T150" s="177" t="str">
        <f>IF('Peak Revenue'!$A$1="BL","-",IF(Peak!Z151&gt;Peak!$G151,T$8*Peak!$AM$11,0))</f>
        <v>-</v>
      </c>
      <c r="U150" s="177" t="str">
        <f>IF('Peak Revenue'!$A$1="BL","-",IF(Peak!AA151&gt;Peak!$G151,U$8*Peak!$AM$11,0))</f>
        <v>-</v>
      </c>
      <c r="V150" s="178">
        <f t="shared" si="4"/>
        <v>0</v>
      </c>
      <c r="W150" s="165"/>
    </row>
    <row r="151" spans="1:23" x14ac:dyDescent="0.2">
      <c r="A151" s="1">
        <f t="shared" si="5"/>
        <v>40828.797000000181</v>
      </c>
      <c r="B151" s="176" t="str">
        <f>IF('Peak Revenue'!$A$1="BL","-",IF(Peak!H152&gt;Peak!$G152,B$8*Peak!$AM$11,0))</f>
        <v>-</v>
      </c>
      <c r="C151" s="177" t="str">
        <f>IF('Peak Revenue'!$A$1="BL","-",IF(Peak!I152&gt;Peak!$G152,C$8*Peak!$AM$11,0))</f>
        <v>-</v>
      </c>
      <c r="D151" s="177" t="str">
        <f>IF('Peak Revenue'!$A$1="BL","-",IF(Peak!J152&gt;Peak!$G152,D$8*Peak!$AM$11,0))</f>
        <v>-</v>
      </c>
      <c r="E151" s="177" t="str">
        <f>IF('Peak Revenue'!$A$1="BL","-",IF(Peak!K152&gt;Peak!$G152,E$8*Peak!$AM$11,0))</f>
        <v>-</v>
      </c>
      <c r="F151" s="177" t="str">
        <f>IF('Peak Revenue'!$A$1="BL","-",IF(Peak!L152&gt;Peak!$G152,F$8*Peak!$AM$11,0))</f>
        <v>-</v>
      </c>
      <c r="G151" s="177" t="str">
        <f>IF('Peak Revenue'!$A$1="BL","-",IF(Peak!M152&gt;Peak!$G152,G$8*Peak!$AM$11,0))</f>
        <v>-</v>
      </c>
      <c r="H151" s="177" t="str">
        <f>IF('Peak Revenue'!$A$1="BL","-",IF(Peak!N152&gt;Peak!$G152,H$8*Peak!$AM$11,0))</f>
        <v>-</v>
      </c>
      <c r="I151" s="177" t="str">
        <f>IF('Peak Revenue'!$A$1="BL","-",IF(Peak!O152&gt;Peak!$G152,I$8*Peak!$AM$11,0))</f>
        <v>-</v>
      </c>
      <c r="J151" s="177" t="str">
        <f>IF('Peak Revenue'!$A$1="BL","-",IF(Peak!P152&gt;Peak!$G152,J$8*Peak!$AM$11,0))</f>
        <v>-</v>
      </c>
      <c r="K151" s="177" t="str">
        <f>IF('Peak Revenue'!$A$1="BL","-",IF(Peak!Q152&gt;Peak!$G152,K$8*Peak!$AM$11,0))</f>
        <v>-</v>
      </c>
      <c r="L151" s="177" t="str">
        <f>IF('Peak Revenue'!$A$1="BL","-",IF(Peak!R152&gt;Peak!$G152,L$8*Peak!$AM$11,0))</f>
        <v>-</v>
      </c>
      <c r="M151" s="177" t="str">
        <f>IF('Peak Revenue'!$A$1="BL","-",IF(Peak!S152&gt;Peak!$G152,M$8*Peak!$AM$11,0))</f>
        <v>-</v>
      </c>
      <c r="N151" s="177" t="str">
        <f>IF('Peak Revenue'!$A$1="BL","-",IF(Peak!T152&gt;Peak!$G152,N$8*Peak!$AM$11,0))</f>
        <v>-</v>
      </c>
      <c r="O151" s="177" t="str">
        <f>IF('Peak Revenue'!$A$1="BL","-",IF(Peak!U152&gt;Peak!$G152,O$8*Peak!$AM$11,0))</f>
        <v>-</v>
      </c>
      <c r="P151" s="177" t="str">
        <f>IF('Peak Revenue'!$A$1="BL","-",IF(Peak!V152&gt;Peak!$G152,P$8*Peak!$AM$11,0))</f>
        <v>-</v>
      </c>
      <c r="Q151" s="177" t="str">
        <f>IF('Peak Revenue'!$A$1="BL","-",IF(Peak!W152&gt;Peak!$G152,Q$8*Peak!$AM$11,0))</f>
        <v>-</v>
      </c>
      <c r="R151" s="177" t="str">
        <f>IF('Peak Revenue'!$A$1="BL","-",IF(Peak!X152&gt;Peak!$G152,R$8*Peak!$AM$11,0))</f>
        <v>-</v>
      </c>
      <c r="S151" s="177" t="str">
        <f>IF('Peak Revenue'!$A$1="BL","-",IF(Peak!Y152&gt;Peak!$G152,S$8*Peak!$AM$11,0))</f>
        <v>-</v>
      </c>
      <c r="T151" s="177" t="str">
        <f>IF('Peak Revenue'!$A$1="BL","-",IF(Peak!Z152&gt;Peak!$G152,T$8*Peak!$AM$11,0))</f>
        <v>-</v>
      </c>
      <c r="U151" s="177" t="str">
        <f>IF('Peak Revenue'!$A$1="BL","-",IF(Peak!AA152&gt;Peak!$G152,U$8*Peak!$AM$11,0))</f>
        <v>-</v>
      </c>
      <c r="V151" s="178">
        <f t="shared" si="4"/>
        <v>0</v>
      </c>
      <c r="W151" s="165"/>
    </row>
    <row r="152" spans="1:23" x14ac:dyDescent="0.2">
      <c r="A152" s="1">
        <f t="shared" si="5"/>
        <v>40859.214000000182</v>
      </c>
      <c r="B152" s="176" t="str">
        <f>IF('Peak Revenue'!$A$1="BL","-",IF(Peak!H153&gt;Peak!$G153,B$8*Peak!$AM$11,0))</f>
        <v>-</v>
      </c>
      <c r="C152" s="177" t="str">
        <f>IF('Peak Revenue'!$A$1="BL","-",IF(Peak!I153&gt;Peak!$G153,C$8*Peak!$AM$11,0))</f>
        <v>-</v>
      </c>
      <c r="D152" s="177" t="str">
        <f>IF('Peak Revenue'!$A$1="BL","-",IF(Peak!J153&gt;Peak!$G153,D$8*Peak!$AM$11,0))</f>
        <v>-</v>
      </c>
      <c r="E152" s="177" t="str">
        <f>IF('Peak Revenue'!$A$1="BL","-",IF(Peak!K153&gt;Peak!$G153,E$8*Peak!$AM$11,0))</f>
        <v>-</v>
      </c>
      <c r="F152" s="177" t="str">
        <f>IF('Peak Revenue'!$A$1="BL","-",IF(Peak!L153&gt;Peak!$G153,F$8*Peak!$AM$11,0))</f>
        <v>-</v>
      </c>
      <c r="G152" s="177" t="str">
        <f>IF('Peak Revenue'!$A$1="BL","-",IF(Peak!M153&gt;Peak!$G153,G$8*Peak!$AM$11,0))</f>
        <v>-</v>
      </c>
      <c r="H152" s="177" t="str">
        <f>IF('Peak Revenue'!$A$1="BL","-",IF(Peak!N153&gt;Peak!$G153,H$8*Peak!$AM$11,0))</f>
        <v>-</v>
      </c>
      <c r="I152" s="177" t="str">
        <f>IF('Peak Revenue'!$A$1="BL","-",IF(Peak!O153&gt;Peak!$G153,I$8*Peak!$AM$11,0))</f>
        <v>-</v>
      </c>
      <c r="J152" s="177" t="str">
        <f>IF('Peak Revenue'!$A$1="BL","-",IF(Peak!P153&gt;Peak!$G153,J$8*Peak!$AM$11,0))</f>
        <v>-</v>
      </c>
      <c r="K152" s="177" t="str">
        <f>IF('Peak Revenue'!$A$1="BL","-",IF(Peak!Q153&gt;Peak!$G153,K$8*Peak!$AM$11,0))</f>
        <v>-</v>
      </c>
      <c r="L152" s="177" t="str">
        <f>IF('Peak Revenue'!$A$1="BL","-",IF(Peak!R153&gt;Peak!$G153,L$8*Peak!$AM$11,0))</f>
        <v>-</v>
      </c>
      <c r="M152" s="177" t="str">
        <f>IF('Peak Revenue'!$A$1="BL","-",IF(Peak!S153&gt;Peak!$G153,M$8*Peak!$AM$11,0))</f>
        <v>-</v>
      </c>
      <c r="N152" s="177" t="str">
        <f>IF('Peak Revenue'!$A$1="BL","-",IF(Peak!T153&gt;Peak!$G153,N$8*Peak!$AM$11,0))</f>
        <v>-</v>
      </c>
      <c r="O152" s="177" t="str">
        <f>IF('Peak Revenue'!$A$1="BL","-",IF(Peak!U153&gt;Peak!$G153,O$8*Peak!$AM$11,0))</f>
        <v>-</v>
      </c>
      <c r="P152" s="177" t="str">
        <f>IF('Peak Revenue'!$A$1="BL","-",IF(Peak!V153&gt;Peak!$G153,P$8*Peak!$AM$11,0))</f>
        <v>-</v>
      </c>
      <c r="Q152" s="177" t="str">
        <f>IF('Peak Revenue'!$A$1="BL","-",IF(Peak!W153&gt;Peak!$G153,Q$8*Peak!$AM$11,0))</f>
        <v>-</v>
      </c>
      <c r="R152" s="177" t="str">
        <f>IF('Peak Revenue'!$A$1="BL","-",IF(Peak!X153&gt;Peak!$G153,R$8*Peak!$AM$11,0))</f>
        <v>-</v>
      </c>
      <c r="S152" s="177" t="str">
        <f>IF('Peak Revenue'!$A$1="BL","-",IF(Peak!Y153&gt;Peak!$G153,S$8*Peak!$AM$11,0))</f>
        <v>-</v>
      </c>
      <c r="T152" s="177" t="str">
        <f>IF('Peak Revenue'!$A$1="BL","-",IF(Peak!Z153&gt;Peak!$G153,T$8*Peak!$AM$11,0))</f>
        <v>-</v>
      </c>
      <c r="U152" s="177" t="str">
        <f>IF('Peak Revenue'!$A$1="BL","-",IF(Peak!AA153&gt;Peak!$G153,U$8*Peak!$AM$11,0))</f>
        <v>-</v>
      </c>
      <c r="V152" s="178">
        <f t="shared" si="4"/>
        <v>0</v>
      </c>
      <c r="W152" s="165"/>
    </row>
    <row r="153" spans="1:23" x14ac:dyDescent="0.2">
      <c r="A153" s="1">
        <f t="shared" si="5"/>
        <v>40889.631000000183</v>
      </c>
      <c r="B153" s="176" t="str">
        <f>IF('Peak Revenue'!$A$1="BL","-",IF(Peak!H154&gt;Peak!$G154,B$8*Peak!$AM$11,0))</f>
        <v>-</v>
      </c>
      <c r="C153" s="177" t="str">
        <f>IF('Peak Revenue'!$A$1="BL","-",IF(Peak!I154&gt;Peak!$G154,C$8*Peak!$AM$11,0))</f>
        <v>-</v>
      </c>
      <c r="D153" s="177" t="str">
        <f>IF('Peak Revenue'!$A$1="BL","-",IF(Peak!J154&gt;Peak!$G154,D$8*Peak!$AM$11,0))</f>
        <v>-</v>
      </c>
      <c r="E153" s="177" t="str">
        <f>IF('Peak Revenue'!$A$1="BL","-",IF(Peak!K154&gt;Peak!$G154,E$8*Peak!$AM$11,0))</f>
        <v>-</v>
      </c>
      <c r="F153" s="177" t="str">
        <f>IF('Peak Revenue'!$A$1="BL","-",IF(Peak!L154&gt;Peak!$G154,F$8*Peak!$AM$11,0))</f>
        <v>-</v>
      </c>
      <c r="G153" s="177" t="str">
        <f>IF('Peak Revenue'!$A$1="BL","-",IF(Peak!M154&gt;Peak!$G154,G$8*Peak!$AM$11,0))</f>
        <v>-</v>
      </c>
      <c r="H153" s="177" t="str">
        <f>IF('Peak Revenue'!$A$1="BL","-",IF(Peak!N154&gt;Peak!$G154,H$8*Peak!$AM$11,0))</f>
        <v>-</v>
      </c>
      <c r="I153" s="177" t="str">
        <f>IF('Peak Revenue'!$A$1="BL","-",IF(Peak!O154&gt;Peak!$G154,I$8*Peak!$AM$11,0))</f>
        <v>-</v>
      </c>
      <c r="J153" s="177" t="str">
        <f>IF('Peak Revenue'!$A$1="BL","-",IF(Peak!P154&gt;Peak!$G154,J$8*Peak!$AM$11,0))</f>
        <v>-</v>
      </c>
      <c r="K153" s="177" t="str">
        <f>IF('Peak Revenue'!$A$1="BL","-",IF(Peak!Q154&gt;Peak!$G154,K$8*Peak!$AM$11,0))</f>
        <v>-</v>
      </c>
      <c r="L153" s="177" t="str">
        <f>IF('Peak Revenue'!$A$1="BL","-",IF(Peak!R154&gt;Peak!$G154,L$8*Peak!$AM$11,0))</f>
        <v>-</v>
      </c>
      <c r="M153" s="177" t="str">
        <f>IF('Peak Revenue'!$A$1="BL","-",IF(Peak!S154&gt;Peak!$G154,M$8*Peak!$AM$11,0))</f>
        <v>-</v>
      </c>
      <c r="N153" s="177" t="str">
        <f>IF('Peak Revenue'!$A$1="BL","-",IF(Peak!T154&gt;Peak!$G154,N$8*Peak!$AM$11,0))</f>
        <v>-</v>
      </c>
      <c r="O153" s="177" t="str">
        <f>IF('Peak Revenue'!$A$1="BL","-",IF(Peak!U154&gt;Peak!$G154,O$8*Peak!$AM$11,0))</f>
        <v>-</v>
      </c>
      <c r="P153" s="177" t="str">
        <f>IF('Peak Revenue'!$A$1="BL","-",IF(Peak!V154&gt;Peak!$G154,P$8*Peak!$AM$11,0))</f>
        <v>-</v>
      </c>
      <c r="Q153" s="177" t="str">
        <f>IF('Peak Revenue'!$A$1="BL","-",IF(Peak!W154&gt;Peak!$G154,Q$8*Peak!$AM$11,0))</f>
        <v>-</v>
      </c>
      <c r="R153" s="177" t="str">
        <f>IF('Peak Revenue'!$A$1="BL","-",IF(Peak!X154&gt;Peak!$G154,R$8*Peak!$AM$11,0))</f>
        <v>-</v>
      </c>
      <c r="S153" s="177" t="str">
        <f>IF('Peak Revenue'!$A$1="BL","-",IF(Peak!Y154&gt;Peak!$G154,S$8*Peak!$AM$11,0))</f>
        <v>-</v>
      </c>
      <c r="T153" s="177" t="str">
        <f>IF('Peak Revenue'!$A$1="BL","-",IF(Peak!Z154&gt;Peak!$G154,T$8*Peak!$AM$11,0))</f>
        <v>-</v>
      </c>
      <c r="U153" s="177" t="str">
        <f>IF('Peak Revenue'!$A$1="BL","-",IF(Peak!AA154&gt;Peak!$G154,U$8*Peak!$AM$11,0))</f>
        <v>-</v>
      </c>
      <c r="V153" s="178">
        <f t="shared" si="4"/>
        <v>0</v>
      </c>
      <c r="W153" s="164">
        <f>SUM(V142:V153)</f>
        <v>0</v>
      </c>
    </row>
    <row r="154" spans="1:23" x14ac:dyDescent="0.2">
      <c r="A154" s="1">
        <f t="shared" si="5"/>
        <v>40920.048000000184</v>
      </c>
      <c r="B154" s="176" t="str">
        <f>IF('Peak Revenue'!$A$1="BL","-",IF(Peak!H155&gt;Peak!$G155,B$8*Peak!$AM$11,0))</f>
        <v>-</v>
      </c>
      <c r="C154" s="177" t="str">
        <f>IF('Peak Revenue'!$A$1="BL","-",IF(Peak!I155&gt;Peak!$G155,C$8*Peak!$AM$11,0))</f>
        <v>-</v>
      </c>
      <c r="D154" s="177" t="str">
        <f>IF('Peak Revenue'!$A$1="BL","-",IF(Peak!J155&gt;Peak!$G155,D$8*Peak!$AM$11,0))</f>
        <v>-</v>
      </c>
      <c r="E154" s="177" t="str">
        <f>IF('Peak Revenue'!$A$1="BL","-",IF(Peak!K155&gt;Peak!$G155,E$8*Peak!$AM$11,0))</f>
        <v>-</v>
      </c>
      <c r="F154" s="177" t="str">
        <f>IF('Peak Revenue'!$A$1="BL","-",IF(Peak!L155&gt;Peak!$G155,F$8*Peak!$AM$11,0))</f>
        <v>-</v>
      </c>
      <c r="G154" s="177" t="str">
        <f>IF('Peak Revenue'!$A$1="BL","-",IF(Peak!M155&gt;Peak!$G155,G$8*Peak!$AM$11,0))</f>
        <v>-</v>
      </c>
      <c r="H154" s="177" t="str">
        <f>IF('Peak Revenue'!$A$1="BL","-",IF(Peak!N155&gt;Peak!$G155,H$8*Peak!$AM$11,0))</f>
        <v>-</v>
      </c>
      <c r="I154" s="177" t="str">
        <f>IF('Peak Revenue'!$A$1="BL","-",IF(Peak!O155&gt;Peak!$G155,I$8*Peak!$AM$11,0))</f>
        <v>-</v>
      </c>
      <c r="J154" s="177" t="str">
        <f>IF('Peak Revenue'!$A$1="BL","-",IF(Peak!P155&gt;Peak!$G155,J$8*Peak!$AM$11,0))</f>
        <v>-</v>
      </c>
      <c r="K154" s="177" t="str">
        <f>IF('Peak Revenue'!$A$1="BL","-",IF(Peak!Q155&gt;Peak!$G155,K$8*Peak!$AM$11,0))</f>
        <v>-</v>
      </c>
      <c r="L154" s="177" t="str">
        <f>IF('Peak Revenue'!$A$1="BL","-",IF(Peak!R155&gt;Peak!$G155,L$8*Peak!$AM$11,0))</f>
        <v>-</v>
      </c>
      <c r="M154" s="177" t="str">
        <f>IF('Peak Revenue'!$A$1="BL","-",IF(Peak!S155&gt;Peak!$G155,M$8*Peak!$AM$11,0))</f>
        <v>-</v>
      </c>
      <c r="N154" s="177" t="str">
        <f>IF('Peak Revenue'!$A$1="BL","-",IF(Peak!T155&gt;Peak!$G155,N$8*Peak!$AM$11,0))</f>
        <v>-</v>
      </c>
      <c r="O154" s="177" t="str">
        <f>IF('Peak Revenue'!$A$1="BL","-",IF(Peak!U155&gt;Peak!$G155,O$8*Peak!$AM$11,0))</f>
        <v>-</v>
      </c>
      <c r="P154" s="177" t="str">
        <f>IF('Peak Revenue'!$A$1="BL","-",IF(Peak!V155&gt;Peak!$G155,P$8*Peak!$AM$11,0))</f>
        <v>-</v>
      </c>
      <c r="Q154" s="177" t="str">
        <f>IF('Peak Revenue'!$A$1="BL","-",IF(Peak!W155&gt;Peak!$G155,Q$8*Peak!$AM$11,0))</f>
        <v>-</v>
      </c>
      <c r="R154" s="177" t="str">
        <f>IF('Peak Revenue'!$A$1="BL","-",IF(Peak!X155&gt;Peak!$G155,R$8*Peak!$AM$11,0))</f>
        <v>-</v>
      </c>
      <c r="S154" s="177" t="str">
        <f>IF('Peak Revenue'!$A$1="BL","-",IF(Peak!Y155&gt;Peak!$G155,S$8*Peak!$AM$11,0))</f>
        <v>-</v>
      </c>
      <c r="T154" s="177" t="str">
        <f>IF('Peak Revenue'!$A$1="BL","-",IF(Peak!Z155&gt;Peak!$G155,T$8*Peak!$AM$11,0))</f>
        <v>-</v>
      </c>
      <c r="U154" s="177" t="str">
        <f>IF('Peak Revenue'!$A$1="BL","-",IF(Peak!AA155&gt;Peak!$G155,U$8*Peak!$AM$11,0))</f>
        <v>-</v>
      </c>
      <c r="V154" s="178">
        <f t="shared" si="4"/>
        <v>0</v>
      </c>
      <c r="W154" s="165"/>
    </row>
    <row r="155" spans="1:23" x14ac:dyDescent="0.2">
      <c r="A155" s="1">
        <f t="shared" si="5"/>
        <v>40950.465000000186</v>
      </c>
      <c r="B155" s="176" t="str">
        <f>IF('Peak Revenue'!$A$1="BL","-",IF(Peak!H156&gt;Peak!$G156,B$8*Peak!$AM$11,0))</f>
        <v>-</v>
      </c>
      <c r="C155" s="177" t="str">
        <f>IF('Peak Revenue'!$A$1="BL","-",IF(Peak!I156&gt;Peak!$G156,C$8*Peak!$AM$11,0))</f>
        <v>-</v>
      </c>
      <c r="D155" s="177" t="str">
        <f>IF('Peak Revenue'!$A$1="BL","-",IF(Peak!J156&gt;Peak!$G156,D$8*Peak!$AM$11,0))</f>
        <v>-</v>
      </c>
      <c r="E155" s="177" t="str">
        <f>IF('Peak Revenue'!$A$1="BL","-",IF(Peak!K156&gt;Peak!$G156,E$8*Peak!$AM$11,0))</f>
        <v>-</v>
      </c>
      <c r="F155" s="177" t="str">
        <f>IF('Peak Revenue'!$A$1="BL","-",IF(Peak!L156&gt;Peak!$G156,F$8*Peak!$AM$11,0))</f>
        <v>-</v>
      </c>
      <c r="G155" s="177" t="str">
        <f>IF('Peak Revenue'!$A$1="BL","-",IF(Peak!M156&gt;Peak!$G156,G$8*Peak!$AM$11,0))</f>
        <v>-</v>
      </c>
      <c r="H155" s="177" t="str">
        <f>IF('Peak Revenue'!$A$1="BL","-",IF(Peak!N156&gt;Peak!$G156,H$8*Peak!$AM$11,0))</f>
        <v>-</v>
      </c>
      <c r="I155" s="177" t="str">
        <f>IF('Peak Revenue'!$A$1="BL","-",IF(Peak!O156&gt;Peak!$G156,I$8*Peak!$AM$11,0))</f>
        <v>-</v>
      </c>
      <c r="J155" s="177" t="str">
        <f>IF('Peak Revenue'!$A$1="BL","-",IF(Peak!P156&gt;Peak!$G156,J$8*Peak!$AM$11,0))</f>
        <v>-</v>
      </c>
      <c r="K155" s="177" t="str">
        <f>IF('Peak Revenue'!$A$1="BL","-",IF(Peak!Q156&gt;Peak!$G156,K$8*Peak!$AM$11,0))</f>
        <v>-</v>
      </c>
      <c r="L155" s="177" t="str">
        <f>IF('Peak Revenue'!$A$1="BL","-",IF(Peak!R156&gt;Peak!$G156,L$8*Peak!$AM$11,0))</f>
        <v>-</v>
      </c>
      <c r="M155" s="177" t="str">
        <f>IF('Peak Revenue'!$A$1="BL","-",IF(Peak!S156&gt;Peak!$G156,M$8*Peak!$AM$11,0))</f>
        <v>-</v>
      </c>
      <c r="N155" s="177" t="str">
        <f>IF('Peak Revenue'!$A$1="BL","-",IF(Peak!T156&gt;Peak!$G156,N$8*Peak!$AM$11,0))</f>
        <v>-</v>
      </c>
      <c r="O155" s="177" t="str">
        <f>IF('Peak Revenue'!$A$1="BL","-",IF(Peak!U156&gt;Peak!$G156,O$8*Peak!$AM$11,0))</f>
        <v>-</v>
      </c>
      <c r="P155" s="177" t="str">
        <f>IF('Peak Revenue'!$A$1="BL","-",IF(Peak!V156&gt;Peak!$G156,P$8*Peak!$AM$11,0))</f>
        <v>-</v>
      </c>
      <c r="Q155" s="177" t="str">
        <f>IF('Peak Revenue'!$A$1="BL","-",IF(Peak!W156&gt;Peak!$G156,Q$8*Peak!$AM$11,0))</f>
        <v>-</v>
      </c>
      <c r="R155" s="177" t="str">
        <f>IF('Peak Revenue'!$A$1="BL","-",IF(Peak!X156&gt;Peak!$G156,R$8*Peak!$AM$11,0))</f>
        <v>-</v>
      </c>
      <c r="S155" s="177" t="str">
        <f>IF('Peak Revenue'!$A$1="BL","-",IF(Peak!Y156&gt;Peak!$G156,S$8*Peak!$AM$11,0))</f>
        <v>-</v>
      </c>
      <c r="T155" s="177" t="str">
        <f>IF('Peak Revenue'!$A$1="BL","-",IF(Peak!Z156&gt;Peak!$G156,T$8*Peak!$AM$11,0))</f>
        <v>-</v>
      </c>
      <c r="U155" s="177" t="str">
        <f>IF('Peak Revenue'!$A$1="BL","-",IF(Peak!AA156&gt;Peak!$G156,U$8*Peak!$AM$11,0))</f>
        <v>-</v>
      </c>
      <c r="V155" s="178">
        <f t="shared" si="4"/>
        <v>0</v>
      </c>
      <c r="W155" s="165"/>
    </row>
    <row r="156" spans="1:23" x14ac:dyDescent="0.2">
      <c r="A156" s="1">
        <f t="shared" si="5"/>
        <v>40980.882000000187</v>
      </c>
      <c r="B156" s="176" t="str">
        <f>IF('Peak Revenue'!$A$1="BL","-",IF(Peak!H157&gt;Peak!$G157,B$8*Peak!$AM$11,0))</f>
        <v>-</v>
      </c>
      <c r="C156" s="177" t="str">
        <f>IF('Peak Revenue'!$A$1="BL","-",IF(Peak!I157&gt;Peak!$G157,C$8*Peak!$AM$11,0))</f>
        <v>-</v>
      </c>
      <c r="D156" s="177" t="str">
        <f>IF('Peak Revenue'!$A$1="BL","-",IF(Peak!J157&gt;Peak!$G157,D$8*Peak!$AM$11,0))</f>
        <v>-</v>
      </c>
      <c r="E156" s="177" t="str">
        <f>IF('Peak Revenue'!$A$1="BL","-",IF(Peak!K157&gt;Peak!$G157,E$8*Peak!$AM$11,0))</f>
        <v>-</v>
      </c>
      <c r="F156" s="177" t="str">
        <f>IF('Peak Revenue'!$A$1="BL","-",IF(Peak!L157&gt;Peak!$G157,F$8*Peak!$AM$11,0))</f>
        <v>-</v>
      </c>
      <c r="G156" s="177" t="str">
        <f>IF('Peak Revenue'!$A$1="BL","-",IF(Peak!M157&gt;Peak!$G157,G$8*Peak!$AM$11,0))</f>
        <v>-</v>
      </c>
      <c r="H156" s="177" t="str">
        <f>IF('Peak Revenue'!$A$1="BL","-",IF(Peak!N157&gt;Peak!$G157,H$8*Peak!$AM$11,0))</f>
        <v>-</v>
      </c>
      <c r="I156" s="177" t="str">
        <f>IF('Peak Revenue'!$A$1="BL","-",IF(Peak!O157&gt;Peak!$G157,I$8*Peak!$AM$11,0))</f>
        <v>-</v>
      </c>
      <c r="J156" s="177" t="str">
        <f>IF('Peak Revenue'!$A$1="BL","-",IF(Peak!P157&gt;Peak!$G157,J$8*Peak!$AM$11,0))</f>
        <v>-</v>
      </c>
      <c r="K156" s="177" t="str">
        <f>IF('Peak Revenue'!$A$1="BL","-",IF(Peak!Q157&gt;Peak!$G157,K$8*Peak!$AM$11,0))</f>
        <v>-</v>
      </c>
      <c r="L156" s="177" t="str">
        <f>IF('Peak Revenue'!$A$1="BL","-",IF(Peak!R157&gt;Peak!$G157,L$8*Peak!$AM$11,0))</f>
        <v>-</v>
      </c>
      <c r="M156" s="177" t="str">
        <f>IF('Peak Revenue'!$A$1="BL","-",IF(Peak!S157&gt;Peak!$G157,M$8*Peak!$AM$11,0))</f>
        <v>-</v>
      </c>
      <c r="N156" s="177" t="str">
        <f>IF('Peak Revenue'!$A$1="BL","-",IF(Peak!T157&gt;Peak!$G157,N$8*Peak!$AM$11,0))</f>
        <v>-</v>
      </c>
      <c r="O156" s="177" t="str">
        <f>IF('Peak Revenue'!$A$1="BL","-",IF(Peak!U157&gt;Peak!$G157,O$8*Peak!$AM$11,0))</f>
        <v>-</v>
      </c>
      <c r="P156" s="177" t="str">
        <f>IF('Peak Revenue'!$A$1="BL","-",IF(Peak!V157&gt;Peak!$G157,P$8*Peak!$AM$11,0))</f>
        <v>-</v>
      </c>
      <c r="Q156" s="177" t="str">
        <f>IF('Peak Revenue'!$A$1="BL","-",IF(Peak!W157&gt;Peak!$G157,Q$8*Peak!$AM$11,0))</f>
        <v>-</v>
      </c>
      <c r="R156" s="177" t="str">
        <f>IF('Peak Revenue'!$A$1="BL","-",IF(Peak!X157&gt;Peak!$G157,R$8*Peak!$AM$11,0))</f>
        <v>-</v>
      </c>
      <c r="S156" s="177" t="str">
        <f>IF('Peak Revenue'!$A$1="BL","-",IF(Peak!Y157&gt;Peak!$G157,S$8*Peak!$AM$11,0))</f>
        <v>-</v>
      </c>
      <c r="T156" s="177" t="str">
        <f>IF('Peak Revenue'!$A$1="BL","-",IF(Peak!Z157&gt;Peak!$G157,T$8*Peak!$AM$11,0))</f>
        <v>-</v>
      </c>
      <c r="U156" s="177" t="str">
        <f>IF('Peak Revenue'!$A$1="BL","-",IF(Peak!AA157&gt;Peak!$G157,U$8*Peak!$AM$11,0))</f>
        <v>-</v>
      </c>
      <c r="V156" s="178">
        <f t="shared" si="4"/>
        <v>0</v>
      </c>
      <c r="W156" s="165"/>
    </row>
    <row r="157" spans="1:23" x14ac:dyDescent="0.2">
      <c r="A157" s="1">
        <f t="shared" si="5"/>
        <v>41011.299000000188</v>
      </c>
      <c r="B157" s="176" t="str">
        <f>IF('Peak Revenue'!$A$1="BL","-",IF(Peak!H158&gt;Peak!$G158,B$8*Peak!$AM$11,0))</f>
        <v>-</v>
      </c>
      <c r="C157" s="177" t="str">
        <f>IF('Peak Revenue'!$A$1="BL","-",IF(Peak!I158&gt;Peak!$G158,C$8*Peak!$AM$11,0))</f>
        <v>-</v>
      </c>
      <c r="D157" s="177" t="str">
        <f>IF('Peak Revenue'!$A$1="BL","-",IF(Peak!J158&gt;Peak!$G158,D$8*Peak!$AM$11,0))</f>
        <v>-</v>
      </c>
      <c r="E157" s="177" t="str">
        <f>IF('Peak Revenue'!$A$1="BL","-",IF(Peak!K158&gt;Peak!$G158,E$8*Peak!$AM$11,0))</f>
        <v>-</v>
      </c>
      <c r="F157" s="177" t="str">
        <f>IF('Peak Revenue'!$A$1="BL","-",IF(Peak!L158&gt;Peak!$G158,F$8*Peak!$AM$11,0))</f>
        <v>-</v>
      </c>
      <c r="G157" s="177" t="str">
        <f>IF('Peak Revenue'!$A$1="BL","-",IF(Peak!M158&gt;Peak!$G158,G$8*Peak!$AM$11,0))</f>
        <v>-</v>
      </c>
      <c r="H157" s="177" t="str">
        <f>IF('Peak Revenue'!$A$1="BL","-",IF(Peak!N158&gt;Peak!$G158,H$8*Peak!$AM$11,0))</f>
        <v>-</v>
      </c>
      <c r="I157" s="177" t="str">
        <f>IF('Peak Revenue'!$A$1="BL","-",IF(Peak!O158&gt;Peak!$G158,I$8*Peak!$AM$11,0))</f>
        <v>-</v>
      </c>
      <c r="J157" s="177" t="str">
        <f>IF('Peak Revenue'!$A$1="BL","-",IF(Peak!P158&gt;Peak!$G158,J$8*Peak!$AM$11,0))</f>
        <v>-</v>
      </c>
      <c r="K157" s="177" t="str">
        <f>IF('Peak Revenue'!$A$1="BL","-",IF(Peak!Q158&gt;Peak!$G158,K$8*Peak!$AM$11,0))</f>
        <v>-</v>
      </c>
      <c r="L157" s="177" t="str">
        <f>IF('Peak Revenue'!$A$1="BL","-",IF(Peak!R158&gt;Peak!$G158,L$8*Peak!$AM$11,0))</f>
        <v>-</v>
      </c>
      <c r="M157" s="177" t="str">
        <f>IF('Peak Revenue'!$A$1="BL","-",IF(Peak!S158&gt;Peak!$G158,M$8*Peak!$AM$11,0))</f>
        <v>-</v>
      </c>
      <c r="N157" s="177" t="str">
        <f>IF('Peak Revenue'!$A$1="BL","-",IF(Peak!T158&gt;Peak!$G158,N$8*Peak!$AM$11,0))</f>
        <v>-</v>
      </c>
      <c r="O157" s="177" t="str">
        <f>IF('Peak Revenue'!$A$1="BL","-",IF(Peak!U158&gt;Peak!$G158,O$8*Peak!$AM$11,0))</f>
        <v>-</v>
      </c>
      <c r="P157" s="177" t="str">
        <f>IF('Peak Revenue'!$A$1="BL","-",IF(Peak!V158&gt;Peak!$G158,P$8*Peak!$AM$11,0))</f>
        <v>-</v>
      </c>
      <c r="Q157" s="177" t="str">
        <f>IF('Peak Revenue'!$A$1="BL","-",IF(Peak!W158&gt;Peak!$G158,Q$8*Peak!$AM$11,0))</f>
        <v>-</v>
      </c>
      <c r="R157" s="177" t="str">
        <f>IF('Peak Revenue'!$A$1="BL","-",IF(Peak!X158&gt;Peak!$G158,R$8*Peak!$AM$11,0))</f>
        <v>-</v>
      </c>
      <c r="S157" s="177" t="str">
        <f>IF('Peak Revenue'!$A$1="BL","-",IF(Peak!Y158&gt;Peak!$G158,S$8*Peak!$AM$11,0))</f>
        <v>-</v>
      </c>
      <c r="T157" s="177" t="str">
        <f>IF('Peak Revenue'!$A$1="BL","-",IF(Peak!Z158&gt;Peak!$G158,T$8*Peak!$AM$11,0))</f>
        <v>-</v>
      </c>
      <c r="U157" s="177" t="str">
        <f>IF('Peak Revenue'!$A$1="BL","-",IF(Peak!AA158&gt;Peak!$G158,U$8*Peak!$AM$11,0))</f>
        <v>-</v>
      </c>
      <c r="V157" s="178">
        <f t="shared" si="4"/>
        <v>0</v>
      </c>
      <c r="W157" s="165"/>
    </row>
    <row r="158" spans="1:23" x14ac:dyDescent="0.2">
      <c r="A158" s="1">
        <f t="shared" si="5"/>
        <v>41041.71600000019</v>
      </c>
      <c r="B158" s="176" t="str">
        <f>IF('Peak Revenue'!$A$1="BL","-",IF(Peak!H159&gt;Peak!$G159,B$8*Peak!$AM$11,0))</f>
        <v>-</v>
      </c>
      <c r="C158" s="177" t="str">
        <f>IF('Peak Revenue'!$A$1="BL","-",IF(Peak!I159&gt;Peak!$G159,C$8*Peak!$AM$11,0))</f>
        <v>-</v>
      </c>
      <c r="D158" s="177" t="str">
        <f>IF('Peak Revenue'!$A$1="BL","-",IF(Peak!J159&gt;Peak!$G159,D$8*Peak!$AM$11,0))</f>
        <v>-</v>
      </c>
      <c r="E158" s="177" t="str">
        <f>IF('Peak Revenue'!$A$1="BL","-",IF(Peak!K159&gt;Peak!$G159,E$8*Peak!$AM$11,0))</f>
        <v>-</v>
      </c>
      <c r="F158" s="177" t="str">
        <f>IF('Peak Revenue'!$A$1="BL","-",IF(Peak!L159&gt;Peak!$G159,F$8*Peak!$AM$11,0))</f>
        <v>-</v>
      </c>
      <c r="G158" s="177" t="str">
        <f>IF('Peak Revenue'!$A$1="BL","-",IF(Peak!M159&gt;Peak!$G159,G$8*Peak!$AM$11,0))</f>
        <v>-</v>
      </c>
      <c r="H158" s="177" t="str">
        <f>IF('Peak Revenue'!$A$1="BL","-",IF(Peak!N159&gt;Peak!$G159,H$8*Peak!$AM$11,0))</f>
        <v>-</v>
      </c>
      <c r="I158" s="177" t="str">
        <f>IF('Peak Revenue'!$A$1="BL","-",IF(Peak!O159&gt;Peak!$G159,I$8*Peak!$AM$11,0))</f>
        <v>-</v>
      </c>
      <c r="J158" s="177" t="str">
        <f>IF('Peak Revenue'!$A$1="BL","-",IF(Peak!P159&gt;Peak!$G159,J$8*Peak!$AM$11,0))</f>
        <v>-</v>
      </c>
      <c r="K158" s="177" t="str">
        <f>IF('Peak Revenue'!$A$1="BL","-",IF(Peak!Q159&gt;Peak!$G159,K$8*Peak!$AM$11,0))</f>
        <v>-</v>
      </c>
      <c r="L158" s="177" t="str">
        <f>IF('Peak Revenue'!$A$1="BL","-",IF(Peak!R159&gt;Peak!$G159,L$8*Peak!$AM$11,0))</f>
        <v>-</v>
      </c>
      <c r="M158" s="177" t="str">
        <f>IF('Peak Revenue'!$A$1="BL","-",IF(Peak!S159&gt;Peak!$G159,M$8*Peak!$AM$11,0))</f>
        <v>-</v>
      </c>
      <c r="N158" s="177" t="str">
        <f>IF('Peak Revenue'!$A$1="BL","-",IF(Peak!T159&gt;Peak!$G159,N$8*Peak!$AM$11,0))</f>
        <v>-</v>
      </c>
      <c r="O158" s="177" t="str">
        <f>IF('Peak Revenue'!$A$1="BL","-",IF(Peak!U159&gt;Peak!$G159,O$8*Peak!$AM$11,0))</f>
        <v>-</v>
      </c>
      <c r="P158" s="177" t="str">
        <f>IF('Peak Revenue'!$A$1="BL","-",IF(Peak!V159&gt;Peak!$G159,P$8*Peak!$AM$11,0))</f>
        <v>-</v>
      </c>
      <c r="Q158" s="177" t="str">
        <f>IF('Peak Revenue'!$A$1="BL","-",IF(Peak!W159&gt;Peak!$G159,Q$8*Peak!$AM$11,0))</f>
        <v>-</v>
      </c>
      <c r="R158" s="177" t="str">
        <f>IF('Peak Revenue'!$A$1="BL","-",IF(Peak!X159&gt;Peak!$G159,R$8*Peak!$AM$11,0))</f>
        <v>-</v>
      </c>
      <c r="S158" s="177" t="str">
        <f>IF('Peak Revenue'!$A$1="BL","-",IF(Peak!Y159&gt;Peak!$G159,S$8*Peak!$AM$11,0))</f>
        <v>-</v>
      </c>
      <c r="T158" s="177" t="str">
        <f>IF('Peak Revenue'!$A$1="BL","-",IF(Peak!Z159&gt;Peak!$G159,T$8*Peak!$AM$11,0))</f>
        <v>-</v>
      </c>
      <c r="U158" s="177" t="str">
        <f>IF('Peak Revenue'!$A$1="BL","-",IF(Peak!AA159&gt;Peak!$G159,U$8*Peak!$AM$11,0))</f>
        <v>-</v>
      </c>
      <c r="V158" s="178">
        <f t="shared" si="4"/>
        <v>0</v>
      </c>
      <c r="W158" s="165"/>
    </row>
    <row r="159" spans="1:23" x14ac:dyDescent="0.2">
      <c r="A159" s="1">
        <f t="shared" si="5"/>
        <v>41072.133000000191</v>
      </c>
      <c r="B159" s="176" t="str">
        <f>IF('Peak Revenue'!$A$1="BL","-",IF(Peak!H160&gt;Peak!$G160,B$8*Peak!$AM$11,0))</f>
        <v>-</v>
      </c>
      <c r="C159" s="177" t="str">
        <f>IF('Peak Revenue'!$A$1="BL","-",IF(Peak!I160&gt;Peak!$G160,C$8*Peak!$AM$11,0))</f>
        <v>-</v>
      </c>
      <c r="D159" s="177" t="str">
        <f>IF('Peak Revenue'!$A$1="BL","-",IF(Peak!J160&gt;Peak!$G160,D$8*Peak!$AM$11,0))</f>
        <v>-</v>
      </c>
      <c r="E159" s="177" t="str">
        <f>IF('Peak Revenue'!$A$1="BL","-",IF(Peak!K160&gt;Peak!$G160,E$8*Peak!$AM$11,0))</f>
        <v>-</v>
      </c>
      <c r="F159" s="177" t="str">
        <f>IF('Peak Revenue'!$A$1="BL","-",IF(Peak!L160&gt;Peak!$G160,F$8*Peak!$AM$11,0))</f>
        <v>-</v>
      </c>
      <c r="G159" s="177" t="str">
        <f>IF('Peak Revenue'!$A$1="BL","-",IF(Peak!M160&gt;Peak!$G160,G$8*Peak!$AM$11,0))</f>
        <v>-</v>
      </c>
      <c r="H159" s="177" t="str">
        <f>IF('Peak Revenue'!$A$1="BL","-",IF(Peak!N160&gt;Peak!$G160,H$8*Peak!$AM$11,0))</f>
        <v>-</v>
      </c>
      <c r="I159" s="177" t="str">
        <f>IF('Peak Revenue'!$A$1="BL","-",IF(Peak!O160&gt;Peak!$G160,I$8*Peak!$AM$11,0))</f>
        <v>-</v>
      </c>
      <c r="J159" s="177" t="str">
        <f>IF('Peak Revenue'!$A$1="BL","-",IF(Peak!P160&gt;Peak!$G160,J$8*Peak!$AM$11,0))</f>
        <v>-</v>
      </c>
      <c r="K159" s="177" t="str">
        <f>IF('Peak Revenue'!$A$1="BL","-",IF(Peak!Q160&gt;Peak!$G160,K$8*Peak!$AM$11,0))</f>
        <v>-</v>
      </c>
      <c r="L159" s="177" t="str">
        <f>IF('Peak Revenue'!$A$1="BL","-",IF(Peak!R160&gt;Peak!$G160,L$8*Peak!$AM$11,0))</f>
        <v>-</v>
      </c>
      <c r="M159" s="177" t="str">
        <f>IF('Peak Revenue'!$A$1="BL","-",IF(Peak!S160&gt;Peak!$G160,M$8*Peak!$AM$11,0))</f>
        <v>-</v>
      </c>
      <c r="N159" s="177" t="str">
        <f>IF('Peak Revenue'!$A$1="BL","-",IF(Peak!T160&gt;Peak!$G160,N$8*Peak!$AM$11,0))</f>
        <v>-</v>
      </c>
      <c r="O159" s="177" t="str">
        <f>IF('Peak Revenue'!$A$1="BL","-",IF(Peak!U160&gt;Peak!$G160,O$8*Peak!$AM$11,0))</f>
        <v>-</v>
      </c>
      <c r="P159" s="177" t="str">
        <f>IF('Peak Revenue'!$A$1="BL","-",IF(Peak!V160&gt;Peak!$G160,P$8*Peak!$AM$11,0))</f>
        <v>-</v>
      </c>
      <c r="Q159" s="177" t="str">
        <f>IF('Peak Revenue'!$A$1="BL","-",IF(Peak!W160&gt;Peak!$G160,Q$8*Peak!$AM$11,0))</f>
        <v>-</v>
      </c>
      <c r="R159" s="177" t="str">
        <f>IF('Peak Revenue'!$A$1="BL","-",IF(Peak!X160&gt;Peak!$G160,R$8*Peak!$AM$11,0))</f>
        <v>-</v>
      </c>
      <c r="S159" s="177" t="str">
        <f>IF('Peak Revenue'!$A$1="BL","-",IF(Peak!Y160&gt;Peak!$G160,S$8*Peak!$AM$11,0))</f>
        <v>-</v>
      </c>
      <c r="T159" s="177" t="str">
        <f>IF('Peak Revenue'!$A$1="BL","-",IF(Peak!Z160&gt;Peak!$G160,T$8*Peak!$AM$11,0))</f>
        <v>-</v>
      </c>
      <c r="U159" s="177" t="str">
        <f>IF('Peak Revenue'!$A$1="BL","-",IF(Peak!AA160&gt;Peak!$G160,U$8*Peak!$AM$11,0))</f>
        <v>-</v>
      </c>
      <c r="V159" s="178">
        <f t="shared" si="4"/>
        <v>0</v>
      </c>
      <c r="W159" s="165"/>
    </row>
    <row r="160" spans="1:23" x14ac:dyDescent="0.2">
      <c r="A160" s="1">
        <f t="shared" si="5"/>
        <v>41102.550000000192</v>
      </c>
      <c r="B160" s="176" t="str">
        <f>IF('Peak Revenue'!$A$1="BL","-",IF(Peak!H161&gt;Peak!$G161,B$8*Peak!$AM$11,0))</f>
        <v>-</v>
      </c>
      <c r="C160" s="177" t="str">
        <f>IF('Peak Revenue'!$A$1="BL","-",IF(Peak!I161&gt;Peak!$G161,C$8*Peak!$AM$11,0))</f>
        <v>-</v>
      </c>
      <c r="D160" s="177" t="str">
        <f>IF('Peak Revenue'!$A$1="BL","-",IF(Peak!J161&gt;Peak!$G161,D$8*Peak!$AM$11,0))</f>
        <v>-</v>
      </c>
      <c r="E160" s="177" t="str">
        <f>IF('Peak Revenue'!$A$1="BL","-",IF(Peak!K161&gt;Peak!$G161,E$8*Peak!$AM$11,0))</f>
        <v>-</v>
      </c>
      <c r="F160" s="177" t="str">
        <f>IF('Peak Revenue'!$A$1="BL","-",IF(Peak!L161&gt;Peak!$G161,F$8*Peak!$AM$11,0))</f>
        <v>-</v>
      </c>
      <c r="G160" s="177" t="str">
        <f>IF('Peak Revenue'!$A$1="BL","-",IF(Peak!M161&gt;Peak!$G161,G$8*Peak!$AM$11,0))</f>
        <v>-</v>
      </c>
      <c r="H160" s="177" t="str">
        <f>IF('Peak Revenue'!$A$1="BL","-",IF(Peak!N161&gt;Peak!$G161,H$8*Peak!$AM$11,0))</f>
        <v>-</v>
      </c>
      <c r="I160" s="177" t="str">
        <f>IF('Peak Revenue'!$A$1="BL","-",IF(Peak!O161&gt;Peak!$G161,I$8*Peak!$AM$11,0))</f>
        <v>-</v>
      </c>
      <c r="J160" s="177" t="str">
        <f>IF('Peak Revenue'!$A$1="BL","-",IF(Peak!P161&gt;Peak!$G161,J$8*Peak!$AM$11,0))</f>
        <v>-</v>
      </c>
      <c r="K160" s="177" t="str">
        <f>IF('Peak Revenue'!$A$1="BL","-",IF(Peak!Q161&gt;Peak!$G161,K$8*Peak!$AM$11,0))</f>
        <v>-</v>
      </c>
      <c r="L160" s="177" t="str">
        <f>IF('Peak Revenue'!$A$1="BL","-",IF(Peak!R161&gt;Peak!$G161,L$8*Peak!$AM$11,0))</f>
        <v>-</v>
      </c>
      <c r="M160" s="177" t="str">
        <f>IF('Peak Revenue'!$A$1="BL","-",IF(Peak!S161&gt;Peak!$G161,M$8*Peak!$AM$11,0))</f>
        <v>-</v>
      </c>
      <c r="N160" s="177" t="str">
        <f>IF('Peak Revenue'!$A$1="BL","-",IF(Peak!T161&gt;Peak!$G161,N$8*Peak!$AM$11,0))</f>
        <v>-</v>
      </c>
      <c r="O160" s="177" t="str">
        <f>IF('Peak Revenue'!$A$1="BL","-",IF(Peak!U161&gt;Peak!$G161,O$8*Peak!$AM$11,0))</f>
        <v>-</v>
      </c>
      <c r="P160" s="177" t="str">
        <f>IF('Peak Revenue'!$A$1="BL","-",IF(Peak!V161&gt;Peak!$G161,P$8*Peak!$AM$11,0))</f>
        <v>-</v>
      </c>
      <c r="Q160" s="177" t="str">
        <f>IF('Peak Revenue'!$A$1="BL","-",IF(Peak!W161&gt;Peak!$G161,Q$8*Peak!$AM$11,0))</f>
        <v>-</v>
      </c>
      <c r="R160" s="177" t="str">
        <f>IF('Peak Revenue'!$A$1="BL","-",IF(Peak!X161&gt;Peak!$G161,R$8*Peak!$AM$11,0))</f>
        <v>-</v>
      </c>
      <c r="S160" s="177" t="str">
        <f>IF('Peak Revenue'!$A$1="BL","-",IF(Peak!Y161&gt;Peak!$G161,S$8*Peak!$AM$11,0))</f>
        <v>-</v>
      </c>
      <c r="T160" s="177" t="str">
        <f>IF('Peak Revenue'!$A$1="BL","-",IF(Peak!Z161&gt;Peak!$G161,T$8*Peak!$AM$11,0))</f>
        <v>-</v>
      </c>
      <c r="U160" s="177" t="str">
        <f>IF('Peak Revenue'!$A$1="BL","-",IF(Peak!AA161&gt;Peak!$G161,U$8*Peak!$AM$11,0))</f>
        <v>-</v>
      </c>
      <c r="V160" s="178">
        <f t="shared" si="4"/>
        <v>0</v>
      </c>
      <c r="W160" s="165"/>
    </row>
    <row r="161" spans="1:23" x14ac:dyDescent="0.2">
      <c r="A161" s="1">
        <f t="shared" si="5"/>
        <v>41132.967000000193</v>
      </c>
      <c r="B161" s="176" t="str">
        <f>IF('Peak Revenue'!$A$1="BL","-",IF(Peak!H162&gt;Peak!$G162,B$8*Peak!$AM$11,0))</f>
        <v>-</v>
      </c>
      <c r="C161" s="177" t="str">
        <f>IF('Peak Revenue'!$A$1="BL","-",IF(Peak!I162&gt;Peak!$G162,C$8*Peak!$AM$11,0))</f>
        <v>-</v>
      </c>
      <c r="D161" s="177" t="str">
        <f>IF('Peak Revenue'!$A$1="BL","-",IF(Peak!J162&gt;Peak!$G162,D$8*Peak!$AM$11,0))</f>
        <v>-</v>
      </c>
      <c r="E161" s="177" t="str">
        <f>IF('Peak Revenue'!$A$1="BL","-",IF(Peak!K162&gt;Peak!$G162,E$8*Peak!$AM$11,0))</f>
        <v>-</v>
      </c>
      <c r="F161" s="177" t="str">
        <f>IF('Peak Revenue'!$A$1="BL","-",IF(Peak!L162&gt;Peak!$G162,F$8*Peak!$AM$11,0))</f>
        <v>-</v>
      </c>
      <c r="G161" s="177" t="str">
        <f>IF('Peak Revenue'!$A$1="BL","-",IF(Peak!M162&gt;Peak!$G162,G$8*Peak!$AM$11,0))</f>
        <v>-</v>
      </c>
      <c r="H161" s="177" t="str">
        <f>IF('Peak Revenue'!$A$1="BL","-",IF(Peak!N162&gt;Peak!$G162,H$8*Peak!$AM$11,0))</f>
        <v>-</v>
      </c>
      <c r="I161" s="177" t="str">
        <f>IF('Peak Revenue'!$A$1="BL","-",IF(Peak!O162&gt;Peak!$G162,I$8*Peak!$AM$11,0))</f>
        <v>-</v>
      </c>
      <c r="J161" s="177" t="str">
        <f>IF('Peak Revenue'!$A$1="BL","-",IF(Peak!P162&gt;Peak!$G162,J$8*Peak!$AM$11,0))</f>
        <v>-</v>
      </c>
      <c r="K161" s="177" t="str">
        <f>IF('Peak Revenue'!$A$1="BL","-",IF(Peak!Q162&gt;Peak!$G162,K$8*Peak!$AM$11,0))</f>
        <v>-</v>
      </c>
      <c r="L161" s="177" t="str">
        <f>IF('Peak Revenue'!$A$1="BL","-",IF(Peak!R162&gt;Peak!$G162,L$8*Peak!$AM$11,0))</f>
        <v>-</v>
      </c>
      <c r="M161" s="177" t="str">
        <f>IF('Peak Revenue'!$A$1="BL","-",IF(Peak!S162&gt;Peak!$G162,M$8*Peak!$AM$11,0))</f>
        <v>-</v>
      </c>
      <c r="N161" s="177" t="str">
        <f>IF('Peak Revenue'!$A$1="BL","-",IF(Peak!T162&gt;Peak!$G162,N$8*Peak!$AM$11,0))</f>
        <v>-</v>
      </c>
      <c r="O161" s="177" t="str">
        <f>IF('Peak Revenue'!$A$1="BL","-",IF(Peak!U162&gt;Peak!$G162,O$8*Peak!$AM$11,0))</f>
        <v>-</v>
      </c>
      <c r="P161" s="177" t="str">
        <f>IF('Peak Revenue'!$A$1="BL","-",IF(Peak!V162&gt;Peak!$G162,P$8*Peak!$AM$11,0))</f>
        <v>-</v>
      </c>
      <c r="Q161" s="177" t="str">
        <f>IF('Peak Revenue'!$A$1="BL","-",IF(Peak!W162&gt;Peak!$G162,Q$8*Peak!$AM$11,0))</f>
        <v>-</v>
      </c>
      <c r="R161" s="177" t="str">
        <f>IF('Peak Revenue'!$A$1="BL","-",IF(Peak!X162&gt;Peak!$G162,R$8*Peak!$AM$11,0))</f>
        <v>-</v>
      </c>
      <c r="S161" s="177" t="str">
        <f>IF('Peak Revenue'!$A$1="BL","-",IF(Peak!Y162&gt;Peak!$G162,S$8*Peak!$AM$11,0))</f>
        <v>-</v>
      </c>
      <c r="T161" s="177" t="str">
        <f>IF('Peak Revenue'!$A$1="BL","-",IF(Peak!Z162&gt;Peak!$G162,T$8*Peak!$AM$11,0))</f>
        <v>-</v>
      </c>
      <c r="U161" s="177" t="str">
        <f>IF('Peak Revenue'!$A$1="BL","-",IF(Peak!AA162&gt;Peak!$G162,U$8*Peak!$AM$11,0))</f>
        <v>-</v>
      </c>
      <c r="V161" s="178">
        <f t="shared" si="4"/>
        <v>0</v>
      </c>
      <c r="W161" s="165"/>
    </row>
    <row r="162" spans="1:23" x14ac:dyDescent="0.2">
      <c r="A162" s="1">
        <f t="shared" si="5"/>
        <v>41163.384000000195</v>
      </c>
      <c r="B162" s="176" t="str">
        <f>IF('Peak Revenue'!$A$1="BL","-",IF(Peak!H163&gt;Peak!$G163,B$8*Peak!$AM$11,0))</f>
        <v>-</v>
      </c>
      <c r="C162" s="177" t="str">
        <f>IF('Peak Revenue'!$A$1="BL","-",IF(Peak!I163&gt;Peak!$G163,C$8*Peak!$AM$11,0))</f>
        <v>-</v>
      </c>
      <c r="D162" s="177" t="str">
        <f>IF('Peak Revenue'!$A$1="BL","-",IF(Peak!J163&gt;Peak!$G163,D$8*Peak!$AM$11,0))</f>
        <v>-</v>
      </c>
      <c r="E162" s="177" t="str">
        <f>IF('Peak Revenue'!$A$1="BL","-",IF(Peak!K163&gt;Peak!$G163,E$8*Peak!$AM$11,0))</f>
        <v>-</v>
      </c>
      <c r="F162" s="177" t="str">
        <f>IF('Peak Revenue'!$A$1="BL","-",IF(Peak!L163&gt;Peak!$G163,F$8*Peak!$AM$11,0))</f>
        <v>-</v>
      </c>
      <c r="G162" s="177" t="str">
        <f>IF('Peak Revenue'!$A$1="BL","-",IF(Peak!M163&gt;Peak!$G163,G$8*Peak!$AM$11,0))</f>
        <v>-</v>
      </c>
      <c r="H162" s="177" t="str">
        <f>IF('Peak Revenue'!$A$1="BL","-",IF(Peak!N163&gt;Peak!$G163,H$8*Peak!$AM$11,0))</f>
        <v>-</v>
      </c>
      <c r="I162" s="177" t="str">
        <f>IF('Peak Revenue'!$A$1="BL","-",IF(Peak!O163&gt;Peak!$G163,I$8*Peak!$AM$11,0))</f>
        <v>-</v>
      </c>
      <c r="J162" s="177" t="str">
        <f>IF('Peak Revenue'!$A$1="BL","-",IF(Peak!P163&gt;Peak!$G163,J$8*Peak!$AM$11,0))</f>
        <v>-</v>
      </c>
      <c r="K162" s="177" t="str">
        <f>IF('Peak Revenue'!$A$1="BL","-",IF(Peak!Q163&gt;Peak!$G163,K$8*Peak!$AM$11,0))</f>
        <v>-</v>
      </c>
      <c r="L162" s="177" t="str">
        <f>IF('Peak Revenue'!$A$1="BL","-",IF(Peak!R163&gt;Peak!$G163,L$8*Peak!$AM$11,0))</f>
        <v>-</v>
      </c>
      <c r="M162" s="177" t="str">
        <f>IF('Peak Revenue'!$A$1="BL","-",IF(Peak!S163&gt;Peak!$G163,M$8*Peak!$AM$11,0))</f>
        <v>-</v>
      </c>
      <c r="N162" s="177" t="str">
        <f>IF('Peak Revenue'!$A$1="BL","-",IF(Peak!T163&gt;Peak!$G163,N$8*Peak!$AM$11,0))</f>
        <v>-</v>
      </c>
      <c r="O162" s="177" t="str">
        <f>IF('Peak Revenue'!$A$1="BL","-",IF(Peak!U163&gt;Peak!$G163,O$8*Peak!$AM$11,0))</f>
        <v>-</v>
      </c>
      <c r="P162" s="177" t="str">
        <f>IF('Peak Revenue'!$A$1="BL","-",IF(Peak!V163&gt;Peak!$G163,P$8*Peak!$AM$11,0))</f>
        <v>-</v>
      </c>
      <c r="Q162" s="177" t="str">
        <f>IF('Peak Revenue'!$A$1="BL","-",IF(Peak!W163&gt;Peak!$G163,Q$8*Peak!$AM$11,0))</f>
        <v>-</v>
      </c>
      <c r="R162" s="177" t="str">
        <f>IF('Peak Revenue'!$A$1="BL","-",IF(Peak!X163&gt;Peak!$G163,R$8*Peak!$AM$11,0))</f>
        <v>-</v>
      </c>
      <c r="S162" s="177" t="str">
        <f>IF('Peak Revenue'!$A$1="BL","-",IF(Peak!Y163&gt;Peak!$G163,S$8*Peak!$AM$11,0))</f>
        <v>-</v>
      </c>
      <c r="T162" s="177" t="str">
        <f>IF('Peak Revenue'!$A$1="BL","-",IF(Peak!Z163&gt;Peak!$G163,T$8*Peak!$AM$11,0))</f>
        <v>-</v>
      </c>
      <c r="U162" s="177" t="str">
        <f>IF('Peak Revenue'!$A$1="BL","-",IF(Peak!AA163&gt;Peak!$G163,U$8*Peak!$AM$11,0))</f>
        <v>-</v>
      </c>
      <c r="V162" s="178">
        <f t="shared" si="4"/>
        <v>0</v>
      </c>
      <c r="W162" s="165"/>
    </row>
    <row r="163" spans="1:23" x14ac:dyDescent="0.2">
      <c r="A163" s="1">
        <f t="shared" si="5"/>
        <v>41193.801000000196</v>
      </c>
      <c r="B163" s="176" t="str">
        <f>IF('Peak Revenue'!$A$1="BL","-",IF(Peak!H164&gt;Peak!$G164,B$8*Peak!$AM$11,0))</f>
        <v>-</v>
      </c>
      <c r="C163" s="177" t="str">
        <f>IF('Peak Revenue'!$A$1="BL","-",IF(Peak!I164&gt;Peak!$G164,C$8*Peak!$AM$11,0))</f>
        <v>-</v>
      </c>
      <c r="D163" s="177" t="str">
        <f>IF('Peak Revenue'!$A$1="BL","-",IF(Peak!J164&gt;Peak!$G164,D$8*Peak!$AM$11,0))</f>
        <v>-</v>
      </c>
      <c r="E163" s="177" t="str">
        <f>IF('Peak Revenue'!$A$1="BL","-",IF(Peak!K164&gt;Peak!$G164,E$8*Peak!$AM$11,0))</f>
        <v>-</v>
      </c>
      <c r="F163" s="177" t="str">
        <f>IF('Peak Revenue'!$A$1="BL","-",IF(Peak!L164&gt;Peak!$G164,F$8*Peak!$AM$11,0))</f>
        <v>-</v>
      </c>
      <c r="G163" s="177" t="str">
        <f>IF('Peak Revenue'!$A$1="BL","-",IF(Peak!M164&gt;Peak!$G164,G$8*Peak!$AM$11,0))</f>
        <v>-</v>
      </c>
      <c r="H163" s="177" t="str">
        <f>IF('Peak Revenue'!$A$1="BL","-",IF(Peak!N164&gt;Peak!$G164,H$8*Peak!$AM$11,0))</f>
        <v>-</v>
      </c>
      <c r="I163" s="177" t="str">
        <f>IF('Peak Revenue'!$A$1="BL","-",IF(Peak!O164&gt;Peak!$G164,I$8*Peak!$AM$11,0))</f>
        <v>-</v>
      </c>
      <c r="J163" s="177" t="str">
        <f>IF('Peak Revenue'!$A$1="BL","-",IF(Peak!P164&gt;Peak!$G164,J$8*Peak!$AM$11,0))</f>
        <v>-</v>
      </c>
      <c r="K163" s="177" t="str">
        <f>IF('Peak Revenue'!$A$1="BL","-",IF(Peak!Q164&gt;Peak!$G164,K$8*Peak!$AM$11,0))</f>
        <v>-</v>
      </c>
      <c r="L163" s="177" t="str">
        <f>IF('Peak Revenue'!$A$1="BL","-",IF(Peak!R164&gt;Peak!$G164,L$8*Peak!$AM$11,0))</f>
        <v>-</v>
      </c>
      <c r="M163" s="177" t="str">
        <f>IF('Peak Revenue'!$A$1="BL","-",IF(Peak!S164&gt;Peak!$G164,M$8*Peak!$AM$11,0))</f>
        <v>-</v>
      </c>
      <c r="N163" s="177" t="str">
        <f>IF('Peak Revenue'!$A$1="BL","-",IF(Peak!T164&gt;Peak!$G164,N$8*Peak!$AM$11,0))</f>
        <v>-</v>
      </c>
      <c r="O163" s="177" t="str">
        <f>IF('Peak Revenue'!$A$1="BL","-",IF(Peak!U164&gt;Peak!$G164,O$8*Peak!$AM$11,0))</f>
        <v>-</v>
      </c>
      <c r="P163" s="177" t="str">
        <f>IF('Peak Revenue'!$A$1="BL","-",IF(Peak!V164&gt;Peak!$G164,P$8*Peak!$AM$11,0))</f>
        <v>-</v>
      </c>
      <c r="Q163" s="177" t="str">
        <f>IF('Peak Revenue'!$A$1="BL","-",IF(Peak!W164&gt;Peak!$G164,Q$8*Peak!$AM$11,0))</f>
        <v>-</v>
      </c>
      <c r="R163" s="177" t="str">
        <f>IF('Peak Revenue'!$A$1="BL","-",IF(Peak!X164&gt;Peak!$G164,R$8*Peak!$AM$11,0))</f>
        <v>-</v>
      </c>
      <c r="S163" s="177" t="str">
        <f>IF('Peak Revenue'!$A$1="BL","-",IF(Peak!Y164&gt;Peak!$G164,S$8*Peak!$AM$11,0))</f>
        <v>-</v>
      </c>
      <c r="T163" s="177" t="str">
        <f>IF('Peak Revenue'!$A$1="BL","-",IF(Peak!Z164&gt;Peak!$G164,T$8*Peak!$AM$11,0))</f>
        <v>-</v>
      </c>
      <c r="U163" s="177" t="str">
        <f>IF('Peak Revenue'!$A$1="BL","-",IF(Peak!AA164&gt;Peak!$G164,U$8*Peak!$AM$11,0))</f>
        <v>-</v>
      </c>
      <c r="V163" s="178">
        <f t="shared" si="4"/>
        <v>0</v>
      </c>
      <c r="W163" s="165"/>
    </row>
    <row r="164" spans="1:23" x14ac:dyDescent="0.2">
      <c r="A164" s="1">
        <f t="shared" si="5"/>
        <v>41224.218000000197</v>
      </c>
      <c r="B164" s="176" t="str">
        <f>IF('Peak Revenue'!$A$1="BL","-",IF(Peak!H165&gt;Peak!$G165,B$8*Peak!$AM$11,0))</f>
        <v>-</v>
      </c>
      <c r="C164" s="177" t="str">
        <f>IF('Peak Revenue'!$A$1="BL","-",IF(Peak!I165&gt;Peak!$G165,C$8*Peak!$AM$11,0))</f>
        <v>-</v>
      </c>
      <c r="D164" s="177" t="str">
        <f>IF('Peak Revenue'!$A$1="BL","-",IF(Peak!J165&gt;Peak!$G165,D$8*Peak!$AM$11,0))</f>
        <v>-</v>
      </c>
      <c r="E164" s="177" t="str">
        <f>IF('Peak Revenue'!$A$1="BL","-",IF(Peak!K165&gt;Peak!$G165,E$8*Peak!$AM$11,0))</f>
        <v>-</v>
      </c>
      <c r="F164" s="177" t="str">
        <f>IF('Peak Revenue'!$A$1="BL","-",IF(Peak!L165&gt;Peak!$G165,F$8*Peak!$AM$11,0))</f>
        <v>-</v>
      </c>
      <c r="G164" s="177" t="str">
        <f>IF('Peak Revenue'!$A$1="BL","-",IF(Peak!M165&gt;Peak!$G165,G$8*Peak!$AM$11,0))</f>
        <v>-</v>
      </c>
      <c r="H164" s="177" t="str">
        <f>IF('Peak Revenue'!$A$1="BL","-",IF(Peak!N165&gt;Peak!$G165,H$8*Peak!$AM$11,0))</f>
        <v>-</v>
      </c>
      <c r="I164" s="177" t="str">
        <f>IF('Peak Revenue'!$A$1="BL","-",IF(Peak!O165&gt;Peak!$G165,I$8*Peak!$AM$11,0))</f>
        <v>-</v>
      </c>
      <c r="J164" s="177" t="str">
        <f>IF('Peak Revenue'!$A$1="BL","-",IF(Peak!P165&gt;Peak!$G165,J$8*Peak!$AM$11,0))</f>
        <v>-</v>
      </c>
      <c r="K164" s="177" t="str">
        <f>IF('Peak Revenue'!$A$1="BL","-",IF(Peak!Q165&gt;Peak!$G165,K$8*Peak!$AM$11,0))</f>
        <v>-</v>
      </c>
      <c r="L164" s="177" t="str">
        <f>IF('Peak Revenue'!$A$1="BL","-",IF(Peak!R165&gt;Peak!$G165,L$8*Peak!$AM$11,0))</f>
        <v>-</v>
      </c>
      <c r="M164" s="177" t="str">
        <f>IF('Peak Revenue'!$A$1="BL","-",IF(Peak!S165&gt;Peak!$G165,M$8*Peak!$AM$11,0))</f>
        <v>-</v>
      </c>
      <c r="N164" s="177" t="str">
        <f>IF('Peak Revenue'!$A$1="BL","-",IF(Peak!T165&gt;Peak!$G165,N$8*Peak!$AM$11,0))</f>
        <v>-</v>
      </c>
      <c r="O164" s="177" t="str">
        <f>IF('Peak Revenue'!$A$1="BL","-",IF(Peak!U165&gt;Peak!$G165,O$8*Peak!$AM$11,0))</f>
        <v>-</v>
      </c>
      <c r="P164" s="177" t="str">
        <f>IF('Peak Revenue'!$A$1="BL","-",IF(Peak!V165&gt;Peak!$G165,P$8*Peak!$AM$11,0))</f>
        <v>-</v>
      </c>
      <c r="Q164" s="177" t="str">
        <f>IF('Peak Revenue'!$A$1="BL","-",IF(Peak!W165&gt;Peak!$G165,Q$8*Peak!$AM$11,0))</f>
        <v>-</v>
      </c>
      <c r="R164" s="177" t="str">
        <f>IF('Peak Revenue'!$A$1="BL","-",IF(Peak!X165&gt;Peak!$G165,R$8*Peak!$AM$11,0))</f>
        <v>-</v>
      </c>
      <c r="S164" s="177" t="str">
        <f>IF('Peak Revenue'!$A$1="BL","-",IF(Peak!Y165&gt;Peak!$G165,S$8*Peak!$AM$11,0))</f>
        <v>-</v>
      </c>
      <c r="T164" s="177" t="str">
        <f>IF('Peak Revenue'!$A$1="BL","-",IF(Peak!Z165&gt;Peak!$G165,T$8*Peak!$AM$11,0))</f>
        <v>-</v>
      </c>
      <c r="U164" s="177" t="str">
        <f>IF('Peak Revenue'!$A$1="BL","-",IF(Peak!AA165&gt;Peak!$G165,U$8*Peak!$AM$11,0))</f>
        <v>-</v>
      </c>
      <c r="V164" s="178">
        <f t="shared" si="4"/>
        <v>0</v>
      </c>
      <c r="W164" s="165"/>
    </row>
    <row r="165" spans="1:23" x14ac:dyDescent="0.2">
      <c r="A165" s="1">
        <f t="shared" si="5"/>
        <v>41254.635000000198</v>
      </c>
      <c r="B165" s="176" t="str">
        <f>IF('Peak Revenue'!$A$1="BL","-",IF(Peak!H166&gt;Peak!$G166,B$8*Peak!$AM$11,0))</f>
        <v>-</v>
      </c>
      <c r="C165" s="177" t="str">
        <f>IF('Peak Revenue'!$A$1="BL","-",IF(Peak!I166&gt;Peak!$G166,C$8*Peak!$AM$11,0))</f>
        <v>-</v>
      </c>
      <c r="D165" s="177" t="str">
        <f>IF('Peak Revenue'!$A$1="BL","-",IF(Peak!J166&gt;Peak!$G166,D$8*Peak!$AM$11,0))</f>
        <v>-</v>
      </c>
      <c r="E165" s="177" t="str">
        <f>IF('Peak Revenue'!$A$1="BL","-",IF(Peak!K166&gt;Peak!$G166,E$8*Peak!$AM$11,0))</f>
        <v>-</v>
      </c>
      <c r="F165" s="177" t="str">
        <f>IF('Peak Revenue'!$A$1="BL","-",IF(Peak!L166&gt;Peak!$G166,F$8*Peak!$AM$11,0))</f>
        <v>-</v>
      </c>
      <c r="G165" s="177" t="str">
        <f>IF('Peak Revenue'!$A$1="BL","-",IF(Peak!M166&gt;Peak!$G166,G$8*Peak!$AM$11,0))</f>
        <v>-</v>
      </c>
      <c r="H165" s="177" t="str">
        <f>IF('Peak Revenue'!$A$1="BL","-",IF(Peak!N166&gt;Peak!$G166,H$8*Peak!$AM$11,0))</f>
        <v>-</v>
      </c>
      <c r="I165" s="177" t="str">
        <f>IF('Peak Revenue'!$A$1="BL","-",IF(Peak!O166&gt;Peak!$G166,I$8*Peak!$AM$11,0))</f>
        <v>-</v>
      </c>
      <c r="J165" s="177" t="str">
        <f>IF('Peak Revenue'!$A$1="BL","-",IF(Peak!P166&gt;Peak!$G166,J$8*Peak!$AM$11,0))</f>
        <v>-</v>
      </c>
      <c r="K165" s="177" t="str">
        <f>IF('Peak Revenue'!$A$1="BL","-",IF(Peak!Q166&gt;Peak!$G166,K$8*Peak!$AM$11,0))</f>
        <v>-</v>
      </c>
      <c r="L165" s="177" t="str">
        <f>IF('Peak Revenue'!$A$1="BL","-",IF(Peak!R166&gt;Peak!$G166,L$8*Peak!$AM$11,0))</f>
        <v>-</v>
      </c>
      <c r="M165" s="177" t="str">
        <f>IF('Peak Revenue'!$A$1="BL","-",IF(Peak!S166&gt;Peak!$G166,M$8*Peak!$AM$11,0))</f>
        <v>-</v>
      </c>
      <c r="N165" s="177" t="str">
        <f>IF('Peak Revenue'!$A$1="BL","-",IF(Peak!T166&gt;Peak!$G166,N$8*Peak!$AM$11,0))</f>
        <v>-</v>
      </c>
      <c r="O165" s="177" t="str">
        <f>IF('Peak Revenue'!$A$1="BL","-",IF(Peak!U166&gt;Peak!$G166,O$8*Peak!$AM$11,0))</f>
        <v>-</v>
      </c>
      <c r="P165" s="177" t="str">
        <f>IF('Peak Revenue'!$A$1="BL","-",IF(Peak!V166&gt;Peak!$G166,P$8*Peak!$AM$11,0))</f>
        <v>-</v>
      </c>
      <c r="Q165" s="177" t="str">
        <f>IF('Peak Revenue'!$A$1="BL","-",IF(Peak!W166&gt;Peak!$G166,Q$8*Peak!$AM$11,0))</f>
        <v>-</v>
      </c>
      <c r="R165" s="177" t="str">
        <f>IF('Peak Revenue'!$A$1="BL","-",IF(Peak!X166&gt;Peak!$G166,R$8*Peak!$AM$11,0))</f>
        <v>-</v>
      </c>
      <c r="S165" s="177" t="str">
        <f>IF('Peak Revenue'!$A$1="BL","-",IF(Peak!Y166&gt;Peak!$G166,S$8*Peak!$AM$11,0))</f>
        <v>-</v>
      </c>
      <c r="T165" s="177" t="str">
        <f>IF('Peak Revenue'!$A$1="BL","-",IF(Peak!Z166&gt;Peak!$G166,T$8*Peak!$AM$11,0))</f>
        <v>-</v>
      </c>
      <c r="U165" s="177" t="str">
        <f>IF('Peak Revenue'!$A$1="BL","-",IF(Peak!AA166&gt;Peak!$G166,U$8*Peak!$AM$11,0))</f>
        <v>-</v>
      </c>
      <c r="V165" s="178">
        <f t="shared" si="4"/>
        <v>0</v>
      </c>
      <c r="W165" s="164">
        <f>SUM(V154:V165)</f>
        <v>0</v>
      </c>
    </row>
    <row r="166" spans="1:23" x14ac:dyDescent="0.2">
      <c r="A166" s="1">
        <f t="shared" si="5"/>
        <v>41285.0520000002</v>
      </c>
      <c r="B166" s="176" t="str">
        <f>IF('Peak Revenue'!$A$1="BL","-",IF(Peak!H167&gt;Peak!$G167,B$8*Peak!$AM$11,0))</f>
        <v>-</v>
      </c>
      <c r="C166" s="177" t="str">
        <f>IF('Peak Revenue'!$A$1="BL","-",IF(Peak!I167&gt;Peak!$G167,C$8*Peak!$AM$11,0))</f>
        <v>-</v>
      </c>
      <c r="D166" s="177" t="str">
        <f>IF('Peak Revenue'!$A$1="BL","-",IF(Peak!J167&gt;Peak!$G167,D$8*Peak!$AM$11,0))</f>
        <v>-</v>
      </c>
      <c r="E166" s="177" t="str">
        <f>IF('Peak Revenue'!$A$1="BL","-",IF(Peak!K167&gt;Peak!$G167,E$8*Peak!$AM$11,0))</f>
        <v>-</v>
      </c>
      <c r="F166" s="177" t="str">
        <f>IF('Peak Revenue'!$A$1="BL","-",IF(Peak!L167&gt;Peak!$G167,F$8*Peak!$AM$11,0))</f>
        <v>-</v>
      </c>
      <c r="G166" s="177" t="str">
        <f>IF('Peak Revenue'!$A$1="BL","-",IF(Peak!M167&gt;Peak!$G167,G$8*Peak!$AM$11,0))</f>
        <v>-</v>
      </c>
      <c r="H166" s="177" t="str">
        <f>IF('Peak Revenue'!$A$1="BL","-",IF(Peak!N167&gt;Peak!$G167,H$8*Peak!$AM$11,0))</f>
        <v>-</v>
      </c>
      <c r="I166" s="177" t="str">
        <f>IF('Peak Revenue'!$A$1="BL","-",IF(Peak!O167&gt;Peak!$G167,I$8*Peak!$AM$11,0))</f>
        <v>-</v>
      </c>
      <c r="J166" s="177" t="str">
        <f>IF('Peak Revenue'!$A$1="BL","-",IF(Peak!P167&gt;Peak!$G167,J$8*Peak!$AM$11,0))</f>
        <v>-</v>
      </c>
      <c r="K166" s="177" t="str">
        <f>IF('Peak Revenue'!$A$1="BL","-",IF(Peak!Q167&gt;Peak!$G167,K$8*Peak!$AM$11,0))</f>
        <v>-</v>
      </c>
      <c r="L166" s="177" t="str">
        <f>IF('Peak Revenue'!$A$1="BL","-",IF(Peak!R167&gt;Peak!$G167,L$8*Peak!$AM$11,0))</f>
        <v>-</v>
      </c>
      <c r="M166" s="177" t="str">
        <f>IF('Peak Revenue'!$A$1="BL","-",IF(Peak!S167&gt;Peak!$G167,M$8*Peak!$AM$11,0))</f>
        <v>-</v>
      </c>
      <c r="N166" s="177" t="str">
        <f>IF('Peak Revenue'!$A$1="BL","-",IF(Peak!T167&gt;Peak!$G167,N$8*Peak!$AM$11,0))</f>
        <v>-</v>
      </c>
      <c r="O166" s="177" t="str">
        <f>IF('Peak Revenue'!$A$1="BL","-",IF(Peak!U167&gt;Peak!$G167,O$8*Peak!$AM$11,0))</f>
        <v>-</v>
      </c>
      <c r="P166" s="177" t="str">
        <f>IF('Peak Revenue'!$A$1="BL","-",IF(Peak!V167&gt;Peak!$G167,P$8*Peak!$AM$11,0))</f>
        <v>-</v>
      </c>
      <c r="Q166" s="177" t="str">
        <f>IF('Peak Revenue'!$A$1="BL","-",IF(Peak!W167&gt;Peak!$G167,Q$8*Peak!$AM$11,0))</f>
        <v>-</v>
      </c>
      <c r="R166" s="177" t="str">
        <f>IF('Peak Revenue'!$A$1="BL","-",IF(Peak!X167&gt;Peak!$G167,R$8*Peak!$AM$11,0))</f>
        <v>-</v>
      </c>
      <c r="S166" s="177" t="str">
        <f>IF('Peak Revenue'!$A$1="BL","-",IF(Peak!Y167&gt;Peak!$G167,S$8*Peak!$AM$11,0))</f>
        <v>-</v>
      </c>
      <c r="T166" s="177" t="str">
        <f>IF('Peak Revenue'!$A$1="BL","-",IF(Peak!Z167&gt;Peak!$G167,T$8*Peak!$AM$11,0))</f>
        <v>-</v>
      </c>
      <c r="U166" s="177" t="str">
        <f>IF('Peak Revenue'!$A$1="BL","-",IF(Peak!AA167&gt;Peak!$G167,U$8*Peak!$AM$11,0))</f>
        <v>-</v>
      </c>
      <c r="V166" s="178">
        <f t="shared" si="4"/>
        <v>0</v>
      </c>
      <c r="W166" s="165"/>
    </row>
    <row r="167" spans="1:23" x14ac:dyDescent="0.2">
      <c r="A167" s="1">
        <f t="shared" si="5"/>
        <v>41315.469000000201</v>
      </c>
      <c r="B167" s="176" t="str">
        <f>IF('Peak Revenue'!$A$1="BL","-",IF(Peak!H168&gt;Peak!$G168,B$8*Peak!$AM$11,0))</f>
        <v>-</v>
      </c>
      <c r="C167" s="177" t="str">
        <f>IF('Peak Revenue'!$A$1="BL","-",IF(Peak!I168&gt;Peak!$G168,C$8*Peak!$AM$11,0))</f>
        <v>-</v>
      </c>
      <c r="D167" s="177" t="str">
        <f>IF('Peak Revenue'!$A$1="BL","-",IF(Peak!J168&gt;Peak!$G168,D$8*Peak!$AM$11,0))</f>
        <v>-</v>
      </c>
      <c r="E167" s="177" t="str">
        <f>IF('Peak Revenue'!$A$1="BL","-",IF(Peak!K168&gt;Peak!$G168,E$8*Peak!$AM$11,0))</f>
        <v>-</v>
      </c>
      <c r="F167" s="177" t="str">
        <f>IF('Peak Revenue'!$A$1="BL","-",IF(Peak!L168&gt;Peak!$G168,F$8*Peak!$AM$11,0))</f>
        <v>-</v>
      </c>
      <c r="G167" s="177" t="str">
        <f>IF('Peak Revenue'!$A$1="BL","-",IF(Peak!M168&gt;Peak!$G168,G$8*Peak!$AM$11,0))</f>
        <v>-</v>
      </c>
      <c r="H167" s="177" t="str">
        <f>IF('Peak Revenue'!$A$1="BL","-",IF(Peak!N168&gt;Peak!$G168,H$8*Peak!$AM$11,0))</f>
        <v>-</v>
      </c>
      <c r="I167" s="177" t="str">
        <f>IF('Peak Revenue'!$A$1="BL","-",IF(Peak!O168&gt;Peak!$G168,I$8*Peak!$AM$11,0))</f>
        <v>-</v>
      </c>
      <c r="J167" s="177" t="str">
        <f>IF('Peak Revenue'!$A$1="BL","-",IF(Peak!P168&gt;Peak!$G168,J$8*Peak!$AM$11,0))</f>
        <v>-</v>
      </c>
      <c r="K167" s="177" t="str">
        <f>IF('Peak Revenue'!$A$1="BL","-",IF(Peak!Q168&gt;Peak!$G168,K$8*Peak!$AM$11,0))</f>
        <v>-</v>
      </c>
      <c r="L167" s="177" t="str">
        <f>IF('Peak Revenue'!$A$1="BL","-",IF(Peak!R168&gt;Peak!$G168,L$8*Peak!$AM$11,0))</f>
        <v>-</v>
      </c>
      <c r="M167" s="177" t="str">
        <f>IF('Peak Revenue'!$A$1="BL","-",IF(Peak!S168&gt;Peak!$G168,M$8*Peak!$AM$11,0))</f>
        <v>-</v>
      </c>
      <c r="N167" s="177" t="str">
        <f>IF('Peak Revenue'!$A$1="BL","-",IF(Peak!T168&gt;Peak!$G168,N$8*Peak!$AM$11,0))</f>
        <v>-</v>
      </c>
      <c r="O167" s="177" t="str">
        <f>IF('Peak Revenue'!$A$1="BL","-",IF(Peak!U168&gt;Peak!$G168,O$8*Peak!$AM$11,0))</f>
        <v>-</v>
      </c>
      <c r="P167" s="177" t="str">
        <f>IF('Peak Revenue'!$A$1="BL","-",IF(Peak!V168&gt;Peak!$G168,P$8*Peak!$AM$11,0))</f>
        <v>-</v>
      </c>
      <c r="Q167" s="177" t="str">
        <f>IF('Peak Revenue'!$A$1="BL","-",IF(Peak!W168&gt;Peak!$G168,Q$8*Peak!$AM$11,0))</f>
        <v>-</v>
      </c>
      <c r="R167" s="177" t="str">
        <f>IF('Peak Revenue'!$A$1="BL","-",IF(Peak!X168&gt;Peak!$G168,R$8*Peak!$AM$11,0))</f>
        <v>-</v>
      </c>
      <c r="S167" s="177" t="str">
        <f>IF('Peak Revenue'!$A$1="BL","-",IF(Peak!Y168&gt;Peak!$G168,S$8*Peak!$AM$11,0))</f>
        <v>-</v>
      </c>
      <c r="T167" s="177" t="str">
        <f>IF('Peak Revenue'!$A$1="BL","-",IF(Peak!Z168&gt;Peak!$G168,T$8*Peak!$AM$11,0))</f>
        <v>-</v>
      </c>
      <c r="U167" s="177" t="str">
        <f>IF('Peak Revenue'!$A$1="BL","-",IF(Peak!AA168&gt;Peak!$G168,U$8*Peak!$AM$11,0))</f>
        <v>-</v>
      </c>
      <c r="V167" s="178">
        <f t="shared" si="4"/>
        <v>0</v>
      </c>
      <c r="W167" s="165"/>
    </row>
    <row r="168" spans="1:23" x14ac:dyDescent="0.2">
      <c r="A168" s="1">
        <f t="shared" si="5"/>
        <v>41345.886000000202</v>
      </c>
      <c r="B168" s="176" t="str">
        <f>IF('Peak Revenue'!$A$1="BL","-",IF(Peak!H169&gt;Peak!$G169,B$8*Peak!$AM$11,0))</f>
        <v>-</v>
      </c>
      <c r="C168" s="177" t="str">
        <f>IF('Peak Revenue'!$A$1="BL","-",IF(Peak!I169&gt;Peak!$G169,C$8*Peak!$AM$11,0))</f>
        <v>-</v>
      </c>
      <c r="D168" s="177" t="str">
        <f>IF('Peak Revenue'!$A$1="BL","-",IF(Peak!J169&gt;Peak!$G169,D$8*Peak!$AM$11,0))</f>
        <v>-</v>
      </c>
      <c r="E168" s="177" t="str">
        <f>IF('Peak Revenue'!$A$1="BL","-",IF(Peak!K169&gt;Peak!$G169,E$8*Peak!$AM$11,0))</f>
        <v>-</v>
      </c>
      <c r="F168" s="177" t="str">
        <f>IF('Peak Revenue'!$A$1="BL","-",IF(Peak!L169&gt;Peak!$G169,F$8*Peak!$AM$11,0))</f>
        <v>-</v>
      </c>
      <c r="G168" s="177" t="str">
        <f>IF('Peak Revenue'!$A$1="BL","-",IF(Peak!M169&gt;Peak!$G169,G$8*Peak!$AM$11,0))</f>
        <v>-</v>
      </c>
      <c r="H168" s="177" t="str">
        <f>IF('Peak Revenue'!$A$1="BL","-",IF(Peak!N169&gt;Peak!$G169,H$8*Peak!$AM$11,0))</f>
        <v>-</v>
      </c>
      <c r="I168" s="177" t="str">
        <f>IF('Peak Revenue'!$A$1="BL","-",IF(Peak!O169&gt;Peak!$G169,I$8*Peak!$AM$11,0))</f>
        <v>-</v>
      </c>
      <c r="J168" s="177" t="str">
        <f>IF('Peak Revenue'!$A$1="BL","-",IF(Peak!P169&gt;Peak!$G169,J$8*Peak!$AM$11,0))</f>
        <v>-</v>
      </c>
      <c r="K168" s="177" t="str">
        <f>IF('Peak Revenue'!$A$1="BL","-",IF(Peak!Q169&gt;Peak!$G169,K$8*Peak!$AM$11,0))</f>
        <v>-</v>
      </c>
      <c r="L168" s="177" t="str">
        <f>IF('Peak Revenue'!$A$1="BL","-",IF(Peak!R169&gt;Peak!$G169,L$8*Peak!$AM$11,0))</f>
        <v>-</v>
      </c>
      <c r="M168" s="177" t="str">
        <f>IF('Peak Revenue'!$A$1="BL","-",IF(Peak!S169&gt;Peak!$G169,M$8*Peak!$AM$11,0))</f>
        <v>-</v>
      </c>
      <c r="N168" s="177" t="str">
        <f>IF('Peak Revenue'!$A$1="BL","-",IF(Peak!T169&gt;Peak!$G169,N$8*Peak!$AM$11,0))</f>
        <v>-</v>
      </c>
      <c r="O168" s="177" t="str">
        <f>IF('Peak Revenue'!$A$1="BL","-",IF(Peak!U169&gt;Peak!$G169,O$8*Peak!$AM$11,0))</f>
        <v>-</v>
      </c>
      <c r="P168" s="177" t="str">
        <f>IF('Peak Revenue'!$A$1="BL","-",IF(Peak!V169&gt;Peak!$G169,P$8*Peak!$AM$11,0))</f>
        <v>-</v>
      </c>
      <c r="Q168" s="177" t="str">
        <f>IF('Peak Revenue'!$A$1="BL","-",IF(Peak!W169&gt;Peak!$G169,Q$8*Peak!$AM$11,0))</f>
        <v>-</v>
      </c>
      <c r="R168" s="177" t="str">
        <f>IF('Peak Revenue'!$A$1="BL","-",IF(Peak!X169&gt;Peak!$G169,R$8*Peak!$AM$11,0))</f>
        <v>-</v>
      </c>
      <c r="S168" s="177" t="str">
        <f>IF('Peak Revenue'!$A$1="BL","-",IF(Peak!Y169&gt;Peak!$G169,S$8*Peak!$AM$11,0))</f>
        <v>-</v>
      </c>
      <c r="T168" s="177" t="str">
        <f>IF('Peak Revenue'!$A$1="BL","-",IF(Peak!Z169&gt;Peak!$G169,T$8*Peak!$AM$11,0))</f>
        <v>-</v>
      </c>
      <c r="U168" s="177" t="str">
        <f>IF('Peak Revenue'!$A$1="BL","-",IF(Peak!AA169&gt;Peak!$G169,U$8*Peak!$AM$11,0))</f>
        <v>-</v>
      </c>
      <c r="V168" s="178">
        <f t="shared" si="4"/>
        <v>0</v>
      </c>
      <c r="W168" s="165"/>
    </row>
    <row r="169" spans="1:23" x14ac:dyDescent="0.2">
      <c r="A169" s="1">
        <f t="shared" si="5"/>
        <v>41376.303000000204</v>
      </c>
      <c r="B169" s="176" t="str">
        <f>IF('Peak Revenue'!$A$1="BL","-",IF(Peak!H170&gt;Peak!$G170,B$8*Peak!$AM$11,0))</f>
        <v>-</v>
      </c>
      <c r="C169" s="177" t="str">
        <f>IF('Peak Revenue'!$A$1="BL","-",IF(Peak!I170&gt;Peak!$G170,C$8*Peak!$AM$11,0))</f>
        <v>-</v>
      </c>
      <c r="D169" s="177" t="str">
        <f>IF('Peak Revenue'!$A$1="BL","-",IF(Peak!J170&gt;Peak!$G170,D$8*Peak!$AM$11,0))</f>
        <v>-</v>
      </c>
      <c r="E169" s="177" t="str">
        <f>IF('Peak Revenue'!$A$1="BL","-",IF(Peak!K170&gt;Peak!$G170,E$8*Peak!$AM$11,0))</f>
        <v>-</v>
      </c>
      <c r="F169" s="177" t="str">
        <f>IF('Peak Revenue'!$A$1="BL","-",IF(Peak!L170&gt;Peak!$G170,F$8*Peak!$AM$11,0))</f>
        <v>-</v>
      </c>
      <c r="G169" s="177" t="str">
        <f>IF('Peak Revenue'!$A$1="BL","-",IF(Peak!M170&gt;Peak!$G170,G$8*Peak!$AM$11,0))</f>
        <v>-</v>
      </c>
      <c r="H169" s="177" t="str">
        <f>IF('Peak Revenue'!$A$1="BL","-",IF(Peak!N170&gt;Peak!$G170,H$8*Peak!$AM$11,0))</f>
        <v>-</v>
      </c>
      <c r="I169" s="177" t="str">
        <f>IF('Peak Revenue'!$A$1="BL","-",IF(Peak!O170&gt;Peak!$G170,I$8*Peak!$AM$11,0))</f>
        <v>-</v>
      </c>
      <c r="J169" s="177" t="str">
        <f>IF('Peak Revenue'!$A$1="BL","-",IF(Peak!P170&gt;Peak!$G170,J$8*Peak!$AM$11,0))</f>
        <v>-</v>
      </c>
      <c r="K169" s="177" t="str">
        <f>IF('Peak Revenue'!$A$1="BL","-",IF(Peak!Q170&gt;Peak!$G170,K$8*Peak!$AM$11,0))</f>
        <v>-</v>
      </c>
      <c r="L169" s="177" t="str">
        <f>IF('Peak Revenue'!$A$1="BL","-",IF(Peak!R170&gt;Peak!$G170,L$8*Peak!$AM$11,0))</f>
        <v>-</v>
      </c>
      <c r="M169" s="177" t="str">
        <f>IF('Peak Revenue'!$A$1="BL","-",IF(Peak!S170&gt;Peak!$G170,M$8*Peak!$AM$11,0))</f>
        <v>-</v>
      </c>
      <c r="N169" s="177" t="str">
        <f>IF('Peak Revenue'!$A$1="BL","-",IF(Peak!T170&gt;Peak!$G170,N$8*Peak!$AM$11,0))</f>
        <v>-</v>
      </c>
      <c r="O169" s="177" t="str">
        <f>IF('Peak Revenue'!$A$1="BL","-",IF(Peak!U170&gt;Peak!$G170,O$8*Peak!$AM$11,0))</f>
        <v>-</v>
      </c>
      <c r="P169" s="177" t="str">
        <f>IF('Peak Revenue'!$A$1="BL","-",IF(Peak!V170&gt;Peak!$G170,P$8*Peak!$AM$11,0))</f>
        <v>-</v>
      </c>
      <c r="Q169" s="177" t="str">
        <f>IF('Peak Revenue'!$A$1="BL","-",IF(Peak!W170&gt;Peak!$G170,Q$8*Peak!$AM$11,0))</f>
        <v>-</v>
      </c>
      <c r="R169" s="177" t="str">
        <f>IF('Peak Revenue'!$A$1="BL","-",IF(Peak!X170&gt;Peak!$G170,R$8*Peak!$AM$11,0))</f>
        <v>-</v>
      </c>
      <c r="S169" s="177" t="str">
        <f>IF('Peak Revenue'!$A$1="BL","-",IF(Peak!Y170&gt;Peak!$G170,S$8*Peak!$AM$11,0))</f>
        <v>-</v>
      </c>
      <c r="T169" s="177" t="str">
        <f>IF('Peak Revenue'!$A$1="BL","-",IF(Peak!Z170&gt;Peak!$G170,T$8*Peak!$AM$11,0))</f>
        <v>-</v>
      </c>
      <c r="U169" s="177" t="str">
        <f>IF('Peak Revenue'!$A$1="BL","-",IF(Peak!AA170&gt;Peak!$G170,U$8*Peak!$AM$11,0))</f>
        <v>-</v>
      </c>
      <c r="V169" s="178">
        <f t="shared" si="4"/>
        <v>0</v>
      </c>
      <c r="W169" s="165"/>
    </row>
    <row r="170" spans="1:23" x14ac:dyDescent="0.2">
      <c r="A170" s="1">
        <f t="shared" si="5"/>
        <v>41406.720000000205</v>
      </c>
      <c r="B170" s="176" t="str">
        <f>IF('Peak Revenue'!$A$1="BL","-",IF(Peak!H171&gt;Peak!$G171,B$8*Peak!$AM$11,0))</f>
        <v>-</v>
      </c>
      <c r="C170" s="177" t="str">
        <f>IF('Peak Revenue'!$A$1="BL","-",IF(Peak!I171&gt;Peak!$G171,C$8*Peak!$AM$11,0))</f>
        <v>-</v>
      </c>
      <c r="D170" s="177" t="str">
        <f>IF('Peak Revenue'!$A$1="BL","-",IF(Peak!J171&gt;Peak!$G171,D$8*Peak!$AM$11,0))</f>
        <v>-</v>
      </c>
      <c r="E170" s="177" t="str">
        <f>IF('Peak Revenue'!$A$1="BL","-",IF(Peak!K171&gt;Peak!$G171,E$8*Peak!$AM$11,0))</f>
        <v>-</v>
      </c>
      <c r="F170" s="177" t="str">
        <f>IF('Peak Revenue'!$A$1="BL","-",IF(Peak!L171&gt;Peak!$G171,F$8*Peak!$AM$11,0))</f>
        <v>-</v>
      </c>
      <c r="G170" s="177" t="str">
        <f>IF('Peak Revenue'!$A$1="BL","-",IF(Peak!M171&gt;Peak!$G171,G$8*Peak!$AM$11,0))</f>
        <v>-</v>
      </c>
      <c r="H170" s="177" t="str">
        <f>IF('Peak Revenue'!$A$1="BL","-",IF(Peak!N171&gt;Peak!$G171,H$8*Peak!$AM$11,0))</f>
        <v>-</v>
      </c>
      <c r="I170" s="177" t="str">
        <f>IF('Peak Revenue'!$A$1="BL","-",IF(Peak!O171&gt;Peak!$G171,I$8*Peak!$AM$11,0))</f>
        <v>-</v>
      </c>
      <c r="J170" s="177" t="str">
        <f>IF('Peak Revenue'!$A$1="BL","-",IF(Peak!P171&gt;Peak!$G171,J$8*Peak!$AM$11,0))</f>
        <v>-</v>
      </c>
      <c r="K170" s="177" t="str">
        <f>IF('Peak Revenue'!$A$1="BL","-",IF(Peak!Q171&gt;Peak!$G171,K$8*Peak!$AM$11,0))</f>
        <v>-</v>
      </c>
      <c r="L170" s="177" t="str">
        <f>IF('Peak Revenue'!$A$1="BL","-",IF(Peak!R171&gt;Peak!$G171,L$8*Peak!$AM$11,0))</f>
        <v>-</v>
      </c>
      <c r="M170" s="177" t="str">
        <f>IF('Peak Revenue'!$A$1="BL","-",IF(Peak!S171&gt;Peak!$G171,M$8*Peak!$AM$11,0))</f>
        <v>-</v>
      </c>
      <c r="N170" s="177" t="str">
        <f>IF('Peak Revenue'!$A$1="BL","-",IF(Peak!T171&gt;Peak!$G171,N$8*Peak!$AM$11,0))</f>
        <v>-</v>
      </c>
      <c r="O170" s="177" t="str">
        <f>IF('Peak Revenue'!$A$1="BL","-",IF(Peak!U171&gt;Peak!$G171,O$8*Peak!$AM$11,0))</f>
        <v>-</v>
      </c>
      <c r="P170" s="177" t="str">
        <f>IF('Peak Revenue'!$A$1="BL","-",IF(Peak!V171&gt;Peak!$G171,P$8*Peak!$AM$11,0))</f>
        <v>-</v>
      </c>
      <c r="Q170" s="177" t="str">
        <f>IF('Peak Revenue'!$A$1="BL","-",IF(Peak!W171&gt;Peak!$G171,Q$8*Peak!$AM$11,0))</f>
        <v>-</v>
      </c>
      <c r="R170" s="177" t="str">
        <f>IF('Peak Revenue'!$A$1="BL","-",IF(Peak!X171&gt;Peak!$G171,R$8*Peak!$AM$11,0))</f>
        <v>-</v>
      </c>
      <c r="S170" s="177" t="str">
        <f>IF('Peak Revenue'!$A$1="BL","-",IF(Peak!Y171&gt;Peak!$G171,S$8*Peak!$AM$11,0))</f>
        <v>-</v>
      </c>
      <c r="T170" s="177" t="str">
        <f>IF('Peak Revenue'!$A$1="BL","-",IF(Peak!Z171&gt;Peak!$G171,T$8*Peak!$AM$11,0))</f>
        <v>-</v>
      </c>
      <c r="U170" s="177" t="str">
        <f>IF('Peak Revenue'!$A$1="BL","-",IF(Peak!AA171&gt;Peak!$G171,U$8*Peak!$AM$11,0))</f>
        <v>-</v>
      </c>
      <c r="V170" s="178">
        <f t="shared" si="4"/>
        <v>0</v>
      </c>
      <c r="W170" s="165"/>
    </row>
    <row r="171" spans="1:23" x14ac:dyDescent="0.2">
      <c r="A171" s="1">
        <f t="shared" si="5"/>
        <v>41437.137000000206</v>
      </c>
      <c r="B171" s="176" t="str">
        <f>IF('Peak Revenue'!$A$1="BL","-",IF(Peak!H172&gt;Peak!$G172,B$8*Peak!$AM$11,0))</f>
        <v>-</v>
      </c>
      <c r="C171" s="177" t="str">
        <f>IF('Peak Revenue'!$A$1="BL","-",IF(Peak!I172&gt;Peak!$G172,C$8*Peak!$AM$11,0))</f>
        <v>-</v>
      </c>
      <c r="D171" s="177" t="str">
        <f>IF('Peak Revenue'!$A$1="BL","-",IF(Peak!J172&gt;Peak!$G172,D$8*Peak!$AM$11,0))</f>
        <v>-</v>
      </c>
      <c r="E171" s="177" t="str">
        <f>IF('Peak Revenue'!$A$1="BL","-",IF(Peak!K172&gt;Peak!$G172,E$8*Peak!$AM$11,0))</f>
        <v>-</v>
      </c>
      <c r="F171" s="177" t="str">
        <f>IF('Peak Revenue'!$A$1="BL","-",IF(Peak!L172&gt;Peak!$G172,F$8*Peak!$AM$11,0))</f>
        <v>-</v>
      </c>
      <c r="G171" s="177" t="str">
        <f>IF('Peak Revenue'!$A$1="BL","-",IF(Peak!M172&gt;Peak!$G172,G$8*Peak!$AM$11,0))</f>
        <v>-</v>
      </c>
      <c r="H171" s="177" t="str">
        <f>IF('Peak Revenue'!$A$1="BL","-",IF(Peak!N172&gt;Peak!$G172,H$8*Peak!$AM$11,0))</f>
        <v>-</v>
      </c>
      <c r="I171" s="177" t="str">
        <f>IF('Peak Revenue'!$A$1="BL","-",IF(Peak!O172&gt;Peak!$G172,I$8*Peak!$AM$11,0))</f>
        <v>-</v>
      </c>
      <c r="J171" s="177" t="str">
        <f>IF('Peak Revenue'!$A$1="BL","-",IF(Peak!P172&gt;Peak!$G172,J$8*Peak!$AM$11,0))</f>
        <v>-</v>
      </c>
      <c r="K171" s="177" t="str">
        <f>IF('Peak Revenue'!$A$1="BL","-",IF(Peak!Q172&gt;Peak!$G172,K$8*Peak!$AM$11,0))</f>
        <v>-</v>
      </c>
      <c r="L171" s="177" t="str">
        <f>IF('Peak Revenue'!$A$1="BL","-",IF(Peak!R172&gt;Peak!$G172,L$8*Peak!$AM$11,0))</f>
        <v>-</v>
      </c>
      <c r="M171" s="177" t="str">
        <f>IF('Peak Revenue'!$A$1="BL","-",IF(Peak!S172&gt;Peak!$G172,M$8*Peak!$AM$11,0))</f>
        <v>-</v>
      </c>
      <c r="N171" s="177" t="str">
        <f>IF('Peak Revenue'!$A$1="BL","-",IF(Peak!T172&gt;Peak!$G172,N$8*Peak!$AM$11,0))</f>
        <v>-</v>
      </c>
      <c r="O171" s="177" t="str">
        <f>IF('Peak Revenue'!$A$1="BL","-",IF(Peak!U172&gt;Peak!$G172,O$8*Peak!$AM$11,0))</f>
        <v>-</v>
      </c>
      <c r="P171" s="177" t="str">
        <f>IF('Peak Revenue'!$A$1="BL","-",IF(Peak!V172&gt;Peak!$G172,P$8*Peak!$AM$11,0))</f>
        <v>-</v>
      </c>
      <c r="Q171" s="177" t="str">
        <f>IF('Peak Revenue'!$A$1="BL","-",IF(Peak!W172&gt;Peak!$G172,Q$8*Peak!$AM$11,0))</f>
        <v>-</v>
      </c>
      <c r="R171" s="177" t="str">
        <f>IF('Peak Revenue'!$A$1="BL","-",IF(Peak!X172&gt;Peak!$G172,R$8*Peak!$AM$11,0))</f>
        <v>-</v>
      </c>
      <c r="S171" s="177" t="str">
        <f>IF('Peak Revenue'!$A$1="BL","-",IF(Peak!Y172&gt;Peak!$G172,S$8*Peak!$AM$11,0))</f>
        <v>-</v>
      </c>
      <c r="T171" s="177" t="str">
        <f>IF('Peak Revenue'!$A$1="BL","-",IF(Peak!Z172&gt;Peak!$G172,T$8*Peak!$AM$11,0))</f>
        <v>-</v>
      </c>
      <c r="U171" s="177" t="str">
        <f>IF('Peak Revenue'!$A$1="BL","-",IF(Peak!AA172&gt;Peak!$G172,U$8*Peak!$AM$11,0))</f>
        <v>-</v>
      </c>
      <c r="V171" s="178">
        <f t="shared" si="4"/>
        <v>0</v>
      </c>
      <c r="W171" s="165"/>
    </row>
    <row r="172" spans="1:23" x14ac:dyDescent="0.2">
      <c r="A172" s="1">
        <f t="shared" si="5"/>
        <v>41467.554000000207</v>
      </c>
      <c r="B172" s="176" t="str">
        <f>IF('Peak Revenue'!$A$1="BL","-",IF(Peak!H173&gt;Peak!$G173,B$8*Peak!$AM$11,0))</f>
        <v>-</v>
      </c>
      <c r="C172" s="177" t="str">
        <f>IF('Peak Revenue'!$A$1="BL","-",IF(Peak!I173&gt;Peak!$G173,C$8*Peak!$AM$11,0))</f>
        <v>-</v>
      </c>
      <c r="D172" s="177" t="str">
        <f>IF('Peak Revenue'!$A$1="BL","-",IF(Peak!J173&gt;Peak!$G173,D$8*Peak!$AM$11,0))</f>
        <v>-</v>
      </c>
      <c r="E172" s="177" t="str">
        <f>IF('Peak Revenue'!$A$1="BL","-",IF(Peak!K173&gt;Peak!$G173,E$8*Peak!$AM$11,0))</f>
        <v>-</v>
      </c>
      <c r="F172" s="177" t="str">
        <f>IF('Peak Revenue'!$A$1="BL","-",IF(Peak!L173&gt;Peak!$G173,F$8*Peak!$AM$11,0))</f>
        <v>-</v>
      </c>
      <c r="G172" s="177" t="str">
        <f>IF('Peak Revenue'!$A$1="BL","-",IF(Peak!M173&gt;Peak!$G173,G$8*Peak!$AM$11,0))</f>
        <v>-</v>
      </c>
      <c r="H172" s="177" t="str">
        <f>IF('Peak Revenue'!$A$1="BL","-",IF(Peak!N173&gt;Peak!$G173,H$8*Peak!$AM$11,0))</f>
        <v>-</v>
      </c>
      <c r="I172" s="177" t="str">
        <f>IF('Peak Revenue'!$A$1="BL","-",IF(Peak!O173&gt;Peak!$G173,I$8*Peak!$AM$11,0))</f>
        <v>-</v>
      </c>
      <c r="J172" s="177" t="str">
        <f>IF('Peak Revenue'!$A$1="BL","-",IF(Peak!P173&gt;Peak!$G173,J$8*Peak!$AM$11,0))</f>
        <v>-</v>
      </c>
      <c r="K172" s="177" t="str">
        <f>IF('Peak Revenue'!$A$1="BL","-",IF(Peak!Q173&gt;Peak!$G173,K$8*Peak!$AM$11,0))</f>
        <v>-</v>
      </c>
      <c r="L172" s="177" t="str">
        <f>IF('Peak Revenue'!$A$1="BL","-",IF(Peak!R173&gt;Peak!$G173,L$8*Peak!$AM$11,0))</f>
        <v>-</v>
      </c>
      <c r="M172" s="177" t="str">
        <f>IF('Peak Revenue'!$A$1="BL","-",IF(Peak!S173&gt;Peak!$G173,M$8*Peak!$AM$11,0))</f>
        <v>-</v>
      </c>
      <c r="N172" s="177" t="str">
        <f>IF('Peak Revenue'!$A$1="BL","-",IF(Peak!T173&gt;Peak!$G173,N$8*Peak!$AM$11,0))</f>
        <v>-</v>
      </c>
      <c r="O172" s="177" t="str">
        <f>IF('Peak Revenue'!$A$1="BL","-",IF(Peak!U173&gt;Peak!$G173,O$8*Peak!$AM$11,0))</f>
        <v>-</v>
      </c>
      <c r="P172" s="177" t="str">
        <f>IF('Peak Revenue'!$A$1="BL","-",IF(Peak!V173&gt;Peak!$G173,P$8*Peak!$AM$11,0))</f>
        <v>-</v>
      </c>
      <c r="Q172" s="177" t="str">
        <f>IF('Peak Revenue'!$A$1="BL","-",IF(Peak!W173&gt;Peak!$G173,Q$8*Peak!$AM$11,0))</f>
        <v>-</v>
      </c>
      <c r="R172" s="177" t="str">
        <f>IF('Peak Revenue'!$A$1="BL","-",IF(Peak!X173&gt;Peak!$G173,R$8*Peak!$AM$11,0))</f>
        <v>-</v>
      </c>
      <c r="S172" s="177" t="str">
        <f>IF('Peak Revenue'!$A$1="BL","-",IF(Peak!Y173&gt;Peak!$G173,S$8*Peak!$AM$11,0))</f>
        <v>-</v>
      </c>
      <c r="T172" s="177" t="str">
        <f>IF('Peak Revenue'!$A$1="BL","-",IF(Peak!Z173&gt;Peak!$G173,T$8*Peak!$AM$11,0))</f>
        <v>-</v>
      </c>
      <c r="U172" s="177" t="str">
        <f>IF('Peak Revenue'!$A$1="BL","-",IF(Peak!AA173&gt;Peak!$G173,U$8*Peak!$AM$11,0))</f>
        <v>-</v>
      </c>
      <c r="V172" s="178">
        <f t="shared" si="4"/>
        <v>0</v>
      </c>
      <c r="W172" s="165"/>
    </row>
    <row r="173" spans="1:23" x14ac:dyDescent="0.2">
      <c r="A173" s="1">
        <f t="shared" si="5"/>
        <v>41497.971000000209</v>
      </c>
      <c r="B173" s="176" t="str">
        <f>IF('Peak Revenue'!$A$1="BL","-",IF(Peak!H174&gt;Peak!$G174,B$8*Peak!$AM$11,0))</f>
        <v>-</v>
      </c>
      <c r="C173" s="177" t="str">
        <f>IF('Peak Revenue'!$A$1="BL","-",IF(Peak!I174&gt;Peak!$G174,C$8*Peak!$AM$11,0))</f>
        <v>-</v>
      </c>
      <c r="D173" s="177" t="str">
        <f>IF('Peak Revenue'!$A$1="BL","-",IF(Peak!J174&gt;Peak!$G174,D$8*Peak!$AM$11,0))</f>
        <v>-</v>
      </c>
      <c r="E173" s="177" t="str">
        <f>IF('Peak Revenue'!$A$1="BL","-",IF(Peak!K174&gt;Peak!$G174,E$8*Peak!$AM$11,0))</f>
        <v>-</v>
      </c>
      <c r="F173" s="177" t="str">
        <f>IF('Peak Revenue'!$A$1="BL","-",IF(Peak!L174&gt;Peak!$G174,F$8*Peak!$AM$11,0))</f>
        <v>-</v>
      </c>
      <c r="G173" s="177" t="str">
        <f>IF('Peak Revenue'!$A$1="BL","-",IF(Peak!M174&gt;Peak!$G174,G$8*Peak!$AM$11,0))</f>
        <v>-</v>
      </c>
      <c r="H173" s="177" t="str">
        <f>IF('Peak Revenue'!$A$1="BL","-",IF(Peak!N174&gt;Peak!$G174,H$8*Peak!$AM$11,0))</f>
        <v>-</v>
      </c>
      <c r="I173" s="177" t="str">
        <f>IF('Peak Revenue'!$A$1="BL","-",IF(Peak!O174&gt;Peak!$G174,I$8*Peak!$AM$11,0))</f>
        <v>-</v>
      </c>
      <c r="J173" s="177" t="str">
        <f>IF('Peak Revenue'!$A$1="BL","-",IF(Peak!P174&gt;Peak!$G174,J$8*Peak!$AM$11,0))</f>
        <v>-</v>
      </c>
      <c r="K173" s="177" t="str">
        <f>IF('Peak Revenue'!$A$1="BL","-",IF(Peak!Q174&gt;Peak!$G174,K$8*Peak!$AM$11,0))</f>
        <v>-</v>
      </c>
      <c r="L173" s="177" t="str">
        <f>IF('Peak Revenue'!$A$1="BL","-",IF(Peak!R174&gt;Peak!$G174,L$8*Peak!$AM$11,0))</f>
        <v>-</v>
      </c>
      <c r="M173" s="177" t="str">
        <f>IF('Peak Revenue'!$A$1="BL","-",IF(Peak!S174&gt;Peak!$G174,M$8*Peak!$AM$11,0))</f>
        <v>-</v>
      </c>
      <c r="N173" s="177" t="str">
        <f>IF('Peak Revenue'!$A$1="BL","-",IF(Peak!T174&gt;Peak!$G174,N$8*Peak!$AM$11,0))</f>
        <v>-</v>
      </c>
      <c r="O173" s="177" t="str">
        <f>IF('Peak Revenue'!$A$1="BL","-",IF(Peak!U174&gt;Peak!$G174,O$8*Peak!$AM$11,0))</f>
        <v>-</v>
      </c>
      <c r="P173" s="177" t="str">
        <f>IF('Peak Revenue'!$A$1="BL","-",IF(Peak!V174&gt;Peak!$G174,P$8*Peak!$AM$11,0))</f>
        <v>-</v>
      </c>
      <c r="Q173" s="177" t="str">
        <f>IF('Peak Revenue'!$A$1="BL","-",IF(Peak!W174&gt;Peak!$G174,Q$8*Peak!$AM$11,0))</f>
        <v>-</v>
      </c>
      <c r="R173" s="177" t="str">
        <f>IF('Peak Revenue'!$A$1="BL","-",IF(Peak!X174&gt;Peak!$G174,R$8*Peak!$AM$11,0))</f>
        <v>-</v>
      </c>
      <c r="S173" s="177" t="str">
        <f>IF('Peak Revenue'!$A$1="BL","-",IF(Peak!Y174&gt;Peak!$G174,S$8*Peak!$AM$11,0))</f>
        <v>-</v>
      </c>
      <c r="T173" s="177" t="str">
        <f>IF('Peak Revenue'!$A$1="BL","-",IF(Peak!Z174&gt;Peak!$G174,T$8*Peak!$AM$11,0))</f>
        <v>-</v>
      </c>
      <c r="U173" s="177" t="str">
        <f>IF('Peak Revenue'!$A$1="BL","-",IF(Peak!AA174&gt;Peak!$G174,U$8*Peak!$AM$11,0))</f>
        <v>-</v>
      </c>
      <c r="V173" s="178">
        <f t="shared" si="4"/>
        <v>0</v>
      </c>
      <c r="W173" s="165"/>
    </row>
    <row r="174" spans="1:23" x14ac:dyDescent="0.2">
      <c r="A174" s="1">
        <f t="shared" si="5"/>
        <v>41528.38800000021</v>
      </c>
      <c r="B174" s="176" t="str">
        <f>IF('Peak Revenue'!$A$1="BL","-",IF(Peak!H175&gt;Peak!$G175,B$8*Peak!$AM$11,0))</f>
        <v>-</v>
      </c>
      <c r="C174" s="177" t="str">
        <f>IF('Peak Revenue'!$A$1="BL","-",IF(Peak!I175&gt;Peak!$G175,C$8*Peak!$AM$11,0))</f>
        <v>-</v>
      </c>
      <c r="D174" s="177" t="str">
        <f>IF('Peak Revenue'!$A$1="BL","-",IF(Peak!J175&gt;Peak!$G175,D$8*Peak!$AM$11,0))</f>
        <v>-</v>
      </c>
      <c r="E174" s="177" t="str">
        <f>IF('Peak Revenue'!$A$1="BL","-",IF(Peak!K175&gt;Peak!$G175,E$8*Peak!$AM$11,0))</f>
        <v>-</v>
      </c>
      <c r="F174" s="177" t="str">
        <f>IF('Peak Revenue'!$A$1="BL","-",IF(Peak!L175&gt;Peak!$G175,F$8*Peak!$AM$11,0))</f>
        <v>-</v>
      </c>
      <c r="G174" s="177" t="str">
        <f>IF('Peak Revenue'!$A$1="BL","-",IF(Peak!M175&gt;Peak!$G175,G$8*Peak!$AM$11,0))</f>
        <v>-</v>
      </c>
      <c r="H174" s="177" t="str">
        <f>IF('Peak Revenue'!$A$1="BL","-",IF(Peak!N175&gt;Peak!$G175,H$8*Peak!$AM$11,0))</f>
        <v>-</v>
      </c>
      <c r="I174" s="177" t="str">
        <f>IF('Peak Revenue'!$A$1="BL","-",IF(Peak!O175&gt;Peak!$G175,I$8*Peak!$AM$11,0))</f>
        <v>-</v>
      </c>
      <c r="J174" s="177" t="str">
        <f>IF('Peak Revenue'!$A$1="BL","-",IF(Peak!P175&gt;Peak!$G175,J$8*Peak!$AM$11,0))</f>
        <v>-</v>
      </c>
      <c r="K174" s="177" t="str">
        <f>IF('Peak Revenue'!$A$1="BL","-",IF(Peak!Q175&gt;Peak!$G175,K$8*Peak!$AM$11,0))</f>
        <v>-</v>
      </c>
      <c r="L174" s="177" t="str">
        <f>IF('Peak Revenue'!$A$1="BL","-",IF(Peak!R175&gt;Peak!$G175,L$8*Peak!$AM$11,0))</f>
        <v>-</v>
      </c>
      <c r="M174" s="177" t="str">
        <f>IF('Peak Revenue'!$A$1="BL","-",IF(Peak!S175&gt;Peak!$G175,M$8*Peak!$AM$11,0))</f>
        <v>-</v>
      </c>
      <c r="N174" s="177" t="str">
        <f>IF('Peak Revenue'!$A$1="BL","-",IF(Peak!T175&gt;Peak!$G175,N$8*Peak!$AM$11,0))</f>
        <v>-</v>
      </c>
      <c r="O174" s="177" t="str">
        <f>IF('Peak Revenue'!$A$1="BL","-",IF(Peak!U175&gt;Peak!$G175,O$8*Peak!$AM$11,0))</f>
        <v>-</v>
      </c>
      <c r="P174" s="177" t="str">
        <f>IF('Peak Revenue'!$A$1="BL","-",IF(Peak!V175&gt;Peak!$G175,P$8*Peak!$AM$11,0))</f>
        <v>-</v>
      </c>
      <c r="Q174" s="177" t="str">
        <f>IF('Peak Revenue'!$A$1="BL","-",IF(Peak!W175&gt;Peak!$G175,Q$8*Peak!$AM$11,0))</f>
        <v>-</v>
      </c>
      <c r="R174" s="177" t="str">
        <f>IF('Peak Revenue'!$A$1="BL","-",IF(Peak!X175&gt;Peak!$G175,R$8*Peak!$AM$11,0))</f>
        <v>-</v>
      </c>
      <c r="S174" s="177" t="str">
        <f>IF('Peak Revenue'!$A$1="BL","-",IF(Peak!Y175&gt;Peak!$G175,S$8*Peak!$AM$11,0))</f>
        <v>-</v>
      </c>
      <c r="T174" s="177" t="str">
        <f>IF('Peak Revenue'!$A$1="BL","-",IF(Peak!Z175&gt;Peak!$G175,T$8*Peak!$AM$11,0))</f>
        <v>-</v>
      </c>
      <c r="U174" s="177" t="str">
        <f>IF('Peak Revenue'!$A$1="BL","-",IF(Peak!AA175&gt;Peak!$G175,U$8*Peak!$AM$11,0))</f>
        <v>-</v>
      </c>
      <c r="V174" s="178">
        <f t="shared" si="4"/>
        <v>0</v>
      </c>
      <c r="W174" s="165"/>
    </row>
    <row r="175" spans="1:23" x14ac:dyDescent="0.2">
      <c r="A175" s="1">
        <f t="shared" si="5"/>
        <v>41558.805000000211</v>
      </c>
      <c r="B175" s="176" t="str">
        <f>IF('Peak Revenue'!$A$1="BL","-",IF(Peak!H176&gt;Peak!$G176,B$8*Peak!$AM$11,0))</f>
        <v>-</v>
      </c>
      <c r="C175" s="177" t="str">
        <f>IF('Peak Revenue'!$A$1="BL","-",IF(Peak!I176&gt;Peak!$G176,C$8*Peak!$AM$11,0))</f>
        <v>-</v>
      </c>
      <c r="D175" s="177" t="str">
        <f>IF('Peak Revenue'!$A$1="BL","-",IF(Peak!J176&gt;Peak!$G176,D$8*Peak!$AM$11,0))</f>
        <v>-</v>
      </c>
      <c r="E175" s="177" t="str">
        <f>IF('Peak Revenue'!$A$1="BL","-",IF(Peak!K176&gt;Peak!$G176,E$8*Peak!$AM$11,0))</f>
        <v>-</v>
      </c>
      <c r="F175" s="177" t="str">
        <f>IF('Peak Revenue'!$A$1="BL","-",IF(Peak!L176&gt;Peak!$G176,F$8*Peak!$AM$11,0))</f>
        <v>-</v>
      </c>
      <c r="G175" s="177" t="str">
        <f>IF('Peak Revenue'!$A$1="BL","-",IF(Peak!M176&gt;Peak!$G176,G$8*Peak!$AM$11,0))</f>
        <v>-</v>
      </c>
      <c r="H175" s="177" t="str">
        <f>IF('Peak Revenue'!$A$1="BL","-",IF(Peak!N176&gt;Peak!$G176,H$8*Peak!$AM$11,0))</f>
        <v>-</v>
      </c>
      <c r="I175" s="177" t="str">
        <f>IF('Peak Revenue'!$A$1="BL","-",IF(Peak!O176&gt;Peak!$G176,I$8*Peak!$AM$11,0))</f>
        <v>-</v>
      </c>
      <c r="J175" s="177" t="str">
        <f>IF('Peak Revenue'!$A$1="BL","-",IF(Peak!P176&gt;Peak!$G176,J$8*Peak!$AM$11,0))</f>
        <v>-</v>
      </c>
      <c r="K175" s="177" t="str">
        <f>IF('Peak Revenue'!$A$1="BL","-",IF(Peak!Q176&gt;Peak!$G176,K$8*Peak!$AM$11,0))</f>
        <v>-</v>
      </c>
      <c r="L175" s="177" t="str">
        <f>IF('Peak Revenue'!$A$1="BL","-",IF(Peak!R176&gt;Peak!$G176,L$8*Peak!$AM$11,0))</f>
        <v>-</v>
      </c>
      <c r="M175" s="177" t="str">
        <f>IF('Peak Revenue'!$A$1="BL","-",IF(Peak!S176&gt;Peak!$G176,M$8*Peak!$AM$11,0))</f>
        <v>-</v>
      </c>
      <c r="N175" s="177" t="str">
        <f>IF('Peak Revenue'!$A$1="BL","-",IF(Peak!T176&gt;Peak!$G176,N$8*Peak!$AM$11,0))</f>
        <v>-</v>
      </c>
      <c r="O175" s="177" t="str">
        <f>IF('Peak Revenue'!$A$1="BL","-",IF(Peak!U176&gt;Peak!$G176,O$8*Peak!$AM$11,0))</f>
        <v>-</v>
      </c>
      <c r="P175" s="177" t="str">
        <f>IF('Peak Revenue'!$A$1="BL","-",IF(Peak!V176&gt;Peak!$G176,P$8*Peak!$AM$11,0))</f>
        <v>-</v>
      </c>
      <c r="Q175" s="177" t="str">
        <f>IF('Peak Revenue'!$A$1="BL","-",IF(Peak!W176&gt;Peak!$G176,Q$8*Peak!$AM$11,0))</f>
        <v>-</v>
      </c>
      <c r="R175" s="177" t="str">
        <f>IF('Peak Revenue'!$A$1="BL","-",IF(Peak!X176&gt;Peak!$G176,R$8*Peak!$AM$11,0))</f>
        <v>-</v>
      </c>
      <c r="S175" s="177" t="str">
        <f>IF('Peak Revenue'!$A$1="BL","-",IF(Peak!Y176&gt;Peak!$G176,S$8*Peak!$AM$11,0))</f>
        <v>-</v>
      </c>
      <c r="T175" s="177" t="str">
        <f>IF('Peak Revenue'!$A$1="BL","-",IF(Peak!Z176&gt;Peak!$G176,T$8*Peak!$AM$11,0))</f>
        <v>-</v>
      </c>
      <c r="U175" s="177" t="str">
        <f>IF('Peak Revenue'!$A$1="BL","-",IF(Peak!AA176&gt;Peak!$G176,U$8*Peak!$AM$11,0))</f>
        <v>-</v>
      </c>
      <c r="V175" s="178">
        <f t="shared" si="4"/>
        <v>0</v>
      </c>
      <c r="W175" s="165"/>
    </row>
    <row r="176" spans="1:23" x14ac:dyDescent="0.2">
      <c r="A176" s="1">
        <f t="shared" si="5"/>
        <v>41589.222000000213</v>
      </c>
      <c r="B176" s="176" t="str">
        <f>IF('Peak Revenue'!$A$1="BL","-",IF(Peak!H177&gt;Peak!$G177,B$8*Peak!$AM$11,0))</f>
        <v>-</v>
      </c>
      <c r="C176" s="177" t="str">
        <f>IF('Peak Revenue'!$A$1="BL","-",IF(Peak!I177&gt;Peak!$G177,C$8*Peak!$AM$11,0))</f>
        <v>-</v>
      </c>
      <c r="D176" s="177" t="str">
        <f>IF('Peak Revenue'!$A$1="BL","-",IF(Peak!J177&gt;Peak!$G177,D$8*Peak!$AM$11,0))</f>
        <v>-</v>
      </c>
      <c r="E176" s="177" t="str">
        <f>IF('Peak Revenue'!$A$1="BL","-",IF(Peak!K177&gt;Peak!$G177,E$8*Peak!$AM$11,0))</f>
        <v>-</v>
      </c>
      <c r="F176" s="177" t="str">
        <f>IF('Peak Revenue'!$A$1="BL","-",IF(Peak!L177&gt;Peak!$G177,F$8*Peak!$AM$11,0))</f>
        <v>-</v>
      </c>
      <c r="G176" s="177" t="str">
        <f>IF('Peak Revenue'!$A$1="BL","-",IF(Peak!M177&gt;Peak!$G177,G$8*Peak!$AM$11,0))</f>
        <v>-</v>
      </c>
      <c r="H176" s="177" t="str">
        <f>IF('Peak Revenue'!$A$1="BL","-",IF(Peak!N177&gt;Peak!$G177,H$8*Peak!$AM$11,0))</f>
        <v>-</v>
      </c>
      <c r="I176" s="177" t="str">
        <f>IF('Peak Revenue'!$A$1="BL","-",IF(Peak!O177&gt;Peak!$G177,I$8*Peak!$AM$11,0))</f>
        <v>-</v>
      </c>
      <c r="J176" s="177" t="str">
        <f>IF('Peak Revenue'!$A$1="BL","-",IF(Peak!P177&gt;Peak!$G177,J$8*Peak!$AM$11,0))</f>
        <v>-</v>
      </c>
      <c r="K176" s="177" t="str">
        <f>IF('Peak Revenue'!$A$1="BL","-",IF(Peak!Q177&gt;Peak!$G177,K$8*Peak!$AM$11,0))</f>
        <v>-</v>
      </c>
      <c r="L176" s="177" t="str">
        <f>IF('Peak Revenue'!$A$1="BL","-",IF(Peak!R177&gt;Peak!$G177,L$8*Peak!$AM$11,0))</f>
        <v>-</v>
      </c>
      <c r="M176" s="177" t="str">
        <f>IF('Peak Revenue'!$A$1="BL","-",IF(Peak!S177&gt;Peak!$G177,M$8*Peak!$AM$11,0))</f>
        <v>-</v>
      </c>
      <c r="N176" s="177" t="str">
        <f>IF('Peak Revenue'!$A$1="BL","-",IF(Peak!T177&gt;Peak!$G177,N$8*Peak!$AM$11,0))</f>
        <v>-</v>
      </c>
      <c r="O176" s="177" t="str">
        <f>IF('Peak Revenue'!$A$1="BL","-",IF(Peak!U177&gt;Peak!$G177,O$8*Peak!$AM$11,0))</f>
        <v>-</v>
      </c>
      <c r="P176" s="177" t="str">
        <f>IF('Peak Revenue'!$A$1="BL","-",IF(Peak!V177&gt;Peak!$G177,P$8*Peak!$AM$11,0))</f>
        <v>-</v>
      </c>
      <c r="Q176" s="177" t="str">
        <f>IF('Peak Revenue'!$A$1="BL","-",IF(Peak!W177&gt;Peak!$G177,Q$8*Peak!$AM$11,0))</f>
        <v>-</v>
      </c>
      <c r="R176" s="177" t="str">
        <f>IF('Peak Revenue'!$A$1="BL","-",IF(Peak!X177&gt;Peak!$G177,R$8*Peak!$AM$11,0))</f>
        <v>-</v>
      </c>
      <c r="S176" s="177" t="str">
        <f>IF('Peak Revenue'!$A$1="BL","-",IF(Peak!Y177&gt;Peak!$G177,S$8*Peak!$AM$11,0))</f>
        <v>-</v>
      </c>
      <c r="T176" s="177" t="str">
        <f>IF('Peak Revenue'!$A$1="BL","-",IF(Peak!Z177&gt;Peak!$G177,T$8*Peak!$AM$11,0))</f>
        <v>-</v>
      </c>
      <c r="U176" s="177" t="str">
        <f>IF('Peak Revenue'!$A$1="BL","-",IF(Peak!AA177&gt;Peak!$G177,U$8*Peak!$AM$11,0))</f>
        <v>-</v>
      </c>
      <c r="V176" s="178">
        <f t="shared" si="4"/>
        <v>0</v>
      </c>
      <c r="W176" s="165"/>
    </row>
    <row r="177" spans="1:23" x14ac:dyDescent="0.2">
      <c r="A177" s="1">
        <f t="shared" si="5"/>
        <v>41619.639000000214</v>
      </c>
      <c r="B177" s="176" t="str">
        <f>IF('Peak Revenue'!$A$1="BL","-",IF(Peak!H178&gt;Peak!$G178,B$8*Peak!$AM$11,0))</f>
        <v>-</v>
      </c>
      <c r="C177" s="177" t="str">
        <f>IF('Peak Revenue'!$A$1="BL","-",IF(Peak!I178&gt;Peak!$G178,C$8*Peak!$AM$11,0))</f>
        <v>-</v>
      </c>
      <c r="D177" s="177" t="str">
        <f>IF('Peak Revenue'!$A$1="BL","-",IF(Peak!J178&gt;Peak!$G178,D$8*Peak!$AM$11,0))</f>
        <v>-</v>
      </c>
      <c r="E177" s="177" t="str">
        <f>IF('Peak Revenue'!$A$1="BL","-",IF(Peak!K178&gt;Peak!$G178,E$8*Peak!$AM$11,0))</f>
        <v>-</v>
      </c>
      <c r="F177" s="177" t="str">
        <f>IF('Peak Revenue'!$A$1="BL","-",IF(Peak!L178&gt;Peak!$G178,F$8*Peak!$AM$11,0))</f>
        <v>-</v>
      </c>
      <c r="G177" s="177" t="str">
        <f>IF('Peak Revenue'!$A$1="BL","-",IF(Peak!M178&gt;Peak!$G178,G$8*Peak!$AM$11,0))</f>
        <v>-</v>
      </c>
      <c r="H177" s="177" t="str">
        <f>IF('Peak Revenue'!$A$1="BL","-",IF(Peak!N178&gt;Peak!$G178,H$8*Peak!$AM$11,0))</f>
        <v>-</v>
      </c>
      <c r="I177" s="177" t="str">
        <f>IF('Peak Revenue'!$A$1="BL","-",IF(Peak!O178&gt;Peak!$G178,I$8*Peak!$AM$11,0))</f>
        <v>-</v>
      </c>
      <c r="J177" s="177" t="str">
        <f>IF('Peak Revenue'!$A$1="BL","-",IF(Peak!P178&gt;Peak!$G178,J$8*Peak!$AM$11,0))</f>
        <v>-</v>
      </c>
      <c r="K177" s="177" t="str">
        <f>IF('Peak Revenue'!$A$1="BL","-",IF(Peak!Q178&gt;Peak!$G178,K$8*Peak!$AM$11,0))</f>
        <v>-</v>
      </c>
      <c r="L177" s="177" t="str">
        <f>IF('Peak Revenue'!$A$1="BL","-",IF(Peak!R178&gt;Peak!$G178,L$8*Peak!$AM$11,0))</f>
        <v>-</v>
      </c>
      <c r="M177" s="177" t="str">
        <f>IF('Peak Revenue'!$A$1="BL","-",IF(Peak!S178&gt;Peak!$G178,M$8*Peak!$AM$11,0))</f>
        <v>-</v>
      </c>
      <c r="N177" s="177" t="str">
        <f>IF('Peak Revenue'!$A$1="BL","-",IF(Peak!T178&gt;Peak!$G178,N$8*Peak!$AM$11,0))</f>
        <v>-</v>
      </c>
      <c r="O177" s="177" t="str">
        <f>IF('Peak Revenue'!$A$1="BL","-",IF(Peak!U178&gt;Peak!$G178,O$8*Peak!$AM$11,0))</f>
        <v>-</v>
      </c>
      <c r="P177" s="177" t="str">
        <f>IF('Peak Revenue'!$A$1="BL","-",IF(Peak!V178&gt;Peak!$G178,P$8*Peak!$AM$11,0))</f>
        <v>-</v>
      </c>
      <c r="Q177" s="177" t="str">
        <f>IF('Peak Revenue'!$A$1="BL","-",IF(Peak!W178&gt;Peak!$G178,Q$8*Peak!$AM$11,0))</f>
        <v>-</v>
      </c>
      <c r="R177" s="177" t="str">
        <f>IF('Peak Revenue'!$A$1="BL","-",IF(Peak!X178&gt;Peak!$G178,R$8*Peak!$AM$11,0))</f>
        <v>-</v>
      </c>
      <c r="S177" s="177" t="str">
        <f>IF('Peak Revenue'!$A$1="BL","-",IF(Peak!Y178&gt;Peak!$G178,S$8*Peak!$AM$11,0))</f>
        <v>-</v>
      </c>
      <c r="T177" s="177" t="str">
        <f>IF('Peak Revenue'!$A$1="BL","-",IF(Peak!Z178&gt;Peak!$G178,T$8*Peak!$AM$11,0))</f>
        <v>-</v>
      </c>
      <c r="U177" s="177" t="str">
        <f>IF('Peak Revenue'!$A$1="BL","-",IF(Peak!AA178&gt;Peak!$G178,U$8*Peak!$AM$11,0))</f>
        <v>-</v>
      </c>
      <c r="V177" s="178">
        <f t="shared" si="4"/>
        <v>0</v>
      </c>
      <c r="W177" s="164">
        <f>SUM(V166:V177)</f>
        <v>0</v>
      </c>
    </row>
    <row r="178" spans="1:23" x14ac:dyDescent="0.2">
      <c r="A178" s="1">
        <f t="shared" si="5"/>
        <v>41650.056000000215</v>
      </c>
      <c r="B178" s="176" t="str">
        <f>IF('Peak Revenue'!$A$1="BL","-",IF(Peak!H179&gt;Peak!$G179,B$8*Peak!$AM$11,0))</f>
        <v>-</v>
      </c>
      <c r="C178" s="177" t="str">
        <f>IF('Peak Revenue'!$A$1="BL","-",IF(Peak!I179&gt;Peak!$G179,C$8*Peak!$AM$11,0))</f>
        <v>-</v>
      </c>
      <c r="D178" s="177" t="str">
        <f>IF('Peak Revenue'!$A$1="BL","-",IF(Peak!J179&gt;Peak!$G179,D$8*Peak!$AM$11,0))</f>
        <v>-</v>
      </c>
      <c r="E178" s="177" t="str">
        <f>IF('Peak Revenue'!$A$1="BL","-",IF(Peak!K179&gt;Peak!$G179,E$8*Peak!$AM$11,0))</f>
        <v>-</v>
      </c>
      <c r="F178" s="177" t="str">
        <f>IF('Peak Revenue'!$A$1="BL","-",IF(Peak!L179&gt;Peak!$G179,F$8*Peak!$AM$11,0))</f>
        <v>-</v>
      </c>
      <c r="G178" s="177" t="str">
        <f>IF('Peak Revenue'!$A$1="BL","-",IF(Peak!M179&gt;Peak!$G179,G$8*Peak!$AM$11,0))</f>
        <v>-</v>
      </c>
      <c r="H178" s="177" t="str">
        <f>IF('Peak Revenue'!$A$1="BL","-",IF(Peak!N179&gt;Peak!$G179,H$8*Peak!$AM$11,0))</f>
        <v>-</v>
      </c>
      <c r="I178" s="177" t="str">
        <f>IF('Peak Revenue'!$A$1="BL","-",IF(Peak!O179&gt;Peak!$G179,I$8*Peak!$AM$11,0))</f>
        <v>-</v>
      </c>
      <c r="J178" s="177" t="str">
        <f>IF('Peak Revenue'!$A$1="BL","-",IF(Peak!P179&gt;Peak!$G179,J$8*Peak!$AM$11,0))</f>
        <v>-</v>
      </c>
      <c r="K178" s="177" t="str">
        <f>IF('Peak Revenue'!$A$1="BL","-",IF(Peak!Q179&gt;Peak!$G179,K$8*Peak!$AM$11,0))</f>
        <v>-</v>
      </c>
      <c r="L178" s="177" t="str">
        <f>IF('Peak Revenue'!$A$1="BL","-",IF(Peak!R179&gt;Peak!$G179,L$8*Peak!$AM$11,0))</f>
        <v>-</v>
      </c>
      <c r="M178" s="177" t="str">
        <f>IF('Peak Revenue'!$A$1="BL","-",IF(Peak!S179&gt;Peak!$G179,M$8*Peak!$AM$11,0))</f>
        <v>-</v>
      </c>
      <c r="N178" s="177" t="str">
        <f>IF('Peak Revenue'!$A$1="BL","-",IF(Peak!T179&gt;Peak!$G179,N$8*Peak!$AM$11,0))</f>
        <v>-</v>
      </c>
      <c r="O178" s="177" t="str">
        <f>IF('Peak Revenue'!$A$1="BL","-",IF(Peak!U179&gt;Peak!$G179,O$8*Peak!$AM$11,0))</f>
        <v>-</v>
      </c>
      <c r="P178" s="177" t="str">
        <f>IF('Peak Revenue'!$A$1="BL","-",IF(Peak!V179&gt;Peak!$G179,P$8*Peak!$AM$11,0))</f>
        <v>-</v>
      </c>
      <c r="Q178" s="177" t="str">
        <f>IF('Peak Revenue'!$A$1="BL","-",IF(Peak!W179&gt;Peak!$G179,Q$8*Peak!$AM$11,0))</f>
        <v>-</v>
      </c>
      <c r="R178" s="177" t="str">
        <f>IF('Peak Revenue'!$A$1="BL","-",IF(Peak!X179&gt;Peak!$G179,R$8*Peak!$AM$11,0))</f>
        <v>-</v>
      </c>
      <c r="S178" s="177" t="str">
        <f>IF('Peak Revenue'!$A$1="BL","-",IF(Peak!Y179&gt;Peak!$G179,S$8*Peak!$AM$11,0))</f>
        <v>-</v>
      </c>
      <c r="T178" s="177" t="str">
        <f>IF('Peak Revenue'!$A$1="BL","-",IF(Peak!Z179&gt;Peak!$G179,T$8*Peak!$AM$11,0))</f>
        <v>-</v>
      </c>
      <c r="U178" s="177" t="str">
        <f>IF('Peak Revenue'!$A$1="BL","-",IF(Peak!AA179&gt;Peak!$G179,U$8*Peak!$AM$11,0))</f>
        <v>-</v>
      </c>
      <c r="V178" s="178">
        <f t="shared" si="4"/>
        <v>0</v>
      </c>
      <c r="W178" s="165"/>
    </row>
    <row r="179" spans="1:23" x14ac:dyDescent="0.2">
      <c r="A179" s="1">
        <f t="shared" si="5"/>
        <v>41680.473000000216</v>
      </c>
      <c r="B179" s="176" t="str">
        <f>IF('Peak Revenue'!$A$1="BL","-",IF(Peak!H180&gt;Peak!$G180,B$8*Peak!$AM$11,0))</f>
        <v>-</v>
      </c>
      <c r="C179" s="177" t="str">
        <f>IF('Peak Revenue'!$A$1="BL","-",IF(Peak!I180&gt;Peak!$G180,C$8*Peak!$AM$11,0))</f>
        <v>-</v>
      </c>
      <c r="D179" s="177" t="str">
        <f>IF('Peak Revenue'!$A$1="BL","-",IF(Peak!J180&gt;Peak!$G180,D$8*Peak!$AM$11,0))</f>
        <v>-</v>
      </c>
      <c r="E179" s="177" t="str">
        <f>IF('Peak Revenue'!$A$1="BL","-",IF(Peak!K180&gt;Peak!$G180,E$8*Peak!$AM$11,0))</f>
        <v>-</v>
      </c>
      <c r="F179" s="177" t="str">
        <f>IF('Peak Revenue'!$A$1="BL","-",IF(Peak!L180&gt;Peak!$G180,F$8*Peak!$AM$11,0))</f>
        <v>-</v>
      </c>
      <c r="G179" s="177" t="str">
        <f>IF('Peak Revenue'!$A$1="BL","-",IF(Peak!M180&gt;Peak!$G180,G$8*Peak!$AM$11,0))</f>
        <v>-</v>
      </c>
      <c r="H179" s="177" t="str">
        <f>IF('Peak Revenue'!$A$1="BL","-",IF(Peak!N180&gt;Peak!$G180,H$8*Peak!$AM$11,0))</f>
        <v>-</v>
      </c>
      <c r="I179" s="177" t="str">
        <f>IF('Peak Revenue'!$A$1="BL","-",IF(Peak!O180&gt;Peak!$G180,I$8*Peak!$AM$11,0))</f>
        <v>-</v>
      </c>
      <c r="J179" s="177" t="str">
        <f>IF('Peak Revenue'!$A$1="BL","-",IF(Peak!P180&gt;Peak!$G180,J$8*Peak!$AM$11,0))</f>
        <v>-</v>
      </c>
      <c r="K179" s="177" t="str">
        <f>IF('Peak Revenue'!$A$1="BL","-",IF(Peak!Q180&gt;Peak!$G180,K$8*Peak!$AM$11,0))</f>
        <v>-</v>
      </c>
      <c r="L179" s="177" t="str">
        <f>IF('Peak Revenue'!$A$1="BL","-",IF(Peak!R180&gt;Peak!$G180,L$8*Peak!$AM$11,0))</f>
        <v>-</v>
      </c>
      <c r="M179" s="177" t="str">
        <f>IF('Peak Revenue'!$A$1="BL","-",IF(Peak!S180&gt;Peak!$G180,M$8*Peak!$AM$11,0))</f>
        <v>-</v>
      </c>
      <c r="N179" s="177" t="str">
        <f>IF('Peak Revenue'!$A$1="BL","-",IF(Peak!T180&gt;Peak!$G180,N$8*Peak!$AM$11,0))</f>
        <v>-</v>
      </c>
      <c r="O179" s="177" t="str">
        <f>IF('Peak Revenue'!$A$1="BL","-",IF(Peak!U180&gt;Peak!$G180,O$8*Peak!$AM$11,0))</f>
        <v>-</v>
      </c>
      <c r="P179" s="177" t="str">
        <f>IF('Peak Revenue'!$A$1="BL","-",IF(Peak!V180&gt;Peak!$G180,P$8*Peak!$AM$11,0))</f>
        <v>-</v>
      </c>
      <c r="Q179" s="177" t="str">
        <f>IF('Peak Revenue'!$A$1="BL","-",IF(Peak!W180&gt;Peak!$G180,Q$8*Peak!$AM$11,0))</f>
        <v>-</v>
      </c>
      <c r="R179" s="177" t="str">
        <f>IF('Peak Revenue'!$A$1="BL","-",IF(Peak!X180&gt;Peak!$G180,R$8*Peak!$AM$11,0))</f>
        <v>-</v>
      </c>
      <c r="S179" s="177" t="str">
        <f>IF('Peak Revenue'!$A$1="BL","-",IF(Peak!Y180&gt;Peak!$G180,S$8*Peak!$AM$11,0))</f>
        <v>-</v>
      </c>
      <c r="T179" s="177" t="str">
        <f>IF('Peak Revenue'!$A$1="BL","-",IF(Peak!Z180&gt;Peak!$G180,T$8*Peak!$AM$11,0))</f>
        <v>-</v>
      </c>
      <c r="U179" s="177" t="str">
        <f>IF('Peak Revenue'!$A$1="BL","-",IF(Peak!AA180&gt;Peak!$G180,U$8*Peak!$AM$11,0))</f>
        <v>-</v>
      </c>
      <c r="V179" s="178">
        <f t="shared" si="4"/>
        <v>0</v>
      </c>
      <c r="W179" s="165"/>
    </row>
    <row r="180" spans="1:23" x14ac:dyDescent="0.2">
      <c r="A180" s="1">
        <f t="shared" si="5"/>
        <v>41710.890000000218</v>
      </c>
      <c r="B180" s="176" t="str">
        <f>IF('Peak Revenue'!$A$1="BL","-",IF(Peak!H181&gt;Peak!$G181,B$8*Peak!$AM$11,0))</f>
        <v>-</v>
      </c>
      <c r="C180" s="177" t="str">
        <f>IF('Peak Revenue'!$A$1="BL","-",IF(Peak!I181&gt;Peak!$G181,C$8*Peak!$AM$11,0))</f>
        <v>-</v>
      </c>
      <c r="D180" s="177" t="str">
        <f>IF('Peak Revenue'!$A$1="BL","-",IF(Peak!J181&gt;Peak!$G181,D$8*Peak!$AM$11,0))</f>
        <v>-</v>
      </c>
      <c r="E180" s="177" t="str">
        <f>IF('Peak Revenue'!$A$1="BL","-",IF(Peak!K181&gt;Peak!$G181,E$8*Peak!$AM$11,0))</f>
        <v>-</v>
      </c>
      <c r="F180" s="177" t="str">
        <f>IF('Peak Revenue'!$A$1="BL","-",IF(Peak!L181&gt;Peak!$G181,F$8*Peak!$AM$11,0))</f>
        <v>-</v>
      </c>
      <c r="G180" s="177" t="str">
        <f>IF('Peak Revenue'!$A$1="BL","-",IF(Peak!M181&gt;Peak!$G181,G$8*Peak!$AM$11,0))</f>
        <v>-</v>
      </c>
      <c r="H180" s="177" t="str">
        <f>IF('Peak Revenue'!$A$1="BL","-",IF(Peak!N181&gt;Peak!$G181,H$8*Peak!$AM$11,0))</f>
        <v>-</v>
      </c>
      <c r="I180" s="177" t="str">
        <f>IF('Peak Revenue'!$A$1="BL","-",IF(Peak!O181&gt;Peak!$G181,I$8*Peak!$AM$11,0))</f>
        <v>-</v>
      </c>
      <c r="J180" s="177" t="str">
        <f>IF('Peak Revenue'!$A$1="BL","-",IF(Peak!P181&gt;Peak!$G181,J$8*Peak!$AM$11,0))</f>
        <v>-</v>
      </c>
      <c r="K180" s="177" t="str">
        <f>IF('Peak Revenue'!$A$1="BL","-",IF(Peak!Q181&gt;Peak!$G181,K$8*Peak!$AM$11,0))</f>
        <v>-</v>
      </c>
      <c r="L180" s="177" t="str">
        <f>IF('Peak Revenue'!$A$1="BL","-",IF(Peak!R181&gt;Peak!$G181,L$8*Peak!$AM$11,0))</f>
        <v>-</v>
      </c>
      <c r="M180" s="177" t="str">
        <f>IF('Peak Revenue'!$A$1="BL","-",IF(Peak!S181&gt;Peak!$G181,M$8*Peak!$AM$11,0))</f>
        <v>-</v>
      </c>
      <c r="N180" s="177" t="str">
        <f>IF('Peak Revenue'!$A$1="BL","-",IF(Peak!T181&gt;Peak!$G181,N$8*Peak!$AM$11,0))</f>
        <v>-</v>
      </c>
      <c r="O180" s="177" t="str">
        <f>IF('Peak Revenue'!$A$1="BL","-",IF(Peak!U181&gt;Peak!$G181,O$8*Peak!$AM$11,0))</f>
        <v>-</v>
      </c>
      <c r="P180" s="177" t="str">
        <f>IF('Peak Revenue'!$A$1="BL","-",IF(Peak!V181&gt;Peak!$G181,P$8*Peak!$AM$11,0))</f>
        <v>-</v>
      </c>
      <c r="Q180" s="177" t="str">
        <f>IF('Peak Revenue'!$A$1="BL","-",IF(Peak!W181&gt;Peak!$G181,Q$8*Peak!$AM$11,0))</f>
        <v>-</v>
      </c>
      <c r="R180" s="177" t="str">
        <f>IF('Peak Revenue'!$A$1="BL","-",IF(Peak!X181&gt;Peak!$G181,R$8*Peak!$AM$11,0))</f>
        <v>-</v>
      </c>
      <c r="S180" s="177" t="str">
        <f>IF('Peak Revenue'!$A$1="BL","-",IF(Peak!Y181&gt;Peak!$G181,S$8*Peak!$AM$11,0))</f>
        <v>-</v>
      </c>
      <c r="T180" s="177" t="str">
        <f>IF('Peak Revenue'!$A$1="BL","-",IF(Peak!Z181&gt;Peak!$G181,T$8*Peak!$AM$11,0))</f>
        <v>-</v>
      </c>
      <c r="U180" s="177" t="str">
        <f>IF('Peak Revenue'!$A$1="BL","-",IF(Peak!AA181&gt;Peak!$G181,U$8*Peak!$AM$11,0))</f>
        <v>-</v>
      </c>
      <c r="V180" s="178">
        <f t="shared" si="4"/>
        <v>0</v>
      </c>
      <c r="W180" s="165"/>
    </row>
    <row r="181" spans="1:23" x14ac:dyDescent="0.2">
      <c r="A181" s="1">
        <f t="shared" si="5"/>
        <v>41741.307000000219</v>
      </c>
      <c r="B181" s="176" t="str">
        <f>IF('Peak Revenue'!$A$1="BL","-",IF(Peak!H182&gt;Peak!$G182,B$8*Peak!$AM$11,0))</f>
        <v>-</v>
      </c>
      <c r="C181" s="177" t="str">
        <f>IF('Peak Revenue'!$A$1="BL","-",IF(Peak!I182&gt;Peak!$G182,C$8*Peak!$AM$11,0))</f>
        <v>-</v>
      </c>
      <c r="D181" s="177" t="str">
        <f>IF('Peak Revenue'!$A$1="BL","-",IF(Peak!J182&gt;Peak!$G182,D$8*Peak!$AM$11,0))</f>
        <v>-</v>
      </c>
      <c r="E181" s="177" t="str">
        <f>IF('Peak Revenue'!$A$1="BL","-",IF(Peak!K182&gt;Peak!$G182,E$8*Peak!$AM$11,0))</f>
        <v>-</v>
      </c>
      <c r="F181" s="177" t="str">
        <f>IF('Peak Revenue'!$A$1="BL","-",IF(Peak!L182&gt;Peak!$G182,F$8*Peak!$AM$11,0))</f>
        <v>-</v>
      </c>
      <c r="G181" s="177" t="str">
        <f>IF('Peak Revenue'!$A$1="BL","-",IF(Peak!M182&gt;Peak!$G182,G$8*Peak!$AM$11,0))</f>
        <v>-</v>
      </c>
      <c r="H181" s="177" t="str">
        <f>IF('Peak Revenue'!$A$1="BL","-",IF(Peak!N182&gt;Peak!$G182,H$8*Peak!$AM$11,0))</f>
        <v>-</v>
      </c>
      <c r="I181" s="177" t="str">
        <f>IF('Peak Revenue'!$A$1="BL","-",IF(Peak!O182&gt;Peak!$G182,I$8*Peak!$AM$11,0))</f>
        <v>-</v>
      </c>
      <c r="J181" s="177" t="str">
        <f>IF('Peak Revenue'!$A$1="BL","-",IF(Peak!P182&gt;Peak!$G182,J$8*Peak!$AM$11,0))</f>
        <v>-</v>
      </c>
      <c r="K181" s="177" t="str">
        <f>IF('Peak Revenue'!$A$1="BL","-",IF(Peak!Q182&gt;Peak!$G182,K$8*Peak!$AM$11,0))</f>
        <v>-</v>
      </c>
      <c r="L181" s="177" t="str">
        <f>IF('Peak Revenue'!$A$1="BL","-",IF(Peak!R182&gt;Peak!$G182,L$8*Peak!$AM$11,0))</f>
        <v>-</v>
      </c>
      <c r="M181" s="177" t="str">
        <f>IF('Peak Revenue'!$A$1="BL","-",IF(Peak!S182&gt;Peak!$G182,M$8*Peak!$AM$11,0))</f>
        <v>-</v>
      </c>
      <c r="N181" s="177" t="str">
        <f>IF('Peak Revenue'!$A$1="BL","-",IF(Peak!T182&gt;Peak!$G182,N$8*Peak!$AM$11,0))</f>
        <v>-</v>
      </c>
      <c r="O181" s="177" t="str">
        <f>IF('Peak Revenue'!$A$1="BL","-",IF(Peak!U182&gt;Peak!$G182,O$8*Peak!$AM$11,0))</f>
        <v>-</v>
      </c>
      <c r="P181" s="177" t="str">
        <f>IF('Peak Revenue'!$A$1="BL","-",IF(Peak!V182&gt;Peak!$G182,P$8*Peak!$AM$11,0))</f>
        <v>-</v>
      </c>
      <c r="Q181" s="177" t="str">
        <f>IF('Peak Revenue'!$A$1="BL","-",IF(Peak!W182&gt;Peak!$G182,Q$8*Peak!$AM$11,0))</f>
        <v>-</v>
      </c>
      <c r="R181" s="177" t="str">
        <f>IF('Peak Revenue'!$A$1="BL","-",IF(Peak!X182&gt;Peak!$G182,R$8*Peak!$AM$11,0))</f>
        <v>-</v>
      </c>
      <c r="S181" s="177" t="str">
        <f>IF('Peak Revenue'!$A$1="BL","-",IF(Peak!Y182&gt;Peak!$G182,S$8*Peak!$AM$11,0))</f>
        <v>-</v>
      </c>
      <c r="T181" s="177" t="str">
        <f>IF('Peak Revenue'!$A$1="BL","-",IF(Peak!Z182&gt;Peak!$G182,T$8*Peak!$AM$11,0))</f>
        <v>-</v>
      </c>
      <c r="U181" s="177" t="str">
        <f>IF('Peak Revenue'!$A$1="BL","-",IF(Peak!AA182&gt;Peak!$G182,U$8*Peak!$AM$11,0))</f>
        <v>-</v>
      </c>
      <c r="V181" s="178">
        <f t="shared" si="4"/>
        <v>0</v>
      </c>
      <c r="W181" s="165"/>
    </row>
    <row r="182" spans="1:23" x14ac:dyDescent="0.2">
      <c r="A182" s="1">
        <f t="shared" si="5"/>
        <v>41771.72400000022</v>
      </c>
      <c r="B182" s="176" t="str">
        <f>IF('Peak Revenue'!$A$1="BL","-",IF(Peak!H183&gt;Peak!$G183,B$8*Peak!$AM$11,0))</f>
        <v>-</v>
      </c>
      <c r="C182" s="177" t="str">
        <f>IF('Peak Revenue'!$A$1="BL","-",IF(Peak!I183&gt;Peak!$G183,C$8*Peak!$AM$11,0))</f>
        <v>-</v>
      </c>
      <c r="D182" s="177" t="str">
        <f>IF('Peak Revenue'!$A$1="BL","-",IF(Peak!J183&gt;Peak!$G183,D$8*Peak!$AM$11,0))</f>
        <v>-</v>
      </c>
      <c r="E182" s="177" t="str">
        <f>IF('Peak Revenue'!$A$1="BL","-",IF(Peak!K183&gt;Peak!$G183,E$8*Peak!$AM$11,0))</f>
        <v>-</v>
      </c>
      <c r="F182" s="177" t="str">
        <f>IF('Peak Revenue'!$A$1="BL","-",IF(Peak!L183&gt;Peak!$G183,F$8*Peak!$AM$11,0))</f>
        <v>-</v>
      </c>
      <c r="G182" s="177" t="str">
        <f>IF('Peak Revenue'!$A$1="BL","-",IF(Peak!M183&gt;Peak!$G183,G$8*Peak!$AM$11,0))</f>
        <v>-</v>
      </c>
      <c r="H182" s="177" t="str">
        <f>IF('Peak Revenue'!$A$1="BL","-",IF(Peak!N183&gt;Peak!$G183,H$8*Peak!$AM$11,0))</f>
        <v>-</v>
      </c>
      <c r="I182" s="177" t="str">
        <f>IF('Peak Revenue'!$A$1="BL","-",IF(Peak!O183&gt;Peak!$G183,I$8*Peak!$AM$11,0))</f>
        <v>-</v>
      </c>
      <c r="J182" s="177" t="str">
        <f>IF('Peak Revenue'!$A$1="BL","-",IF(Peak!P183&gt;Peak!$G183,J$8*Peak!$AM$11,0))</f>
        <v>-</v>
      </c>
      <c r="K182" s="177" t="str">
        <f>IF('Peak Revenue'!$A$1="BL","-",IF(Peak!Q183&gt;Peak!$G183,K$8*Peak!$AM$11,0))</f>
        <v>-</v>
      </c>
      <c r="L182" s="177" t="str">
        <f>IF('Peak Revenue'!$A$1="BL","-",IF(Peak!R183&gt;Peak!$G183,L$8*Peak!$AM$11,0))</f>
        <v>-</v>
      </c>
      <c r="M182" s="177" t="str">
        <f>IF('Peak Revenue'!$A$1="BL","-",IF(Peak!S183&gt;Peak!$G183,M$8*Peak!$AM$11,0))</f>
        <v>-</v>
      </c>
      <c r="N182" s="177" t="str">
        <f>IF('Peak Revenue'!$A$1="BL","-",IF(Peak!T183&gt;Peak!$G183,N$8*Peak!$AM$11,0))</f>
        <v>-</v>
      </c>
      <c r="O182" s="177" t="str">
        <f>IF('Peak Revenue'!$A$1="BL","-",IF(Peak!U183&gt;Peak!$G183,O$8*Peak!$AM$11,0))</f>
        <v>-</v>
      </c>
      <c r="P182" s="177" t="str">
        <f>IF('Peak Revenue'!$A$1="BL","-",IF(Peak!V183&gt;Peak!$G183,P$8*Peak!$AM$11,0))</f>
        <v>-</v>
      </c>
      <c r="Q182" s="177" t="str">
        <f>IF('Peak Revenue'!$A$1="BL","-",IF(Peak!W183&gt;Peak!$G183,Q$8*Peak!$AM$11,0))</f>
        <v>-</v>
      </c>
      <c r="R182" s="177" t="str">
        <f>IF('Peak Revenue'!$A$1="BL","-",IF(Peak!X183&gt;Peak!$G183,R$8*Peak!$AM$11,0))</f>
        <v>-</v>
      </c>
      <c r="S182" s="177" t="str">
        <f>IF('Peak Revenue'!$A$1="BL","-",IF(Peak!Y183&gt;Peak!$G183,S$8*Peak!$AM$11,0))</f>
        <v>-</v>
      </c>
      <c r="T182" s="177" t="str">
        <f>IF('Peak Revenue'!$A$1="BL","-",IF(Peak!Z183&gt;Peak!$G183,T$8*Peak!$AM$11,0))</f>
        <v>-</v>
      </c>
      <c r="U182" s="177" t="str">
        <f>IF('Peak Revenue'!$A$1="BL","-",IF(Peak!AA183&gt;Peak!$G183,U$8*Peak!$AM$11,0))</f>
        <v>-</v>
      </c>
      <c r="V182" s="178">
        <f t="shared" si="4"/>
        <v>0</v>
      </c>
      <c r="W182" s="165"/>
    </row>
    <row r="183" spans="1:23" x14ac:dyDescent="0.2">
      <c r="A183" s="1">
        <f t="shared" si="5"/>
        <v>41802.141000000222</v>
      </c>
      <c r="B183" s="176" t="str">
        <f>IF('Peak Revenue'!$A$1="BL","-",IF(Peak!H184&gt;Peak!$G184,B$8*Peak!$AM$11,0))</f>
        <v>-</v>
      </c>
      <c r="C183" s="177" t="str">
        <f>IF('Peak Revenue'!$A$1="BL","-",IF(Peak!I184&gt;Peak!$G184,C$8*Peak!$AM$11,0))</f>
        <v>-</v>
      </c>
      <c r="D183" s="177" t="str">
        <f>IF('Peak Revenue'!$A$1="BL","-",IF(Peak!J184&gt;Peak!$G184,D$8*Peak!$AM$11,0))</f>
        <v>-</v>
      </c>
      <c r="E183" s="177" t="str">
        <f>IF('Peak Revenue'!$A$1="BL","-",IF(Peak!K184&gt;Peak!$G184,E$8*Peak!$AM$11,0))</f>
        <v>-</v>
      </c>
      <c r="F183" s="177" t="str">
        <f>IF('Peak Revenue'!$A$1="BL","-",IF(Peak!L184&gt;Peak!$G184,F$8*Peak!$AM$11,0))</f>
        <v>-</v>
      </c>
      <c r="G183" s="177" t="str">
        <f>IF('Peak Revenue'!$A$1="BL","-",IF(Peak!M184&gt;Peak!$G184,G$8*Peak!$AM$11,0))</f>
        <v>-</v>
      </c>
      <c r="H183" s="177" t="str">
        <f>IF('Peak Revenue'!$A$1="BL","-",IF(Peak!N184&gt;Peak!$G184,H$8*Peak!$AM$11,0))</f>
        <v>-</v>
      </c>
      <c r="I183" s="177" t="str">
        <f>IF('Peak Revenue'!$A$1="BL","-",IF(Peak!O184&gt;Peak!$G184,I$8*Peak!$AM$11,0))</f>
        <v>-</v>
      </c>
      <c r="J183" s="177" t="str">
        <f>IF('Peak Revenue'!$A$1="BL","-",IF(Peak!P184&gt;Peak!$G184,J$8*Peak!$AM$11,0))</f>
        <v>-</v>
      </c>
      <c r="K183" s="177" t="str">
        <f>IF('Peak Revenue'!$A$1="BL","-",IF(Peak!Q184&gt;Peak!$G184,K$8*Peak!$AM$11,0))</f>
        <v>-</v>
      </c>
      <c r="L183" s="177" t="str">
        <f>IF('Peak Revenue'!$A$1="BL","-",IF(Peak!R184&gt;Peak!$G184,L$8*Peak!$AM$11,0))</f>
        <v>-</v>
      </c>
      <c r="M183" s="177" t="str">
        <f>IF('Peak Revenue'!$A$1="BL","-",IF(Peak!S184&gt;Peak!$G184,M$8*Peak!$AM$11,0))</f>
        <v>-</v>
      </c>
      <c r="N183" s="177" t="str">
        <f>IF('Peak Revenue'!$A$1="BL","-",IF(Peak!T184&gt;Peak!$G184,N$8*Peak!$AM$11,0))</f>
        <v>-</v>
      </c>
      <c r="O183" s="177" t="str">
        <f>IF('Peak Revenue'!$A$1="BL","-",IF(Peak!U184&gt;Peak!$G184,O$8*Peak!$AM$11,0))</f>
        <v>-</v>
      </c>
      <c r="P183" s="177" t="str">
        <f>IF('Peak Revenue'!$A$1="BL","-",IF(Peak!V184&gt;Peak!$G184,P$8*Peak!$AM$11,0))</f>
        <v>-</v>
      </c>
      <c r="Q183" s="177" t="str">
        <f>IF('Peak Revenue'!$A$1="BL","-",IF(Peak!W184&gt;Peak!$G184,Q$8*Peak!$AM$11,0))</f>
        <v>-</v>
      </c>
      <c r="R183" s="177" t="str">
        <f>IF('Peak Revenue'!$A$1="BL","-",IF(Peak!X184&gt;Peak!$G184,R$8*Peak!$AM$11,0))</f>
        <v>-</v>
      </c>
      <c r="S183" s="177" t="str">
        <f>IF('Peak Revenue'!$A$1="BL","-",IF(Peak!Y184&gt;Peak!$G184,S$8*Peak!$AM$11,0))</f>
        <v>-</v>
      </c>
      <c r="T183" s="177" t="str">
        <f>IF('Peak Revenue'!$A$1="BL","-",IF(Peak!Z184&gt;Peak!$G184,T$8*Peak!$AM$11,0))</f>
        <v>-</v>
      </c>
      <c r="U183" s="177" t="str">
        <f>IF('Peak Revenue'!$A$1="BL","-",IF(Peak!AA184&gt;Peak!$G184,U$8*Peak!$AM$11,0))</f>
        <v>-</v>
      </c>
      <c r="V183" s="178">
        <f t="shared" si="4"/>
        <v>0</v>
      </c>
      <c r="W183" s="165"/>
    </row>
    <row r="184" spans="1:23" x14ac:dyDescent="0.2">
      <c r="A184" s="1">
        <f t="shared" si="5"/>
        <v>41832.558000000223</v>
      </c>
      <c r="B184" s="176" t="str">
        <f>IF('Peak Revenue'!$A$1="BL","-",IF(Peak!H185&gt;Peak!$G185,B$8*Peak!$AM$11,0))</f>
        <v>-</v>
      </c>
      <c r="C184" s="177" t="str">
        <f>IF('Peak Revenue'!$A$1="BL","-",IF(Peak!I185&gt;Peak!$G185,C$8*Peak!$AM$11,0))</f>
        <v>-</v>
      </c>
      <c r="D184" s="177" t="str">
        <f>IF('Peak Revenue'!$A$1="BL","-",IF(Peak!J185&gt;Peak!$G185,D$8*Peak!$AM$11,0))</f>
        <v>-</v>
      </c>
      <c r="E184" s="177" t="str">
        <f>IF('Peak Revenue'!$A$1="BL","-",IF(Peak!K185&gt;Peak!$G185,E$8*Peak!$AM$11,0))</f>
        <v>-</v>
      </c>
      <c r="F184" s="177" t="str">
        <f>IF('Peak Revenue'!$A$1="BL","-",IF(Peak!L185&gt;Peak!$G185,F$8*Peak!$AM$11,0))</f>
        <v>-</v>
      </c>
      <c r="G184" s="177" t="str">
        <f>IF('Peak Revenue'!$A$1="BL","-",IF(Peak!M185&gt;Peak!$G185,G$8*Peak!$AM$11,0))</f>
        <v>-</v>
      </c>
      <c r="H184" s="177" t="str">
        <f>IF('Peak Revenue'!$A$1="BL","-",IF(Peak!N185&gt;Peak!$G185,H$8*Peak!$AM$11,0))</f>
        <v>-</v>
      </c>
      <c r="I184" s="177" t="str">
        <f>IF('Peak Revenue'!$A$1="BL","-",IF(Peak!O185&gt;Peak!$G185,I$8*Peak!$AM$11,0))</f>
        <v>-</v>
      </c>
      <c r="J184" s="177" t="str">
        <f>IF('Peak Revenue'!$A$1="BL","-",IF(Peak!P185&gt;Peak!$G185,J$8*Peak!$AM$11,0))</f>
        <v>-</v>
      </c>
      <c r="K184" s="177" t="str">
        <f>IF('Peak Revenue'!$A$1="BL","-",IF(Peak!Q185&gt;Peak!$G185,K$8*Peak!$AM$11,0))</f>
        <v>-</v>
      </c>
      <c r="L184" s="177" t="str">
        <f>IF('Peak Revenue'!$A$1="BL","-",IF(Peak!R185&gt;Peak!$G185,L$8*Peak!$AM$11,0))</f>
        <v>-</v>
      </c>
      <c r="M184" s="177" t="str">
        <f>IF('Peak Revenue'!$A$1="BL","-",IF(Peak!S185&gt;Peak!$G185,M$8*Peak!$AM$11,0))</f>
        <v>-</v>
      </c>
      <c r="N184" s="177" t="str">
        <f>IF('Peak Revenue'!$A$1="BL","-",IF(Peak!T185&gt;Peak!$G185,N$8*Peak!$AM$11,0))</f>
        <v>-</v>
      </c>
      <c r="O184" s="177" t="str">
        <f>IF('Peak Revenue'!$A$1="BL","-",IF(Peak!U185&gt;Peak!$G185,O$8*Peak!$AM$11,0))</f>
        <v>-</v>
      </c>
      <c r="P184" s="177" t="str">
        <f>IF('Peak Revenue'!$A$1="BL","-",IF(Peak!V185&gt;Peak!$G185,P$8*Peak!$AM$11,0))</f>
        <v>-</v>
      </c>
      <c r="Q184" s="177" t="str">
        <f>IF('Peak Revenue'!$A$1="BL","-",IF(Peak!W185&gt;Peak!$G185,Q$8*Peak!$AM$11,0))</f>
        <v>-</v>
      </c>
      <c r="R184" s="177" t="str">
        <f>IF('Peak Revenue'!$A$1="BL","-",IF(Peak!X185&gt;Peak!$G185,R$8*Peak!$AM$11,0))</f>
        <v>-</v>
      </c>
      <c r="S184" s="177" t="str">
        <f>IF('Peak Revenue'!$A$1="BL","-",IF(Peak!Y185&gt;Peak!$G185,S$8*Peak!$AM$11,0))</f>
        <v>-</v>
      </c>
      <c r="T184" s="177" t="str">
        <f>IF('Peak Revenue'!$A$1="BL","-",IF(Peak!Z185&gt;Peak!$G185,T$8*Peak!$AM$11,0))</f>
        <v>-</v>
      </c>
      <c r="U184" s="177" t="str">
        <f>IF('Peak Revenue'!$A$1="BL","-",IF(Peak!AA185&gt;Peak!$G185,U$8*Peak!$AM$11,0))</f>
        <v>-</v>
      </c>
      <c r="V184" s="178">
        <f t="shared" si="4"/>
        <v>0</v>
      </c>
      <c r="W184" s="165"/>
    </row>
    <row r="185" spans="1:23" x14ac:dyDescent="0.2">
      <c r="A185" s="1">
        <f t="shared" si="5"/>
        <v>41862.975000000224</v>
      </c>
      <c r="B185" s="176" t="str">
        <f>IF('Peak Revenue'!$A$1="BL","-",IF(Peak!H186&gt;Peak!$G186,B$8*Peak!$AM$11,0))</f>
        <v>-</v>
      </c>
      <c r="C185" s="177" t="str">
        <f>IF('Peak Revenue'!$A$1="BL","-",IF(Peak!I186&gt;Peak!$G186,C$8*Peak!$AM$11,0))</f>
        <v>-</v>
      </c>
      <c r="D185" s="177" t="str">
        <f>IF('Peak Revenue'!$A$1="BL","-",IF(Peak!J186&gt;Peak!$G186,D$8*Peak!$AM$11,0))</f>
        <v>-</v>
      </c>
      <c r="E185" s="177" t="str">
        <f>IF('Peak Revenue'!$A$1="BL","-",IF(Peak!K186&gt;Peak!$G186,E$8*Peak!$AM$11,0))</f>
        <v>-</v>
      </c>
      <c r="F185" s="177" t="str">
        <f>IF('Peak Revenue'!$A$1="BL","-",IF(Peak!L186&gt;Peak!$G186,F$8*Peak!$AM$11,0))</f>
        <v>-</v>
      </c>
      <c r="G185" s="177" t="str">
        <f>IF('Peak Revenue'!$A$1="BL","-",IF(Peak!M186&gt;Peak!$G186,G$8*Peak!$AM$11,0))</f>
        <v>-</v>
      </c>
      <c r="H185" s="177" t="str">
        <f>IF('Peak Revenue'!$A$1="BL","-",IF(Peak!N186&gt;Peak!$G186,H$8*Peak!$AM$11,0))</f>
        <v>-</v>
      </c>
      <c r="I185" s="177" t="str">
        <f>IF('Peak Revenue'!$A$1="BL","-",IF(Peak!O186&gt;Peak!$G186,I$8*Peak!$AM$11,0))</f>
        <v>-</v>
      </c>
      <c r="J185" s="177" t="str">
        <f>IF('Peak Revenue'!$A$1="BL","-",IF(Peak!P186&gt;Peak!$G186,J$8*Peak!$AM$11,0))</f>
        <v>-</v>
      </c>
      <c r="K185" s="177" t="str">
        <f>IF('Peak Revenue'!$A$1="BL","-",IF(Peak!Q186&gt;Peak!$G186,K$8*Peak!$AM$11,0))</f>
        <v>-</v>
      </c>
      <c r="L185" s="177" t="str">
        <f>IF('Peak Revenue'!$A$1="BL","-",IF(Peak!R186&gt;Peak!$G186,L$8*Peak!$AM$11,0))</f>
        <v>-</v>
      </c>
      <c r="M185" s="177" t="str">
        <f>IF('Peak Revenue'!$A$1="BL","-",IF(Peak!S186&gt;Peak!$G186,M$8*Peak!$AM$11,0))</f>
        <v>-</v>
      </c>
      <c r="N185" s="177" t="str">
        <f>IF('Peak Revenue'!$A$1="BL","-",IF(Peak!T186&gt;Peak!$G186,N$8*Peak!$AM$11,0))</f>
        <v>-</v>
      </c>
      <c r="O185" s="177" t="str">
        <f>IF('Peak Revenue'!$A$1="BL","-",IF(Peak!U186&gt;Peak!$G186,O$8*Peak!$AM$11,0))</f>
        <v>-</v>
      </c>
      <c r="P185" s="177" t="str">
        <f>IF('Peak Revenue'!$A$1="BL","-",IF(Peak!V186&gt;Peak!$G186,P$8*Peak!$AM$11,0))</f>
        <v>-</v>
      </c>
      <c r="Q185" s="177" t="str">
        <f>IF('Peak Revenue'!$A$1="BL","-",IF(Peak!W186&gt;Peak!$G186,Q$8*Peak!$AM$11,0))</f>
        <v>-</v>
      </c>
      <c r="R185" s="177" t="str">
        <f>IF('Peak Revenue'!$A$1="BL","-",IF(Peak!X186&gt;Peak!$G186,R$8*Peak!$AM$11,0))</f>
        <v>-</v>
      </c>
      <c r="S185" s="177" t="str">
        <f>IF('Peak Revenue'!$A$1="BL","-",IF(Peak!Y186&gt;Peak!$G186,S$8*Peak!$AM$11,0))</f>
        <v>-</v>
      </c>
      <c r="T185" s="177" t="str">
        <f>IF('Peak Revenue'!$A$1="BL","-",IF(Peak!Z186&gt;Peak!$G186,T$8*Peak!$AM$11,0))</f>
        <v>-</v>
      </c>
      <c r="U185" s="177" t="str">
        <f>IF('Peak Revenue'!$A$1="BL","-",IF(Peak!AA186&gt;Peak!$G186,U$8*Peak!$AM$11,0))</f>
        <v>-</v>
      </c>
      <c r="V185" s="178">
        <f t="shared" si="4"/>
        <v>0</v>
      </c>
      <c r="W185" s="165"/>
    </row>
    <row r="186" spans="1:23" x14ac:dyDescent="0.2">
      <c r="A186" s="1">
        <f t="shared" si="5"/>
        <v>41893.392000000225</v>
      </c>
      <c r="B186" s="176" t="str">
        <f>IF('Peak Revenue'!$A$1="BL","-",IF(Peak!H187&gt;Peak!$G187,B$8*Peak!$AM$11,0))</f>
        <v>-</v>
      </c>
      <c r="C186" s="177" t="str">
        <f>IF('Peak Revenue'!$A$1="BL","-",IF(Peak!I187&gt;Peak!$G187,C$8*Peak!$AM$11,0))</f>
        <v>-</v>
      </c>
      <c r="D186" s="177" t="str">
        <f>IF('Peak Revenue'!$A$1="BL","-",IF(Peak!J187&gt;Peak!$G187,D$8*Peak!$AM$11,0))</f>
        <v>-</v>
      </c>
      <c r="E186" s="177" t="str">
        <f>IF('Peak Revenue'!$A$1="BL","-",IF(Peak!K187&gt;Peak!$G187,E$8*Peak!$AM$11,0))</f>
        <v>-</v>
      </c>
      <c r="F186" s="177" t="str">
        <f>IF('Peak Revenue'!$A$1="BL","-",IF(Peak!L187&gt;Peak!$G187,F$8*Peak!$AM$11,0))</f>
        <v>-</v>
      </c>
      <c r="G186" s="177" t="str">
        <f>IF('Peak Revenue'!$A$1="BL","-",IF(Peak!M187&gt;Peak!$G187,G$8*Peak!$AM$11,0))</f>
        <v>-</v>
      </c>
      <c r="H186" s="177" t="str">
        <f>IF('Peak Revenue'!$A$1="BL","-",IF(Peak!N187&gt;Peak!$G187,H$8*Peak!$AM$11,0))</f>
        <v>-</v>
      </c>
      <c r="I186" s="177" t="str">
        <f>IF('Peak Revenue'!$A$1="BL","-",IF(Peak!O187&gt;Peak!$G187,I$8*Peak!$AM$11,0))</f>
        <v>-</v>
      </c>
      <c r="J186" s="177" t="str">
        <f>IF('Peak Revenue'!$A$1="BL","-",IF(Peak!P187&gt;Peak!$G187,J$8*Peak!$AM$11,0))</f>
        <v>-</v>
      </c>
      <c r="K186" s="177" t="str">
        <f>IF('Peak Revenue'!$A$1="BL","-",IF(Peak!Q187&gt;Peak!$G187,K$8*Peak!$AM$11,0))</f>
        <v>-</v>
      </c>
      <c r="L186" s="177" t="str">
        <f>IF('Peak Revenue'!$A$1="BL","-",IF(Peak!R187&gt;Peak!$G187,L$8*Peak!$AM$11,0))</f>
        <v>-</v>
      </c>
      <c r="M186" s="177" t="str">
        <f>IF('Peak Revenue'!$A$1="BL","-",IF(Peak!S187&gt;Peak!$G187,M$8*Peak!$AM$11,0))</f>
        <v>-</v>
      </c>
      <c r="N186" s="177" t="str">
        <f>IF('Peak Revenue'!$A$1="BL","-",IF(Peak!T187&gt;Peak!$G187,N$8*Peak!$AM$11,0))</f>
        <v>-</v>
      </c>
      <c r="O186" s="177" t="str">
        <f>IF('Peak Revenue'!$A$1="BL","-",IF(Peak!U187&gt;Peak!$G187,O$8*Peak!$AM$11,0))</f>
        <v>-</v>
      </c>
      <c r="P186" s="177" t="str">
        <f>IF('Peak Revenue'!$A$1="BL","-",IF(Peak!V187&gt;Peak!$G187,P$8*Peak!$AM$11,0))</f>
        <v>-</v>
      </c>
      <c r="Q186" s="177" t="str">
        <f>IF('Peak Revenue'!$A$1="BL","-",IF(Peak!W187&gt;Peak!$G187,Q$8*Peak!$AM$11,0))</f>
        <v>-</v>
      </c>
      <c r="R186" s="177" t="str">
        <f>IF('Peak Revenue'!$A$1="BL","-",IF(Peak!X187&gt;Peak!$G187,R$8*Peak!$AM$11,0))</f>
        <v>-</v>
      </c>
      <c r="S186" s="177" t="str">
        <f>IF('Peak Revenue'!$A$1="BL","-",IF(Peak!Y187&gt;Peak!$G187,S$8*Peak!$AM$11,0))</f>
        <v>-</v>
      </c>
      <c r="T186" s="177" t="str">
        <f>IF('Peak Revenue'!$A$1="BL","-",IF(Peak!Z187&gt;Peak!$G187,T$8*Peak!$AM$11,0))</f>
        <v>-</v>
      </c>
      <c r="U186" s="177" t="str">
        <f>IF('Peak Revenue'!$A$1="BL","-",IF(Peak!AA187&gt;Peak!$G187,U$8*Peak!$AM$11,0))</f>
        <v>-</v>
      </c>
      <c r="V186" s="178">
        <f t="shared" si="4"/>
        <v>0</v>
      </c>
      <c r="W186" s="165"/>
    </row>
    <row r="187" spans="1:23" x14ac:dyDescent="0.2">
      <c r="A187" s="1">
        <f t="shared" si="5"/>
        <v>41923.809000000227</v>
      </c>
      <c r="B187" s="176" t="str">
        <f>IF('Peak Revenue'!$A$1="BL","-",IF(Peak!H188&gt;Peak!$G188,B$8*Peak!$AM$11,0))</f>
        <v>-</v>
      </c>
      <c r="C187" s="177" t="str">
        <f>IF('Peak Revenue'!$A$1="BL","-",IF(Peak!I188&gt;Peak!$G188,C$8*Peak!$AM$11,0))</f>
        <v>-</v>
      </c>
      <c r="D187" s="177" t="str">
        <f>IF('Peak Revenue'!$A$1="BL","-",IF(Peak!J188&gt;Peak!$G188,D$8*Peak!$AM$11,0))</f>
        <v>-</v>
      </c>
      <c r="E187" s="177" t="str">
        <f>IF('Peak Revenue'!$A$1="BL","-",IF(Peak!K188&gt;Peak!$G188,E$8*Peak!$AM$11,0))</f>
        <v>-</v>
      </c>
      <c r="F187" s="177" t="str">
        <f>IF('Peak Revenue'!$A$1="BL","-",IF(Peak!L188&gt;Peak!$G188,F$8*Peak!$AM$11,0))</f>
        <v>-</v>
      </c>
      <c r="G187" s="177" t="str">
        <f>IF('Peak Revenue'!$A$1="BL","-",IF(Peak!M188&gt;Peak!$G188,G$8*Peak!$AM$11,0))</f>
        <v>-</v>
      </c>
      <c r="H187" s="177" t="str">
        <f>IF('Peak Revenue'!$A$1="BL","-",IF(Peak!N188&gt;Peak!$G188,H$8*Peak!$AM$11,0))</f>
        <v>-</v>
      </c>
      <c r="I187" s="177" t="str">
        <f>IF('Peak Revenue'!$A$1="BL","-",IF(Peak!O188&gt;Peak!$G188,I$8*Peak!$AM$11,0))</f>
        <v>-</v>
      </c>
      <c r="J187" s="177" t="str">
        <f>IF('Peak Revenue'!$A$1="BL","-",IF(Peak!P188&gt;Peak!$G188,J$8*Peak!$AM$11,0))</f>
        <v>-</v>
      </c>
      <c r="K187" s="177" t="str">
        <f>IF('Peak Revenue'!$A$1="BL","-",IF(Peak!Q188&gt;Peak!$G188,K$8*Peak!$AM$11,0))</f>
        <v>-</v>
      </c>
      <c r="L187" s="177" t="str">
        <f>IF('Peak Revenue'!$A$1="BL","-",IF(Peak!R188&gt;Peak!$G188,L$8*Peak!$AM$11,0))</f>
        <v>-</v>
      </c>
      <c r="M187" s="177" t="str">
        <f>IF('Peak Revenue'!$A$1="BL","-",IF(Peak!S188&gt;Peak!$G188,M$8*Peak!$AM$11,0))</f>
        <v>-</v>
      </c>
      <c r="N187" s="177" t="str">
        <f>IF('Peak Revenue'!$A$1="BL","-",IF(Peak!T188&gt;Peak!$G188,N$8*Peak!$AM$11,0))</f>
        <v>-</v>
      </c>
      <c r="O187" s="177" t="str">
        <f>IF('Peak Revenue'!$A$1="BL","-",IF(Peak!U188&gt;Peak!$G188,O$8*Peak!$AM$11,0))</f>
        <v>-</v>
      </c>
      <c r="P187" s="177" t="str">
        <f>IF('Peak Revenue'!$A$1="BL","-",IF(Peak!V188&gt;Peak!$G188,P$8*Peak!$AM$11,0))</f>
        <v>-</v>
      </c>
      <c r="Q187" s="177" t="str">
        <f>IF('Peak Revenue'!$A$1="BL","-",IF(Peak!W188&gt;Peak!$G188,Q$8*Peak!$AM$11,0))</f>
        <v>-</v>
      </c>
      <c r="R187" s="177" t="str">
        <f>IF('Peak Revenue'!$A$1="BL","-",IF(Peak!X188&gt;Peak!$G188,R$8*Peak!$AM$11,0))</f>
        <v>-</v>
      </c>
      <c r="S187" s="177" t="str">
        <f>IF('Peak Revenue'!$A$1="BL","-",IF(Peak!Y188&gt;Peak!$G188,S$8*Peak!$AM$11,0))</f>
        <v>-</v>
      </c>
      <c r="T187" s="177" t="str">
        <f>IF('Peak Revenue'!$A$1="BL","-",IF(Peak!Z188&gt;Peak!$G188,T$8*Peak!$AM$11,0))</f>
        <v>-</v>
      </c>
      <c r="U187" s="177" t="str">
        <f>IF('Peak Revenue'!$A$1="BL","-",IF(Peak!AA188&gt;Peak!$G188,U$8*Peak!$AM$11,0))</f>
        <v>-</v>
      </c>
      <c r="V187" s="178">
        <f t="shared" si="4"/>
        <v>0</v>
      </c>
      <c r="W187" s="165"/>
    </row>
    <row r="188" spans="1:23" x14ac:dyDescent="0.2">
      <c r="A188" s="1">
        <f t="shared" si="5"/>
        <v>41954.226000000228</v>
      </c>
      <c r="B188" s="176" t="str">
        <f>IF('Peak Revenue'!$A$1="BL","-",IF(Peak!H189&gt;Peak!$G189,B$8*Peak!$AM$11,0))</f>
        <v>-</v>
      </c>
      <c r="C188" s="177" t="str">
        <f>IF('Peak Revenue'!$A$1="BL","-",IF(Peak!I189&gt;Peak!$G189,C$8*Peak!$AM$11,0))</f>
        <v>-</v>
      </c>
      <c r="D188" s="177" t="str">
        <f>IF('Peak Revenue'!$A$1="BL","-",IF(Peak!J189&gt;Peak!$G189,D$8*Peak!$AM$11,0))</f>
        <v>-</v>
      </c>
      <c r="E188" s="177" t="str">
        <f>IF('Peak Revenue'!$A$1="BL","-",IF(Peak!K189&gt;Peak!$G189,E$8*Peak!$AM$11,0))</f>
        <v>-</v>
      </c>
      <c r="F188" s="177" t="str">
        <f>IF('Peak Revenue'!$A$1="BL","-",IF(Peak!L189&gt;Peak!$G189,F$8*Peak!$AM$11,0))</f>
        <v>-</v>
      </c>
      <c r="G188" s="177" t="str">
        <f>IF('Peak Revenue'!$A$1="BL","-",IF(Peak!M189&gt;Peak!$G189,G$8*Peak!$AM$11,0))</f>
        <v>-</v>
      </c>
      <c r="H188" s="177" t="str">
        <f>IF('Peak Revenue'!$A$1="BL","-",IF(Peak!N189&gt;Peak!$G189,H$8*Peak!$AM$11,0))</f>
        <v>-</v>
      </c>
      <c r="I188" s="177" t="str">
        <f>IF('Peak Revenue'!$A$1="BL","-",IF(Peak!O189&gt;Peak!$G189,I$8*Peak!$AM$11,0))</f>
        <v>-</v>
      </c>
      <c r="J188" s="177" t="str">
        <f>IF('Peak Revenue'!$A$1="BL","-",IF(Peak!P189&gt;Peak!$G189,J$8*Peak!$AM$11,0))</f>
        <v>-</v>
      </c>
      <c r="K188" s="177" t="str">
        <f>IF('Peak Revenue'!$A$1="BL","-",IF(Peak!Q189&gt;Peak!$G189,K$8*Peak!$AM$11,0))</f>
        <v>-</v>
      </c>
      <c r="L188" s="177" t="str">
        <f>IF('Peak Revenue'!$A$1="BL","-",IF(Peak!R189&gt;Peak!$G189,L$8*Peak!$AM$11,0))</f>
        <v>-</v>
      </c>
      <c r="M188" s="177" t="str">
        <f>IF('Peak Revenue'!$A$1="BL","-",IF(Peak!S189&gt;Peak!$G189,M$8*Peak!$AM$11,0))</f>
        <v>-</v>
      </c>
      <c r="N188" s="177" t="str">
        <f>IF('Peak Revenue'!$A$1="BL","-",IF(Peak!T189&gt;Peak!$G189,N$8*Peak!$AM$11,0))</f>
        <v>-</v>
      </c>
      <c r="O188" s="177" t="str">
        <f>IF('Peak Revenue'!$A$1="BL","-",IF(Peak!U189&gt;Peak!$G189,O$8*Peak!$AM$11,0))</f>
        <v>-</v>
      </c>
      <c r="P188" s="177" t="str">
        <f>IF('Peak Revenue'!$A$1="BL","-",IF(Peak!V189&gt;Peak!$G189,P$8*Peak!$AM$11,0))</f>
        <v>-</v>
      </c>
      <c r="Q188" s="177" t="str">
        <f>IF('Peak Revenue'!$A$1="BL","-",IF(Peak!W189&gt;Peak!$G189,Q$8*Peak!$AM$11,0))</f>
        <v>-</v>
      </c>
      <c r="R188" s="177" t="str">
        <f>IF('Peak Revenue'!$A$1="BL","-",IF(Peak!X189&gt;Peak!$G189,R$8*Peak!$AM$11,0))</f>
        <v>-</v>
      </c>
      <c r="S188" s="177" t="str">
        <f>IF('Peak Revenue'!$A$1="BL","-",IF(Peak!Y189&gt;Peak!$G189,S$8*Peak!$AM$11,0))</f>
        <v>-</v>
      </c>
      <c r="T188" s="177" t="str">
        <f>IF('Peak Revenue'!$A$1="BL","-",IF(Peak!Z189&gt;Peak!$G189,T$8*Peak!$AM$11,0))</f>
        <v>-</v>
      </c>
      <c r="U188" s="177" t="str">
        <f>IF('Peak Revenue'!$A$1="BL","-",IF(Peak!AA189&gt;Peak!$G189,U$8*Peak!$AM$11,0))</f>
        <v>-</v>
      </c>
      <c r="V188" s="178">
        <f t="shared" si="4"/>
        <v>0</v>
      </c>
      <c r="W188" s="165"/>
    </row>
    <row r="189" spans="1:23" x14ac:dyDescent="0.2">
      <c r="A189" s="1">
        <f t="shared" si="5"/>
        <v>41984.643000000229</v>
      </c>
      <c r="B189" s="176" t="str">
        <f>IF('Peak Revenue'!$A$1="BL","-",IF(Peak!H190&gt;Peak!$G190,B$8*Peak!$AM$11,0))</f>
        <v>-</v>
      </c>
      <c r="C189" s="177" t="str">
        <f>IF('Peak Revenue'!$A$1="BL","-",IF(Peak!I190&gt;Peak!$G190,C$8*Peak!$AM$11,0))</f>
        <v>-</v>
      </c>
      <c r="D189" s="177" t="str">
        <f>IF('Peak Revenue'!$A$1="BL","-",IF(Peak!J190&gt;Peak!$G190,D$8*Peak!$AM$11,0))</f>
        <v>-</v>
      </c>
      <c r="E189" s="177" t="str">
        <f>IF('Peak Revenue'!$A$1="BL","-",IF(Peak!K190&gt;Peak!$G190,E$8*Peak!$AM$11,0))</f>
        <v>-</v>
      </c>
      <c r="F189" s="177" t="str">
        <f>IF('Peak Revenue'!$A$1="BL","-",IF(Peak!L190&gt;Peak!$G190,F$8*Peak!$AM$11,0))</f>
        <v>-</v>
      </c>
      <c r="G189" s="177" t="str">
        <f>IF('Peak Revenue'!$A$1="BL","-",IF(Peak!M190&gt;Peak!$G190,G$8*Peak!$AM$11,0))</f>
        <v>-</v>
      </c>
      <c r="H189" s="177" t="str">
        <f>IF('Peak Revenue'!$A$1="BL","-",IF(Peak!N190&gt;Peak!$G190,H$8*Peak!$AM$11,0))</f>
        <v>-</v>
      </c>
      <c r="I189" s="177" t="str">
        <f>IF('Peak Revenue'!$A$1="BL","-",IF(Peak!O190&gt;Peak!$G190,I$8*Peak!$AM$11,0))</f>
        <v>-</v>
      </c>
      <c r="J189" s="177" t="str">
        <f>IF('Peak Revenue'!$A$1="BL","-",IF(Peak!P190&gt;Peak!$G190,J$8*Peak!$AM$11,0))</f>
        <v>-</v>
      </c>
      <c r="K189" s="177" t="str">
        <f>IF('Peak Revenue'!$A$1="BL","-",IF(Peak!Q190&gt;Peak!$G190,K$8*Peak!$AM$11,0))</f>
        <v>-</v>
      </c>
      <c r="L189" s="177" t="str">
        <f>IF('Peak Revenue'!$A$1="BL","-",IF(Peak!R190&gt;Peak!$G190,L$8*Peak!$AM$11,0))</f>
        <v>-</v>
      </c>
      <c r="M189" s="177" t="str">
        <f>IF('Peak Revenue'!$A$1="BL","-",IF(Peak!S190&gt;Peak!$G190,M$8*Peak!$AM$11,0))</f>
        <v>-</v>
      </c>
      <c r="N189" s="177" t="str">
        <f>IF('Peak Revenue'!$A$1="BL","-",IF(Peak!T190&gt;Peak!$G190,N$8*Peak!$AM$11,0))</f>
        <v>-</v>
      </c>
      <c r="O189" s="177" t="str">
        <f>IF('Peak Revenue'!$A$1="BL","-",IF(Peak!U190&gt;Peak!$G190,O$8*Peak!$AM$11,0))</f>
        <v>-</v>
      </c>
      <c r="P189" s="177" t="str">
        <f>IF('Peak Revenue'!$A$1="BL","-",IF(Peak!V190&gt;Peak!$G190,P$8*Peak!$AM$11,0))</f>
        <v>-</v>
      </c>
      <c r="Q189" s="177" t="str">
        <f>IF('Peak Revenue'!$A$1="BL","-",IF(Peak!W190&gt;Peak!$G190,Q$8*Peak!$AM$11,0))</f>
        <v>-</v>
      </c>
      <c r="R189" s="177" t="str">
        <f>IF('Peak Revenue'!$A$1="BL","-",IF(Peak!X190&gt;Peak!$G190,R$8*Peak!$AM$11,0))</f>
        <v>-</v>
      </c>
      <c r="S189" s="177" t="str">
        <f>IF('Peak Revenue'!$A$1="BL","-",IF(Peak!Y190&gt;Peak!$G190,S$8*Peak!$AM$11,0))</f>
        <v>-</v>
      </c>
      <c r="T189" s="177" t="str">
        <f>IF('Peak Revenue'!$A$1="BL","-",IF(Peak!Z190&gt;Peak!$G190,T$8*Peak!$AM$11,0))</f>
        <v>-</v>
      </c>
      <c r="U189" s="177" t="str">
        <f>IF('Peak Revenue'!$A$1="BL","-",IF(Peak!AA190&gt;Peak!$G190,U$8*Peak!$AM$11,0))</f>
        <v>-</v>
      </c>
      <c r="V189" s="178">
        <f t="shared" si="4"/>
        <v>0</v>
      </c>
      <c r="W189" s="164">
        <f>SUM(V178:V189)</f>
        <v>0</v>
      </c>
    </row>
    <row r="190" spans="1:23" x14ac:dyDescent="0.2">
      <c r="A190" s="1">
        <f t="shared" si="5"/>
        <v>42015.060000000231</v>
      </c>
      <c r="B190" s="176" t="str">
        <f>IF('Peak Revenue'!$A$1="BL","-",IF(Peak!H191&gt;Peak!$G191,B$8*Peak!$AM$11,0))</f>
        <v>-</v>
      </c>
      <c r="C190" s="177" t="str">
        <f>IF('Peak Revenue'!$A$1="BL","-",IF(Peak!I191&gt;Peak!$G191,C$8*Peak!$AM$11,0))</f>
        <v>-</v>
      </c>
      <c r="D190" s="177" t="str">
        <f>IF('Peak Revenue'!$A$1="BL","-",IF(Peak!J191&gt;Peak!$G191,D$8*Peak!$AM$11,0))</f>
        <v>-</v>
      </c>
      <c r="E190" s="177" t="str">
        <f>IF('Peak Revenue'!$A$1="BL","-",IF(Peak!K191&gt;Peak!$G191,E$8*Peak!$AM$11,0))</f>
        <v>-</v>
      </c>
      <c r="F190" s="177" t="str">
        <f>IF('Peak Revenue'!$A$1="BL","-",IF(Peak!L191&gt;Peak!$G191,F$8*Peak!$AM$11,0))</f>
        <v>-</v>
      </c>
      <c r="G190" s="177" t="str">
        <f>IF('Peak Revenue'!$A$1="BL","-",IF(Peak!M191&gt;Peak!$G191,G$8*Peak!$AM$11,0))</f>
        <v>-</v>
      </c>
      <c r="H190" s="177" t="str">
        <f>IF('Peak Revenue'!$A$1="BL","-",IF(Peak!N191&gt;Peak!$G191,H$8*Peak!$AM$11,0))</f>
        <v>-</v>
      </c>
      <c r="I190" s="177" t="str">
        <f>IF('Peak Revenue'!$A$1="BL","-",IF(Peak!O191&gt;Peak!$G191,I$8*Peak!$AM$11,0))</f>
        <v>-</v>
      </c>
      <c r="J190" s="177" t="str">
        <f>IF('Peak Revenue'!$A$1="BL","-",IF(Peak!P191&gt;Peak!$G191,J$8*Peak!$AM$11,0))</f>
        <v>-</v>
      </c>
      <c r="K190" s="177" t="str">
        <f>IF('Peak Revenue'!$A$1="BL","-",IF(Peak!Q191&gt;Peak!$G191,K$8*Peak!$AM$11,0))</f>
        <v>-</v>
      </c>
      <c r="L190" s="177" t="str">
        <f>IF('Peak Revenue'!$A$1="BL","-",IF(Peak!R191&gt;Peak!$G191,L$8*Peak!$AM$11,0))</f>
        <v>-</v>
      </c>
      <c r="M190" s="177" t="str">
        <f>IF('Peak Revenue'!$A$1="BL","-",IF(Peak!S191&gt;Peak!$G191,M$8*Peak!$AM$11,0))</f>
        <v>-</v>
      </c>
      <c r="N190" s="177" t="str">
        <f>IF('Peak Revenue'!$A$1="BL","-",IF(Peak!T191&gt;Peak!$G191,N$8*Peak!$AM$11,0))</f>
        <v>-</v>
      </c>
      <c r="O190" s="177" t="str">
        <f>IF('Peak Revenue'!$A$1="BL","-",IF(Peak!U191&gt;Peak!$G191,O$8*Peak!$AM$11,0))</f>
        <v>-</v>
      </c>
      <c r="P190" s="177" t="str">
        <f>IF('Peak Revenue'!$A$1="BL","-",IF(Peak!V191&gt;Peak!$G191,P$8*Peak!$AM$11,0))</f>
        <v>-</v>
      </c>
      <c r="Q190" s="177" t="str">
        <f>IF('Peak Revenue'!$A$1="BL","-",IF(Peak!W191&gt;Peak!$G191,Q$8*Peak!$AM$11,0))</f>
        <v>-</v>
      </c>
      <c r="R190" s="177" t="str">
        <f>IF('Peak Revenue'!$A$1="BL","-",IF(Peak!X191&gt;Peak!$G191,R$8*Peak!$AM$11,0))</f>
        <v>-</v>
      </c>
      <c r="S190" s="177" t="str">
        <f>IF('Peak Revenue'!$A$1="BL","-",IF(Peak!Y191&gt;Peak!$G191,S$8*Peak!$AM$11,0))</f>
        <v>-</v>
      </c>
      <c r="T190" s="177" t="str">
        <f>IF('Peak Revenue'!$A$1="BL","-",IF(Peak!Z191&gt;Peak!$G191,T$8*Peak!$AM$11,0))</f>
        <v>-</v>
      </c>
      <c r="U190" s="177" t="str">
        <f>IF('Peak Revenue'!$A$1="BL","-",IF(Peak!AA191&gt;Peak!$G191,U$8*Peak!$AM$11,0))</f>
        <v>-</v>
      </c>
      <c r="V190" s="178">
        <f t="shared" si="4"/>
        <v>0</v>
      </c>
      <c r="W190" s="165"/>
    </row>
    <row r="191" spans="1:23" x14ac:dyDescent="0.2">
      <c r="A191" s="1">
        <f t="shared" si="5"/>
        <v>42045.477000000232</v>
      </c>
      <c r="B191" s="176" t="str">
        <f>IF('Peak Revenue'!$A$1="BL","-",IF(Peak!H192&gt;Peak!$G192,B$8*Peak!$AM$11,0))</f>
        <v>-</v>
      </c>
      <c r="C191" s="177" t="str">
        <f>IF('Peak Revenue'!$A$1="BL","-",IF(Peak!I192&gt;Peak!$G192,C$8*Peak!$AM$11,0))</f>
        <v>-</v>
      </c>
      <c r="D191" s="177" t="str">
        <f>IF('Peak Revenue'!$A$1="BL","-",IF(Peak!J192&gt;Peak!$G192,D$8*Peak!$AM$11,0))</f>
        <v>-</v>
      </c>
      <c r="E191" s="177" t="str">
        <f>IF('Peak Revenue'!$A$1="BL","-",IF(Peak!K192&gt;Peak!$G192,E$8*Peak!$AM$11,0))</f>
        <v>-</v>
      </c>
      <c r="F191" s="177" t="str">
        <f>IF('Peak Revenue'!$A$1="BL","-",IF(Peak!L192&gt;Peak!$G192,F$8*Peak!$AM$11,0))</f>
        <v>-</v>
      </c>
      <c r="G191" s="177" t="str">
        <f>IF('Peak Revenue'!$A$1="BL","-",IF(Peak!M192&gt;Peak!$G192,G$8*Peak!$AM$11,0))</f>
        <v>-</v>
      </c>
      <c r="H191" s="177" t="str">
        <f>IF('Peak Revenue'!$A$1="BL","-",IF(Peak!N192&gt;Peak!$G192,H$8*Peak!$AM$11,0))</f>
        <v>-</v>
      </c>
      <c r="I191" s="177" t="str">
        <f>IF('Peak Revenue'!$A$1="BL","-",IF(Peak!O192&gt;Peak!$G192,I$8*Peak!$AM$11,0))</f>
        <v>-</v>
      </c>
      <c r="J191" s="177" t="str">
        <f>IF('Peak Revenue'!$A$1="BL","-",IF(Peak!P192&gt;Peak!$G192,J$8*Peak!$AM$11,0))</f>
        <v>-</v>
      </c>
      <c r="K191" s="177" t="str">
        <f>IF('Peak Revenue'!$A$1="BL","-",IF(Peak!Q192&gt;Peak!$G192,K$8*Peak!$AM$11,0))</f>
        <v>-</v>
      </c>
      <c r="L191" s="177" t="str">
        <f>IF('Peak Revenue'!$A$1="BL","-",IF(Peak!R192&gt;Peak!$G192,L$8*Peak!$AM$11,0))</f>
        <v>-</v>
      </c>
      <c r="M191" s="177" t="str">
        <f>IF('Peak Revenue'!$A$1="BL","-",IF(Peak!S192&gt;Peak!$G192,M$8*Peak!$AM$11,0))</f>
        <v>-</v>
      </c>
      <c r="N191" s="177" t="str">
        <f>IF('Peak Revenue'!$A$1="BL","-",IF(Peak!T192&gt;Peak!$G192,N$8*Peak!$AM$11,0))</f>
        <v>-</v>
      </c>
      <c r="O191" s="177" t="str">
        <f>IF('Peak Revenue'!$A$1="BL","-",IF(Peak!U192&gt;Peak!$G192,O$8*Peak!$AM$11,0))</f>
        <v>-</v>
      </c>
      <c r="P191" s="177" t="str">
        <f>IF('Peak Revenue'!$A$1="BL","-",IF(Peak!V192&gt;Peak!$G192,P$8*Peak!$AM$11,0))</f>
        <v>-</v>
      </c>
      <c r="Q191" s="177" t="str">
        <f>IF('Peak Revenue'!$A$1="BL","-",IF(Peak!W192&gt;Peak!$G192,Q$8*Peak!$AM$11,0))</f>
        <v>-</v>
      </c>
      <c r="R191" s="177" t="str">
        <f>IF('Peak Revenue'!$A$1="BL","-",IF(Peak!X192&gt;Peak!$G192,R$8*Peak!$AM$11,0))</f>
        <v>-</v>
      </c>
      <c r="S191" s="177" t="str">
        <f>IF('Peak Revenue'!$A$1="BL","-",IF(Peak!Y192&gt;Peak!$G192,S$8*Peak!$AM$11,0))</f>
        <v>-</v>
      </c>
      <c r="T191" s="177" t="str">
        <f>IF('Peak Revenue'!$A$1="BL","-",IF(Peak!Z192&gt;Peak!$G192,T$8*Peak!$AM$11,0))</f>
        <v>-</v>
      </c>
      <c r="U191" s="177" t="str">
        <f>IF('Peak Revenue'!$A$1="BL","-",IF(Peak!AA192&gt;Peak!$G192,U$8*Peak!$AM$11,0))</f>
        <v>-</v>
      </c>
      <c r="V191" s="178">
        <f t="shared" si="4"/>
        <v>0</v>
      </c>
      <c r="W191" s="165"/>
    </row>
    <row r="192" spans="1:23" x14ac:dyDescent="0.2">
      <c r="A192" s="1">
        <f t="shared" si="5"/>
        <v>42075.894000000233</v>
      </c>
      <c r="B192" s="176" t="str">
        <f>IF('Peak Revenue'!$A$1="BL","-",IF(Peak!H193&gt;Peak!$G193,B$8*Peak!$AM$11,0))</f>
        <v>-</v>
      </c>
      <c r="C192" s="177" t="str">
        <f>IF('Peak Revenue'!$A$1="BL","-",IF(Peak!I193&gt;Peak!$G193,C$8*Peak!$AM$11,0))</f>
        <v>-</v>
      </c>
      <c r="D192" s="177" t="str">
        <f>IF('Peak Revenue'!$A$1="BL","-",IF(Peak!J193&gt;Peak!$G193,D$8*Peak!$AM$11,0))</f>
        <v>-</v>
      </c>
      <c r="E192" s="177" t="str">
        <f>IF('Peak Revenue'!$A$1="BL","-",IF(Peak!K193&gt;Peak!$G193,E$8*Peak!$AM$11,0))</f>
        <v>-</v>
      </c>
      <c r="F192" s="177" t="str">
        <f>IF('Peak Revenue'!$A$1="BL","-",IF(Peak!L193&gt;Peak!$G193,F$8*Peak!$AM$11,0))</f>
        <v>-</v>
      </c>
      <c r="G192" s="177" t="str">
        <f>IF('Peak Revenue'!$A$1="BL","-",IF(Peak!M193&gt;Peak!$G193,G$8*Peak!$AM$11,0))</f>
        <v>-</v>
      </c>
      <c r="H192" s="177" t="str">
        <f>IF('Peak Revenue'!$A$1="BL","-",IF(Peak!N193&gt;Peak!$G193,H$8*Peak!$AM$11,0))</f>
        <v>-</v>
      </c>
      <c r="I192" s="177" t="str">
        <f>IF('Peak Revenue'!$A$1="BL","-",IF(Peak!O193&gt;Peak!$G193,I$8*Peak!$AM$11,0))</f>
        <v>-</v>
      </c>
      <c r="J192" s="177" t="str">
        <f>IF('Peak Revenue'!$A$1="BL","-",IF(Peak!P193&gt;Peak!$G193,J$8*Peak!$AM$11,0))</f>
        <v>-</v>
      </c>
      <c r="K192" s="177" t="str">
        <f>IF('Peak Revenue'!$A$1="BL","-",IF(Peak!Q193&gt;Peak!$G193,K$8*Peak!$AM$11,0))</f>
        <v>-</v>
      </c>
      <c r="L192" s="177" t="str">
        <f>IF('Peak Revenue'!$A$1="BL","-",IF(Peak!R193&gt;Peak!$G193,L$8*Peak!$AM$11,0))</f>
        <v>-</v>
      </c>
      <c r="M192" s="177" t="str">
        <f>IF('Peak Revenue'!$A$1="BL","-",IF(Peak!S193&gt;Peak!$G193,M$8*Peak!$AM$11,0))</f>
        <v>-</v>
      </c>
      <c r="N192" s="177" t="str">
        <f>IF('Peak Revenue'!$A$1="BL","-",IF(Peak!T193&gt;Peak!$G193,N$8*Peak!$AM$11,0))</f>
        <v>-</v>
      </c>
      <c r="O192" s="177" t="str">
        <f>IF('Peak Revenue'!$A$1="BL","-",IF(Peak!U193&gt;Peak!$G193,O$8*Peak!$AM$11,0))</f>
        <v>-</v>
      </c>
      <c r="P192" s="177" t="str">
        <f>IF('Peak Revenue'!$A$1="BL","-",IF(Peak!V193&gt;Peak!$G193,P$8*Peak!$AM$11,0))</f>
        <v>-</v>
      </c>
      <c r="Q192" s="177" t="str">
        <f>IF('Peak Revenue'!$A$1="BL","-",IF(Peak!W193&gt;Peak!$G193,Q$8*Peak!$AM$11,0))</f>
        <v>-</v>
      </c>
      <c r="R192" s="177" t="str">
        <f>IF('Peak Revenue'!$A$1="BL","-",IF(Peak!X193&gt;Peak!$G193,R$8*Peak!$AM$11,0))</f>
        <v>-</v>
      </c>
      <c r="S192" s="177" t="str">
        <f>IF('Peak Revenue'!$A$1="BL","-",IF(Peak!Y193&gt;Peak!$G193,S$8*Peak!$AM$11,0))</f>
        <v>-</v>
      </c>
      <c r="T192" s="177" t="str">
        <f>IF('Peak Revenue'!$A$1="BL","-",IF(Peak!Z193&gt;Peak!$G193,T$8*Peak!$AM$11,0))</f>
        <v>-</v>
      </c>
      <c r="U192" s="177" t="str">
        <f>IF('Peak Revenue'!$A$1="BL","-",IF(Peak!AA193&gt;Peak!$G193,U$8*Peak!$AM$11,0))</f>
        <v>-</v>
      </c>
      <c r="V192" s="178">
        <f t="shared" si="4"/>
        <v>0</v>
      </c>
      <c r="W192" s="165"/>
    </row>
    <row r="193" spans="1:23" x14ac:dyDescent="0.2">
      <c r="A193" s="1">
        <f t="shared" si="5"/>
        <v>42106.311000000234</v>
      </c>
      <c r="B193" s="176" t="str">
        <f>IF('Peak Revenue'!$A$1="BL","-",IF(Peak!H194&gt;Peak!$G194,B$8*Peak!$AM$11,0))</f>
        <v>-</v>
      </c>
      <c r="C193" s="177" t="str">
        <f>IF('Peak Revenue'!$A$1="BL","-",IF(Peak!I194&gt;Peak!$G194,C$8*Peak!$AM$11,0))</f>
        <v>-</v>
      </c>
      <c r="D193" s="177" t="str">
        <f>IF('Peak Revenue'!$A$1="BL","-",IF(Peak!J194&gt;Peak!$G194,D$8*Peak!$AM$11,0))</f>
        <v>-</v>
      </c>
      <c r="E193" s="177" t="str">
        <f>IF('Peak Revenue'!$A$1="BL","-",IF(Peak!K194&gt;Peak!$G194,E$8*Peak!$AM$11,0))</f>
        <v>-</v>
      </c>
      <c r="F193" s="177" t="str">
        <f>IF('Peak Revenue'!$A$1="BL","-",IF(Peak!L194&gt;Peak!$G194,F$8*Peak!$AM$11,0))</f>
        <v>-</v>
      </c>
      <c r="G193" s="177" t="str">
        <f>IF('Peak Revenue'!$A$1="BL","-",IF(Peak!M194&gt;Peak!$G194,G$8*Peak!$AM$11,0))</f>
        <v>-</v>
      </c>
      <c r="H193" s="177" t="str">
        <f>IF('Peak Revenue'!$A$1="BL","-",IF(Peak!N194&gt;Peak!$G194,H$8*Peak!$AM$11,0))</f>
        <v>-</v>
      </c>
      <c r="I193" s="177" t="str">
        <f>IF('Peak Revenue'!$A$1="BL","-",IF(Peak!O194&gt;Peak!$G194,I$8*Peak!$AM$11,0))</f>
        <v>-</v>
      </c>
      <c r="J193" s="177" t="str">
        <f>IF('Peak Revenue'!$A$1="BL","-",IF(Peak!P194&gt;Peak!$G194,J$8*Peak!$AM$11,0))</f>
        <v>-</v>
      </c>
      <c r="K193" s="177" t="str">
        <f>IF('Peak Revenue'!$A$1="BL","-",IF(Peak!Q194&gt;Peak!$G194,K$8*Peak!$AM$11,0))</f>
        <v>-</v>
      </c>
      <c r="L193" s="177" t="str">
        <f>IF('Peak Revenue'!$A$1="BL","-",IF(Peak!R194&gt;Peak!$G194,L$8*Peak!$AM$11,0))</f>
        <v>-</v>
      </c>
      <c r="M193" s="177" t="str">
        <f>IF('Peak Revenue'!$A$1="BL","-",IF(Peak!S194&gt;Peak!$G194,M$8*Peak!$AM$11,0))</f>
        <v>-</v>
      </c>
      <c r="N193" s="177" t="str">
        <f>IF('Peak Revenue'!$A$1="BL","-",IF(Peak!T194&gt;Peak!$G194,N$8*Peak!$AM$11,0))</f>
        <v>-</v>
      </c>
      <c r="O193" s="177" t="str">
        <f>IF('Peak Revenue'!$A$1="BL","-",IF(Peak!U194&gt;Peak!$G194,O$8*Peak!$AM$11,0))</f>
        <v>-</v>
      </c>
      <c r="P193" s="177" t="str">
        <f>IF('Peak Revenue'!$A$1="BL","-",IF(Peak!V194&gt;Peak!$G194,P$8*Peak!$AM$11,0))</f>
        <v>-</v>
      </c>
      <c r="Q193" s="177" t="str">
        <f>IF('Peak Revenue'!$A$1="BL","-",IF(Peak!W194&gt;Peak!$G194,Q$8*Peak!$AM$11,0))</f>
        <v>-</v>
      </c>
      <c r="R193" s="177" t="str">
        <f>IF('Peak Revenue'!$A$1="BL","-",IF(Peak!X194&gt;Peak!$G194,R$8*Peak!$AM$11,0))</f>
        <v>-</v>
      </c>
      <c r="S193" s="177" t="str">
        <f>IF('Peak Revenue'!$A$1="BL","-",IF(Peak!Y194&gt;Peak!$G194,S$8*Peak!$AM$11,0))</f>
        <v>-</v>
      </c>
      <c r="T193" s="177" t="str">
        <f>IF('Peak Revenue'!$A$1="BL","-",IF(Peak!Z194&gt;Peak!$G194,T$8*Peak!$AM$11,0))</f>
        <v>-</v>
      </c>
      <c r="U193" s="177" t="str">
        <f>IF('Peak Revenue'!$A$1="BL","-",IF(Peak!AA194&gt;Peak!$G194,U$8*Peak!$AM$11,0))</f>
        <v>-</v>
      </c>
      <c r="V193" s="178">
        <f t="shared" si="4"/>
        <v>0</v>
      </c>
      <c r="W193" s="165"/>
    </row>
    <row r="194" spans="1:23" x14ac:dyDescent="0.2">
      <c r="A194" s="1">
        <f t="shared" si="5"/>
        <v>42136.728000000236</v>
      </c>
      <c r="B194" s="176" t="str">
        <f>IF('Peak Revenue'!$A$1="BL","-",IF(Peak!H195&gt;Peak!$G195,B$8*Peak!$AM$11,0))</f>
        <v>-</v>
      </c>
      <c r="C194" s="177" t="str">
        <f>IF('Peak Revenue'!$A$1="BL","-",IF(Peak!I195&gt;Peak!$G195,C$8*Peak!$AM$11,0))</f>
        <v>-</v>
      </c>
      <c r="D194" s="177" t="str">
        <f>IF('Peak Revenue'!$A$1="BL","-",IF(Peak!J195&gt;Peak!$G195,D$8*Peak!$AM$11,0))</f>
        <v>-</v>
      </c>
      <c r="E194" s="177" t="str">
        <f>IF('Peak Revenue'!$A$1="BL","-",IF(Peak!K195&gt;Peak!$G195,E$8*Peak!$AM$11,0))</f>
        <v>-</v>
      </c>
      <c r="F194" s="177" t="str">
        <f>IF('Peak Revenue'!$A$1="BL","-",IF(Peak!L195&gt;Peak!$G195,F$8*Peak!$AM$11,0))</f>
        <v>-</v>
      </c>
      <c r="G194" s="177" t="str">
        <f>IF('Peak Revenue'!$A$1="BL","-",IF(Peak!M195&gt;Peak!$G195,G$8*Peak!$AM$11,0))</f>
        <v>-</v>
      </c>
      <c r="H194" s="177" t="str">
        <f>IF('Peak Revenue'!$A$1="BL","-",IF(Peak!N195&gt;Peak!$G195,H$8*Peak!$AM$11,0))</f>
        <v>-</v>
      </c>
      <c r="I194" s="177" t="str">
        <f>IF('Peak Revenue'!$A$1="BL","-",IF(Peak!O195&gt;Peak!$G195,I$8*Peak!$AM$11,0))</f>
        <v>-</v>
      </c>
      <c r="J194" s="177" t="str">
        <f>IF('Peak Revenue'!$A$1="BL","-",IF(Peak!P195&gt;Peak!$G195,J$8*Peak!$AM$11,0))</f>
        <v>-</v>
      </c>
      <c r="K194" s="177" t="str">
        <f>IF('Peak Revenue'!$A$1="BL","-",IF(Peak!Q195&gt;Peak!$G195,K$8*Peak!$AM$11,0))</f>
        <v>-</v>
      </c>
      <c r="L194" s="177" t="str">
        <f>IF('Peak Revenue'!$A$1="BL","-",IF(Peak!R195&gt;Peak!$G195,L$8*Peak!$AM$11,0))</f>
        <v>-</v>
      </c>
      <c r="M194" s="177" t="str">
        <f>IF('Peak Revenue'!$A$1="BL","-",IF(Peak!S195&gt;Peak!$G195,M$8*Peak!$AM$11,0))</f>
        <v>-</v>
      </c>
      <c r="N194" s="177" t="str">
        <f>IF('Peak Revenue'!$A$1="BL","-",IF(Peak!T195&gt;Peak!$G195,N$8*Peak!$AM$11,0))</f>
        <v>-</v>
      </c>
      <c r="O194" s="177" t="str">
        <f>IF('Peak Revenue'!$A$1="BL","-",IF(Peak!U195&gt;Peak!$G195,O$8*Peak!$AM$11,0))</f>
        <v>-</v>
      </c>
      <c r="P194" s="177" t="str">
        <f>IF('Peak Revenue'!$A$1="BL","-",IF(Peak!V195&gt;Peak!$G195,P$8*Peak!$AM$11,0))</f>
        <v>-</v>
      </c>
      <c r="Q194" s="177" t="str">
        <f>IF('Peak Revenue'!$A$1="BL","-",IF(Peak!W195&gt;Peak!$G195,Q$8*Peak!$AM$11,0))</f>
        <v>-</v>
      </c>
      <c r="R194" s="177" t="str">
        <f>IF('Peak Revenue'!$A$1="BL","-",IF(Peak!X195&gt;Peak!$G195,R$8*Peak!$AM$11,0))</f>
        <v>-</v>
      </c>
      <c r="S194" s="177" t="str">
        <f>IF('Peak Revenue'!$A$1="BL","-",IF(Peak!Y195&gt;Peak!$G195,S$8*Peak!$AM$11,0))</f>
        <v>-</v>
      </c>
      <c r="T194" s="177" t="str">
        <f>IF('Peak Revenue'!$A$1="BL","-",IF(Peak!Z195&gt;Peak!$G195,T$8*Peak!$AM$11,0))</f>
        <v>-</v>
      </c>
      <c r="U194" s="177" t="str">
        <f>IF('Peak Revenue'!$A$1="BL","-",IF(Peak!AA195&gt;Peak!$G195,U$8*Peak!$AM$11,0))</f>
        <v>-</v>
      </c>
      <c r="V194" s="178">
        <f t="shared" si="4"/>
        <v>0</v>
      </c>
      <c r="W194" s="165"/>
    </row>
    <row r="195" spans="1:23" x14ac:dyDescent="0.2">
      <c r="A195" s="1">
        <f t="shared" si="5"/>
        <v>42167.145000000237</v>
      </c>
      <c r="B195" s="176" t="str">
        <f>IF('Peak Revenue'!$A$1="BL","-",IF(Peak!H196&gt;Peak!$G196,B$8*Peak!$AM$11,0))</f>
        <v>-</v>
      </c>
      <c r="C195" s="177" t="str">
        <f>IF('Peak Revenue'!$A$1="BL","-",IF(Peak!I196&gt;Peak!$G196,C$8*Peak!$AM$11,0))</f>
        <v>-</v>
      </c>
      <c r="D195" s="177" t="str">
        <f>IF('Peak Revenue'!$A$1="BL","-",IF(Peak!J196&gt;Peak!$G196,D$8*Peak!$AM$11,0))</f>
        <v>-</v>
      </c>
      <c r="E195" s="177" t="str">
        <f>IF('Peak Revenue'!$A$1="BL","-",IF(Peak!K196&gt;Peak!$G196,E$8*Peak!$AM$11,0))</f>
        <v>-</v>
      </c>
      <c r="F195" s="177" t="str">
        <f>IF('Peak Revenue'!$A$1="BL","-",IF(Peak!L196&gt;Peak!$G196,F$8*Peak!$AM$11,0))</f>
        <v>-</v>
      </c>
      <c r="G195" s="177" t="str">
        <f>IF('Peak Revenue'!$A$1="BL","-",IF(Peak!M196&gt;Peak!$G196,G$8*Peak!$AM$11,0))</f>
        <v>-</v>
      </c>
      <c r="H195" s="177" t="str">
        <f>IF('Peak Revenue'!$A$1="BL","-",IF(Peak!N196&gt;Peak!$G196,H$8*Peak!$AM$11,0))</f>
        <v>-</v>
      </c>
      <c r="I195" s="177" t="str">
        <f>IF('Peak Revenue'!$A$1="BL","-",IF(Peak!O196&gt;Peak!$G196,I$8*Peak!$AM$11,0))</f>
        <v>-</v>
      </c>
      <c r="J195" s="177" t="str">
        <f>IF('Peak Revenue'!$A$1="BL","-",IF(Peak!P196&gt;Peak!$G196,J$8*Peak!$AM$11,0))</f>
        <v>-</v>
      </c>
      <c r="K195" s="177" t="str">
        <f>IF('Peak Revenue'!$A$1="BL","-",IF(Peak!Q196&gt;Peak!$G196,K$8*Peak!$AM$11,0))</f>
        <v>-</v>
      </c>
      <c r="L195" s="177" t="str">
        <f>IF('Peak Revenue'!$A$1="BL","-",IF(Peak!R196&gt;Peak!$G196,L$8*Peak!$AM$11,0))</f>
        <v>-</v>
      </c>
      <c r="M195" s="177" t="str">
        <f>IF('Peak Revenue'!$A$1="BL","-",IF(Peak!S196&gt;Peak!$G196,M$8*Peak!$AM$11,0))</f>
        <v>-</v>
      </c>
      <c r="N195" s="177" t="str">
        <f>IF('Peak Revenue'!$A$1="BL","-",IF(Peak!T196&gt;Peak!$G196,N$8*Peak!$AM$11,0))</f>
        <v>-</v>
      </c>
      <c r="O195" s="177" t="str">
        <f>IF('Peak Revenue'!$A$1="BL","-",IF(Peak!U196&gt;Peak!$G196,O$8*Peak!$AM$11,0))</f>
        <v>-</v>
      </c>
      <c r="P195" s="177" t="str">
        <f>IF('Peak Revenue'!$A$1="BL","-",IF(Peak!V196&gt;Peak!$G196,P$8*Peak!$AM$11,0))</f>
        <v>-</v>
      </c>
      <c r="Q195" s="177" t="str">
        <f>IF('Peak Revenue'!$A$1="BL","-",IF(Peak!W196&gt;Peak!$G196,Q$8*Peak!$AM$11,0))</f>
        <v>-</v>
      </c>
      <c r="R195" s="177" t="str">
        <f>IF('Peak Revenue'!$A$1="BL","-",IF(Peak!X196&gt;Peak!$G196,R$8*Peak!$AM$11,0))</f>
        <v>-</v>
      </c>
      <c r="S195" s="177" t="str">
        <f>IF('Peak Revenue'!$A$1="BL","-",IF(Peak!Y196&gt;Peak!$G196,S$8*Peak!$AM$11,0))</f>
        <v>-</v>
      </c>
      <c r="T195" s="177" t="str">
        <f>IF('Peak Revenue'!$A$1="BL","-",IF(Peak!Z196&gt;Peak!$G196,T$8*Peak!$AM$11,0))</f>
        <v>-</v>
      </c>
      <c r="U195" s="177" t="str">
        <f>IF('Peak Revenue'!$A$1="BL","-",IF(Peak!AA196&gt;Peak!$G196,U$8*Peak!$AM$11,0))</f>
        <v>-</v>
      </c>
      <c r="V195" s="178">
        <f t="shared" si="4"/>
        <v>0</v>
      </c>
      <c r="W195" s="165"/>
    </row>
    <row r="196" spans="1:23" x14ac:dyDescent="0.2">
      <c r="A196" s="1">
        <f t="shared" si="5"/>
        <v>42197.562000000238</v>
      </c>
      <c r="B196" s="176" t="str">
        <f>IF('Peak Revenue'!$A$1="BL","-",IF(Peak!H197&gt;Peak!$G197,B$8*Peak!$AM$11,0))</f>
        <v>-</v>
      </c>
      <c r="C196" s="177" t="str">
        <f>IF('Peak Revenue'!$A$1="BL","-",IF(Peak!I197&gt;Peak!$G197,C$8*Peak!$AM$11,0))</f>
        <v>-</v>
      </c>
      <c r="D196" s="177" t="str">
        <f>IF('Peak Revenue'!$A$1="BL","-",IF(Peak!J197&gt;Peak!$G197,D$8*Peak!$AM$11,0))</f>
        <v>-</v>
      </c>
      <c r="E196" s="177" t="str">
        <f>IF('Peak Revenue'!$A$1="BL","-",IF(Peak!K197&gt;Peak!$G197,E$8*Peak!$AM$11,0))</f>
        <v>-</v>
      </c>
      <c r="F196" s="177" t="str">
        <f>IF('Peak Revenue'!$A$1="BL","-",IF(Peak!L197&gt;Peak!$G197,F$8*Peak!$AM$11,0))</f>
        <v>-</v>
      </c>
      <c r="G196" s="177" t="str">
        <f>IF('Peak Revenue'!$A$1="BL","-",IF(Peak!M197&gt;Peak!$G197,G$8*Peak!$AM$11,0))</f>
        <v>-</v>
      </c>
      <c r="H196" s="177" t="str">
        <f>IF('Peak Revenue'!$A$1="BL","-",IF(Peak!N197&gt;Peak!$G197,H$8*Peak!$AM$11,0))</f>
        <v>-</v>
      </c>
      <c r="I196" s="177" t="str">
        <f>IF('Peak Revenue'!$A$1="BL","-",IF(Peak!O197&gt;Peak!$G197,I$8*Peak!$AM$11,0))</f>
        <v>-</v>
      </c>
      <c r="J196" s="177" t="str">
        <f>IF('Peak Revenue'!$A$1="BL","-",IF(Peak!P197&gt;Peak!$G197,J$8*Peak!$AM$11,0))</f>
        <v>-</v>
      </c>
      <c r="K196" s="177" t="str">
        <f>IF('Peak Revenue'!$A$1="BL","-",IF(Peak!Q197&gt;Peak!$G197,K$8*Peak!$AM$11,0))</f>
        <v>-</v>
      </c>
      <c r="L196" s="177" t="str">
        <f>IF('Peak Revenue'!$A$1="BL","-",IF(Peak!R197&gt;Peak!$G197,L$8*Peak!$AM$11,0))</f>
        <v>-</v>
      </c>
      <c r="M196" s="177" t="str">
        <f>IF('Peak Revenue'!$A$1="BL","-",IF(Peak!S197&gt;Peak!$G197,M$8*Peak!$AM$11,0))</f>
        <v>-</v>
      </c>
      <c r="N196" s="177" t="str">
        <f>IF('Peak Revenue'!$A$1="BL","-",IF(Peak!T197&gt;Peak!$G197,N$8*Peak!$AM$11,0))</f>
        <v>-</v>
      </c>
      <c r="O196" s="177" t="str">
        <f>IF('Peak Revenue'!$A$1="BL","-",IF(Peak!U197&gt;Peak!$G197,O$8*Peak!$AM$11,0))</f>
        <v>-</v>
      </c>
      <c r="P196" s="177" t="str">
        <f>IF('Peak Revenue'!$A$1="BL","-",IF(Peak!V197&gt;Peak!$G197,P$8*Peak!$AM$11,0))</f>
        <v>-</v>
      </c>
      <c r="Q196" s="177" t="str">
        <f>IF('Peak Revenue'!$A$1="BL","-",IF(Peak!W197&gt;Peak!$G197,Q$8*Peak!$AM$11,0))</f>
        <v>-</v>
      </c>
      <c r="R196" s="177" t="str">
        <f>IF('Peak Revenue'!$A$1="BL","-",IF(Peak!X197&gt;Peak!$G197,R$8*Peak!$AM$11,0))</f>
        <v>-</v>
      </c>
      <c r="S196" s="177" t="str">
        <f>IF('Peak Revenue'!$A$1="BL","-",IF(Peak!Y197&gt;Peak!$G197,S$8*Peak!$AM$11,0))</f>
        <v>-</v>
      </c>
      <c r="T196" s="177" t="str">
        <f>IF('Peak Revenue'!$A$1="BL","-",IF(Peak!Z197&gt;Peak!$G197,T$8*Peak!$AM$11,0))</f>
        <v>-</v>
      </c>
      <c r="U196" s="177" t="str">
        <f>IF('Peak Revenue'!$A$1="BL","-",IF(Peak!AA197&gt;Peak!$G197,U$8*Peak!$AM$11,0))</f>
        <v>-</v>
      </c>
      <c r="V196" s="178">
        <f t="shared" si="4"/>
        <v>0</v>
      </c>
      <c r="W196" s="165"/>
    </row>
    <row r="197" spans="1:23" x14ac:dyDescent="0.2">
      <c r="A197" s="1">
        <f t="shared" si="5"/>
        <v>42227.979000000239</v>
      </c>
      <c r="B197" s="176" t="str">
        <f>IF('Peak Revenue'!$A$1="BL","-",IF(Peak!H198&gt;Peak!$G198,B$8*Peak!$AM$11,0))</f>
        <v>-</v>
      </c>
      <c r="C197" s="177" t="str">
        <f>IF('Peak Revenue'!$A$1="BL","-",IF(Peak!I198&gt;Peak!$G198,C$8*Peak!$AM$11,0))</f>
        <v>-</v>
      </c>
      <c r="D197" s="177" t="str">
        <f>IF('Peak Revenue'!$A$1="BL","-",IF(Peak!J198&gt;Peak!$G198,D$8*Peak!$AM$11,0))</f>
        <v>-</v>
      </c>
      <c r="E197" s="177" t="str">
        <f>IF('Peak Revenue'!$A$1="BL","-",IF(Peak!K198&gt;Peak!$G198,E$8*Peak!$AM$11,0))</f>
        <v>-</v>
      </c>
      <c r="F197" s="177" t="str">
        <f>IF('Peak Revenue'!$A$1="BL","-",IF(Peak!L198&gt;Peak!$G198,F$8*Peak!$AM$11,0))</f>
        <v>-</v>
      </c>
      <c r="G197" s="177" t="str">
        <f>IF('Peak Revenue'!$A$1="BL","-",IF(Peak!M198&gt;Peak!$G198,G$8*Peak!$AM$11,0))</f>
        <v>-</v>
      </c>
      <c r="H197" s="177" t="str">
        <f>IF('Peak Revenue'!$A$1="BL","-",IF(Peak!N198&gt;Peak!$G198,H$8*Peak!$AM$11,0))</f>
        <v>-</v>
      </c>
      <c r="I197" s="177" t="str">
        <f>IF('Peak Revenue'!$A$1="BL","-",IF(Peak!O198&gt;Peak!$G198,I$8*Peak!$AM$11,0))</f>
        <v>-</v>
      </c>
      <c r="J197" s="177" t="str">
        <f>IF('Peak Revenue'!$A$1="BL","-",IF(Peak!P198&gt;Peak!$G198,J$8*Peak!$AM$11,0))</f>
        <v>-</v>
      </c>
      <c r="K197" s="177" t="str">
        <f>IF('Peak Revenue'!$A$1="BL","-",IF(Peak!Q198&gt;Peak!$G198,K$8*Peak!$AM$11,0))</f>
        <v>-</v>
      </c>
      <c r="L197" s="177" t="str">
        <f>IF('Peak Revenue'!$A$1="BL","-",IF(Peak!R198&gt;Peak!$G198,L$8*Peak!$AM$11,0))</f>
        <v>-</v>
      </c>
      <c r="M197" s="177" t="str">
        <f>IF('Peak Revenue'!$A$1="BL","-",IF(Peak!S198&gt;Peak!$G198,M$8*Peak!$AM$11,0))</f>
        <v>-</v>
      </c>
      <c r="N197" s="177" t="str">
        <f>IF('Peak Revenue'!$A$1="BL","-",IF(Peak!T198&gt;Peak!$G198,N$8*Peak!$AM$11,0))</f>
        <v>-</v>
      </c>
      <c r="O197" s="177" t="str">
        <f>IF('Peak Revenue'!$A$1="BL","-",IF(Peak!U198&gt;Peak!$G198,O$8*Peak!$AM$11,0))</f>
        <v>-</v>
      </c>
      <c r="P197" s="177" t="str">
        <f>IF('Peak Revenue'!$A$1="BL","-",IF(Peak!V198&gt;Peak!$G198,P$8*Peak!$AM$11,0))</f>
        <v>-</v>
      </c>
      <c r="Q197" s="177" t="str">
        <f>IF('Peak Revenue'!$A$1="BL","-",IF(Peak!W198&gt;Peak!$G198,Q$8*Peak!$AM$11,0))</f>
        <v>-</v>
      </c>
      <c r="R197" s="177" t="str">
        <f>IF('Peak Revenue'!$A$1="BL","-",IF(Peak!X198&gt;Peak!$G198,R$8*Peak!$AM$11,0))</f>
        <v>-</v>
      </c>
      <c r="S197" s="177" t="str">
        <f>IF('Peak Revenue'!$A$1="BL","-",IF(Peak!Y198&gt;Peak!$G198,S$8*Peak!$AM$11,0))</f>
        <v>-</v>
      </c>
      <c r="T197" s="177" t="str">
        <f>IF('Peak Revenue'!$A$1="BL","-",IF(Peak!Z198&gt;Peak!$G198,T$8*Peak!$AM$11,0))</f>
        <v>-</v>
      </c>
      <c r="U197" s="177" t="str">
        <f>IF('Peak Revenue'!$A$1="BL","-",IF(Peak!AA198&gt;Peak!$G198,U$8*Peak!$AM$11,0))</f>
        <v>-</v>
      </c>
      <c r="V197" s="178">
        <f t="shared" si="4"/>
        <v>0</v>
      </c>
      <c r="W197" s="165"/>
    </row>
    <row r="198" spans="1:23" x14ac:dyDescent="0.2">
      <c r="A198" s="1">
        <f t="shared" si="5"/>
        <v>42258.396000000241</v>
      </c>
      <c r="B198" s="176" t="str">
        <f>IF('Peak Revenue'!$A$1="BL","-",IF(Peak!H199&gt;Peak!$G199,B$8*Peak!$AM$11,0))</f>
        <v>-</v>
      </c>
      <c r="C198" s="177" t="str">
        <f>IF('Peak Revenue'!$A$1="BL","-",IF(Peak!I199&gt;Peak!$G199,C$8*Peak!$AM$11,0))</f>
        <v>-</v>
      </c>
      <c r="D198" s="177" t="str">
        <f>IF('Peak Revenue'!$A$1="BL","-",IF(Peak!J199&gt;Peak!$G199,D$8*Peak!$AM$11,0))</f>
        <v>-</v>
      </c>
      <c r="E198" s="177" t="str">
        <f>IF('Peak Revenue'!$A$1="BL","-",IF(Peak!K199&gt;Peak!$G199,E$8*Peak!$AM$11,0))</f>
        <v>-</v>
      </c>
      <c r="F198" s="177" t="str">
        <f>IF('Peak Revenue'!$A$1="BL","-",IF(Peak!L199&gt;Peak!$G199,F$8*Peak!$AM$11,0))</f>
        <v>-</v>
      </c>
      <c r="G198" s="177" t="str">
        <f>IF('Peak Revenue'!$A$1="BL","-",IF(Peak!M199&gt;Peak!$G199,G$8*Peak!$AM$11,0))</f>
        <v>-</v>
      </c>
      <c r="H198" s="177" t="str">
        <f>IF('Peak Revenue'!$A$1="BL","-",IF(Peak!N199&gt;Peak!$G199,H$8*Peak!$AM$11,0))</f>
        <v>-</v>
      </c>
      <c r="I198" s="177" t="str">
        <f>IF('Peak Revenue'!$A$1="BL","-",IF(Peak!O199&gt;Peak!$G199,I$8*Peak!$AM$11,0))</f>
        <v>-</v>
      </c>
      <c r="J198" s="177" t="str">
        <f>IF('Peak Revenue'!$A$1="BL","-",IF(Peak!P199&gt;Peak!$G199,J$8*Peak!$AM$11,0))</f>
        <v>-</v>
      </c>
      <c r="K198" s="177" t="str">
        <f>IF('Peak Revenue'!$A$1="BL","-",IF(Peak!Q199&gt;Peak!$G199,K$8*Peak!$AM$11,0))</f>
        <v>-</v>
      </c>
      <c r="L198" s="177" t="str">
        <f>IF('Peak Revenue'!$A$1="BL","-",IF(Peak!R199&gt;Peak!$G199,L$8*Peak!$AM$11,0))</f>
        <v>-</v>
      </c>
      <c r="M198" s="177" t="str">
        <f>IF('Peak Revenue'!$A$1="BL","-",IF(Peak!S199&gt;Peak!$G199,M$8*Peak!$AM$11,0))</f>
        <v>-</v>
      </c>
      <c r="N198" s="177" t="str">
        <f>IF('Peak Revenue'!$A$1="BL","-",IF(Peak!T199&gt;Peak!$G199,N$8*Peak!$AM$11,0))</f>
        <v>-</v>
      </c>
      <c r="O198" s="177" t="str">
        <f>IF('Peak Revenue'!$A$1="BL","-",IF(Peak!U199&gt;Peak!$G199,O$8*Peak!$AM$11,0))</f>
        <v>-</v>
      </c>
      <c r="P198" s="177" t="str">
        <f>IF('Peak Revenue'!$A$1="BL","-",IF(Peak!V199&gt;Peak!$G199,P$8*Peak!$AM$11,0))</f>
        <v>-</v>
      </c>
      <c r="Q198" s="177" t="str">
        <f>IF('Peak Revenue'!$A$1="BL","-",IF(Peak!W199&gt;Peak!$G199,Q$8*Peak!$AM$11,0))</f>
        <v>-</v>
      </c>
      <c r="R198" s="177" t="str">
        <f>IF('Peak Revenue'!$A$1="BL","-",IF(Peak!X199&gt;Peak!$G199,R$8*Peak!$AM$11,0))</f>
        <v>-</v>
      </c>
      <c r="S198" s="177" t="str">
        <f>IF('Peak Revenue'!$A$1="BL","-",IF(Peak!Y199&gt;Peak!$G199,S$8*Peak!$AM$11,0))</f>
        <v>-</v>
      </c>
      <c r="T198" s="177" t="str">
        <f>IF('Peak Revenue'!$A$1="BL","-",IF(Peak!Z199&gt;Peak!$G199,T$8*Peak!$AM$11,0))</f>
        <v>-</v>
      </c>
      <c r="U198" s="177" t="str">
        <f>IF('Peak Revenue'!$A$1="BL","-",IF(Peak!AA199&gt;Peak!$G199,U$8*Peak!$AM$11,0))</f>
        <v>-</v>
      </c>
      <c r="V198" s="178">
        <f t="shared" si="4"/>
        <v>0</v>
      </c>
      <c r="W198" s="165"/>
    </row>
    <row r="199" spans="1:23" x14ac:dyDescent="0.2">
      <c r="A199" s="1">
        <f t="shared" si="5"/>
        <v>42288.813000000242</v>
      </c>
      <c r="B199" s="176" t="str">
        <f>IF('Peak Revenue'!$A$1="BL","-",IF(Peak!H200&gt;Peak!$G200,B$8*Peak!$AM$11,0))</f>
        <v>-</v>
      </c>
      <c r="C199" s="177" t="str">
        <f>IF('Peak Revenue'!$A$1="BL","-",IF(Peak!I200&gt;Peak!$G200,C$8*Peak!$AM$11,0))</f>
        <v>-</v>
      </c>
      <c r="D199" s="177" t="str">
        <f>IF('Peak Revenue'!$A$1="BL","-",IF(Peak!J200&gt;Peak!$G200,D$8*Peak!$AM$11,0))</f>
        <v>-</v>
      </c>
      <c r="E199" s="177" t="str">
        <f>IF('Peak Revenue'!$A$1="BL","-",IF(Peak!K200&gt;Peak!$G200,E$8*Peak!$AM$11,0))</f>
        <v>-</v>
      </c>
      <c r="F199" s="177" t="str">
        <f>IF('Peak Revenue'!$A$1="BL","-",IF(Peak!L200&gt;Peak!$G200,F$8*Peak!$AM$11,0))</f>
        <v>-</v>
      </c>
      <c r="G199" s="177" t="str">
        <f>IF('Peak Revenue'!$A$1="BL","-",IF(Peak!M200&gt;Peak!$G200,G$8*Peak!$AM$11,0))</f>
        <v>-</v>
      </c>
      <c r="H199" s="177" t="str">
        <f>IF('Peak Revenue'!$A$1="BL","-",IF(Peak!N200&gt;Peak!$G200,H$8*Peak!$AM$11,0))</f>
        <v>-</v>
      </c>
      <c r="I199" s="177" t="str">
        <f>IF('Peak Revenue'!$A$1="BL","-",IF(Peak!O200&gt;Peak!$G200,I$8*Peak!$AM$11,0))</f>
        <v>-</v>
      </c>
      <c r="J199" s="177" t="str">
        <f>IF('Peak Revenue'!$A$1="BL","-",IF(Peak!P200&gt;Peak!$G200,J$8*Peak!$AM$11,0))</f>
        <v>-</v>
      </c>
      <c r="K199" s="177" t="str">
        <f>IF('Peak Revenue'!$A$1="BL","-",IF(Peak!Q200&gt;Peak!$G200,K$8*Peak!$AM$11,0))</f>
        <v>-</v>
      </c>
      <c r="L199" s="177" t="str">
        <f>IF('Peak Revenue'!$A$1="BL","-",IF(Peak!R200&gt;Peak!$G200,L$8*Peak!$AM$11,0))</f>
        <v>-</v>
      </c>
      <c r="M199" s="177" t="str">
        <f>IF('Peak Revenue'!$A$1="BL","-",IF(Peak!S200&gt;Peak!$G200,M$8*Peak!$AM$11,0))</f>
        <v>-</v>
      </c>
      <c r="N199" s="177" t="str">
        <f>IF('Peak Revenue'!$A$1="BL","-",IF(Peak!T200&gt;Peak!$G200,N$8*Peak!$AM$11,0))</f>
        <v>-</v>
      </c>
      <c r="O199" s="177" t="str">
        <f>IF('Peak Revenue'!$A$1="BL","-",IF(Peak!U200&gt;Peak!$G200,O$8*Peak!$AM$11,0))</f>
        <v>-</v>
      </c>
      <c r="P199" s="177" t="str">
        <f>IF('Peak Revenue'!$A$1="BL","-",IF(Peak!V200&gt;Peak!$G200,P$8*Peak!$AM$11,0))</f>
        <v>-</v>
      </c>
      <c r="Q199" s="177" t="str">
        <f>IF('Peak Revenue'!$A$1="BL","-",IF(Peak!W200&gt;Peak!$G200,Q$8*Peak!$AM$11,0))</f>
        <v>-</v>
      </c>
      <c r="R199" s="177" t="str">
        <f>IF('Peak Revenue'!$A$1="BL","-",IF(Peak!X200&gt;Peak!$G200,R$8*Peak!$AM$11,0))</f>
        <v>-</v>
      </c>
      <c r="S199" s="177" t="str">
        <f>IF('Peak Revenue'!$A$1="BL","-",IF(Peak!Y200&gt;Peak!$G200,S$8*Peak!$AM$11,0))</f>
        <v>-</v>
      </c>
      <c r="T199" s="177" t="str">
        <f>IF('Peak Revenue'!$A$1="BL","-",IF(Peak!Z200&gt;Peak!$G200,T$8*Peak!$AM$11,0))</f>
        <v>-</v>
      </c>
      <c r="U199" s="177" t="str">
        <f>IF('Peak Revenue'!$A$1="BL","-",IF(Peak!AA200&gt;Peak!$G200,U$8*Peak!$AM$11,0))</f>
        <v>-</v>
      </c>
      <c r="V199" s="178">
        <f t="shared" si="4"/>
        <v>0</v>
      </c>
      <c r="W199" s="165"/>
    </row>
    <row r="200" spans="1:23" x14ac:dyDescent="0.2">
      <c r="A200" s="1">
        <f t="shared" si="5"/>
        <v>42319.230000000243</v>
      </c>
      <c r="B200" s="176" t="str">
        <f>IF('Peak Revenue'!$A$1="BL","-",IF(Peak!H201&gt;Peak!$G201,B$8*Peak!$AM$11,0))</f>
        <v>-</v>
      </c>
      <c r="C200" s="177" t="str">
        <f>IF('Peak Revenue'!$A$1="BL","-",IF(Peak!I201&gt;Peak!$G201,C$8*Peak!$AM$11,0))</f>
        <v>-</v>
      </c>
      <c r="D200" s="177" t="str">
        <f>IF('Peak Revenue'!$A$1="BL","-",IF(Peak!J201&gt;Peak!$G201,D$8*Peak!$AM$11,0))</f>
        <v>-</v>
      </c>
      <c r="E200" s="177" t="str">
        <f>IF('Peak Revenue'!$A$1="BL","-",IF(Peak!K201&gt;Peak!$G201,E$8*Peak!$AM$11,0))</f>
        <v>-</v>
      </c>
      <c r="F200" s="177" t="str">
        <f>IF('Peak Revenue'!$A$1="BL","-",IF(Peak!L201&gt;Peak!$G201,F$8*Peak!$AM$11,0))</f>
        <v>-</v>
      </c>
      <c r="G200" s="177" t="str">
        <f>IF('Peak Revenue'!$A$1="BL","-",IF(Peak!M201&gt;Peak!$G201,G$8*Peak!$AM$11,0))</f>
        <v>-</v>
      </c>
      <c r="H200" s="177" t="str">
        <f>IF('Peak Revenue'!$A$1="BL","-",IF(Peak!N201&gt;Peak!$G201,H$8*Peak!$AM$11,0))</f>
        <v>-</v>
      </c>
      <c r="I200" s="177" t="str">
        <f>IF('Peak Revenue'!$A$1="BL","-",IF(Peak!O201&gt;Peak!$G201,I$8*Peak!$AM$11,0))</f>
        <v>-</v>
      </c>
      <c r="J200" s="177" t="str">
        <f>IF('Peak Revenue'!$A$1="BL","-",IF(Peak!P201&gt;Peak!$G201,J$8*Peak!$AM$11,0))</f>
        <v>-</v>
      </c>
      <c r="K200" s="177" t="str">
        <f>IF('Peak Revenue'!$A$1="BL","-",IF(Peak!Q201&gt;Peak!$G201,K$8*Peak!$AM$11,0))</f>
        <v>-</v>
      </c>
      <c r="L200" s="177" t="str">
        <f>IF('Peak Revenue'!$A$1="BL","-",IF(Peak!R201&gt;Peak!$G201,L$8*Peak!$AM$11,0))</f>
        <v>-</v>
      </c>
      <c r="M200" s="177" t="str">
        <f>IF('Peak Revenue'!$A$1="BL","-",IF(Peak!S201&gt;Peak!$G201,M$8*Peak!$AM$11,0))</f>
        <v>-</v>
      </c>
      <c r="N200" s="177" t="str">
        <f>IF('Peak Revenue'!$A$1="BL","-",IF(Peak!T201&gt;Peak!$G201,N$8*Peak!$AM$11,0))</f>
        <v>-</v>
      </c>
      <c r="O200" s="177" t="str">
        <f>IF('Peak Revenue'!$A$1="BL","-",IF(Peak!U201&gt;Peak!$G201,O$8*Peak!$AM$11,0))</f>
        <v>-</v>
      </c>
      <c r="P200" s="177" t="str">
        <f>IF('Peak Revenue'!$A$1="BL","-",IF(Peak!V201&gt;Peak!$G201,P$8*Peak!$AM$11,0))</f>
        <v>-</v>
      </c>
      <c r="Q200" s="177" t="str">
        <f>IF('Peak Revenue'!$A$1="BL","-",IF(Peak!W201&gt;Peak!$G201,Q$8*Peak!$AM$11,0))</f>
        <v>-</v>
      </c>
      <c r="R200" s="177" t="str">
        <f>IF('Peak Revenue'!$A$1="BL","-",IF(Peak!X201&gt;Peak!$G201,R$8*Peak!$AM$11,0))</f>
        <v>-</v>
      </c>
      <c r="S200" s="177" t="str">
        <f>IF('Peak Revenue'!$A$1="BL","-",IF(Peak!Y201&gt;Peak!$G201,S$8*Peak!$AM$11,0))</f>
        <v>-</v>
      </c>
      <c r="T200" s="177" t="str">
        <f>IF('Peak Revenue'!$A$1="BL","-",IF(Peak!Z201&gt;Peak!$G201,T$8*Peak!$AM$11,0))</f>
        <v>-</v>
      </c>
      <c r="U200" s="177" t="str">
        <f>IF('Peak Revenue'!$A$1="BL","-",IF(Peak!AA201&gt;Peak!$G201,U$8*Peak!$AM$11,0))</f>
        <v>-</v>
      </c>
      <c r="V200" s="178">
        <f t="shared" si="4"/>
        <v>0</v>
      </c>
      <c r="W200" s="165"/>
    </row>
    <row r="201" spans="1:23" x14ac:dyDescent="0.2">
      <c r="A201" s="1">
        <f t="shared" si="5"/>
        <v>42349.647000000245</v>
      </c>
      <c r="B201" s="176" t="str">
        <f>IF('Peak Revenue'!$A$1="BL","-",IF(Peak!H202&gt;Peak!$G202,B$8*Peak!$AM$11,0))</f>
        <v>-</v>
      </c>
      <c r="C201" s="177" t="str">
        <f>IF('Peak Revenue'!$A$1="BL","-",IF(Peak!I202&gt;Peak!$G202,C$8*Peak!$AM$11,0))</f>
        <v>-</v>
      </c>
      <c r="D201" s="177" t="str">
        <f>IF('Peak Revenue'!$A$1="BL","-",IF(Peak!J202&gt;Peak!$G202,D$8*Peak!$AM$11,0))</f>
        <v>-</v>
      </c>
      <c r="E201" s="177" t="str">
        <f>IF('Peak Revenue'!$A$1="BL","-",IF(Peak!K202&gt;Peak!$G202,E$8*Peak!$AM$11,0))</f>
        <v>-</v>
      </c>
      <c r="F201" s="177" t="str">
        <f>IF('Peak Revenue'!$A$1="BL","-",IF(Peak!L202&gt;Peak!$G202,F$8*Peak!$AM$11,0))</f>
        <v>-</v>
      </c>
      <c r="G201" s="177" t="str">
        <f>IF('Peak Revenue'!$A$1="BL","-",IF(Peak!M202&gt;Peak!$G202,G$8*Peak!$AM$11,0))</f>
        <v>-</v>
      </c>
      <c r="H201" s="177" t="str">
        <f>IF('Peak Revenue'!$A$1="BL","-",IF(Peak!N202&gt;Peak!$G202,H$8*Peak!$AM$11,0))</f>
        <v>-</v>
      </c>
      <c r="I201" s="177" t="str">
        <f>IF('Peak Revenue'!$A$1="BL","-",IF(Peak!O202&gt;Peak!$G202,I$8*Peak!$AM$11,0))</f>
        <v>-</v>
      </c>
      <c r="J201" s="177" t="str">
        <f>IF('Peak Revenue'!$A$1="BL","-",IF(Peak!P202&gt;Peak!$G202,J$8*Peak!$AM$11,0))</f>
        <v>-</v>
      </c>
      <c r="K201" s="177" t="str">
        <f>IF('Peak Revenue'!$A$1="BL","-",IF(Peak!Q202&gt;Peak!$G202,K$8*Peak!$AM$11,0))</f>
        <v>-</v>
      </c>
      <c r="L201" s="177" t="str">
        <f>IF('Peak Revenue'!$A$1="BL","-",IF(Peak!R202&gt;Peak!$G202,L$8*Peak!$AM$11,0))</f>
        <v>-</v>
      </c>
      <c r="M201" s="177" t="str">
        <f>IF('Peak Revenue'!$A$1="BL","-",IF(Peak!S202&gt;Peak!$G202,M$8*Peak!$AM$11,0))</f>
        <v>-</v>
      </c>
      <c r="N201" s="177" t="str">
        <f>IF('Peak Revenue'!$A$1="BL","-",IF(Peak!T202&gt;Peak!$G202,N$8*Peak!$AM$11,0))</f>
        <v>-</v>
      </c>
      <c r="O201" s="177" t="str">
        <f>IF('Peak Revenue'!$A$1="BL","-",IF(Peak!U202&gt;Peak!$G202,O$8*Peak!$AM$11,0))</f>
        <v>-</v>
      </c>
      <c r="P201" s="177" t="str">
        <f>IF('Peak Revenue'!$A$1="BL","-",IF(Peak!V202&gt;Peak!$G202,P$8*Peak!$AM$11,0))</f>
        <v>-</v>
      </c>
      <c r="Q201" s="177" t="str">
        <f>IF('Peak Revenue'!$A$1="BL","-",IF(Peak!W202&gt;Peak!$G202,Q$8*Peak!$AM$11,0))</f>
        <v>-</v>
      </c>
      <c r="R201" s="177" t="str">
        <f>IF('Peak Revenue'!$A$1="BL","-",IF(Peak!X202&gt;Peak!$G202,R$8*Peak!$AM$11,0))</f>
        <v>-</v>
      </c>
      <c r="S201" s="177" t="str">
        <f>IF('Peak Revenue'!$A$1="BL","-",IF(Peak!Y202&gt;Peak!$G202,S$8*Peak!$AM$11,0))</f>
        <v>-</v>
      </c>
      <c r="T201" s="177" t="str">
        <f>IF('Peak Revenue'!$A$1="BL","-",IF(Peak!Z202&gt;Peak!$G202,T$8*Peak!$AM$11,0))</f>
        <v>-</v>
      </c>
      <c r="U201" s="177" t="str">
        <f>IF('Peak Revenue'!$A$1="BL","-",IF(Peak!AA202&gt;Peak!$G202,U$8*Peak!$AM$11,0))</f>
        <v>-</v>
      </c>
      <c r="V201" s="178">
        <f t="shared" si="4"/>
        <v>0</v>
      </c>
      <c r="W201" s="164">
        <f>SUM(V190:V201)</f>
        <v>0</v>
      </c>
    </row>
    <row r="202" spans="1:23" x14ac:dyDescent="0.2">
      <c r="A202" s="1">
        <f t="shared" si="5"/>
        <v>42380.064000000246</v>
      </c>
      <c r="B202" s="176" t="str">
        <f>IF('Peak Revenue'!$A$1="BL","-",IF(Peak!H203&gt;Peak!$G203,B$8*Peak!$AM$11,0))</f>
        <v>-</v>
      </c>
      <c r="C202" s="177" t="str">
        <f>IF('Peak Revenue'!$A$1="BL","-",IF(Peak!I203&gt;Peak!$G203,C$8*Peak!$AM$11,0))</f>
        <v>-</v>
      </c>
      <c r="D202" s="177" t="str">
        <f>IF('Peak Revenue'!$A$1="BL","-",IF(Peak!J203&gt;Peak!$G203,D$8*Peak!$AM$11,0))</f>
        <v>-</v>
      </c>
      <c r="E202" s="177" t="str">
        <f>IF('Peak Revenue'!$A$1="BL","-",IF(Peak!K203&gt;Peak!$G203,E$8*Peak!$AM$11,0))</f>
        <v>-</v>
      </c>
      <c r="F202" s="177" t="str">
        <f>IF('Peak Revenue'!$A$1="BL","-",IF(Peak!L203&gt;Peak!$G203,F$8*Peak!$AM$11,0))</f>
        <v>-</v>
      </c>
      <c r="G202" s="177" t="str">
        <f>IF('Peak Revenue'!$A$1="BL","-",IF(Peak!M203&gt;Peak!$G203,G$8*Peak!$AM$11,0))</f>
        <v>-</v>
      </c>
      <c r="H202" s="177" t="str">
        <f>IF('Peak Revenue'!$A$1="BL","-",IF(Peak!N203&gt;Peak!$G203,H$8*Peak!$AM$11,0))</f>
        <v>-</v>
      </c>
      <c r="I202" s="177" t="str">
        <f>IF('Peak Revenue'!$A$1="BL","-",IF(Peak!O203&gt;Peak!$G203,I$8*Peak!$AM$11,0))</f>
        <v>-</v>
      </c>
      <c r="J202" s="177" t="str">
        <f>IF('Peak Revenue'!$A$1="BL","-",IF(Peak!P203&gt;Peak!$G203,J$8*Peak!$AM$11,0))</f>
        <v>-</v>
      </c>
      <c r="K202" s="177" t="str">
        <f>IF('Peak Revenue'!$A$1="BL","-",IF(Peak!Q203&gt;Peak!$G203,K$8*Peak!$AM$11,0))</f>
        <v>-</v>
      </c>
      <c r="L202" s="177" t="str">
        <f>IF('Peak Revenue'!$A$1="BL","-",IF(Peak!R203&gt;Peak!$G203,L$8*Peak!$AM$11,0))</f>
        <v>-</v>
      </c>
      <c r="M202" s="177" t="str">
        <f>IF('Peak Revenue'!$A$1="BL","-",IF(Peak!S203&gt;Peak!$G203,M$8*Peak!$AM$11,0))</f>
        <v>-</v>
      </c>
      <c r="N202" s="177" t="str">
        <f>IF('Peak Revenue'!$A$1="BL","-",IF(Peak!T203&gt;Peak!$G203,N$8*Peak!$AM$11,0))</f>
        <v>-</v>
      </c>
      <c r="O202" s="177" t="str">
        <f>IF('Peak Revenue'!$A$1="BL","-",IF(Peak!U203&gt;Peak!$G203,O$8*Peak!$AM$11,0))</f>
        <v>-</v>
      </c>
      <c r="P202" s="177" t="str">
        <f>IF('Peak Revenue'!$A$1="BL","-",IF(Peak!V203&gt;Peak!$G203,P$8*Peak!$AM$11,0))</f>
        <v>-</v>
      </c>
      <c r="Q202" s="177" t="str">
        <f>IF('Peak Revenue'!$A$1="BL","-",IF(Peak!W203&gt;Peak!$G203,Q$8*Peak!$AM$11,0))</f>
        <v>-</v>
      </c>
      <c r="R202" s="177" t="str">
        <f>IF('Peak Revenue'!$A$1="BL","-",IF(Peak!X203&gt;Peak!$G203,R$8*Peak!$AM$11,0))</f>
        <v>-</v>
      </c>
      <c r="S202" s="177" t="str">
        <f>IF('Peak Revenue'!$A$1="BL","-",IF(Peak!Y203&gt;Peak!$G203,S$8*Peak!$AM$11,0))</f>
        <v>-</v>
      </c>
      <c r="T202" s="177" t="str">
        <f>IF('Peak Revenue'!$A$1="BL","-",IF(Peak!Z203&gt;Peak!$G203,T$8*Peak!$AM$11,0))</f>
        <v>-</v>
      </c>
      <c r="U202" s="177" t="str">
        <f>IF('Peak Revenue'!$A$1="BL","-",IF(Peak!AA203&gt;Peak!$G203,U$8*Peak!$AM$11,0))</f>
        <v>-</v>
      </c>
      <c r="V202" s="178">
        <f t="shared" si="4"/>
        <v>0</v>
      </c>
      <c r="W202" s="165"/>
    </row>
    <row r="203" spans="1:23" x14ac:dyDescent="0.2">
      <c r="A203" s="1">
        <f t="shared" si="5"/>
        <v>42410.481000000247</v>
      </c>
      <c r="B203" s="176" t="str">
        <f>IF('Peak Revenue'!$A$1="BL","-",IF(Peak!H204&gt;Peak!$G204,B$8*Peak!$AM$11,0))</f>
        <v>-</v>
      </c>
      <c r="C203" s="177" t="str">
        <f>IF('Peak Revenue'!$A$1="BL","-",IF(Peak!I204&gt;Peak!$G204,C$8*Peak!$AM$11,0))</f>
        <v>-</v>
      </c>
      <c r="D203" s="177" t="str">
        <f>IF('Peak Revenue'!$A$1="BL","-",IF(Peak!J204&gt;Peak!$G204,D$8*Peak!$AM$11,0))</f>
        <v>-</v>
      </c>
      <c r="E203" s="177" t="str">
        <f>IF('Peak Revenue'!$A$1="BL","-",IF(Peak!K204&gt;Peak!$G204,E$8*Peak!$AM$11,0))</f>
        <v>-</v>
      </c>
      <c r="F203" s="177" t="str">
        <f>IF('Peak Revenue'!$A$1="BL","-",IF(Peak!L204&gt;Peak!$G204,F$8*Peak!$AM$11,0))</f>
        <v>-</v>
      </c>
      <c r="G203" s="177" t="str">
        <f>IF('Peak Revenue'!$A$1="BL","-",IF(Peak!M204&gt;Peak!$G204,G$8*Peak!$AM$11,0))</f>
        <v>-</v>
      </c>
      <c r="H203" s="177" t="str">
        <f>IF('Peak Revenue'!$A$1="BL","-",IF(Peak!N204&gt;Peak!$G204,H$8*Peak!$AM$11,0))</f>
        <v>-</v>
      </c>
      <c r="I203" s="177" t="str">
        <f>IF('Peak Revenue'!$A$1="BL","-",IF(Peak!O204&gt;Peak!$G204,I$8*Peak!$AM$11,0))</f>
        <v>-</v>
      </c>
      <c r="J203" s="177" t="str">
        <f>IF('Peak Revenue'!$A$1="BL","-",IF(Peak!P204&gt;Peak!$G204,J$8*Peak!$AM$11,0))</f>
        <v>-</v>
      </c>
      <c r="K203" s="177" t="str">
        <f>IF('Peak Revenue'!$A$1="BL","-",IF(Peak!Q204&gt;Peak!$G204,K$8*Peak!$AM$11,0))</f>
        <v>-</v>
      </c>
      <c r="L203" s="177" t="str">
        <f>IF('Peak Revenue'!$A$1="BL","-",IF(Peak!R204&gt;Peak!$G204,L$8*Peak!$AM$11,0))</f>
        <v>-</v>
      </c>
      <c r="M203" s="177" t="str">
        <f>IF('Peak Revenue'!$A$1="BL","-",IF(Peak!S204&gt;Peak!$G204,M$8*Peak!$AM$11,0))</f>
        <v>-</v>
      </c>
      <c r="N203" s="177" t="str">
        <f>IF('Peak Revenue'!$A$1="BL","-",IF(Peak!T204&gt;Peak!$G204,N$8*Peak!$AM$11,0))</f>
        <v>-</v>
      </c>
      <c r="O203" s="177" t="str">
        <f>IF('Peak Revenue'!$A$1="BL","-",IF(Peak!U204&gt;Peak!$G204,O$8*Peak!$AM$11,0))</f>
        <v>-</v>
      </c>
      <c r="P203" s="177" t="str">
        <f>IF('Peak Revenue'!$A$1="BL","-",IF(Peak!V204&gt;Peak!$G204,P$8*Peak!$AM$11,0))</f>
        <v>-</v>
      </c>
      <c r="Q203" s="177" t="str">
        <f>IF('Peak Revenue'!$A$1="BL","-",IF(Peak!W204&gt;Peak!$G204,Q$8*Peak!$AM$11,0))</f>
        <v>-</v>
      </c>
      <c r="R203" s="177" t="str">
        <f>IF('Peak Revenue'!$A$1="BL","-",IF(Peak!X204&gt;Peak!$G204,R$8*Peak!$AM$11,0))</f>
        <v>-</v>
      </c>
      <c r="S203" s="177" t="str">
        <f>IF('Peak Revenue'!$A$1="BL","-",IF(Peak!Y204&gt;Peak!$G204,S$8*Peak!$AM$11,0))</f>
        <v>-</v>
      </c>
      <c r="T203" s="177" t="str">
        <f>IF('Peak Revenue'!$A$1="BL","-",IF(Peak!Z204&gt;Peak!$G204,T$8*Peak!$AM$11,0))</f>
        <v>-</v>
      </c>
      <c r="U203" s="177" t="str">
        <f>IF('Peak Revenue'!$A$1="BL","-",IF(Peak!AA204&gt;Peak!$G204,U$8*Peak!$AM$11,0))</f>
        <v>-</v>
      </c>
      <c r="V203" s="178">
        <f t="shared" ref="V203:V249" si="6">SUM(B203:U203)</f>
        <v>0</v>
      </c>
      <c r="W203" s="165"/>
    </row>
    <row r="204" spans="1:23" x14ac:dyDescent="0.2">
      <c r="A204" s="1">
        <f t="shared" ref="A204:A249" si="7">A203+30.417</f>
        <v>42440.898000000248</v>
      </c>
      <c r="B204" s="176" t="str">
        <f>IF('Peak Revenue'!$A$1="BL","-",IF(Peak!H205&gt;Peak!$G205,B$8*Peak!$AM$11,0))</f>
        <v>-</v>
      </c>
      <c r="C204" s="177" t="str">
        <f>IF('Peak Revenue'!$A$1="BL","-",IF(Peak!I205&gt;Peak!$G205,C$8*Peak!$AM$11,0))</f>
        <v>-</v>
      </c>
      <c r="D204" s="177" t="str">
        <f>IF('Peak Revenue'!$A$1="BL","-",IF(Peak!J205&gt;Peak!$G205,D$8*Peak!$AM$11,0))</f>
        <v>-</v>
      </c>
      <c r="E204" s="177" t="str">
        <f>IF('Peak Revenue'!$A$1="BL","-",IF(Peak!K205&gt;Peak!$G205,E$8*Peak!$AM$11,0))</f>
        <v>-</v>
      </c>
      <c r="F204" s="177" t="str">
        <f>IF('Peak Revenue'!$A$1="BL","-",IF(Peak!L205&gt;Peak!$G205,F$8*Peak!$AM$11,0))</f>
        <v>-</v>
      </c>
      <c r="G204" s="177" t="str">
        <f>IF('Peak Revenue'!$A$1="BL","-",IF(Peak!M205&gt;Peak!$G205,G$8*Peak!$AM$11,0))</f>
        <v>-</v>
      </c>
      <c r="H204" s="177" t="str">
        <f>IF('Peak Revenue'!$A$1="BL","-",IF(Peak!N205&gt;Peak!$G205,H$8*Peak!$AM$11,0))</f>
        <v>-</v>
      </c>
      <c r="I204" s="177" t="str">
        <f>IF('Peak Revenue'!$A$1="BL","-",IF(Peak!O205&gt;Peak!$G205,I$8*Peak!$AM$11,0))</f>
        <v>-</v>
      </c>
      <c r="J204" s="177" t="str">
        <f>IF('Peak Revenue'!$A$1="BL","-",IF(Peak!P205&gt;Peak!$G205,J$8*Peak!$AM$11,0))</f>
        <v>-</v>
      </c>
      <c r="K204" s="177" t="str">
        <f>IF('Peak Revenue'!$A$1="BL","-",IF(Peak!Q205&gt;Peak!$G205,K$8*Peak!$AM$11,0))</f>
        <v>-</v>
      </c>
      <c r="L204" s="177" t="str">
        <f>IF('Peak Revenue'!$A$1="BL","-",IF(Peak!R205&gt;Peak!$G205,L$8*Peak!$AM$11,0))</f>
        <v>-</v>
      </c>
      <c r="M204" s="177" t="str">
        <f>IF('Peak Revenue'!$A$1="BL","-",IF(Peak!S205&gt;Peak!$G205,M$8*Peak!$AM$11,0))</f>
        <v>-</v>
      </c>
      <c r="N204" s="177" t="str">
        <f>IF('Peak Revenue'!$A$1="BL","-",IF(Peak!T205&gt;Peak!$G205,N$8*Peak!$AM$11,0))</f>
        <v>-</v>
      </c>
      <c r="O204" s="177" t="str">
        <f>IF('Peak Revenue'!$A$1="BL","-",IF(Peak!U205&gt;Peak!$G205,O$8*Peak!$AM$11,0))</f>
        <v>-</v>
      </c>
      <c r="P204" s="177" t="str">
        <f>IF('Peak Revenue'!$A$1="BL","-",IF(Peak!V205&gt;Peak!$G205,P$8*Peak!$AM$11,0))</f>
        <v>-</v>
      </c>
      <c r="Q204" s="177" t="str">
        <f>IF('Peak Revenue'!$A$1="BL","-",IF(Peak!W205&gt;Peak!$G205,Q$8*Peak!$AM$11,0))</f>
        <v>-</v>
      </c>
      <c r="R204" s="177" t="str">
        <f>IF('Peak Revenue'!$A$1="BL","-",IF(Peak!X205&gt;Peak!$G205,R$8*Peak!$AM$11,0))</f>
        <v>-</v>
      </c>
      <c r="S204" s="177" t="str">
        <f>IF('Peak Revenue'!$A$1="BL","-",IF(Peak!Y205&gt;Peak!$G205,S$8*Peak!$AM$11,0))</f>
        <v>-</v>
      </c>
      <c r="T204" s="177" t="str">
        <f>IF('Peak Revenue'!$A$1="BL","-",IF(Peak!Z205&gt;Peak!$G205,T$8*Peak!$AM$11,0))</f>
        <v>-</v>
      </c>
      <c r="U204" s="177" t="str">
        <f>IF('Peak Revenue'!$A$1="BL","-",IF(Peak!AA205&gt;Peak!$G205,U$8*Peak!$AM$11,0))</f>
        <v>-</v>
      </c>
      <c r="V204" s="178">
        <f t="shared" si="6"/>
        <v>0</v>
      </c>
      <c r="W204" s="165"/>
    </row>
    <row r="205" spans="1:23" x14ac:dyDescent="0.2">
      <c r="A205" s="1">
        <f t="shared" si="7"/>
        <v>42471.31500000025</v>
      </c>
      <c r="B205" s="176" t="str">
        <f>IF('Peak Revenue'!$A$1="BL","-",IF(Peak!H206&gt;Peak!$G206,B$8*Peak!$AM$11,0))</f>
        <v>-</v>
      </c>
      <c r="C205" s="177" t="str">
        <f>IF('Peak Revenue'!$A$1="BL","-",IF(Peak!I206&gt;Peak!$G206,C$8*Peak!$AM$11,0))</f>
        <v>-</v>
      </c>
      <c r="D205" s="177" t="str">
        <f>IF('Peak Revenue'!$A$1="BL","-",IF(Peak!J206&gt;Peak!$G206,D$8*Peak!$AM$11,0))</f>
        <v>-</v>
      </c>
      <c r="E205" s="177" t="str">
        <f>IF('Peak Revenue'!$A$1="BL","-",IF(Peak!K206&gt;Peak!$G206,E$8*Peak!$AM$11,0))</f>
        <v>-</v>
      </c>
      <c r="F205" s="177" t="str">
        <f>IF('Peak Revenue'!$A$1="BL","-",IF(Peak!L206&gt;Peak!$G206,F$8*Peak!$AM$11,0))</f>
        <v>-</v>
      </c>
      <c r="G205" s="177" t="str">
        <f>IF('Peak Revenue'!$A$1="BL","-",IF(Peak!M206&gt;Peak!$G206,G$8*Peak!$AM$11,0))</f>
        <v>-</v>
      </c>
      <c r="H205" s="177" t="str">
        <f>IF('Peak Revenue'!$A$1="BL","-",IF(Peak!N206&gt;Peak!$G206,H$8*Peak!$AM$11,0))</f>
        <v>-</v>
      </c>
      <c r="I205" s="177" t="str">
        <f>IF('Peak Revenue'!$A$1="BL","-",IF(Peak!O206&gt;Peak!$G206,I$8*Peak!$AM$11,0))</f>
        <v>-</v>
      </c>
      <c r="J205" s="177" t="str">
        <f>IF('Peak Revenue'!$A$1="BL","-",IF(Peak!P206&gt;Peak!$G206,J$8*Peak!$AM$11,0))</f>
        <v>-</v>
      </c>
      <c r="K205" s="177" t="str">
        <f>IF('Peak Revenue'!$A$1="BL","-",IF(Peak!Q206&gt;Peak!$G206,K$8*Peak!$AM$11,0))</f>
        <v>-</v>
      </c>
      <c r="L205" s="177" t="str">
        <f>IF('Peak Revenue'!$A$1="BL","-",IF(Peak!R206&gt;Peak!$G206,L$8*Peak!$AM$11,0))</f>
        <v>-</v>
      </c>
      <c r="M205" s="177" t="str">
        <f>IF('Peak Revenue'!$A$1="BL","-",IF(Peak!S206&gt;Peak!$G206,M$8*Peak!$AM$11,0))</f>
        <v>-</v>
      </c>
      <c r="N205" s="177" t="str">
        <f>IF('Peak Revenue'!$A$1="BL","-",IF(Peak!T206&gt;Peak!$G206,N$8*Peak!$AM$11,0))</f>
        <v>-</v>
      </c>
      <c r="O205" s="177" t="str">
        <f>IF('Peak Revenue'!$A$1="BL","-",IF(Peak!U206&gt;Peak!$G206,O$8*Peak!$AM$11,0))</f>
        <v>-</v>
      </c>
      <c r="P205" s="177" t="str">
        <f>IF('Peak Revenue'!$A$1="BL","-",IF(Peak!V206&gt;Peak!$G206,P$8*Peak!$AM$11,0))</f>
        <v>-</v>
      </c>
      <c r="Q205" s="177" t="str">
        <f>IF('Peak Revenue'!$A$1="BL","-",IF(Peak!W206&gt;Peak!$G206,Q$8*Peak!$AM$11,0))</f>
        <v>-</v>
      </c>
      <c r="R205" s="177" t="str">
        <f>IF('Peak Revenue'!$A$1="BL","-",IF(Peak!X206&gt;Peak!$G206,R$8*Peak!$AM$11,0))</f>
        <v>-</v>
      </c>
      <c r="S205" s="177" t="str">
        <f>IF('Peak Revenue'!$A$1="BL","-",IF(Peak!Y206&gt;Peak!$G206,S$8*Peak!$AM$11,0))</f>
        <v>-</v>
      </c>
      <c r="T205" s="177" t="str">
        <f>IF('Peak Revenue'!$A$1="BL","-",IF(Peak!Z206&gt;Peak!$G206,T$8*Peak!$AM$11,0))</f>
        <v>-</v>
      </c>
      <c r="U205" s="177" t="str">
        <f>IF('Peak Revenue'!$A$1="BL","-",IF(Peak!AA206&gt;Peak!$G206,U$8*Peak!$AM$11,0))</f>
        <v>-</v>
      </c>
      <c r="V205" s="178">
        <f t="shared" si="6"/>
        <v>0</v>
      </c>
      <c r="W205" s="165"/>
    </row>
    <row r="206" spans="1:23" x14ac:dyDescent="0.2">
      <c r="A206" s="1">
        <f t="shared" si="7"/>
        <v>42501.732000000251</v>
      </c>
      <c r="B206" s="176" t="str">
        <f>IF('Peak Revenue'!$A$1="BL","-",IF(Peak!H207&gt;Peak!$G207,B$8*Peak!$AM$11,0))</f>
        <v>-</v>
      </c>
      <c r="C206" s="177" t="str">
        <f>IF('Peak Revenue'!$A$1="BL","-",IF(Peak!I207&gt;Peak!$G207,C$8*Peak!$AM$11,0))</f>
        <v>-</v>
      </c>
      <c r="D206" s="177" t="str">
        <f>IF('Peak Revenue'!$A$1="BL","-",IF(Peak!J207&gt;Peak!$G207,D$8*Peak!$AM$11,0))</f>
        <v>-</v>
      </c>
      <c r="E206" s="177" t="str">
        <f>IF('Peak Revenue'!$A$1="BL","-",IF(Peak!K207&gt;Peak!$G207,E$8*Peak!$AM$11,0))</f>
        <v>-</v>
      </c>
      <c r="F206" s="177" t="str">
        <f>IF('Peak Revenue'!$A$1="BL","-",IF(Peak!L207&gt;Peak!$G207,F$8*Peak!$AM$11,0))</f>
        <v>-</v>
      </c>
      <c r="G206" s="177" t="str">
        <f>IF('Peak Revenue'!$A$1="BL","-",IF(Peak!M207&gt;Peak!$G207,G$8*Peak!$AM$11,0))</f>
        <v>-</v>
      </c>
      <c r="H206" s="177" t="str">
        <f>IF('Peak Revenue'!$A$1="BL","-",IF(Peak!N207&gt;Peak!$G207,H$8*Peak!$AM$11,0))</f>
        <v>-</v>
      </c>
      <c r="I206" s="177" t="str">
        <f>IF('Peak Revenue'!$A$1="BL","-",IF(Peak!O207&gt;Peak!$G207,I$8*Peak!$AM$11,0))</f>
        <v>-</v>
      </c>
      <c r="J206" s="177" t="str">
        <f>IF('Peak Revenue'!$A$1="BL","-",IF(Peak!P207&gt;Peak!$G207,J$8*Peak!$AM$11,0))</f>
        <v>-</v>
      </c>
      <c r="K206" s="177" t="str">
        <f>IF('Peak Revenue'!$A$1="BL","-",IF(Peak!Q207&gt;Peak!$G207,K$8*Peak!$AM$11,0))</f>
        <v>-</v>
      </c>
      <c r="L206" s="177" t="str">
        <f>IF('Peak Revenue'!$A$1="BL","-",IF(Peak!R207&gt;Peak!$G207,L$8*Peak!$AM$11,0))</f>
        <v>-</v>
      </c>
      <c r="M206" s="177" t="str">
        <f>IF('Peak Revenue'!$A$1="BL","-",IF(Peak!S207&gt;Peak!$G207,M$8*Peak!$AM$11,0))</f>
        <v>-</v>
      </c>
      <c r="N206" s="177" t="str">
        <f>IF('Peak Revenue'!$A$1="BL","-",IF(Peak!T207&gt;Peak!$G207,N$8*Peak!$AM$11,0))</f>
        <v>-</v>
      </c>
      <c r="O206" s="177" t="str">
        <f>IF('Peak Revenue'!$A$1="BL","-",IF(Peak!U207&gt;Peak!$G207,O$8*Peak!$AM$11,0))</f>
        <v>-</v>
      </c>
      <c r="P206" s="177" t="str">
        <f>IF('Peak Revenue'!$A$1="BL","-",IF(Peak!V207&gt;Peak!$G207,P$8*Peak!$AM$11,0))</f>
        <v>-</v>
      </c>
      <c r="Q206" s="177" t="str">
        <f>IF('Peak Revenue'!$A$1="BL","-",IF(Peak!W207&gt;Peak!$G207,Q$8*Peak!$AM$11,0))</f>
        <v>-</v>
      </c>
      <c r="R206" s="177" t="str">
        <f>IF('Peak Revenue'!$A$1="BL","-",IF(Peak!X207&gt;Peak!$G207,R$8*Peak!$AM$11,0))</f>
        <v>-</v>
      </c>
      <c r="S206" s="177" t="str">
        <f>IF('Peak Revenue'!$A$1="BL","-",IF(Peak!Y207&gt;Peak!$G207,S$8*Peak!$AM$11,0))</f>
        <v>-</v>
      </c>
      <c r="T206" s="177" t="str">
        <f>IF('Peak Revenue'!$A$1="BL","-",IF(Peak!Z207&gt;Peak!$G207,T$8*Peak!$AM$11,0))</f>
        <v>-</v>
      </c>
      <c r="U206" s="177" t="str">
        <f>IF('Peak Revenue'!$A$1="BL","-",IF(Peak!AA207&gt;Peak!$G207,U$8*Peak!$AM$11,0))</f>
        <v>-</v>
      </c>
      <c r="V206" s="178">
        <f t="shared" si="6"/>
        <v>0</v>
      </c>
      <c r="W206" s="165"/>
    </row>
    <row r="207" spans="1:23" x14ac:dyDescent="0.2">
      <c r="A207" s="1">
        <f t="shared" si="7"/>
        <v>42532.149000000252</v>
      </c>
      <c r="B207" s="176" t="str">
        <f>IF('Peak Revenue'!$A$1="BL","-",IF(Peak!H208&gt;Peak!$G208,B$8*Peak!$AM$11,0))</f>
        <v>-</v>
      </c>
      <c r="C207" s="177" t="str">
        <f>IF('Peak Revenue'!$A$1="BL","-",IF(Peak!I208&gt;Peak!$G208,C$8*Peak!$AM$11,0))</f>
        <v>-</v>
      </c>
      <c r="D207" s="177" t="str">
        <f>IF('Peak Revenue'!$A$1="BL","-",IF(Peak!J208&gt;Peak!$G208,D$8*Peak!$AM$11,0))</f>
        <v>-</v>
      </c>
      <c r="E207" s="177" t="str">
        <f>IF('Peak Revenue'!$A$1="BL","-",IF(Peak!K208&gt;Peak!$G208,E$8*Peak!$AM$11,0))</f>
        <v>-</v>
      </c>
      <c r="F207" s="177" t="str">
        <f>IF('Peak Revenue'!$A$1="BL","-",IF(Peak!L208&gt;Peak!$G208,F$8*Peak!$AM$11,0))</f>
        <v>-</v>
      </c>
      <c r="G207" s="177" t="str">
        <f>IF('Peak Revenue'!$A$1="BL","-",IF(Peak!M208&gt;Peak!$G208,G$8*Peak!$AM$11,0))</f>
        <v>-</v>
      </c>
      <c r="H207" s="177" t="str">
        <f>IF('Peak Revenue'!$A$1="BL","-",IF(Peak!N208&gt;Peak!$G208,H$8*Peak!$AM$11,0))</f>
        <v>-</v>
      </c>
      <c r="I207" s="177" t="str">
        <f>IF('Peak Revenue'!$A$1="BL","-",IF(Peak!O208&gt;Peak!$G208,I$8*Peak!$AM$11,0))</f>
        <v>-</v>
      </c>
      <c r="J207" s="177" t="str">
        <f>IF('Peak Revenue'!$A$1="BL","-",IF(Peak!P208&gt;Peak!$G208,J$8*Peak!$AM$11,0))</f>
        <v>-</v>
      </c>
      <c r="K207" s="177" t="str">
        <f>IF('Peak Revenue'!$A$1="BL","-",IF(Peak!Q208&gt;Peak!$G208,K$8*Peak!$AM$11,0))</f>
        <v>-</v>
      </c>
      <c r="L207" s="177" t="str">
        <f>IF('Peak Revenue'!$A$1="BL","-",IF(Peak!R208&gt;Peak!$G208,L$8*Peak!$AM$11,0))</f>
        <v>-</v>
      </c>
      <c r="M207" s="177" t="str">
        <f>IF('Peak Revenue'!$A$1="BL","-",IF(Peak!S208&gt;Peak!$G208,M$8*Peak!$AM$11,0))</f>
        <v>-</v>
      </c>
      <c r="N207" s="177" t="str">
        <f>IF('Peak Revenue'!$A$1="BL","-",IF(Peak!T208&gt;Peak!$G208,N$8*Peak!$AM$11,0))</f>
        <v>-</v>
      </c>
      <c r="O207" s="177" t="str">
        <f>IF('Peak Revenue'!$A$1="BL","-",IF(Peak!U208&gt;Peak!$G208,O$8*Peak!$AM$11,0))</f>
        <v>-</v>
      </c>
      <c r="P207" s="177" t="str">
        <f>IF('Peak Revenue'!$A$1="BL","-",IF(Peak!V208&gt;Peak!$G208,P$8*Peak!$AM$11,0))</f>
        <v>-</v>
      </c>
      <c r="Q207" s="177" t="str">
        <f>IF('Peak Revenue'!$A$1="BL","-",IF(Peak!W208&gt;Peak!$G208,Q$8*Peak!$AM$11,0))</f>
        <v>-</v>
      </c>
      <c r="R207" s="177" t="str">
        <f>IF('Peak Revenue'!$A$1="BL","-",IF(Peak!X208&gt;Peak!$G208,R$8*Peak!$AM$11,0))</f>
        <v>-</v>
      </c>
      <c r="S207" s="177" t="str">
        <f>IF('Peak Revenue'!$A$1="BL","-",IF(Peak!Y208&gt;Peak!$G208,S$8*Peak!$AM$11,0))</f>
        <v>-</v>
      </c>
      <c r="T207" s="177" t="str">
        <f>IF('Peak Revenue'!$A$1="BL","-",IF(Peak!Z208&gt;Peak!$G208,T$8*Peak!$AM$11,0))</f>
        <v>-</v>
      </c>
      <c r="U207" s="177" t="str">
        <f>IF('Peak Revenue'!$A$1="BL","-",IF(Peak!AA208&gt;Peak!$G208,U$8*Peak!$AM$11,0))</f>
        <v>-</v>
      </c>
      <c r="V207" s="178">
        <f t="shared" si="6"/>
        <v>0</v>
      </c>
      <c r="W207" s="165"/>
    </row>
    <row r="208" spans="1:23" x14ac:dyDescent="0.2">
      <c r="A208" s="1">
        <f t="shared" si="7"/>
        <v>42562.566000000254</v>
      </c>
      <c r="B208" s="176" t="str">
        <f>IF('Peak Revenue'!$A$1="BL","-",IF(Peak!H209&gt;Peak!$G209,B$8*Peak!$AM$11,0))</f>
        <v>-</v>
      </c>
      <c r="C208" s="177" t="str">
        <f>IF('Peak Revenue'!$A$1="BL","-",IF(Peak!I209&gt;Peak!$G209,C$8*Peak!$AM$11,0))</f>
        <v>-</v>
      </c>
      <c r="D208" s="177" t="str">
        <f>IF('Peak Revenue'!$A$1="BL","-",IF(Peak!J209&gt;Peak!$G209,D$8*Peak!$AM$11,0))</f>
        <v>-</v>
      </c>
      <c r="E208" s="177" t="str">
        <f>IF('Peak Revenue'!$A$1="BL","-",IF(Peak!K209&gt;Peak!$G209,E$8*Peak!$AM$11,0))</f>
        <v>-</v>
      </c>
      <c r="F208" s="177" t="str">
        <f>IF('Peak Revenue'!$A$1="BL","-",IF(Peak!L209&gt;Peak!$G209,F$8*Peak!$AM$11,0))</f>
        <v>-</v>
      </c>
      <c r="G208" s="177" t="str">
        <f>IF('Peak Revenue'!$A$1="BL","-",IF(Peak!M209&gt;Peak!$G209,G$8*Peak!$AM$11,0))</f>
        <v>-</v>
      </c>
      <c r="H208" s="177" t="str">
        <f>IF('Peak Revenue'!$A$1="BL","-",IF(Peak!N209&gt;Peak!$G209,H$8*Peak!$AM$11,0))</f>
        <v>-</v>
      </c>
      <c r="I208" s="177" t="str">
        <f>IF('Peak Revenue'!$A$1="BL","-",IF(Peak!O209&gt;Peak!$G209,I$8*Peak!$AM$11,0))</f>
        <v>-</v>
      </c>
      <c r="J208" s="177" t="str">
        <f>IF('Peak Revenue'!$A$1="BL","-",IF(Peak!P209&gt;Peak!$G209,J$8*Peak!$AM$11,0))</f>
        <v>-</v>
      </c>
      <c r="K208" s="177" t="str">
        <f>IF('Peak Revenue'!$A$1="BL","-",IF(Peak!Q209&gt;Peak!$G209,K$8*Peak!$AM$11,0))</f>
        <v>-</v>
      </c>
      <c r="L208" s="177" t="str">
        <f>IF('Peak Revenue'!$A$1="BL","-",IF(Peak!R209&gt;Peak!$G209,L$8*Peak!$AM$11,0))</f>
        <v>-</v>
      </c>
      <c r="M208" s="177" t="str">
        <f>IF('Peak Revenue'!$A$1="BL","-",IF(Peak!S209&gt;Peak!$G209,M$8*Peak!$AM$11,0))</f>
        <v>-</v>
      </c>
      <c r="N208" s="177" t="str">
        <f>IF('Peak Revenue'!$A$1="BL","-",IF(Peak!T209&gt;Peak!$G209,N$8*Peak!$AM$11,0))</f>
        <v>-</v>
      </c>
      <c r="O208" s="177" t="str">
        <f>IF('Peak Revenue'!$A$1="BL","-",IF(Peak!U209&gt;Peak!$G209,O$8*Peak!$AM$11,0))</f>
        <v>-</v>
      </c>
      <c r="P208" s="177" t="str">
        <f>IF('Peak Revenue'!$A$1="BL","-",IF(Peak!V209&gt;Peak!$G209,P$8*Peak!$AM$11,0))</f>
        <v>-</v>
      </c>
      <c r="Q208" s="177" t="str">
        <f>IF('Peak Revenue'!$A$1="BL","-",IF(Peak!W209&gt;Peak!$G209,Q$8*Peak!$AM$11,0))</f>
        <v>-</v>
      </c>
      <c r="R208" s="177" t="str">
        <f>IF('Peak Revenue'!$A$1="BL","-",IF(Peak!X209&gt;Peak!$G209,R$8*Peak!$AM$11,0))</f>
        <v>-</v>
      </c>
      <c r="S208" s="177" t="str">
        <f>IF('Peak Revenue'!$A$1="BL","-",IF(Peak!Y209&gt;Peak!$G209,S$8*Peak!$AM$11,0))</f>
        <v>-</v>
      </c>
      <c r="T208" s="177" t="str">
        <f>IF('Peak Revenue'!$A$1="BL","-",IF(Peak!Z209&gt;Peak!$G209,T$8*Peak!$AM$11,0))</f>
        <v>-</v>
      </c>
      <c r="U208" s="177" t="str">
        <f>IF('Peak Revenue'!$A$1="BL","-",IF(Peak!AA209&gt;Peak!$G209,U$8*Peak!$AM$11,0))</f>
        <v>-</v>
      </c>
      <c r="V208" s="178">
        <f t="shared" si="6"/>
        <v>0</v>
      </c>
      <c r="W208" s="165"/>
    </row>
    <row r="209" spans="1:23" x14ac:dyDescent="0.2">
      <c r="A209" s="1">
        <f t="shared" si="7"/>
        <v>42592.983000000255</v>
      </c>
      <c r="B209" s="176" t="str">
        <f>IF('Peak Revenue'!$A$1="BL","-",IF(Peak!H210&gt;Peak!$G210,B$8*Peak!$AM$11,0))</f>
        <v>-</v>
      </c>
      <c r="C209" s="177" t="str">
        <f>IF('Peak Revenue'!$A$1="BL","-",IF(Peak!I210&gt;Peak!$G210,C$8*Peak!$AM$11,0))</f>
        <v>-</v>
      </c>
      <c r="D209" s="177" t="str">
        <f>IF('Peak Revenue'!$A$1="BL","-",IF(Peak!J210&gt;Peak!$G210,D$8*Peak!$AM$11,0))</f>
        <v>-</v>
      </c>
      <c r="E209" s="177" t="str">
        <f>IF('Peak Revenue'!$A$1="BL","-",IF(Peak!K210&gt;Peak!$G210,E$8*Peak!$AM$11,0))</f>
        <v>-</v>
      </c>
      <c r="F209" s="177" t="str">
        <f>IF('Peak Revenue'!$A$1="BL","-",IF(Peak!L210&gt;Peak!$G210,F$8*Peak!$AM$11,0))</f>
        <v>-</v>
      </c>
      <c r="G209" s="177" t="str">
        <f>IF('Peak Revenue'!$A$1="BL","-",IF(Peak!M210&gt;Peak!$G210,G$8*Peak!$AM$11,0))</f>
        <v>-</v>
      </c>
      <c r="H209" s="177" t="str">
        <f>IF('Peak Revenue'!$A$1="BL","-",IF(Peak!N210&gt;Peak!$G210,H$8*Peak!$AM$11,0))</f>
        <v>-</v>
      </c>
      <c r="I209" s="177" t="str">
        <f>IF('Peak Revenue'!$A$1="BL","-",IF(Peak!O210&gt;Peak!$G210,I$8*Peak!$AM$11,0))</f>
        <v>-</v>
      </c>
      <c r="J209" s="177" t="str">
        <f>IF('Peak Revenue'!$A$1="BL","-",IF(Peak!P210&gt;Peak!$G210,J$8*Peak!$AM$11,0))</f>
        <v>-</v>
      </c>
      <c r="K209" s="177" t="str">
        <f>IF('Peak Revenue'!$A$1="BL","-",IF(Peak!Q210&gt;Peak!$G210,K$8*Peak!$AM$11,0))</f>
        <v>-</v>
      </c>
      <c r="L209" s="177" t="str">
        <f>IF('Peak Revenue'!$A$1="BL","-",IF(Peak!R210&gt;Peak!$G210,L$8*Peak!$AM$11,0))</f>
        <v>-</v>
      </c>
      <c r="M209" s="177" t="str">
        <f>IF('Peak Revenue'!$A$1="BL","-",IF(Peak!S210&gt;Peak!$G210,M$8*Peak!$AM$11,0))</f>
        <v>-</v>
      </c>
      <c r="N209" s="177" t="str">
        <f>IF('Peak Revenue'!$A$1="BL","-",IF(Peak!T210&gt;Peak!$G210,N$8*Peak!$AM$11,0))</f>
        <v>-</v>
      </c>
      <c r="O209" s="177" t="str">
        <f>IF('Peak Revenue'!$A$1="BL","-",IF(Peak!U210&gt;Peak!$G210,O$8*Peak!$AM$11,0))</f>
        <v>-</v>
      </c>
      <c r="P209" s="177" t="str">
        <f>IF('Peak Revenue'!$A$1="BL","-",IF(Peak!V210&gt;Peak!$G210,P$8*Peak!$AM$11,0))</f>
        <v>-</v>
      </c>
      <c r="Q209" s="177" t="str">
        <f>IF('Peak Revenue'!$A$1="BL","-",IF(Peak!W210&gt;Peak!$G210,Q$8*Peak!$AM$11,0))</f>
        <v>-</v>
      </c>
      <c r="R209" s="177" t="str">
        <f>IF('Peak Revenue'!$A$1="BL","-",IF(Peak!X210&gt;Peak!$G210,R$8*Peak!$AM$11,0))</f>
        <v>-</v>
      </c>
      <c r="S209" s="177" t="str">
        <f>IF('Peak Revenue'!$A$1="BL","-",IF(Peak!Y210&gt;Peak!$G210,S$8*Peak!$AM$11,0))</f>
        <v>-</v>
      </c>
      <c r="T209" s="177" t="str">
        <f>IF('Peak Revenue'!$A$1="BL","-",IF(Peak!Z210&gt;Peak!$G210,T$8*Peak!$AM$11,0))</f>
        <v>-</v>
      </c>
      <c r="U209" s="177" t="str">
        <f>IF('Peak Revenue'!$A$1="BL","-",IF(Peak!AA210&gt;Peak!$G210,U$8*Peak!$AM$11,0))</f>
        <v>-</v>
      </c>
      <c r="V209" s="178">
        <f t="shared" si="6"/>
        <v>0</v>
      </c>
      <c r="W209" s="165"/>
    </row>
    <row r="210" spans="1:23" x14ac:dyDescent="0.2">
      <c r="A210" s="1">
        <f t="shared" si="7"/>
        <v>42623.400000000256</v>
      </c>
      <c r="B210" s="176" t="str">
        <f>IF('Peak Revenue'!$A$1="BL","-",IF(Peak!H211&gt;Peak!$G211,B$8*Peak!$AM$11,0))</f>
        <v>-</v>
      </c>
      <c r="C210" s="177" t="str">
        <f>IF('Peak Revenue'!$A$1="BL","-",IF(Peak!I211&gt;Peak!$G211,C$8*Peak!$AM$11,0))</f>
        <v>-</v>
      </c>
      <c r="D210" s="177" t="str">
        <f>IF('Peak Revenue'!$A$1="BL","-",IF(Peak!J211&gt;Peak!$G211,D$8*Peak!$AM$11,0))</f>
        <v>-</v>
      </c>
      <c r="E210" s="177" t="str">
        <f>IF('Peak Revenue'!$A$1="BL","-",IF(Peak!K211&gt;Peak!$G211,E$8*Peak!$AM$11,0))</f>
        <v>-</v>
      </c>
      <c r="F210" s="177" t="str">
        <f>IF('Peak Revenue'!$A$1="BL","-",IF(Peak!L211&gt;Peak!$G211,F$8*Peak!$AM$11,0))</f>
        <v>-</v>
      </c>
      <c r="G210" s="177" t="str">
        <f>IF('Peak Revenue'!$A$1="BL","-",IF(Peak!M211&gt;Peak!$G211,G$8*Peak!$AM$11,0))</f>
        <v>-</v>
      </c>
      <c r="H210" s="177" t="str">
        <f>IF('Peak Revenue'!$A$1="BL","-",IF(Peak!N211&gt;Peak!$G211,H$8*Peak!$AM$11,0))</f>
        <v>-</v>
      </c>
      <c r="I210" s="177" t="str">
        <f>IF('Peak Revenue'!$A$1="BL","-",IF(Peak!O211&gt;Peak!$G211,I$8*Peak!$AM$11,0))</f>
        <v>-</v>
      </c>
      <c r="J210" s="177" t="str">
        <f>IF('Peak Revenue'!$A$1="BL","-",IF(Peak!P211&gt;Peak!$G211,J$8*Peak!$AM$11,0))</f>
        <v>-</v>
      </c>
      <c r="K210" s="177" t="str">
        <f>IF('Peak Revenue'!$A$1="BL","-",IF(Peak!Q211&gt;Peak!$G211,K$8*Peak!$AM$11,0))</f>
        <v>-</v>
      </c>
      <c r="L210" s="177" t="str">
        <f>IF('Peak Revenue'!$A$1="BL","-",IF(Peak!R211&gt;Peak!$G211,L$8*Peak!$AM$11,0))</f>
        <v>-</v>
      </c>
      <c r="M210" s="177" t="str">
        <f>IF('Peak Revenue'!$A$1="BL","-",IF(Peak!S211&gt;Peak!$G211,M$8*Peak!$AM$11,0))</f>
        <v>-</v>
      </c>
      <c r="N210" s="177" t="str">
        <f>IF('Peak Revenue'!$A$1="BL","-",IF(Peak!T211&gt;Peak!$G211,N$8*Peak!$AM$11,0))</f>
        <v>-</v>
      </c>
      <c r="O210" s="177" t="str">
        <f>IF('Peak Revenue'!$A$1="BL","-",IF(Peak!U211&gt;Peak!$G211,O$8*Peak!$AM$11,0))</f>
        <v>-</v>
      </c>
      <c r="P210" s="177" t="str">
        <f>IF('Peak Revenue'!$A$1="BL","-",IF(Peak!V211&gt;Peak!$G211,P$8*Peak!$AM$11,0))</f>
        <v>-</v>
      </c>
      <c r="Q210" s="177" t="str">
        <f>IF('Peak Revenue'!$A$1="BL","-",IF(Peak!W211&gt;Peak!$G211,Q$8*Peak!$AM$11,0))</f>
        <v>-</v>
      </c>
      <c r="R210" s="177" t="str">
        <f>IF('Peak Revenue'!$A$1="BL","-",IF(Peak!X211&gt;Peak!$G211,R$8*Peak!$AM$11,0))</f>
        <v>-</v>
      </c>
      <c r="S210" s="177" t="str">
        <f>IF('Peak Revenue'!$A$1="BL","-",IF(Peak!Y211&gt;Peak!$G211,S$8*Peak!$AM$11,0))</f>
        <v>-</v>
      </c>
      <c r="T210" s="177" t="str">
        <f>IF('Peak Revenue'!$A$1="BL","-",IF(Peak!Z211&gt;Peak!$G211,T$8*Peak!$AM$11,0))</f>
        <v>-</v>
      </c>
      <c r="U210" s="177" t="str">
        <f>IF('Peak Revenue'!$A$1="BL","-",IF(Peak!AA211&gt;Peak!$G211,U$8*Peak!$AM$11,0))</f>
        <v>-</v>
      </c>
      <c r="V210" s="178">
        <f t="shared" si="6"/>
        <v>0</v>
      </c>
      <c r="W210" s="165"/>
    </row>
    <row r="211" spans="1:23" x14ac:dyDescent="0.2">
      <c r="A211" s="1">
        <f t="shared" si="7"/>
        <v>42653.817000000257</v>
      </c>
      <c r="B211" s="176" t="str">
        <f>IF('Peak Revenue'!$A$1="BL","-",IF(Peak!H212&gt;Peak!$G212,B$8*Peak!$AM$11,0))</f>
        <v>-</v>
      </c>
      <c r="C211" s="177" t="str">
        <f>IF('Peak Revenue'!$A$1="BL","-",IF(Peak!I212&gt;Peak!$G212,C$8*Peak!$AM$11,0))</f>
        <v>-</v>
      </c>
      <c r="D211" s="177" t="str">
        <f>IF('Peak Revenue'!$A$1="BL","-",IF(Peak!J212&gt;Peak!$G212,D$8*Peak!$AM$11,0))</f>
        <v>-</v>
      </c>
      <c r="E211" s="177" t="str">
        <f>IF('Peak Revenue'!$A$1="BL","-",IF(Peak!K212&gt;Peak!$G212,E$8*Peak!$AM$11,0))</f>
        <v>-</v>
      </c>
      <c r="F211" s="177" t="str">
        <f>IF('Peak Revenue'!$A$1="BL","-",IF(Peak!L212&gt;Peak!$G212,F$8*Peak!$AM$11,0))</f>
        <v>-</v>
      </c>
      <c r="G211" s="177" t="str">
        <f>IF('Peak Revenue'!$A$1="BL","-",IF(Peak!M212&gt;Peak!$G212,G$8*Peak!$AM$11,0))</f>
        <v>-</v>
      </c>
      <c r="H211" s="177" t="str">
        <f>IF('Peak Revenue'!$A$1="BL","-",IF(Peak!N212&gt;Peak!$G212,H$8*Peak!$AM$11,0))</f>
        <v>-</v>
      </c>
      <c r="I211" s="177" t="str">
        <f>IF('Peak Revenue'!$A$1="BL","-",IF(Peak!O212&gt;Peak!$G212,I$8*Peak!$AM$11,0))</f>
        <v>-</v>
      </c>
      <c r="J211" s="177" t="str">
        <f>IF('Peak Revenue'!$A$1="BL","-",IF(Peak!P212&gt;Peak!$G212,J$8*Peak!$AM$11,0))</f>
        <v>-</v>
      </c>
      <c r="K211" s="177" t="str">
        <f>IF('Peak Revenue'!$A$1="BL","-",IF(Peak!Q212&gt;Peak!$G212,K$8*Peak!$AM$11,0))</f>
        <v>-</v>
      </c>
      <c r="L211" s="177" t="str">
        <f>IF('Peak Revenue'!$A$1="BL","-",IF(Peak!R212&gt;Peak!$G212,L$8*Peak!$AM$11,0))</f>
        <v>-</v>
      </c>
      <c r="M211" s="177" t="str">
        <f>IF('Peak Revenue'!$A$1="BL","-",IF(Peak!S212&gt;Peak!$G212,M$8*Peak!$AM$11,0))</f>
        <v>-</v>
      </c>
      <c r="N211" s="177" t="str">
        <f>IF('Peak Revenue'!$A$1="BL","-",IF(Peak!T212&gt;Peak!$G212,N$8*Peak!$AM$11,0))</f>
        <v>-</v>
      </c>
      <c r="O211" s="177" t="str">
        <f>IF('Peak Revenue'!$A$1="BL","-",IF(Peak!U212&gt;Peak!$G212,O$8*Peak!$AM$11,0))</f>
        <v>-</v>
      </c>
      <c r="P211" s="177" t="str">
        <f>IF('Peak Revenue'!$A$1="BL","-",IF(Peak!V212&gt;Peak!$G212,P$8*Peak!$AM$11,0))</f>
        <v>-</v>
      </c>
      <c r="Q211" s="177" t="str">
        <f>IF('Peak Revenue'!$A$1="BL","-",IF(Peak!W212&gt;Peak!$G212,Q$8*Peak!$AM$11,0))</f>
        <v>-</v>
      </c>
      <c r="R211" s="177" t="str">
        <f>IF('Peak Revenue'!$A$1="BL","-",IF(Peak!X212&gt;Peak!$G212,R$8*Peak!$AM$11,0))</f>
        <v>-</v>
      </c>
      <c r="S211" s="177" t="str">
        <f>IF('Peak Revenue'!$A$1="BL","-",IF(Peak!Y212&gt;Peak!$G212,S$8*Peak!$AM$11,0))</f>
        <v>-</v>
      </c>
      <c r="T211" s="177" t="str">
        <f>IF('Peak Revenue'!$A$1="BL","-",IF(Peak!Z212&gt;Peak!$G212,T$8*Peak!$AM$11,0))</f>
        <v>-</v>
      </c>
      <c r="U211" s="177" t="str">
        <f>IF('Peak Revenue'!$A$1="BL","-",IF(Peak!AA212&gt;Peak!$G212,U$8*Peak!$AM$11,0))</f>
        <v>-</v>
      </c>
      <c r="V211" s="178">
        <f t="shared" si="6"/>
        <v>0</v>
      </c>
      <c r="W211" s="165"/>
    </row>
    <row r="212" spans="1:23" x14ac:dyDescent="0.2">
      <c r="A212" s="1">
        <f t="shared" si="7"/>
        <v>42684.234000000259</v>
      </c>
      <c r="B212" s="176" t="str">
        <f>IF('Peak Revenue'!$A$1="BL","-",IF(Peak!H213&gt;Peak!$G213,B$8*Peak!$AM$11,0))</f>
        <v>-</v>
      </c>
      <c r="C212" s="177" t="str">
        <f>IF('Peak Revenue'!$A$1="BL","-",IF(Peak!I213&gt;Peak!$G213,C$8*Peak!$AM$11,0))</f>
        <v>-</v>
      </c>
      <c r="D212" s="177" t="str">
        <f>IF('Peak Revenue'!$A$1="BL","-",IF(Peak!J213&gt;Peak!$G213,D$8*Peak!$AM$11,0))</f>
        <v>-</v>
      </c>
      <c r="E212" s="177" t="str">
        <f>IF('Peak Revenue'!$A$1="BL","-",IF(Peak!K213&gt;Peak!$G213,E$8*Peak!$AM$11,0))</f>
        <v>-</v>
      </c>
      <c r="F212" s="177" t="str">
        <f>IF('Peak Revenue'!$A$1="BL","-",IF(Peak!L213&gt;Peak!$G213,F$8*Peak!$AM$11,0))</f>
        <v>-</v>
      </c>
      <c r="G212" s="177" t="str">
        <f>IF('Peak Revenue'!$A$1="BL","-",IF(Peak!M213&gt;Peak!$G213,G$8*Peak!$AM$11,0))</f>
        <v>-</v>
      </c>
      <c r="H212" s="177" t="str">
        <f>IF('Peak Revenue'!$A$1="BL","-",IF(Peak!N213&gt;Peak!$G213,H$8*Peak!$AM$11,0))</f>
        <v>-</v>
      </c>
      <c r="I212" s="177" t="str">
        <f>IF('Peak Revenue'!$A$1="BL","-",IF(Peak!O213&gt;Peak!$G213,I$8*Peak!$AM$11,0))</f>
        <v>-</v>
      </c>
      <c r="J212" s="177" t="str">
        <f>IF('Peak Revenue'!$A$1="BL","-",IF(Peak!P213&gt;Peak!$G213,J$8*Peak!$AM$11,0))</f>
        <v>-</v>
      </c>
      <c r="K212" s="177" t="str">
        <f>IF('Peak Revenue'!$A$1="BL","-",IF(Peak!Q213&gt;Peak!$G213,K$8*Peak!$AM$11,0))</f>
        <v>-</v>
      </c>
      <c r="L212" s="177" t="str">
        <f>IF('Peak Revenue'!$A$1="BL","-",IF(Peak!R213&gt;Peak!$G213,L$8*Peak!$AM$11,0))</f>
        <v>-</v>
      </c>
      <c r="M212" s="177" t="str">
        <f>IF('Peak Revenue'!$A$1="BL","-",IF(Peak!S213&gt;Peak!$G213,M$8*Peak!$AM$11,0))</f>
        <v>-</v>
      </c>
      <c r="N212" s="177" t="str">
        <f>IF('Peak Revenue'!$A$1="BL","-",IF(Peak!T213&gt;Peak!$G213,N$8*Peak!$AM$11,0))</f>
        <v>-</v>
      </c>
      <c r="O212" s="177" t="str">
        <f>IF('Peak Revenue'!$A$1="BL","-",IF(Peak!U213&gt;Peak!$G213,O$8*Peak!$AM$11,0))</f>
        <v>-</v>
      </c>
      <c r="P212" s="177" t="str">
        <f>IF('Peak Revenue'!$A$1="BL","-",IF(Peak!V213&gt;Peak!$G213,P$8*Peak!$AM$11,0))</f>
        <v>-</v>
      </c>
      <c r="Q212" s="177" t="str">
        <f>IF('Peak Revenue'!$A$1="BL","-",IF(Peak!W213&gt;Peak!$G213,Q$8*Peak!$AM$11,0))</f>
        <v>-</v>
      </c>
      <c r="R212" s="177" t="str">
        <f>IF('Peak Revenue'!$A$1="BL","-",IF(Peak!X213&gt;Peak!$G213,R$8*Peak!$AM$11,0))</f>
        <v>-</v>
      </c>
      <c r="S212" s="177" t="str">
        <f>IF('Peak Revenue'!$A$1="BL","-",IF(Peak!Y213&gt;Peak!$G213,S$8*Peak!$AM$11,0))</f>
        <v>-</v>
      </c>
      <c r="T212" s="177" t="str">
        <f>IF('Peak Revenue'!$A$1="BL","-",IF(Peak!Z213&gt;Peak!$G213,T$8*Peak!$AM$11,0))</f>
        <v>-</v>
      </c>
      <c r="U212" s="177" t="str">
        <f>IF('Peak Revenue'!$A$1="BL","-",IF(Peak!AA213&gt;Peak!$G213,U$8*Peak!$AM$11,0))</f>
        <v>-</v>
      </c>
      <c r="V212" s="178">
        <f t="shared" si="6"/>
        <v>0</v>
      </c>
      <c r="W212" s="164"/>
    </row>
    <row r="213" spans="1:23" x14ac:dyDescent="0.2">
      <c r="A213" s="1">
        <f t="shared" si="7"/>
        <v>42714.65100000026</v>
      </c>
      <c r="B213" s="176" t="str">
        <f>IF('Peak Revenue'!$A$1="BL","-",IF(Peak!H214&gt;Peak!$G214,B$8*Peak!$AM$11,0))</f>
        <v>-</v>
      </c>
      <c r="C213" s="177" t="str">
        <f>IF('Peak Revenue'!$A$1="BL","-",IF(Peak!I214&gt;Peak!$G214,C$8*Peak!$AM$11,0))</f>
        <v>-</v>
      </c>
      <c r="D213" s="177" t="str">
        <f>IF('Peak Revenue'!$A$1="BL","-",IF(Peak!J214&gt;Peak!$G214,D$8*Peak!$AM$11,0))</f>
        <v>-</v>
      </c>
      <c r="E213" s="177" t="str">
        <f>IF('Peak Revenue'!$A$1="BL","-",IF(Peak!K214&gt;Peak!$G214,E$8*Peak!$AM$11,0))</f>
        <v>-</v>
      </c>
      <c r="F213" s="177" t="str">
        <f>IF('Peak Revenue'!$A$1="BL","-",IF(Peak!L214&gt;Peak!$G214,F$8*Peak!$AM$11,0))</f>
        <v>-</v>
      </c>
      <c r="G213" s="177" t="str">
        <f>IF('Peak Revenue'!$A$1="BL","-",IF(Peak!M214&gt;Peak!$G214,G$8*Peak!$AM$11,0))</f>
        <v>-</v>
      </c>
      <c r="H213" s="177" t="str">
        <f>IF('Peak Revenue'!$A$1="BL","-",IF(Peak!N214&gt;Peak!$G214,H$8*Peak!$AM$11,0))</f>
        <v>-</v>
      </c>
      <c r="I213" s="177" t="str">
        <f>IF('Peak Revenue'!$A$1="BL","-",IF(Peak!O214&gt;Peak!$G214,I$8*Peak!$AM$11,0))</f>
        <v>-</v>
      </c>
      <c r="J213" s="177" t="str">
        <f>IF('Peak Revenue'!$A$1="BL","-",IF(Peak!P214&gt;Peak!$G214,J$8*Peak!$AM$11,0))</f>
        <v>-</v>
      </c>
      <c r="K213" s="177" t="str">
        <f>IF('Peak Revenue'!$A$1="BL","-",IF(Peak!Q214&gt;Peak!$G214,K$8*Peak!$AM$11,0))</f>
        <v>-</v>
      </c>
      <c r="L213" s="177" t="str">
        <f>IF('Peak Revenue'!$A$1="BL","-",IF(Peak!R214&gt;Peak!$G214,L$8*Peak!$AM$11,0))</f>
        <v>-</v>
      </c>
      <c r="M213" s="177" t="str">
        <f>IF('Peak Revenue'!$A$1="BL","-",IF(Peak!S214&gt;Peak!$G214,M$8*Peak!$AM$11,0))</f>
        <v>-</v>
      </c>
      <c r="N213" s="177" t="str">
        <f>IF('Peak Revenue'!$A$1="BL","-",IF(Peak!T214&gt;Peak!$G214,N$8*Peak!$AM$11,0))</f>
        <v>-</v>
      </c>
      <c r="O213" s="177" t="str">
        <f>IF('Peak Revenue'!$A$1="BL","-",IF(Peak!U214&gt;Peak!$G214,O$8*Peak!$AM$11,0))</f>
        <v>-</v>
      </c>
      <c r="P213" s="177" t="str">
        <f>IF('Peak Revenue'!$A$1="BL","-",IF(Peak!V214&gt;Peak!$G214,P$8*Peak!$AM$11,0))</f>
        <v>-</v>
      </c>
      <c r="Q213" s="177" t="str">
        <f>IF('Peak Revenue'!$A$1="BL","-",IF(Peak!W214&gt;Peak!$G214,Q$8*Peak!$AM$11,0))</f>
        <v>-</v>
      </c>
      <c r="R213" s="177" t="str">
        <f>IF('Peak Revenue'!$A$1="BL","-",IF(Peak!X214&gt;Peak!$G214,R$8*Peak!$AM$11,0))</f>
        <v>-</v>
      </c>
      <c r="S213" s="177" t="str">
        <f>IF('Peak Revenue'!$A$1="BL","-",IF(Peak!Y214&gt;Peak!$G214,S$8*Peak!$AM$11,0))</f>
        <v>-</v>
      </c>
      <c r="T213" s="177" t="str">
        <f>IF('Peak Revenue'!$A$1="BL","-",IF(Peak!Z214&gt;Peak!$G214,T$8*Peak!$AM$11,0))</f>
        <v>-</v>
      </c>
      <c r="U213" s="177" t="str">
        <f>IF('Peak Revenue'!$A$1="BL","-",IF(Peak!AA214&gt;Peak!$G214,U$8*Peak!$AM$11,0))</f>
        <v>-</v>
      </c>
      <c r="V213" s="178">
        <f t="shared" si="6"/>
        <v>0</v>
      </c>
      <c r="W213" s="164">
        <f>SUM(V202:V213)</f>
        <v>0</v>
      </c>
    </row>
    <row r="214" spans="1:23" x14ac:dyDescent="0.2">
      <c r="A214" s="1">
        <f t="shared" si="7"/>
        <v>42745.068000000261</v>
      </c>
      <c r="B214" s="176" t="str">
        <f>IF('Peak Revenue'!$A$1="BL","-",IF(Peak!H215&gt;Peak!$G215,B$8*Peak!$AM$11,0))</f>
        <v>-</v>
      </c>
      <c r="C214" s="177" t="str">
        <f>IF('Peak Revenue'!$A$1="BL","-",IF(Peak!I215&gt;Peak!$G215,C$8*Peak!$AM$11,0))</f>
        <v>-</v>
      </c>
      <c r="D214" s="177" t="str">
        <f>IF('Peak Revenue'!$A$1="BL","-",IF(Peak!J215&gt;Peak!$G215,D$8*Peak!$AM$11,0))</f>
        <v>-</v>
      </c>
      <c r="E214" s="177" t="str">
        <f>IF('Peak Revenue'!$A$1="BL","-",IF(Peak!K215&gt;Peak!$G215,E$8*Peak!$AM$11,0))</f>
        <v>-</v>
      </c>
      <c r="F214" s="177" t="str">
        <f>IF('Peak Revenue'!$A$1="BL","-",IF(Peak!L215&gt;Peak!$G215,F$8*Peak!$AM$11,0))</f>
        <v>-</v>
      </c>
      <c r="G214" s="177" t="str">
        <f>IF('Peak Revenue'!$A$1="BL","-",IF(Peak!M215&gt;Peak!$G215,G$8*Peak!$AM$11,0))</f>
        <v>-</v>
      </c>
      <c r="H214" s="177" t="str">
        <f>IF('Peak Revenue'!$A$1="BL","-",IF(Peak!N215&gt;Peak!$G215,H$8*Peak!$AM$11,0))</f>
        <v>-</v>
      </c>
      <c r="I214" s="177" t="str">
        <f>IF('Peak Revenue'!$A$1="BL","-",IF(Peak!O215&gt;Peak!$G215,I$8*Peak!$AM$11,0))</f>
        <v>-</v>
      </c>
      <c r="J214" s="177" t="str">
        <f>IF('Peak Revenue'!$A$1="BL","-",IF(Peak!P215&gt;Peak!$G215,J$8*Peak!$AM$11,0))</f>
        <v>-</v>
      </c>
      <c r="K214" s="177" t="str">
        <f>IF('Peak Revenue'!$A$1="BL","-",IF(Peak!Q215&gt;Peak!$G215,K$8*Peak!$AM$11,0))</f>
        <v>-</v>
      </c>
      <c r="L214" s="177" t="str">
        <f>IF('Peak Revenue'!$A$1="BL","-",IF(Peak!R215&gt;Peak!$G215,L$8*Peak!$AM$11,0))</f>
        <v>-</v>
      </c>
      <c r="M214" s="177" t="str">
        <f>IF('Peak Revenue'!$A$1="BL","-",IF(Peak!S215&gt;Peak!$G215,M$8*Peak!$AM$11,0))</f>
        <v>-</v>
      </c>
      <c r="N214" s="177" t="str">
        <f>IF('Peak Revenue'!$A$1="BL","-",IF(Peak!T215&gt;Peak!$G215,N$8*Peak!$AM$11,0))</f>
        <v>-</v>
      </c>
      <c r="O214" s="177" t="str">
        <f>IF('Peak Revenue'!$A$1="BL","-",IF(Peak!U215&gt;Peak!$G215,O$8*Peak!$AM$11,0))</f>
        <v>-</v>
      </c>
      <c r="P214" s="177" t="str">
        <f>IF('Peak Revenue'!$A$1="BL","-",IF(Peak!V215&gt;Peak!$G215,P$8*Peak!$AM$11,0))</f>
        <v>-</v>
      </c>
      <c r="Q214" s="177" t="str">
        <f>IF('Peak Revenue'!$A$1="BL","-",IF(Peak!W215&gt;Peak!$G215,Q$8*Peak!$AM$11,0))</f>
        <v>-</v>
      </c>
      <c r="R214" s="177" t="str">
        <f>IF('Peak Revenue'!$A$1="BL","-",IF(Peak!X215&gt;Peak!$G215,R$8*Peak!$AM$11,0))</f>
        <v>-</v>
      </c>
      <c r="S214" s="177" t="str">
        <f>IF('Peak Revenue'!$A$1="BL","-",IF(Peak!Y215&gt;Peak!$G215,S$8*Peak!$AM$11,0))</f>
        <v>-</v>
      </c>
      <c r="T214" s="177" t="str">
        <f>IF('Peak Revenue'!$A$1="BL","-",IF(Peak!Z215&gt;Peak!$G215,T$8*Peak!$AM$11,0))</f>
        <v>-</v>
      </c>
      <c r="U214" s="177" t="str">
        <f>IF('Peak Revenue'!$A$1="BL","-",IF(Peak!AA215&gt;Peak!$G215,U$8*Peak!$AM$11,0))</f>
        <v>-</v>
      </c>
      <c r="V214" s="178">
        <f t="shared" si="6"/>
        <v>0</v>
      </c>
      <c r="W214" s="165"/>
    </row>
    <row r="215" spans="1:23" x14ac:dyDescent="0.2">
      <c r="A215" s="1">
        <f t="shared" si="7"/>
        <v>42775.485000000263</v>
      </c>
      <c r="B215" s="176" t="str">
        <f>IF('Peak Revenue'!$A$1="BL","-",IF(Peak!H216&gt;Peak!$G216,B$8*Peak!$AM$11,0))</f>
        <v>-</v>
      </c>
      <c r="C215" s="177" t="str">
        <f>IF('Peak Revenue'!$A$1="BL","-",IF(Peak!I216&gt;Peak!$G216,C$8*Peak!$AM$11,0))</f>
        <v>-</v>
      </c>
      <c r="D215" s="177" t="str">
        <f>IF('Peak Revenue'!$A$1="BL","-",IF(Peak!J216&gt;Peak!$G216,D$8*Peak!$AM$11,0))</f>
        <v>-</v>
      </c>
      <c r="E215" s="177" t="str">
        <f>IF('Peak Revenue'!$A$1="BL","-",IF(Peak!K216&gt;Peak!$G216,E$8*Peak!$AM$11,0))</f>
        <v>-</v>
      </c>
      <c r="F215" s="177" t="str">
        <f>IF('Peak Revenue'!$A$1="BL","-",IF(Peak!L216&gt;Peak!$G216,F$8*Peak!$AM$11,0))</f>
        <v>-</v>
      </c>
      <c r="G215" s="177" t="str">
        <f>IF('Peak Revenue'!$A$1="BL","-",IF(Peak!M216&gt;Peak!$G216,G$8*Peak!$AM$11,0))</f>
        <v>-</v>
      </c>
      <c r="H215" s="177" t="str">
        <f>IF('Peak Revenue'!$A$1="BL","-",IF(Peak!N216&gt;Peak!$G216,H$8*Peak!$AM$11,0))</f>
        <v>-</v>
      </c>
      <c r="I215" s="177" t="str">
        <f>IF('Peak Revenue'!$A$1="BL","-",IF(Peak!O216&gt;Peak!$G216,I$8*Peak!$AM$11,0))</f>
        <v>-</v>
      </c>
      <c r="J215" s="177" t="str">
        <f>IF('Peak Revenue'!$A$1="BL","-",IF(Peak!P216&gt;Peak!$G216,J$8*Peak!$AM$11,0))</f>
        <v>-</v>
      </c>
      <c r="K215" s="177" t="str">
        <f>IF('Peak Revenue'!$A$1="BL","-",IF(Peak!Q216&gt;Peak!$G216,K$8*Peak!$AM$11,0))</f>
        <v>-</v>
      </c>
      <c r="L215" s="177" t="str">
        <f>IF('Peak Revenue'!$A$1="BL","-",IF(Peak!R216&gt;Peak!$G216,L$8*Peak!$AM$11,0))</f>
        <v>-</v>
      </c>
      <c r="M215" s="177" t="str">
        <f>IF('Peak Revenue'!$A$1="BL","-",IF(Peak!S216&gt;Peak!$G216,M$8*Peak!$AM$11,0))</f>
        <v>-</v>
      </c>
      <c r="N215" s="177" t="str">
        <f>IF('Peak Revenue'!$A$1="BL","-",IF(Peak!T216&gt;Peak!$G216,N$8*Peak!$AM$11,0))</f>
        <v>-</v>
      </c>
      <c r="O215" s="177" t="str">
        <f>IF('Peak Revenue'!$A$1="BL","-",IF(Peak!U216&gt;Peak!$G216,O$8*Peak!$AM$11,0))</f>
        <v>-</v>
      </c>
      <c r="P215" s="177" t="str">
        <f>IF('Peak Revenue'!$A$1="BL","-",IF(Peak!V216&gt;Peak!$G216,P$8*Peak!$AM$11,0))</f>
        <v>-</v>
      </c>
      <c r="Q215" s="177" t="str">
        <f>IF('Peak Revenue'!$A$1="BL","-",IF(Peak!W216&gt;Peak!$G216,Q$8*Peak!$AM$11,0))</f>
        <v>-</v>
      </c>
      <c r="R215" s="177" t="str">
        <f>IF('Peak Revenue'!$A$1="BL","-",IF(Peak!X216&gt;Peak!$G216,R$8*Peak!$AM$11,0))</f>
        <v>-</v>
      </c>
      <c r="S215" s="177" t="str">
        <f>IF('Peak Revenue'!$A$1="BL","-",IF(Peak!Y216&gt;Peak!$G216,S$8*Peak!$AM$11,0))</f>
        <v>-</v>
      </c>
      <c r="T215" s="177" t="str">
        <f>IF('Peak Revenue'!$A$1="BL","-",IF(Peak!Z216&gt;Peak!$G216,T$8*Peak!$AM$11,0))</f>
        <v>-</v>
      </c>
      <c r="U215" s="177" t="str">
        <f>IF('Peak Revenue'!$A$1="BL","-",IF(Peak!AA216&gt;Peak!$G216,U$8*Peak!$AM$11,0))</f>
        <v>-</v>
      </c>
      <c r="V215" s="178">
        <f t="shared" si="6"/>
        <v>0</v>
      </c>
      <c r="W215" s="165"/>
    </row>
    <row r="216" spans="1:23" x14ac:dyDescent="0.2">
      <c r="A216" s="1">
        <f t="shared" si="7"/>
        <v>42805.902000000264</v>
      </c>
      <c r="B216" s="176" t="str">
        <f>IF('Peak Revenue'!$A$1="BL","-",IF(Peak!H217&gt;Peak!$G217,B$8*Peak!$AM$11,0))</f>
        <v>-</v>
      </c>
      <c r="C216" s="177" t="str">
        <f>IF('Peak Revenue'!$A$1="BL","-",IF(Peak!I217&gt;Peak!$G217,C$8*Peak!$AM$11,0))</f>
        <v>-</v>
      </c>
      <c r="D216" s="177" t="str">
        <f>IF('Peak Revenue'!$A$1="BL","-",IF(Peak!J217&gt;Peak!$G217,D$8*Peak!$AM$11,0))</f>
        <v>-</v>
      </c>
      <c r="E216" s="177" t="str">
        <f>IF('Peak Revenue'!$A$1="BL","-",IF(Peak!K217&gt;Peak!$G217,E$8*Peak!$AM$11,0))</f>
        <v>-</v>
      </c>
      <c r="F216" s="177" t="str">
        <f>IF('Peak Revenue'!$A$1="BL","-",IF(Peak!L217&gt;Peak!$G217,F$8*Peak!$AM$11,0))</f>
        <v>-</v>
      </c>
      <c r="G216" s="177" t="str">
        <f>IF('Peak Revenue'!$A$1="BL","-",IF(Peak!M217&gt;Peak!$G217,G$8*Peak!$AM$11,0))</f>
        <v>-</v>
      </c>
      <c r="H216" s="177" t="str">
        <f>IF('Peak Revenue'!$A$1="BL","-",IF(Peak!N217&gt;Peak!$G217,H$8*Peak!$AM$11,0))</f>
        <v>-</v>
      </c>
      <c r="I216" s="177" t="str">
        <f>IF('Peak Revenue'!$A$1="BL","-",IF(Peak!O217&gt;Peak!$G217,I$8*Peak!$AM$11,0))</f>
        <v>-</v>
      </c>
      <c r="J216" s="177" t="str">
        <f>IF('Peak Revenue'!$A$1="BL","-",IF(Peak!P217&gt;Peak!$G217,J$8*Peak!$AM$11,0))</f>
        <v>-</v>
      </c>
      <c r="K216" s="177" t="str">
        <f>IF('Peak Revenue'!$A$1="BL","-",IF(Peak!Q217&gt;Peak!$G217,K$8*Peak!$AM$11,0))</f>
        <v>-</v>
      </c>
      <c r="L216" s="177" t="str">
        <f>IF('Peak Revenue'!$A$1="BL","-",IF(Peak!R217&gt;Peak!$G217,L$8*Peak!$AM$11,0))</f>
        <v>-</v>
      </c>
      <c r="M216" s="177" t="str">
        <f>IF('Peak Revenue'!$A$1="BL","-",IF(Peak!S217&gt;Peak!$G217,M$8*Peak!$AM$11,0))</f>
        <v>-</v>
      </c>
      <c r="N216" s="177" t="str">
        <f>IF('Peak Revenue'!$A$1="BL","-",IF(Peak!T217&gt;Peak!$G217,N$8*Peak!$AM$11,0))</f>
        <v>-</v>
      </c>
      <c r="O216" s="177" t="str">
        <f>IF('Peak Revenue'!$A$1="BL","-",IF(Peak!U217&gt;Peak!$G217,O$8*Peak!$AM$11,0))</f>
        <v>-</v>
      </c>
      <c r="P216" s="177" t="str">
        <f>IF('Peak Revenue'!$A$1="BL","-",IF(Peak!V217&gt;Peak!$G217,P$8*Peak!$AM$11,0))</f>
        <v>-</v>
      </c>
      <c r="Q216" s="177" t="str">
        <f>IF('Peak Revenue'!$A$1="BL","-",IF(Peak!W217&gt;Peak!$G217,Q$8*Peak!$AM$11,0))</f>
        <v>-</v>
      </c>
      <c r="R216" s="177" t="str">
        <f>IF('Peak Revenue'!$A$1="BL","-",IF(Peak!X217&gt;Peak!$G217,R$8*Peak!$AM$11,0))</f>
        <v>-</v>
      </c>
      <c r="S216" s="177" t="str">
        <f>IF('Peak Revenue'!$A$1="BL","-",IF(Peak!Y217&gt;Peak!$G217,S$8*Peak!$AM$11,0))</f>
        <v>-</v>
      </c>
      <c r="T216" s="177" t="str">
        <f>IF('Peak Revenue'!$A$1="BL","-",IF(Peak!Z217&gt;Peak!$G217,T$8*Peak!$AM$11,0))</f>
        <v>-</v>
      </c>
      <c r="U216" s="177" t="str">
        <f>IF('Peak Revenue'!$A$1="BL","-",IF(Peak!AA217&gt;Peak!$G217,U$8*Peak!$AM$11,0))</f>
        <v>-</v>
      </c>
      <c r="V216" s="178">
        <f t="shared" si="6"/>
        <v>0</v>
      </c>
      <c r="W216" s="165"/>
    </row>
    <row r="217" spans="1:23" x14ac:dyDescent="0.2">
      <c r="A217" s="1">
        <f t="shared" si="7"/>
        <v>42836.319000000265</v>
      </c>
      <c r="B217" s="176" t="str">
        <f>IF('Peak Revenue'!$A$1="BL","-",IF(Peak!H218&gt;Peak!$G218,B$8*Peak!$AM$11,0))</f>
        <v>-</v>
      </c>
      <c r="C217" s="177" t="str">
        <f>IF('Peak Revenue'!$A$1="BL","-",IF(Peak!I218&gt;Peak!$G218,C$8*Peak!$AM$11,0))</f>
        <v>-</v>
      </c>
      <c r="D217" s="177" t="str">
        <f>IF('Peak Revenue'!$A$1="BL","-",IF(Peak!J218&gt;Peak!$G218,D$8*Peak!$AM$11,0))</f>
        <v>-</v>
      </c>
      <c r="E217" s="177" t="str">
        <f>IF('Peak Revenue'!$A$1="BL","-",IF(Peak!K218&gt;Peak!$G218,E$8*Peak!$AM$11,0))</f>
        <v>-</v>
      </c>
      <c r="F217" s="177" t="str">
        <f>IF('Peak Revenue'!$A$1="BL","-",IF(Peak!L218&gt;Peak!$G218,F$8*Peak!$AM$11,0))</f>
        <v>-</v>
      </c>
      <c r="G217" s="177" t="str">
        <f>IF('Peak Revenue'!$A$1="BL","-",IF(Peak!M218&gt;Peak!$G218,G$8*Peak!$AM$11,0))</f>
        <v>-</v>
      </c>
      <c r="H217" s="177" t="str">
        <f>IF('Peak Revenue'!$A$1="BL","-",IF(Peak!N218&gt;Peak!$G218,H$8*Peak!$AM$11,0))</f>
        <v>-</v>
      </c>
      <c r="I217" s="177" t="str">
        <f>IF('Peak Revenue'!$A$1="BL","-",IF(Peak!O218&gt;Peak!$G218,I$8*Peak!$AM$11,0))</f>
        <v>-</v>
      </c>
      <c r="J217" s="177" t="str">
        <f>IF('Peak Revenue'!$A$1="BL","-",IF(Peak!P218&gt;Peak!$G218,J$8*Peak!$AM$11,0))</f>
        <v>-</v>
      </c>
      <c r="K217" s="177" t="str">
        <f>IF('Peak Revenue'!$A$1="BL","-",IF(Peak!Q218&gt;Peak!$G218,K$8*Peak!$AM$11,0))</f>
        <v>-</v>
      </c>
      <c r="L217" s="177" t="str">
        <f>IF('Peak Revenue'!$A$1="BL","-",IF(Peak!R218&gt;Peak!$G218,L$8*Peak!$AM$11,0))</f>
        <v>-</v>
      </c>
      <c r="M217" s="177" t="str">
        <f>IF('Peak Revenue'!$A$1="BL","-",IF(Peak!S218&gt;Peak!$G218,M$8*Peak!$AM$11,0))</f>
        <v>-</v>
      </c>
      <c r="N217" s="177" t="str">
        <f>IF('Peak Revenue'!$A$1="BL","-",IF(Peak!T218&gt;Peak!$G218,N$8*Peak!$AM$11,0))</f>
        <v>-</v>
      </c>
      <c r="O217" s="177" t="str">
        <f>IF('Peak Revenue'!$A$1="BL","-",IF(Peak!U218&gt;Peak!$G218,O$8*Peak!$AM$11,0))</f>
        <v>-</v>
      </c>
      <c r="P217" s="177" t="str">
        <f>IF('Peak Revenue'!$A$1="BL","-",IF(Peak!V218&gt;Peak!$G218,P$8*Peak!$AM$11,0))</f>
        <v>-</v>
      </c>
      <c r="Q217" s="177" t="str">
        <f>IF('Peak Revenue'!$A$1="BL","-",IF(Peak!W218&gt;Peak!$G218,Q$8*Peak!$AM$11,0))</f>
        <v>-</v>
      </c>
      <c r="R217" s="177" t="str">
        <f>IF('Peak Revenue'!$A$1="BL","-",IF(Peak!X218&gt;Peak!$G218,R$8*Peak!$AM$11,0))</f>
        <v>-</v>
      </c>
      <c r="S217" s="177" t="str">
        <f>IF('Peak Revenue'!$A$1="BL","-",IF(Peak!Y218&gt;Peak!$G218,S$8*Peak!$AM$11,0))</f>
        <v>-</v>
      </c>
      <c r="T217" s="177" t="str">
        <f>IF('Peak Revenue'!$A$1="BL","-",IF(Peak!Z218&gt;Peak!$G218,T$8*Peak!$AM$11,0))</f>
        <v>-</v>
      </c>
      <c r="U217" s="177" t="str">
        <f>IF('Peak Revenue'!$A$1="BL","-",IF(Peak!AA218&gt;Peak!$G218,U$8*Peak!$AM$11,0))</f>
        <v>-</v>
      </c>
      <c r="V217" s="178">
        <f t="shared" si="6"/>
        <v>0</v>
      </c>
      <c r="W217" s="165"/>
    </row>
    <row r="218" spans="1:23" x14ac:dyDescent="0.2">
      <c r="A218" s="1">
        <f t="shared" si="7"/>
        <v>42866.736000000266</v>
      </c>
      <c r="B218" s="176" t="str">
        <f>IF('Peak Revenue'!$A$1="BL","-",IF(Peak!H219&gt;Peak!$G219,B$8*Peak!$AM$11,0))</f>
        <v>-</v>
      </c>
      <c r="C218" s="177" t="str">
        <f>IF('Peak Revenue'!$A$1="BL","-",IF(Peak!I219&gt;Peak!$G219,C$8*Peak!$AM$11,0))</f>
        <v>-</v>
      </c>
      <c r="D218" s="177" t="str">
        <f>IF('Peak Revenue'!$A$1="BL","-",IF(Peak!J219&gt;Peak!$G219,D$8*Peak!$AM$11,0))</f>
        <v>-</v>
      </c>
      <c r="E218" s="177" t="str">
        <f>IF('Peak Revenue'!$A$1="BL","-",IF(Peak!K219&gt;Peak!$G219,E$8*Peak!$AM$11,0))</f>
        <v>-</v>
      </c>
      <c r="F218" s="177" t="str">
        <f>IF('Peak Revenue'!$A$1="BL","-",IF(Peak!L219&gt;Peak!$G219,F$8*Peak!$AM$11,0))</f>
        <v>-</v>
      </c>
      <c r="G218" s="177" t="str">
        <f>IF('Peak Revenue'!$A$1="BL","-",IF(Peak!M219&gt;Peak!$G219,G$8*Peak!$AM$11,0))</f>
        <v>-</v>
      </c>
      <c r="H218" s="177" t="str">
        <f>IF('Peak Revenue'!$A$1="BL","-",IF(Peak!N219&gt;Peak!$G219,H$8*Peak!$AM$11,0))</f>
        <v>-</v>
      </c>
      <c r="I218" s="177" t="str">
        <f>IF('Peak Revenue'!$A$1="BL","-",IF(Peak!O219&gt;Peak!$G219,I$8*Peak!$AM$11,0))</f>
        <v>-</v>
      </c>
      <c r="J218" s="177" t="str">
        <f>IF('Peak Revenue'!$A$1="BL","-",IF(Peak!P219&gt;Peak!$G219,J$8*Peak!$AM$11,0))</f>
        <v>-</v>
      </c>
      <c r="K218" s="177" t="str">
        <f>IF('Peak Revenue'!$A$1="BL","-",IF(Peak!Q219&gt;Peak!$G219,K$8*Peak!$AM$11,0))</f>
        <v>-</v>
      </c>
      <c r="L218" s="177" t="str">
        <f>IF('Peak Revenue'!$A$1="BL","-",IF(Peak!R219&gt;Peak!$G219,L$8*Peak!$AM$11,0))</f>
        <v>-</v>
      </c>
      <c r="M218" s="177" t="str">
        <f>IF('Peak Revenue'!$A$1="BL","-",IF(Peak!S219&gt;Peak!$G219,M$8*Peak!$AM$11,0))</f>
        <v>-</v>
      </c>
      <c r="N218" s="177" t="str">
        <f>IF('Peak Revenue'!$A$1="BL","-",IF(Peak!T219&gt;Peak!$G219,N$8*Peak!$AM$11,0))</f>
        <v>-</v>
      </c>
      <c r="O218" s="177" t="str">
        <f>IF('Peak Revenue'!$A$1="BL","-",IF(Peak!U219&gt;Peak!$G219,O$8*Peak!$AM$11,0))</f>
        <v>-</v>
      </c>
      <c r="P218" s="177" t="str">
        <f>IF('Peak Revenue'!$A$1="BL","-",IF(Peak!V219&gt;Peak!$G219,P$8*Peak!$AM$11,0))</f>
        <v>-</v>
      </c>
      <c r="Q218" s="177" t="str">
        <f>IF('Peak Revenue'!$A$1="BL","-",IF(Peak!W219&gt;Peak!$G219,Q$8*Peak!$AM$11,0))</f>
        <v>-</v>
      </c>
      <c r="R218" s="177" t="str">
        <f>IF('Peak Revenue'!$A$1="BL","-",IF(Peak!X219&gt;Peak!$G219,R$8*Peak!$AM$11,0))</f>
        <v>-</v>
      </c>
      <c r="S218" s="177" t="str">
        <f>IF('Peak Revenue'!$A$1="BL","-",IF(Peak!Y219&gt;Peak!$G219,S$8*Peak!$AM$11,0))</f>
        <v>-</v>
      </c>
      <c r="T218" s="177" t="str">
        <f>IF('Peak Revenue'!$A$1="BL","-",IF(Peak!Z219&gt;Peak!$G219,T$8*Peak!$AM$11,0))</f>
        <v>-</v>
      </c>
      <c r="U218" s="177" t="str">
        <f>IF('Peak Revenue'!$A$1="BL","-",IF(Peak!AA219&gt;Peak!$G219,U$8*Peak!$AM$11,0))</f>
        <v>-</v>
      </c>
      <c r="V218" s="178">
        <f t="shared" si="6"/>
        <v>0</v>
      </c>
      <c r="W218" s="165"/>
    </row>
    <row r="219" spans="1:23" x14ac:dyDescent="0.2">
      <c r="A219" s="1">
        <f t="shared" si="7"/>
        <v>42897.153000000268</v>
      </c>
      <c r="B219" s="176" t="str">
        <f>IF('Peak Revenue'!$A$1="BL","-",IF(Peak!H220&gt;Peak!$G220,B$8*Peak!$AM$11,0))</f>
        <v>-</v>
      </c>
      <c r="C219" s="177" t="str">
        <f>IF('Peak Revenue'!$A$1="BL","-",IF(Peak!I220&gt;Peak!$G220,C$8*Peak!$AM$11,0))</f>
        <v>-</v>
      </c>
      <c r="D219" s="177" t="str">
        <f>IF('Peak Revenue'!$A$1="BL","-",IF(Peak!J220&gt;Peak!$G220,D$8*Peak!$AM$11,0))</f>
        <v>-</v>
      </c>
      <c r="E219" s="177" t="str">
        <f>IF('Peak Revenue'!$A$1="BL","-",IF(Peak!K220&gt;Peak!$G220,E$8*Peak!$AM$11,0))</f>
        <v>-</v>
      </c>
      <c r="F219" s="177" t="str">
        <f>IF('Peak Revenue'!$A$1="BL","-",IF(Peak!L220&gt;Peak!$G220,F$8*Peak!$AM$11,0))</f>
        <v>-</v>
      </c>
      <c r="G219" s="177" t="str">
        <f>IF('Peak Revenue'!$A$1="BL","-",IF(Peak!M220&gt;Peak!$G220,G$8*Peak!$AM$11,0))</f>
        <v>-</v>
      </c>
      <c r="H219" s="177" t="str">
        <f>IF('Peak Revenue'!$A$1="BL","-",IF(Peak!N220&gt;Peak!$G220,H$8*Peak!$AM$11,0))</f>
        <v>-</v>
      </c>
      <c r="I219" s="177" t="str">
        <f>IF('Peak Revenue'!$A$1="BL","-",IF(Peak!O220&gt;Peak!$G220,I$8*Peak!$AM$11,0))</f>
        <v>-</v>
      </c>
      <c r="J219" s="177" t="str">
        <f>IF('Peak Revenue'!$A$1="BL","-",IF(Peak!P220&gt;Peak!$G220,J$8*Peak!$AM$11,0))</f>
        <v>-</v>
      </c>
      <c r="K219" s="177" t="str">
        <f>IF('Peak Revenue'!$A$1="BL","-",IF(Peak!Q220&gt;Peak!$G220,K$8*Peak!$AM$11,0))</f>
        <v>-</v>
      </c>
      <c r="L219" s="177" t="str">
        <f>IF('Peak Revenue'!$A$1="BL","-",IF(Peak!R220&gt;Peak!$G220,L$8*Peak!$AM$11,0))</f>
        <v>-</v>
      </c>
      <c r="M219" s="177" t="str">
        <f>IF('Peak Revenue'!$A$1="BL","-",IF(Peak!S220&gt;Peak!$G220,M$8*Peak!$AM$11,0))</f>
        <v>-</v>
      </c>
      <c r="N219" s="177" t="str">
        <f>IF('Peak Revenue'!$A$1="BL","-",IF(Peak!T220&gt;Peak!$G220,N$8*Peak!$AM$11,0))</f>
        <v>-</v>
      </c>
      <c r="O219" s="177" t="str">
        <f>IF('Peak Revenue'!$A$1="BL","-",IF(Peak!U220&gt;Peak!$G220,O$8*Peak!$AM$11,0))</f>
        <v>-</v>
      </c>
      <c r="P219" s="177" t="str">
        <f>IF('Peak Revenue'!$A$1="BL","-",IF(Peak!V220&gt;Peak!$G220,P$8*Peak!$AM$11,0))</f>
        <v>-</v>
      </c>
      <c r="Q219" s="177" t="str">
        <f>IF('Peak Revenue'!$A$1="BL","-",IF(Peak!W220&gt;Peak!$G220,Q$8*Peak!$AM$11,0))</f>
        <v>-</v>
      </c>
      <c r="R219" s="177" t="str">
        <f>IF('Peak Revenue'!$A$1="BL","-",IF(Peak!X220&gt;Peak!$G220,R$8*Peak!$AM$11,0))</f>
        <v>-</v>
      </c>
      <c r="S219" s="177" t="str">
        <f>IF('Peak Revenue'!$A$1="BL","-",IF(Peak!Y220&gt;Peak!$G220,S$8*Peak!$AM$11,0))</f>
        <v>-</v>
      </c>
      <c r="T219" s="177" t="str">
        <f>IF('Peak Revenue'!$A$1="BL","-",IF(Peak!Z220&gt;Peak!$G220,T$8*Peak!$AM$11,0))</f>
        <v>-</v>
      </c>
      <c r="U219" s="177" t="str">
        <f>IF('Peak Revenue'!$A$1="BL","-",IF(Peak!AA220&gt;Peak!$G220,U$8*Peak!$AM$11,0))</f>
        <v>-</v>
      </c>
      <c r="V219" s="178">
        <f t="shared" si="6"/>
        <v>0</v>
      </c>
      <c r="W219" s="165"/>
    </row>
    <row r="220" spans="1:23" x14ac:dyDescent="0.2">
      <c r="A220" s="1">
        <f t="shared" si="7"/>
        <v>42927.570000000269</v>
      </c>
      <c r="B220" s="176" t="str">
        <f>IF('Peak Revenue'!$A$1="BL","-",IF(Peak!H221&gt;Peak!$G221,B$8*Peak!$AM$11,0))</f>
        <v>-</v>
      </c>
      <c r="C220" s="177" t="str">
        <f>IF('Peak Revenue'!$A$1="BL","-",IF(Peak!I221&gt;Peak!$G221,C$8*Peak!$AM$11,0))</f>
        <v>-</v>
      </c>
      <c r="D220" s="177" t="str">
        <f>IF('Peak Revenue'!$A$1="BL","-",IF(Peak!J221&gt;Peak!$G221,D$8*Peak!$AM$11,0))</f>
        <v>-</v>
      </c>
      <c r="E220" s="177" t="str">
        <f>IF('Peak Revenue'!$A$1="BL","-",IF(Peak!K221&gt;Peak!$G221,E$8*Peak!$AM$11,0))</f>
        <v>-</v>
      </c>
      <c r="F220" s="177" t="str">
        <f>IF('Peak Revenue'!$A$1="BL","-",IF(Peak!L221&gt;Peak!$G221,F$8*Peak!$AM$11,0))</f>
        <v>-</v>
      </c>
      <c r="G220" s="177" t="str">
        <f>IF('Peak Revenue'!$A$1="BL","-",IF(Peak!M221&gt;Peak!$G221,G$8*Peak!$AM$11,0))</f>
        <v>-</v>
      </c>
      <c r="H220" s="177" t="str">
        <f>IF('Peak Revenue'!$A$1="BL","-",IF(Peak!N221&gt;Peak!$G221,H$8*Peak!$AM$11,0))</f>
        <v>-</v>
      </c>
      <c r="I220" s="177" t="str">
        <f>IF('Peak Revenue'!$A$1="BL","-",IF(Peak!O221&gt;Peak!$G221,I$8*Peak!$AM$11,0))</f>
        <v>-</v>
      </c>
      <c r="J220" s="177" t="str">
        <f>IF('Peak Revenue'!$A$1="BL","-",IF(Peak!P221&gt;Peak!$G221,J$8*Peak!$AM$11,0))</f>
        <v>-</v>
      </c>
      <c r="K220" s="177" t="str">
        <f>IF('Peak Revenue'!$A$1="BL","-",IF(Peak!Q221&gt;Peak!$G221,K$8*Peak!$AM$11,0))</f>
        <v>-</v>
      </c>
      <c r="L220" s="177" t="str">
        <f>IF('Peak Revenue'!$A$1="BL","-",IF(Peak!R221&gt;Peak!$G221,L$8*Peak!$AM$11,0))</f>
        <v>-</v>
      </c>
      <c r="M220" s="177" t="str">
        <f>IF('Peak Revenue'!$A$1="BL","-",IF(Peak!S221&gt;Peak!$G221,M$8*Peak!$AM$11,0))</f>
        <v>-</v>
      </c>
      <c r="N220" s="177" t="str">
        <f>IF('Peak Revenue'!$A$1="BL","-",IF(Peak!T221&gt;Peak!$G221,N$8*Peak!$AM$11,0))</f>
        <v>-</v>
      </c>
      <c r="O220" s="177" t="str">
        <f>IF('Peak Revenue'!$A$1="BL","-",IF(Peak!U221&gt;Peak!$G221,O$8*Peak!$AM$11,0))</f>
        <v>-</v>
      </c>
      <c r="P220" s="177" t="str">
        <f>IF('Peak Revenue'!$A$1="BL","-",IF(Peak!V221&gt;Peak!$G221,P$8*Peak!$AM$11,0))</f>
        <v>-</v>
      </c>
      <c r="Q220" s="177" t="str">
        <f>IF('Peak Revenue'!$A$1="BL","-",IF(Peak!W221&gt;Peak!$G221,Q$8*Peak!$AM$11,0))</f>
        <v>-</v>
      </c>
      <c r="R220" s="177" t="str">
        <f>IF('Peak Revenue'!$A$1="BL","-",IF(Peak!X221&gt;Peak!$G221,R$8*Peak!$AM$11,0))</f>
        <v>-</v>
      </c>
      <c r="S220" s="177" t="str">
        <f>IF('Peak Revenue'!$A$1="BL","-",IF(Peak!Y221&gt;Peak!$G221,S$8*Peak!$AM$11,0))</f>
        <v>-</v>
      </c>
      <c r="T220" s="177" t="str">
        <f>IF('Peak Revenue'!$A$1="BL","-",IF(Peak!Z221&gt;Peak!$G221,T$8*Peak!$AM$11,0))</f>
        <v>-</v>
      </c>
      <c r="U220" s="177" t="str">
        <f>IF('Peak Revenue'!$A$1="BL","-",IF(Peak!AA221&gt;Peak!$G221,U$8*Peak!$AM$11,0))</f>
        <v>-</v>
      </c>
      <c r="V220" s="178">
        <f t="shared" si="6"/>
        <v>0</v>
      </c>
      <c r="W220" s="165"/>
    </row>
    <row r="221" spans="1:23" x14ac:dyDescent="0.2">
      <c r="A221" s="1">
        <f t="shared" si="7"/>
        <v>42957.98700000027</v>
      </c>
      <c r="B221" s="176" t="str">
        <f>IF('Peak Revenue'!$A$1="BL","-",IF(Peak!H222&gt;Peak!$G222,B$8*Peak!$AM$11,0))</f>
        <v>-</v>
      </c>
      <c r="C221" s="177" t="str">
        <f>IF('Peak Revenue'!$A$1="BL","-",IF(Peak!I222&gt;Peak!$G222,C$8*Peak!$AM$11,0))</f>
        <v>-</v>
      </c>
      <c r="D221" s="177" t="str">
        <f>IF('Peak Revenue'!$A$1="BL","-",IF(Peak!J222&gt;Peak!$G222,D$8*Peak!$AM$11,0))</f>
        <v>-</v>
      </c>
      <c r="E221" s="177" t="str">
        <f>IF('Peak Revenue'!$A$1="BL","-",IF(Peak!K222&gt;Peak!$G222,E$8*Peak!$AM$11,0))</f>
        <v>-</v>
      </c>
      <c r="F221" s="177" t="str">
        <f>IF('Peak Revenue'!$A$1="BL","-",IF(Peak!L222&gt;Peak!$G222,F$8*Peak!$AM$11,0))</f>
        <v>-</v>
      </c>
      <c r="G221" s="177" t="str">
        <f>IF('Peak Revenue'!$A$1="BL","-",IF(Peak!M222&gt;Peak!$G222,G$8*Peak!$AM$11,0))</f>
        <v>-</v>
      </c>
      <c r="H221" s="177" t="str">
        <f>IF('Peak Revenue'!$A$1="BL","-",IF(Peak!N222&gt;Peak!$G222,H$8*Peak!$AM$11,0))</f>
        <v>-</v>
      </c>
      <c r="I221" s="177" t="str">
        <f>IF('Peak Revenue'!$A$1="BL","-",IF(Peak!O222&gt;Peak!$G222,I$8*Peak!$AM$11,0))</f>
        <v>-</v>
      </c>
      <c r="J221" s="177" t="str">
        <f>IF('Peak Revenue'!$A$1="BL","-",IF(Peak!P222&gt;Peak!$G222,J$8*Peak!$AM$11,0))</f>
        <v>-</v>
      </c>
      <c r="K221" s="177" t="str">
        <f>IF('Peak Revenue'!$A$1="BL","-",IF(Peak!Q222&gt;Peak!$G222,K$8*Peak!$AM$11,0))</f>
        <v>-</v>
      </c>
      <c r="L221" s="177" t="str">
        <f>IF('Peak Revenue'!$A$1="BL","-",IF(Peak!R222&gt;Peak!$G222,L$8*Peak!$AM$11,0))</f>
        <v>-</v>
      </c>
      <c r="M221" s="177" t="str">
        <f>IF('Peak Revenue'!$A$1="BL","-",IF(Peak!S222&gt;Peak!$G222,M$8*Peak!$AM$11,0))</f>
        <v>-</v>
      </c>
      <c r="N221" s="177" t="str">
        <f>IF('Peak Revenue'!$A$1="BL","-",IF(Peak!T222&gt;Peak!$G222,N$8*Peak!$AM$11,0))</f>
        <v>-</v>
      </c>
      <c r="O221" s="177" t="str">
        <f>IF('Peak Revenue'!$A$1="BL","-",IF(Peak!U222&gt;Peak!$G222,O$8*Peak!$AM$11,0))</f>
        <v>-</v>
      </c>
      <c r="P221" s="177" t="str">
        <f>IF('Peak Revenue'!$A$1="BL","-",IF(Peak!V222&gt;Peak!$G222,P$8*Peak!$AM$11,0))</f>
        <v>-</v>
      </c>
      <c r="Q221" s="177" t="str">
        <f>IF('Peak Revenue'!$A$1="BL","-",IF(Peak!W222&gt;Peak!$G222,Q$8*Peak!$AM$11,0))</f>
        <v>-</v>
      </c>
      <c r="R221" s="177" t="str">
        <f>IF('Peak Revenue'!$A$1="BL","-",IF(Peak!X222&gt;Peak!$G222,R$8*Peak!$AM$11,0))</f>
        <v>-</v>
      </c>
      <c r="S221" s="177" t="str">
        <f>IF('Peak Revenue'!$A$1="BL","-",IF(Peak!Y222&gt;Peak!$G222,S$8*Peak!$AM$11,0))</f>
        <v>-</v>
      </c>
      <c r="T221" s="177" t="str">
        <f>IF('Peak Revenue'!$A$1="BL","-",IF(Peak!Z222&gt;Peak!$G222,T$8*Peak!$AM$11,0))</f>
        <v>-</v>
      </c>
      <c r="U221" s="177" t="str">
        <f>IF('Peak Revenue'!$A$1="BL","-",IF(Peak!AA222&gt;Peak!$G222,U$8*Peak!$AM$11,0))</f>
        <v>-</v>
      </c>
      <c r="V221" s="178">
        <f t="shared" si="6"/>
        <v>0</v>
      </c>
      <c r="W221" s="165"/>
    </row>
    <row r="222" spans="1:23" x14ac:dyDescent="0.2">
      <c r="A222" s="1">
        <f t="shared" si="7"/>
        <v>42988.404000000271</v>
      </c>
      <c r="B222" s="176" t="str">
        <f>IF('Peak Revenue'!$A$1="BL","-",IF(Peak!H223&gt;Peak!$G223,B$8*Peak!$AM$11,0))</f>
        <v>-</v>
      </c>
      <c r="C222" s="177" t="str">
        <f>IF('Peak Revenue'!$A$1="BL","-",IF(Peak!I223&gt;Peak!$G223,C$8*Peak!$AM$11,0))</f>
        <v>-</v>
      </c>
      <c r="D222" s="177" t="str">
        <f>IF('Peak Revenue'!$A$1="BL","-",IF(Peak!J223&gt;Peak!$G223,D$8*Peak!$AM$11,0))</f>
        <v>-</v>
      </c>
      <c r="E222" s="177" t="str">
        <f>IF('Peak Revenue'!$A$1="BL","-",IF(Peak!K223&gt;Peak!$G223,E$8*Peak!$AM$11,0))</f>
        <v>-</v>
      </c>
      <c r="F222" s="177" t="str">
        <f>IF('Peak Revenue'!$A$1="BL","-",IF(Peak!L223&gt;Peak!$G223,F$8*Peak!$AM$11,0))</f>
        <v>-</v>
      </c>
      <c r="G222" s="177" t="str">
        <f>IF('Peak Revenue'!$A$1="BL","-",IF(Peak!M223&gt;Peak!$G223,G$8*Peak!$AM$11,0))</f>
        <v>-</v>
      </c>
      <c r="H222" s="177" t="str">
        <f>IF('Peak Revenue'!$A$1="BL","-",IF(Peak!N223&gt;Peak!$G223,H$8*Peak!$AM$11,0))</f>
        <v>-</v>
      </c>
      <c r="I222" s="177" t="str">
        <f>IF('Peak Revenue'!$A$1="BL","-",IF(Peak!O223&gt;Peak!$G223,I$8*Peak!$AM$11,0))</f>
        <v>-</v>
      </c>
      <c r="J222" s="177" t="str">
        <f>IF('Peak Revenue'!$A$1="BL","-",IF(Peak!P223&gt;Peak!$G223,J$8*Peak!$AM$11,0))</f>
        <v>-</v>
      </c>
      <c r="K222" s="177" t="str">
        <f>IF('Peak Revenue'!$A$1="BL","-",IF(Peak!Q223&gt;Peak!$G223,K$8*Peak!$AM$11,0))</f>
        <v>-</v>
      </c>
      <c r="L222" s="177" t="str">
        <f>IF('Peak Revenue'!$A$1="BL","-",IF(Peak!R223&gt;Peak!$G223,L$8*Peak!$AM$11,0))</f>
        <v>-</v>
      </c>
      <c r="M222" s="177" t="str">
        <f>IF('Peak Revenue'!$A$1="BL","-",IF(Peak!S223&gt;Peak!$G223,M$8*Peak!$AM$11,0))</f>
        <v>-</v>
      </c>
      <c r="N222" s="177" t="str">
        <f>IF('Peak Revenue'!$A$1="BL","-",IF(Peak!T223&gt;Peak!$G223,N$8*Peak!$AM$11,0))</f>
        <v>-</v>
      </c>
      <c r="O222" s="177" t="str">
        <f>IF('Peak Revenue'!$A$1="BL","-",IF(Peak!U223&gt;Peak!$G223,O$8*Peak!$AM$11,0))</f>
        <v>-</v>
      </c>
      <c r="P222" s="177" t="str">
        <f>IF('Peak Revenue'!$A$1="BL","-",IF(Peak!V223&gt;Peak!$G223,P$8*Peak!$AM$11,0))</f>
        <v>-</v>
      </c>
      <c r="Q222" s="177" t="str">
        <f>IF('Peak Revenue'!$A$1="BL","-",IF(Peak!W223&gt;Peak!$G223,Q$8*Peak!$AM$11,0))</f>
        <v>-</v>
      </c>
      <c r="R222" s="177" t="str">
        <f>IF('Peak Revenue'!$A$1="BL","-",IF(Peak!X223&gt;Peak!$G223,R$8*Peak!$AM$11,0))</f>
        <v>-</v>
      </c>
      <c r="S222" s="177" t="str">
        <f>IF('Peak Revenue'!$A$1="BL","-",IF(Peak!Y223&gt;Peak!$G223,S$8*Peak!$AM$11,0))</f>
        <v>-</v>
      </c>
      <c r="T222" s="177" t="str">
        <f>IF('Peak Revenue'!$A$1="BL","-",IF(Peak!Z223&gt;Peak!$G223,T$8*Peak!$AM$11,0))</f>
        <v>-</v>
      </c>
      <c r="U222" s="177" t="str">
        <f>IF('Peak Revenue'!$A$1="BL","-",IF(Peak!AA223&gt;Peak!$G223,U$8*Peak!$AM$11,0))</f>
        <v>-</v>
      </c>
      <c r="V222" s="178">
        <f t="shared" si="6"/>
        <v>0</v>
      </c>
      <c r="W222" s="165"/>
    </row>
    <row r="223" spans="1:23" x14ac:dyDescent="0.2">
      <c r="A223" s="1">
        <f t="shared" si="7"/>
        <v>43018.821000000273</v>
      </c>
      <c r="B223" s="176" t="str">
        <f>IF('Peak Revenue'!$A$1="BL","-",IF(Peak!H224&gt;Peak!$G224,B$8*Peak!$AM$11,0))</f>
        <v>-</v>
      </c>
      <c r="C223" s="177" t="str">
        <f>IF('Peak Revenue'!$A$1="BL","-",IF(Peak!I224&gt;Peak!$G224,C$8*Peak!$AM$11,0))</f>
        <v>-</v>
      </c>
      <c r="D223" s="177" t="str">
        <f>IF('Peak Revenue'!$A$1="BL","-",IF(Peak!J224&gt;Peak!$G224,D$8*Peak!$AM$11,0))</f>
        <v>-</v>
      </c>
      <c r="E223" s="177" t="str">
        <f>IF('Peak Revenue'!$A$1="BL","-",IF(Peak!K224&gt;Peak!$G224,E$8*Peak!$AM$11,0))</f>
        <v>-</v>
      </c>
      <c r="F223" s="177" t="str">
        <f>IF('Peak Revenue'!$A$1="BL","-",IF(Peak!L224&gt;Peak!$G224,F$8*Peak!$AM$11,0))</f>
        <v>-</v>
      </c>
      <c r="G223" s="177" t="str">
        <f>IF('Peak Revenue'!$A$1="BL","-",IF(Peak!M224&gt;Peak!$G224,G$8*Peak!$AM$11,0))</f>
        <v>-</v>
      </c>
      <c r="H223" s="177" t="str">
        <f>IF('Peak Revenue'!$A$1="BL","-",IF(Peak!N224&gt;Peak!$G224,H$8*Peak!$AM$11,0))</f>
        <v>-</v>
      </c>
      <c r="I223" s="177" t="str">
        <f>IF('Peak Revenue'!$A$1="BL","-",IF(Peak!O224&gt;Peak!$G224,I$8*Peak!$AM$11,0))</f>
        <v>-</v>
      </c>
      <c r="J223" s="177" t="str">
        <f>IF('Peak Revenue'!$A$1="BL","-",IF(Peak!P224&gt;Peak!$G224,J$8*Peak!$AM$11,0))</f>
        <v>-</v>
      </c>
      <c r="K223" s="177" t="str">
        <f>IF('Peak Revenue'!$A$1="BL","-",IF(Peak!Q224&gt;Peak!$G224,K$8*Peak!$AM$11,0))</f>
        <v>-</v>
      </c>
      <c r="L223" s="177" t="str">
        <f>IF('Peak Revenue'!$A$1="BL","-",IF(Peak!R224&gt;Peak!$G224,L$8*Peak!$AM$11,0))</f>
        <v>-</v>
      </c>
      <c r="M223" s="177" t="str">
        <f>IF('Peak Revenue'!$A$1="BL","-",IF(Peak!S224&gt;Peak!$G224,M$8*Peak!$AM$11,0))</f>
        <v>-</v>
      </c>
      <c r="N223" s="177" t="str">
        <f>IF('Peak Revenue'!$A$1="BL","-",IF(Peak!T224&gt;Peak!$G224,N$8*Peak!$AM$11,0))</f>
        <v>-</v>
      </c>
      <c r="O223" s="177" t="str">
        <f>IF('Peak Revenue'!$A$1="BL","-",IF(Peak!U224&gt;Peak!$G224,O$8*Peak!$AM$11,0))</f>
        <v>-</v>
      </c>
      <c r="P223" s="177" t="str">
        <f>IF('Peak Revenue'!$A$1="BL","-",IF(Peak!V224&gt;Peak!$G224,P$8*Peak!$AM$11,0))</f>
        <v>-</v>
      </c>
      <c r="Q223" s="177" t="str">
        <f>IF('Peak Revenue'!$A$1="BL","-",IF(Peak!W224&gt;Peak!$G224,Q$8*Peak!$AM$11,0))</f>
        <v>-</v>
      </c>
      <c r="R223" s="177" t="str">
        <f>IF('Peak Revenue'!$A$1="BL","-",IF(Peak!X224&gt;Peak!$G224,R$8*Peak!$AM$11,0))</f>
        <v>-</v>
      </c>
      <c r="S223" s="177" t="str">
        <f>IF('Peak Revenue'!$A$1="BL","-",IF(Peak!Y224&gt;Peak!$G224,S$8*Peak!$AM$11,0))</f>
        <v>-</v>
      </c>
      <c r="T223" s="177" t="str">
        <f>IF('Peak Revenue'!$A$1="BL","-",IF(Peak!Z224&gt;Peak!$G224,T$8*Peak!$AM$11,0))</f>
        <v>-</v>
      </c>
      <c r="U223" s="177" t="str">
        <f>IF('Peak Revenue'!$A$1="BL","-",IF(Peak!AA224&gt;Peak!$G224,U$8*Peak!$AM$11,0))</f>
        <v>-</v>
      </c>
      <c r="V223" s="178">
        <f t="shared" si="6"/>
        <v>0</v>
      </c>
      <c r="W223" s="165"/>
    </row>
    <row r="224" spans="1:23" x14ac:dyDescent="0.2">
      <c r="A224" s="1">
        <f t="shared" si="7"/>
        <v>43049.238000000274</v>
      </c>
      <c r="B224" s="176" t="str">
        <f>IF('Peak Revenue'!$A$1="BL","-",IF(Peak!H225&gt;Peak!$G225,B$8*Peak!$AM$11,0))</f>
        <v>-</v>
      </c>
      <c r="C224" s="177" t="str">
        <f>IF('Peak Revenue'!$A$1="BL","-",IF(Peak!I225&gt;Peak!$G225,C$8*Peak!$AM$11,0))</f>
        <v>-</v>
      </c>
      <c r="D224" s="177" t="str">
        <f>IF('Peak Revenue'!$A$1="BL","-",IF(Peak!J225&gt;Peak!$G225,D$8*Peak!$AM$11,0))</f>
        <v>-</v>
      </c>
      <c r="E224" s="177" t="str">
        <f>IF('Peak Revenue'!$A$1="BL","-",IF(Peak!K225&gt;Peak!$G225,E$8*Peak!$AM$11,0))</f>
        <v>-</v>
      </c>
      <c r="F224" s="177" t="str">
        <f>IF('Peak Revenue'!$A$1="BL","-",IF(Peak!L225&gt;Peak!$G225,F$8*Peak!$AM$11,0))</f>
        <v>-</v>
      </c>
      <c r="G224" s="177" t="str">
        <f>IF('Peak Revenue'!$A$1="BL","-",IF(Peak!M225&gt;Peak!$G225,G$8*Peak!$AM$11,0))</f>
        <v>-</v>
      </c>
      <c r="H224" s="177" t="str">
        <f>IF('Peak Revenue'!$A$1="BL","-",IF(Peak!N225&gt;Peak!$G225,H$8*Peak!$AM$11,0))</f>
        <v>-</v>
      </c>
      <c r="I224" s="177" t="str">
        <f>IF('Peak Revenue'!$A$1="BL","-",IF(Peak!O225&gt;Peak!$G225,I$8*Peak!$AM$11,0))</f>
        <v>-</v>
      </c>
      <c r="J224" s="177" t="str">
        <f>IF('Peak Revenue'!$A$1="BL","-",IF(Peak!P225&gt;Peak!$G225,J$8*Peak!$AM$11,0))</f>
        <v>-</v>
      </c>
      <c r="K224" s="177" t="str">
        <f>IF('Peak Revenue'!$A$1="BL","-",IF(Peak!Q225&gt;Peak!$G225,K$8*Peak!$AM$11,0))</f>
        <v>-</v>
      </c>
      <c r="L224" s="177" t="str">
        <f>IF('Peak Revenue'!$A$1="BL","-",IF(Peak!R225&gt;Peak!$G225,L$8*Peak!$AM$11,0))</f>
        <v>-</v>
      </c>
      <c r="M224" s="177" t="str">
        <f>IF('Peak Revenue'!$A$1="BL","-",IF(Peak!S225&gt;Peak!$G225,M$8*Peak!$AM$11,0))</f>
        <v>-</v>
      </c>
      <c r="N224" s="177" t="str">
        <f>IF('Peak Revenue'!$A$1="BL","-",IF(Peak!T225&gt;Peak!$G225,N$8*Peak!$AM$11,0))</f>
        <v>-</v>
      </c>
      <c r="O224" s="177" t="str">
        <f>IF('Peak Revenue'!$A$1="BL","-",IF(Peak!U225&gt;Peak!$G225,O$8*Peak!$AM$11,0))</f>
        <v>-</v>
      </c>
      <c r="P224" s="177" t="str">
        <f>IF('Peak Revenue'!$A$1="BL","-",IF(Peak!V225&gt;Peak!$G225,P$8*Peak!$AM$11,0))</f>
        <v>-</v>
      </c>
      <c r="Q224" s="177" t="str">
        <f>IF('Peak Revenue'!$A$1="BL","-",IF(Peak!W225&gt;Peak!$G225,Q$8*Peak!$AM$11,0))</f>
        <v>-</v>
      </c>
      <c r="R224" s="177" t="str">
        <f>IF('Peak Revenue'!$A$1="BL","-",IF(Peak!X225&gt;Peak!$G225,R$8*Peak!$AM$11,0))</f>
        <v>-</v>
      </c>
      <c r="S224" s="177" t="str">
        <f>IF('Peak Revenue'!$A$1="BL","-",IF(Peak!Y225&gt;Peak!$G225,S$8*Peak!$AM$11,0))</f>
        <v>-</v>
      </c>
      <c r="T224" s="177" t="str">
        <f>IF('Peak Revenue'!$A$1="BL","-",IF(Peak!Z225&gt;Peak!$G225,T$8*Peak!$AM$11,0))</f>
        <v>-</v>
      </c>
      <c r="U224" s="177" t="str">
        <f>IF('Peak Revenue'!$A$1="BL","-",IF(Peak!AA225&gt;Peak!$G225,U$8*Peak!$AM$11,0))</f>
        <v>-</v>
      </c>
      <c r="V224" s="178">
        <f t="shared" si="6"/>
        <v>0</v>
      </c>
      <c r="W224" s="165"/>
    </row>
    <row r="225" spans="1:23" x14ac:dyDescent="0.2">
      <c r="A225" s="1">
        <f t="shared" si="7"/>
        <v>43079.655000000275</v>
      </c>
      <c r="B225" s="176" t="str">
        <f>IF('Peak Revenue'!$A$1="BL","-",IF(Peak!H226&gt;Peak!$G226,B$8*Peak!$AM$11,0))</f>
        <v>-</v>
      </c>
      <c r="C225" s="177" t="str">
        <f>IF('Peak Revenue'!$A$1="BL","-",IF(Peak!I226&gt;Peak!$G226,C$8*Peak!$AM$11,0))</f>
        <v>-</v>
      </c>
      <c r="D225" s="177" t="str">
        <f>IF('Peak Revenue'!$A$1="BL","-",IF(Peak!J226&gt;Peak!$G226,D$8*Peak!$AM$11,0))</f>
        <v>-</v>
      </c>
      <c r="E225" s="177" t="str">
        <f>IF('Peak Revenue'!$A$1="BL","-",IF(Peak!K226&gt;Peak!$G226,E$8*Peak!$AM$11,0))</f>
        <v>-</v>
      </c>
      <c r="F225" s="177" t="str">
        <f>IF('Peak Revenue'!$A$1="BL","-",IF(Peak!L226&gt;Peak!$G226,F$8*Peak!$AM$11,0))</f>
        <v>-</v>
      </c>
      <c r="G225" s="177" t="str">
        <f>IF('Peak Revenue'!$A$1="BL","-",IF(Peak!M226&gt;Peak!$G226,G$8*Peak!$AM$11,0))</f>
        <v>-</v>
      </c>
      <c r="H225" s="177" t="str">
        <f>IF('Peak Revenue'!$A$1="BL","-",IF(Peak!N226&gt;Peak!$G226,H$8*Peak!$AM$11,0))</f>
        <v>-</v>
      </c>
      <c r="I225" s="177" t="str">
        <f>IF('Peak Revenue'!$A$1="BL","-",IF(Peak!O226&gt;Peak!$G226,I$8*Peak!$AM$11,0))</f>
        <v>-</v>
      </c>
      <c r="J225" s="177" t="str">
        <f>IF('Peak Revenue'!$A$1="BL","-",IF(Peak!P226&gt;Peak!$G226,J$8*Peak!$AM$11,0))</f>
        <v>-</v>
      </c>
      <c r="K225" s="177" t="str">
        <f>IF('Peak Revenue'!$A$1="BL","-",IF(Peak!Q226&gt;Peak!$G226,K$8*Peak!$AM$11,0))</f>
        <v>-</v>
      </c>
      <c r="L225" s="177" t="str">
        <f>IF('Peak Revenue'!$A$1="BL","-",IF(Peak!R226&gt;Peak!$G226,L$8*Peak!$AM$11,0))</f>
        <v>-</v>
      </c>
      <c r="M225" s="177" t="str">
        <f>IF('Peak Revenue'!$A$1="BL","-",IF(Peak!S226&gt;Peak!$G226,M$8*Peak!$AM$11,0))</f>
        <v>-</v>
      </c>
      <c r="N225" s="177" t="str">
        <f>IF('Peak Revenue'!$A$1="BL","-",IF(Peak!T226&gt;Peak!$G226,N$8*Peak!$AM$11,0))</f>
        <v>-</v>
      </c>
      <c r="O225" s="177" t="str">
        <f>IF('Peak Revenue'!$A$1="BL","-",IF(Peak!U226&gt;Peak!$G226,O$8*Peak!$AM$11,0))</f>
        <v>-</v>
      </c>
      <c r="P225" s="177" t="str">
        <f>IF('Peak Revenue'!$A$1="BL","-",IF(Peak!V226&gt;Peak!$G226,P$8*Peak!$AM$11,0))</f>
        <v>-</v>
      </c>
      <c r="Q225" s="177" t="str">
        <f>IF('Peak Revenue'!$A$1="BL","-",IF(Peak!W226&gt;Peak!$G226,Q$8*Peak!$AM$11,0))</f>
        <v>-</v>
      </c>
      <c r="R225" s="177" t="str">
        <f>IF('Peak Revenue'!$A$1="BL","-",IF(Peak!X226&gt;Peak!$G226,R$8*Peak!$AM$11,0))</f>
        <v>-</v>
      </c>
      <c r="S225" s="177" t="str">
        <f>IF('Peak Revenue'!$A$1="BL","-",IF(Peak!Y226&gt;Peak!$G226,S$8*Peak!$AM$11,0))</f>
        <v>-</v>
      </c>
      <c r="T225" s="177" t="str">
        <f>IF('Peak Revenue'!$A$1="BL","-",IF(Peak!Z226&gt;Peak!$G226,T$8*Peak!$AM$11,0))</f>
        <v>-</v>
      </c>
      <c r="U225" s="177" t="str">
        <f>IF('Peak Revenue'!$A$1="BL","-",IF(Peak!AA226&gt;Peak!$G226,U$8*Peak!$AM$11,0))</f>
        <v>-</v>
      </c>
      <c r="V225" s="178">
        <f t="shared" si="6"/>
        <v>0</v>
      </c>
      <c r="W225" s="164">
        <f>SUM(V214:V225)</f>
        <v>0</v>
      </c>
    </row>
    <row r="226" spans="1:23" x14ac:dyDescent="0.2">
      <c r="A226" s="1">
        <f t="shared" si="7"/>
        <v>43110.072000000277</v>
      </c>
      <c r="B226" s="176" t="str">
        <f>IF('Peak Revenue'!$A$1="BL","-",IF(Peak!H227&gt;Peak!$G227,B$8*Peak!$AM$11,0))</f>
        <v>-</v>
      </c>
      <c r="C226" s="177" t="str">
        <f>IF('Peak Revenue'!$A$1="BL","-",IF(Peak!I227&gt;Peak!$G227,C$8*Peak!$AM$11,0))</f>
        <v>-</v>
      </c>
      <c r="D226" s="177" t="str">
        <f>IF('Peak Revenue'!$A$1="BL","-",IF(Peak!J227&gt;Peak!$G227,D$8*Peak!$AM$11,0))</f>
        <v>-</v>
      </c>
      <c r="E226" s="177" t="str">
        <f>IF('Peak Revenue'!$A$1="BL","-",IF(Peak!K227&gt;Peak!$G227,E$8*Peak!$AM$11,0))</f>
        <v>-</v>
      </c>
      <c r="F226" s="177" t="str">
        <f>IF('Peak Revenue'!$A$1="BL","-",IF(Peak!L227&gt;Peak!$G227,F$8*Peak!$AM$11,0))</f>
        <v>-</v>
      </c>
      <c r="G226" s="177" t="str">
        <f>IF('Peak Revenue'!$A$1="BL","-",IF(Peak!M227&gt;Peak!$G227,G$8*Peak!$AM$11,0))</f>
        <v>-</v>
      </c>
      <c r="H226" s="177" t="str">
        <f>IF('Peak Revenue'!$A$1="BL","-",IF(Peak!N227&gt;Peak!$G227,H$8*Peak!$AM$11,0))</f>
        <v>-</v>
      </c>
      <c r="I226" s="177" t="str">
        <f>IF('Peak Revenue'!$A$1="BL","-",IF(Peak!O227&gt;Peak!$G227,I$8*Peak!$AM$11,0))</f>
        <v>-</v>
      </c>
      <c r="J226" s="177" t="str">
        <f>IF('Peak Revenue'!$A$1="BL","-",IF(Peak!P227&gt;Peak!$G227,J$8*Peak!$AM$11,0))</f>
        <v>-</v>
      </c>
      <c r="K226" s="177" t="str">
        <f>IF('Peak Revenue'!$A$1="BL","-",IF(Peak!Q227&gt;Peak!$G227,K$8*Peak!$AM$11,0))</f>
        <v>-</v>
      </c>
      <c r="L226" s="177" t="str">
        <f>IF('Peak Revenue'!$A$1="BL","-",IF(Peak!R227&gt;Peak!$G227,L$8*Peak!$AM$11,0))</f>
        <v>-</v>
      </c>
      <c r="M226" s="177" t="str">
        <f>IF('Peak Revenue'!$A$1="BL","-",IF(Peak!S227&gt;Peak!$G227,M$8*Peak!$AM$11,0))</f>
        <v>-</v>
      </c>
      <c r="N226" s="177" t="str">
        <f>IF('Peak Revenue'!$A$1="BL","-",IF(Peak!T227&gt;Peak!$G227,N$8*Peak!$AM$11,0))</f>
        <v>-</v>
      </c>
      <c r="O226" s="177" t="str">
        <f>IF('Peak Revenue'!$A$1="BL","-",IF(Peak!U227&gt;Peak!$G227,O$8*Peak!$AM$11,0))</f>
        <v>-</v>
      </c>
      <c r="P226" s="177" t="str">
        <f>IF('Peak Revenue'!$A$1="BL","-",IF(Peak!V227&gt;Peak!$G227,P$8*Peak!$AM$11,0))</f>
        <v>-</v>
      </c>
      <c r="Q226" s="177" t="str">
        <f>IF('Peak Revenue'!$A$1="BL","-",IF(Peak!W227&gt;Peak!$G227,Q$8*Peak!$AM$11,0))</f>
        <v>-</v>
      </c>
      <c r="R226" s="177" t="str">
        <f>IF('Peak Revenue'!$A$1="BL","-",IF(Peak!X227&gt;Peak!$G227,R$8*Peak!$AM$11,0))</f>
        <v>-</v>
      </c>
      <c r="S226" s="177" t="str">
        <f>IF('Peak Revenue'!$A$1="BL","-",IF(Peak!Y227&gt;Peak!$G227,S$8*Peak!$AM$11,0))</f>
        <v>-</v>
      </c>
      <c r="T226" s="177" t="str">
        <f>IF('Peak Revenue'!$A$1="BL","-",IF(Peak!Z227&gt;Peak!$G227,T$8*Peak!$AM$11,0))</f>
        <v>-</v>
      </c>
      <c r="U226" s="177" t="str">
        <f>IF('Peak Revenue'!$A$1="BL","-",IF(Peak!AA227&gt;Peak!$G227,U$8*Peak!$AM$11,0))</f>
        <v>-</v>
      </c>
      <c r="V226" s="178">
        <f t="shared" si="6"/>
        <v>0</v>
      </c>
      <c r="W226" s="165"/>
    </row>
    <row r="227" spans="1:23" x14ac:dyDescent="0.2">
      <c r="A227" s="1">
        <f t="shared" si="7"/>
        <v>43140.489000000278</v>
      </c>
      <c r="B227" s="176" t="str">
        <f>IF('Peak Revenue'!$A$1="BL","-",IF(Peak!H228&gt;Peak!$G228,B$8*Peak!$AM$11,0))</f>
        <v>-</v>
      </c>
      <c r="C227" s="177" t="str">
        <f>IF('Peak Revenue'!$A$1="BL","-",IF(Peak!I228&gt;Peak!$G228,C$8*Peak!$AM$11,0))</f>
        <v>-</v>
      </c>
      <c r="D227" s="177" t="str">
        <f>IF('Peak Revenue'!$A$1="BL","-",IF(Peak!J228&gt;Peak!$G228,D$8*Peak!$AM$11,0))</f>
        <v>-</v>
      </c>
      <c r="E227" s="177" t="str">
        <f>IF('Peak Revenue'!$A$1="BL","-",IF(Peak!K228&gt;Peak!$G228,E$8*Peak!$AM$11,0))</f>
        <v>-</v>
      </c>
      <c r="F227" s="177" t="str">
        <f>IF('Peak Revenue'!$A$1="BL","-",IF(Peak!L228&gt;Peak!$G228,F$8*Peak!$AM$11,0))</f>
        <v>-</v>
      </c>
      <c r="G227" s="177" t="str">
        <f>IF('Peak Revenue'!$A$1="BL","-",IF(Peak!M228&gt;Peak!$G228,G$8*Peak!$AM$11,0))</f>
        <v>-</v>
      </c>
      <c r="H227" s="177" t="str">
        <f>IF('Peak Revenue'!$A$1="BL","-",IF(Peak!N228&gt;Peak!$G228,H$8*Peak!$AM$11,0))</f>
        <v>-</v>
      </c>
      <c r="I227" s="177" t="str">
        <f>IF('Peak Revenue'!$A$1="BL","-",IF(Peak!O228&gt;Peak!$G228,I$8*Peak!$AM$11,0))</f>
        <v>-</v>
      </c>
      <c r="J227" s="177" t="str">
        <f>IF('Peak Revenue'!$A$1="BL","-",IF(Peak!P228&gt;Peak!$G228,J$8*Peak!$AM$11,0))</f>
        <v>-</v>
      </c>
      <c r="K227" s="177" t="str">
        <f>IF('Peak Revenue'!$A$1="BL","-",IF(Peak!Q228&gt;Peak!$G228,K$8*Peak!$AM$11,0))</f>
        <v>-</v>
      </c>
      <c r="L227" s="177" t="str">
        <f>IF('Peak Revenue'!$A$1="BL","-",IF(Peak!R228&gt;Peak!$G228,L$8*Peak!$AM$11,0))</f>
        <v>-</v>
      </c>
      <c r="M227" s="177" t="str">
        <f>IF('Peak Revenue'!$A$1="BL","-",IF(Peak!S228&gt;Peak!$G228,M$8*Peak!$AM$11,0))</f>
        <v>-</v>
      </c>
      <c r="N227" s="177" t="str">
        <f>IF('Peak Revenue'!$A$1="BL","-",IF(Peak!T228&gt;Peak!$G228,N$8*Peak!$AM$11,0))</f>
        <v>-</v>
      </c>
      <c r="O227" s="177" t="str">
        <f>IF('Peak Revenue'!$A$1="BL","-",IF(Peak!U228&gt;Peak!$G228,O$8*Peak!$AM$11,0))</f>
        <v>-</v>
      </c>
      <c r="P227" s="177" t="str">
        <f>IF('Peak Revenue'!$A$1="BL","-",IF(Peak!V228&gt;Peak!$G228,P$8*Peak!$AM$11,0))</f>
        <v>-</v>
      </c>
      <c r="Q227" s="177" t="str">
        <f>IF('Peak Revenue'!$A$1="BL","-",IF(Peak!W228&gt;Peak!$G228,Q$8*Peak!$AM$11,0))</f>
        <v>-</v>
      </c>
      <c r="R227" s="177" t="str">
        <f>IF('Peak Revenue'!$A$1="BL","-",IF(Peak!X228&gt;Peak!$G228,R$8*Peak!$AM$11,0))</f>
        <v>-</v>
      </c>
      <c r="S227" s="177" t="str">
        <f>IF('Peak Revenue'!$A$1="BL","-",IF(Peak!Y228&gt;Peak!$G228,S$8*Peak!$AM$11,0))</f>
        <v>-</v>
      </c>
      <c r="T227" s="177" t="str">
        <f>IF('Peak Revenue'!$A$1="BL","-",IF(Peak!Z228&gt;Peak!$G228,T$8*Peak!$AM$11,0))</f>
        <v>-</v>
      </c>
      <c r="U227" s="177" t="str">
        <f>IF('Peak Revenue'!$A$1="BL","-",IF(Peak!AA228&gt;Peak!$G228,U$8*Peak!$AM$11,0))</f>
        <v>-</v>
      </c>
      <c r="V227" s="178">
        <f t="shared" si="6"/>
        <v>0</v>
      </c>
      <c r="W227" s="165"/>
    </row>
    <row r="228" spans="1:23" x14ac:dyDescent="0.2">
      <c r="A228" s="1">
        <f t="shared" si="7"/>
        <v>43170.906000000279</v>
      </c>
      <c r="B228" s="176" t="str">
        <f>IF('Peak Revenue'!$A$1="BL","-",IF(Peak!H229&gt;Peak!$G229,B$8*Peak!$AM$11,0))</f>
        <v>-</v>
      </c>
      <c r="C228" s="177" t="str">
        <f>IF('Peak Revenue'!$A$1="BL","-",IF(Peak!I229&gt;Peak!$G229,C$8*Peak!$AM$11,0))</f>
        <v>-</v>
      </c>
      <c r="D228" s="177" t="str">
        <f>IF('Peak Revenue'!$A$1="BL","-",IF(Peak!J229&gt;Peak!$G229,D$8*Peak!$AM$11,0))</f>
        <v>-</v>
      </c>
      <c r="E228" s="177" t="str">
        <f>IF('Peak Revenue'!$A$1="BL","-",IF(Peak!K229&gt;Peak!$G229,E$8*Peak!$AM$11,0))</f>
        <v>-</v>
      </c>
      <c r="F228" s="177" t="str">
        <f>IF('Peak Revenue'!$A$1="BL","-",IF(Peak!L229&gt;Peak!$G229,F$8*Peak!$AM$11,0))</f>
        <v>-</v>
      </c>
      <c r="G228" s="177" t="str">
        <f>IF('Peak Revenue'!$A$1="BL","-",IF(Peak!M229&gt;Peak!$G229,G$8*Peak!$AM$11,0))</f>
        <v>-</v>
      </c>
      <c r="H228" s="177" t="str">
        <f>IF('Peak Revenue'!$A$1="BL","-",IF(Peak!N229&gt;Peak!$G229,H$8*Peak!$AM$11,0))</f>
        <v>-</v>
      </c>
      <c r="I228" s="177" t="str">
        <f>IF('Peak Revenue'!$A$1="BL","-",IF(Peak!O229&gt;Peak!$G229,I$8*Peak!$AM$11,0))</f>
        <v>-</v>
      </c>
      <c r="J228" s="177" t="str">
        <f>IF('Peak Revenue'!$A$1="BL","-",IF(Peak!P229&gt;Peak!$G229,J$8*Peak!$AM$11,0))</f>
        <v>-</v>
      </c>
      <c r="K228" s="177" t="str">
        <f>IF('Peak Revenue'!$A$1="BL","-",IF(Peak!Q229&gt;Peak!$G229,K$8*Peak!$AM$11,0))</f>
        <v>-</v>
      </c>
      <c r="L228" s="177" t="str">
        <f>IF('Peak Revenue'!$A$1="BL","-",IF(Peak!R229&gt;Peak!$G229,L$8*Peak!$AM$11,0))</f>
        <v>-</v>
      </c>
      <c r="M228" s="177" t="str">
        <f>IF('Peak Revenue'!$A$1="BL","-",IF(Peak!S229&gt;Peak!$G229,M$8*Peak!$AM$11,0))</f>
        <v>-</v>
      </c>
      <c r="N228" s="177" t="str">
        <f>IF('Peak Revenue'!$A$1="BL","-",IF(Peak!T229&gt;Peak!$G229,N$8*Peak!$AM$11,0))</f>
        <v>-</v>
      </c>
      <c r="O228" s="177" t="str">
        <f>IF('Peak Revenue'!$A$1="BL","-",IF(Peak!U229&gt;Peak!$G229,O$8*Peak!$AM$11,0))</f>
        <v>-</v>
      </c>
      <c r="P228" s="177" t="str">
        <f>IF('Peak Revenue'!$A$1="BL","-",IF(Peak!V229&gt;Peak!$G229,P$8*Peak!$AM$11,0))</f>
        <v>-</v>
      </c>
      <c r="Q228" s="177" t="str">
        <f>IF('Peak Revenue'!$A$1="BL","-",IF(Peak!W229&gt;Peak!$G229,Q$8*Peak!$AM$11,0))</f>
        <v>-</v>
      </c>
      <c r="R228" s="177" t="str">
        <f>IF('Peak Revenue'!$A$1="BL","-",IF(Peak!X229&gt;Peak!$G229,R$8*Peak!$AM$11,0))</f>
        <v>-</v>
      </c>
      <c r="S228" s="177" t="str">
        <f>IF('Peak Revenue'!$A$1="BL","-",IF(Peak!Y229&gt;Peak!$G229,S$8*Peak!$AM$11,0))</f>
        <v>-</v>
      </c>
      <c r="T228" s="177" t="str">
        <f>IF('Peak Revenue'!$A$1="BL","-",IF(Peak!Z229&gt;Peak!$G229,T$8*Peak!$AM$11,0))</f>
        <v>-</v>
      </c>
      <c r="U228" s="177" t="str">
        <f>IF('Peak Revenue'!$A$1="BL","-",IF(Peak!AA229&gt;Peak!$G229,U$8*Peak!$AM$11,0))</f>
        <v>-</v>
      </c>
      <c r="V228" s="178">
        <f t="shared" si="6"/>
        <v>0</v>
      </c>
      <c r="W228" s="165"/>
    </row>
    <row r="229" spans="1:23" x14ac:dyDescent="0.2">
      <c r="A229" s="1">
        <f t="shared" si="7"/>
        <v>43201.32300000028</v>
      </c>
      <c r="B229" s="176" t="str">
        <f>IF('Peak Revenue'!$A$1="BL","-",IF(Peak!H230&gt;Peak!$G230,B$8*Peak!$AM$11,0))</f>
        <v>-</v>
      </c>
      <c r="C229" s="177" t="str">
        <f>IF('Peak Revenue'!$A$1="BL","-",IF(Peak!I230&gt;Peak!$G230,C$8*Peak!$AM$11,0))</f>
        <v>-</v>
      </c>
      <c r="D229" s="177" t="str">
        <f>IF('Peak Revenue'!$A$1="BL","-",IF(Peak!J230&gt;Peak!$G230,D$8*Peak!$AM$11,0))</f>
        <v>-</v>
      </c>
      <c r="E229" s="177" t="str">
        <f>IF('Peak Revenue'!$A$1="BL","-",IF(Peak!K230&gt;Peak!$G230,E$8*Peak!$AM$11,0))</f>
        <v>-</v>
      </c>
      <c r="F229" s="177" t="str">
        <f>IF('Peak Revenue'!$A$1="BL","-",IF(Peak!L230&gt;Peak!$G230,F$8*Peak!$AM$11,0))</f>
        <v>-</v>
      </c>
      <c r="G229" s="177" t="str">
        <f>IF('Peak Revenue'!$A$1="BL","-",IF(Peak!M230&gt;Peak!$G230,G$8*Peak!$AM$11,0))</f>
        <v>-</v>
      </c>
      <c r="H229" s="177" t="str">
        <f>IF('Peak Revenue'!$A$1="BL","-",IF(Peak!N230&gt;Peak!$G230,H$8*Peak!$AM$11,0))</f>
        <v>-</v>
      </c>
      <c r="I229" s="177" t="str">
        <f>IF('Peak Revenue'!$A$1="BL","-",IF(Peak!O230&gt;Peak!$G230,I$8*Peak!$AM$11,0))</f>
        <v>-</v>
      </c>
      <c r="J229" s="177" t="str">
        <f>IF('Peak Revenue'!$A$1="BL","-",IF(Peak!P230&gt;Peak!$G230,J$8*Peak!$AM$11,0))</f>
        <v>-</v>
      </c>
      <c r="K229" s="177" t="str">
        <f>IF('Peak Revenue'!$A$1="BL","-",IF(Peak!Q230&gt;Peak!$G230,K$8*Peak!$AM$11,0))</f>
        <v>-</v>
      </c>
      <c r="L229" s="177" t="str">
        <f>IF('Peak Revenue'!$A$1="BL","-",IF(Peak!R230&gt;Peak!$G230,L$8*Peak!$AM$11,0))</f>
        <v>-</v>
      </c>
      <c r="M229" s="177" t="str">
        <f>IF('Peak Revenue'!$A$1="BL","-",IF(Peak!S230&gt;Peak!$G230,M$8*Peak!$AM$11,0))</f>
        <v>-</v>
      </c>
      <c r="N229" s="177" t="str">
        <f>IF('Peak Revenue'!$A$1="BL","-",IF(Peak!T230&gt;Peak!$G230,N$8*Peak!$AM$11,0))</f>
        <v>-</v>
      </c>
      <c r="O229" s="177" t="str">
        <f>IF('Peak Revenue'!$A$1="BL","-",IF(Peak!U230&gt;Peak!$G230,O$8*Peak!$AM$11,0))</f>
        <v>-</v>
      </c>
      <c r="P229" s="177" t="str">
        <f>IF('Peak Revenue'!$A$1="BL","-",IF(Peak!V230&gt;Peak!$G230,P$8*Peak!$AM$11,0))</f>
        <v>-</v>
      </c>
      <c r="Q229" s="177" t="str">
        <f>IF('Peak Revenue'!$A$1="BL","-",IF(Peak!W230&gt;Peak!$G230,Q$8*Peak!$AM$11,0))</f>
        <v>-</v>
      </c>
      <c r="R229" s="177" t="str">
        <f>IF('Peak Revenue'!$A$1="BL","-",IF(Peak!X230&gt;Peak!$G230,R$8*Peak!$AM$11,0))</f>
        <v>-</v>
      </c>
      <c r="S229" s="177" t="str">
        <f>IF('Peak Revenue'!$A$1="BL","-",IF(Peak!Y230&gt;Peak!$G230,S$8*Peak!$AM$11,0))</f>
        <v>-</v>
      </c>
      <c r="T229" s="177" t="str">
        <f>IF('Peak Revenue'!$A$1="BL","-",IF(Peak!Z230&gt;Peak!$G230,T$8*Peak!$AM$11,0))</f>
        <v>-</v>
      </c>
      <c r="U229" s="177" t="str">
        <f>IF('Peak Revenue'!$A$1="BL","-",IF(Peak!AA230&gt;Peak!$G230,U$8*Peak!$AM$11,0))</f>
        <v>-</v>
      </c>
      <c r="V229" s="178">
        <f t="shared" si="6"/>
        <v>0</v>
      </c>
      <c r="W229" s="165"/>
    </row>
    <row r="230" spans="1:23" x14ac:dyDescent="0.2">
      <c r="A230" s="1">
        <f t="shared" si="7"/>
        <v>43231.740000000282</v>
      </c>
      <c r="B230" s="176" t="str">
        <f>IF('Peak Revenue'!$A$1="BL","-",IF(Peak!H231&gt;Peak!$G231,B$8*Peak!$AM$11,0))</f>
        <v>-</v>
      </c>
      <c r="C230" s="177" t="str">
        <f>IF('Peak Revenue'!$A$1="BL","-",IF(Peak!I231&gt;Peak!$G231,C$8*Peak!$AM$11,0))</f>
        <v>-</v>
      </c>
      <c r="D230" s="177" t="str">
        <f>IF('Peak Revenue'!$A$1="BL","-",IF(Peak!J231&gt;Peak!$G231,D$8*Peak!$AM$11,0))</f>
        <v>-</v>
      </c>
      <c r="E230" s="177" t="str">
        <f>IF('Peak Revenue'!$A$1="BL","-",IF(Peak!K231&gt;Peak!$G231,E$8*Peak!$AM$11,0))</f>
        <v>-</v>
      </c>
      <c r="F230" s="177" t="str">
        <f>IF('Peak Revenue'!$A$1="BL","-",IF(Peak!L231&gt;Peak!$G231,F$8*Peak!$AM$11,0))</f>
        <v>-</v>
      </c>
      <c r="G230" s="177" t="str">
        <f>IF('Peak Revenue'!$A$1="BL","-",IF(Peak!M231&gt;Peak!$G231,G$8*Peak!$AM$11,0))</f>
        <v>-</v>
      </c>
      <c r="H230" s="177" t="str">
        <f>IF('Peak Revenue'!$A$1="BL","-",IF(Peak!N231&gt;Peak!$G231,H$8*Peak!$AM$11,0))</f>
        <v>-</v>
      </c>
      <c r="I230" s="177" t="str">
        <f>IF('Peak Revenue'!$A$1="BL","-",IF(Peak!O231&gt;Peak!$G231,I$8*Peak!$AM$11,0))</f>
        <v>-</v>
      </c>
      <c r="J230" s="177" t="str">
        <f>IF('Peak Revenue'!$A$1="BL","-",IF(Peak!P231&gt;Peak!$G231,J$8*Peak!$AM$11,0))</f>
        <v>-</v>
      </c>
      <c r="K230" s="177" t="str">
        <f>IF('Peak Revenue'!$A$1="BL","-",IF(Peak!Q231&gt;Peak!$G231,K$8*Peak!$AM$11,0))</f>
        <v>-</v>
      </c>
      <c r="L230" s="177" t="str">
        <f>IF('Peak Revenue'!$A$1="BL","-",IF(Peak!R231&gt;Peak!$G231,L$8*Peak!$AM$11,0))</f>
        <v>-</v>
      </c>
      <c r="M230" s="177" t="str">
        <f>IF('Peak Revenue'!$A$1="BL","-",IF(Peak!S231&gt;Peak!$G231,M$8*Peak!$AM$11,0))</f>
        <v>-</v>
      </c>
      <c r="N230" s="177" t="str">
        <f>IF('Peak Revenue'!$A$1="BL","-",IF(Peak!T231&gt;Peak!$G231,N$8*Peak!$AM$11,0))</f>
        <v>-</v>
      </c>
      <c r="O230" s="177" t="str">
        <f>IF('Peak Revenue'!$A$1="BL","-",IF(Peak!U231&gt;Peak!$G231,O$8*Peak!$AM$11,0))</f>
        <v>-</v>
      </c>
      <c r="P230" s="177" t="str">
        <f>IF('Peak Revenue'!$A$1="BL","-",IF(Peak!V231&gt;Peak!$G231,P$8*Peak!$AM$11,0))</f>
        <v>-</v>
      </c>
      <c r="Q230" s="177" t="str">
        <f>IF('Peak Revenue'!$A$1="BL","-",IF(Peak!W231&gt;Peak!$G231,Q$8*Peak!$AM$11,0))</f>
        <v>-</v>
      </c>
      <c r="R230" s="177" t="str">
        <f>IF('Peak Revenue'!$A$1="BL","-",IF(Peak!X231&gt;Peak!$G231,R$8*Peak!$AM$11,0))</f>
        <v>-</v>
      </c>
      <c r="S230" s="177" t="str">
        <f>IF('Peak Revenue'!$A$1="BL","-",IF(Peak!Y231&gt;Peak!$G231,S$8*Peak!$AM$11,0))</f>
        <v>-</v>
      </c>
      <c r="T230" s="177" t="str">
        <f>IF('Peak Revenue'!$A$1="BL","-",IF(Peak!Z231&gt;Peak!$G231,T$8*Peak!$AM$11,0))</f>
        <v>-</v>
      </c>
      <c r="U230" s="177" t="str">
        <f>IF('Peak Revenue'!$A$1="BL","-",IF(Peak!AA231&gt;Peak!$G231,U$8*Peak!$AM$11,0))</f>
        <v>-</v>
      </c>
      <c r="V230" s="178">
        <f t="shared" si="6"/>
        <v>0</v>
      </c>
      <c r="W230" s="165"/>
    </row>
    <row r="231" spans="1:23" x14ac:dyDescent="0.2">
      <c r="A231" s="1">
        <f t="shared" si="7"/>
        <v>43262.157000000283</v>
      </c>
      <c r="B231" s="176" t="str">
        <f>IF('Peak Revenue'!$A$1="BL","-",IF(Peak!H232&gt;Peak!$G232,B$8*Peak!$AM$11,0))</f>
        <v>-</v>
      </c>
      <c r="C231" s="177" t="str">
        <f>IF('Peak Revenue'!$A$1="BL","-",IF(Peak!I232&gt;Peak!$G232,C$8*Peak!$AM$11,0))</f>
        <v>-</v>
      </c>
      <c r="D231" s="177" t="str">
        <f>IF('Peak Revenue'!$A$1="BL","-",IF(Peak!J232&gt;Peak!$G232,D$8*Peak!$AM$11,0))</f>
        <v>-</v>
      </c>
      <c r="E231" s="177" t="str">
        <f>IF('Peak Revenue'!$A$1="BL","-",IF(Peak!K232&gt;Peak!$G232,E$8*Peak!$AM$11,0))</f>
        <v>-</v>
      </c>
      <c r="F231" s="177" t="str">
        <f>IF('Peak Revenue'!$A$1="BL","-",IF(Peak!L232&gt;Peak!$G232,F$8*Peak!$AM$11,0))</f>
        <v>-</v>
      </c>
      <c r="G231" s="177" t="str">
        <f>IF('Peak Revenue'!$A$1="BL","-",IF(Peak!M232&gt;Peak!$G232,G$8*Peak!$AM$11,0))</f>
        <v>-</v>
      </c>
      <c r="H231" s="177" t="str">
        <f>IF('Peak Revenue'!$A$1="BL","-",IF(Peak!N232&gt;Peak!$G232,H$8*Peak!$AM$11,0))</f>
        <v>-</v>
      </c>
      <c r="I231" s="177" t="str">
        <f>IF('Peak Revenue'!$A$1="BL","-",IF(Peak!O232&gt;Peak!$G232,I$8*Peak!$AM$11,0))</f>
        <v>-</v>
      </c>
      <c r="J231" s="177" t="str">
        <f>IF('Peak Revenue'!$A$1="BL","-",IF(Peak!P232&gt;Peak!$G232,J$8*Peak!$AM$11,0))</f>
        <v>-</v>
      </c>
      <c r="K231" s="177" t="str">
        <f>IF('Peak Revenue'!$A$1="BL","-",IF(Peak!Q232&gt;Peak!$G232,K$8*Peak!$AM$11,0))</f>
        <v>-</v>
      </c>
      <c r="L231" s="177" t="str">
        <f>IF('Peak Revenue'!$A$1="BL","-",IF(Peak!R232&gt;Peak!$G232,L$8*Peak!$AM$11,0))</f>
        <v>-</v>
      </c>
      <c r="M231" s="177" t="str">
        <f>IF('Peak Revenue'!$A$1="BL","-",IF(Peak!S232&gt;Peak!$G232,M$8*Peak!$AM$11,0))</f>
        <v>-</v>
      </c>
      <c r="N231" s="177" t="str">
        <f>IF('Peak Revenue'!$A$1="BL","-",IF(Peak!T232&gt;Peak!$G232,N$8*Peak!$AM$11,0))</f>
        <v>-</v>
      </c>
      <c r="O231" s="177" t="str">
        <f>IF('Peak Revenue'!$A$1="BL","-",IF(Peak!U232&gt;Peak!$G232,O$8*Peak!$AM$11,0))</f>
        <v>-</v>
      </c>
      <c r="P231" s="177" t="str">
        <f>IF('Peak Revenue'!$A$1="BL","-",IF(Peak!V232&gt;Peak!$G232,P$8*Peak!$AM$11,0))</f>
        <v>-</v>
      </c>
      <c r="Q231" s="177" t="str">
        <f>IF('Peak Revenue'!$A$1="BL","-",IF(Peak!W232&gt;Peak!$G232,Q$8*Peak!$AM$11,0))</f>
        <v>-</v>
      </c>
      <c r="R231" s="177" t="str">
        <f>IF('Peak Revenue'!$A$1="BL","-",IF(Peak!X232&gt;Peak!$G232,R$8*Peak!$AM$11,0))</f>
        <v>-</v>
      </c>
      <c r="S231" s="177" t="str">
        <f>IF('Peak Revenue'!$A$1="BL","-",IF(Peak!Y232&gt;Peak!$G232,S$8*Peak!$AM$11,0))</f>
        <v>-</v>
      </c>
      <c r="T231" s="177" t="str">
        <f>IF('Peak Revenue'!$A$1="BL","-",IF(Peak!Z232&gt;Peak!$G232,T$8*Peak!$AM$11,0))</f>
        <v>-</v>
      </c>
      <c r="U231" s="177" t="str">
        <f>IF('Peak Revenue'!$A$1="BL","-",IF(Peak!AA232&gt;Peak!$G232,U$8*Peak!$AM$11,0))</f>
        <v>-</v>
      </c>
      <c r="V231" s="178">
        <f t="shared" si="6"/>
        <v>0</v>
      </c>
      <c r="W231" s="165"/>
    </row>
    <row r="232" spans="1:23" x14ac:dyDescent="0.2">
      <c r="A232" s="1">
        <f t="shared" si="7"/>
        <v>43292.574000000284</v>
      </c>
      <c r="B232" s="176" t="str">
        <f>IF('Peak Revenue'!$A$1="BL","-",IF(Peak!H233&gt;Peak!$G233,B$8*Peak!$AM$11,0))</f>
        <v>-</v>
      </c>
      <c r="C232" s="177" t="str">
        <f>IF('Peak Revenue'!$A$1="BL","-",IF(Peak!I233&gt;Peak!$G233,C$8*Peak!$AM$11,0))</f>
        <v>-</v>
      </c>
      <c r="D232" s="177" t="str">
        <f>IF('Peak Revenue'!$A$1="BL","-",IF(Peak!J233&gt;Peak!$G233,D$8*Peak!$AM$11,0))</f>
        <v>-</v>
      </c>
      <c r="E232" s="177" t="str">
        <f>IF('Peak Revenue'!$A$1="BL","-",IF(Peak!K233&gt;Peak!$G233,E$8*Peak!$AM$11,0))</f>
        <v>-</v>
      </c>
      <c r="F232" s="177" t="str">
        <f>IF('Peak Revenue'!$A$1="BL","-",IF(Peak!L233&gt;Peak!$G233,F$8*Peak!$AM$11,0))</f>
        <v>-</v>
      </c>
      <c r="G232" s="177" t="str">
        <f>IF('Peak Revenue'!$A$1="BL","-",IF(Peak!M233&gt;Peak!$G233,G$8*Peak!$AM$11,0))</f>
        <v>-</v>
      </c>
      <c r="H232" s="177" t="str">
        <f>IF('Peak Revenue'!$A$1="BL","-",IF(Peak!N233&gt;Peak!$G233,H$8*Peak!$AM$11,0))</f>
        <v>-</v>
      </c>
      <c r="I232" s="177" t="str">
        <f>IF('Peak Revenue'!$A$1="BL","-",IF(Peak!O233&gt;Peak!$G233,I$8*Peak!$AM$11,0))</f>
        <v>-</v>
      </c>
      <c r="J232" s="177" t="str">
        <f>IF('Peak Revenue'!$A$1="BL","-",IF(Peak!P233&gt;Peak!$G233,J$8*Peak!$AM$11,0))</f>
        <v>-</v>
      </c>
      <c r="K232" s="177" t="str">
        <f>IF('Peak Revenue'!$A$1="BL","-",IF(Peak!Q233&gt;Peak!$G233,K$8*Peak!$AM$11,0))</f>
        <v>-</v>
      </c>
      <c r="L232" s="177" t="str">
        <f>IF('Peak Revenue'!$A$1="BL","-",IF(Peak!R233&gt;Peak!$G233,L$8*Peak!$AM$11,0))</f>
        <v>-</v>
      </c>
      <c r="M232" s="177" t="str">
        <f>IF('Peak Revenue'!$A$1="BL","-",IF(Peak!S233&gt;Peak!$G233,M$8*Peak!$AM$11,0))</f>
        <v>-</v>
      </c>
      <c r="N232" s="177" t="str">
        <f>IF('Peak Revenue'!$A$1="BL","-",IF(Peak!T233&gt;Peak!$G233,N$8*Peak!$AM$11,0))</f>
        <v>-</v>
      </c>
      <c r="O232" s="177" t="str">
        <f>IF('Peak Revenue'!$A$1="BL","-",IF(Peak!U233&gt;Peak!$G233,O$8*Peak!$AM$11,0))</f>
        <v>-</v>
      </c>
      <c r="P232" s="177" t="str">
        <f>IF('Peak Revenue'!$A$1="BL","-",IF(Peak!V233&gt;Peak!$G233,P$8*Peak!$AM$11,0))</f>
        <v>-</v>
      </c>
      <c r="Q232" s="177" t="str">
        <f>IF('Peak Revenue'!$A$1="BL","-",IF(Peak!W233&gt;Peak!$G233,Q$8*Peak!$AM$11,0))</f>
        <v>-</v>
      </c>
      <c r="R232" s="177" t="str">
        <f>IF('Peak Revenue'!$A$1="BL","-",IF(Peak!X233&gt;Peak!$G233,R$8*Peak!$AM$11,0))</f>
        <v>-</v>
      </c>
      <c r="S232" s="177" t="str">
        <f>IF('Peak Revenue'!$A$1="BL","-",IF(Peak!Y233&gt;Peak!$G233,S$8*Peak!$AM$11,0))</f>
        <v>-</v>
      </c>
      <c r="T232" s="177" t="str">
        <f>IF('Peak Revenue'!$A$1="BL","-",IF(Peak!Z233&gt;Peak!$G233,T$8*Peak!$AM$11,0))</f>
        <v>-</v>
      </c>
      <c r="U232" s="177" t="str">
        <f>IF('Peak Revenue'!$A$1="BL","-",IF(Peak!AA233&gt;Peak!$G233,U$8*Peak!$AM$11,0))</f>
        <v>-</v>
      </c>
      <c r="V232" s="178">
        <f t="shared" si="6"/>
        <v>0</v>
      </c>
      <c r="W232" s="165"/>
    </row>
    <row r="233" spans="1:23" x14ac:dyDescent="0.2">
      <c r="A233" s="1">
        <f t="shared" si="7"/>
        <v>43322.991000000286</v>
      </c>
      <c r="B233" s="176" t="str">
        <f>IF('Peak Revenue'!$A$1="BL","-",IF(Peak!H234&gt;Peak!$G234,B$8*Peak!$AM$11,0))</f>
        <v>-</v>
      </c>
      <c r="C233" s="177" t="str">
        <f>IF('Peak Revenue'!$A$1="BL","-",IF(Peak!I234&gt;Peak!$G234,C$8*Peak!$AM$11,0))</f>
        <v>-</v>
      </c>
      <c r="D233" s="177" t="str">
        <f>IF('Peak Revenue'!$A$1="BL","-",IF(Peak!J234&gt;Peak!$G234,D$8*Peak!$AM$11,0))</f>
        <v>-</v>
      </c>
      <c r="E233" s="177" t="str">
        <f>IF('Peak Revenue'!$A$1="BL","-",IF(Peak!K234&gt;Peak!$G234,E$8*Peak!$AM$11,0))</f>
        <v>-</v>
      </c>
      <c r="F233" s="177" t="str">
        <f>IF('Peak Revenue'!$A$1="BL","-",IF(Peak!L234&gt;Peak!$G234,F$8*Peak!$AM$11,0))</f>
        <v>-</v>
      </c>
      <c r="G233" s="177" t="str">
        <f>IF('Peak Revenue'!$A$1="BL","-",IF(Peak!M234&gt;Peak!$G234,G$8*Peak!$AM$11,0))</f>
        <v>-</v>
      </c>
      <c r="H233" s="177" t="str">
        <f>IF('Peak Revenue'!$A$1="BL","-",IF(Peak!N234&gt;Peak!$G234,H$8*Peak!$AM$11,0))</f>
        <v>-</v>
      </c>
      <c r="I233" s="177" t="str">
        <f>IF('Peak Revenue'!$A$1="BL","-",IF(Peak!O234&gt;Peak!$G234,I$8*Peak!$AM$11,0))</f>
        <v>-</v>
      </c>
      <c r="J233" s="177" t="str">
        <f>IF('Peak Revenue'!$A$1="BL","-",IF(Peak!P234&gt;Peak!$G234,J$8*Peak!$AM$11,0))</f>
        <v>-</v>
      </c>
      <c r="K233" s="177" t="str">
        <f>IF('Peak Revenue'!$A$1="BL","-",IF(Peak!Q234&gt;Peak!$G234,K$8*Peak!$AM$11,0))</f>
        <v>-</v>
      </c>
      <c r="L233" s="177" t="str">
        <f>IF('Peak Revenue'!$A$1="BL","-",IF(Peak!R234&gt;Peak!$G234,L$8*Peak!$AM$11,0))</f>
        <v>-</v>
      </c>
      <c r="M233" s="177" t="str">
        <f>IF('Peak Revenue'!$A$1="BL","-",IF(Peak!S234&gt;Peak!$G234,M$8*Peak!$AM$11,0))</f>
        <v>-</v>
      </c>
      <c r="N233" s="177" t="str">
        <f>IF('Peak Revenue'!$A$1="BL","-",IF(Peak!T234&gt;Peak!$G234,N$8*Peak!$AM$11,0))</f>
        <v>-</v>
      </c>
      <c r="O233" s="177" t="str">
        <f>IF('Peak Revenue'!$A$1="BL","-",IF(Peak!U234&gt;Peak!$G234,O$8*Peak!$AM$11,0))</f>
        <v>-</v>
      </c>
      <c r="P233" s="177" t="str">
        <f>IF('Peak Revenue'!$A$1="BL","-",IF(Peak!V234&gt;Peak!$G234,P$8*Peak!$AM$11,0))</f>
        <v>-</v>
      </c>
      <c r="Q233" s="177" t="str">
        <f>IF('Peak Revenue'!$A$1="BL","-",IF(Peak!W234&gt;Peak!$G234,Q$8*Peak!$AM$11,0))</f>
        <v>-</v>
      </c>
      <c r="R233" s="177" t="str">
        <f>IF('Peak Revenue'!$A$1="BL","-",IF(Peak!X234&gt;Peak!$G234,R$8*Peak!$AM$11,0))</f>
        <v>-</v>
      </c>
      <c r="S233" s="177" t="str">
        <f>IF('Peak Revenue'!$A$1="BL","-",IF(Peak!Y234&gt;Peak!$G234,S$8*Peak!$AM$11,0))</f>
        <v>-</v>
      </c>
      <c r="T233" s="177" t="str">
        <f>IF('Peak Revenue'!$A$1="BL","-",IF(Peak!Z234&gt;Peak!$G234,T$8*Peak!$AM$11,0))</f>
        <v>-</v>
      </c>
      <c r="U233" s="177" t="str">
        <f>IF('Peak Revenue'!$A$1="BL","-",IF(Peak!AA234&gt;Peak!$G234,U$8*Peak!$AM$11,0))</f>
        <v>-</v>
      </c>
      <c r="V233" s="178">
        <f t="shared" si="6"/>
        <v>0</v>
      </c>
      <c r="W233" s="165"/>
    </row>
    <row r="234" spans="1:23" x14ac:dyDescent="0.2">
      <c r="A234" s="1">
        <f t="shared" si="7"/>
        <v>43353.408000000287</v>
      </c>
      <c r="B234" s="176" t="str">
        <f>IF('Peak Revenue'!$A$1="BL","-",IF(Peak!H235&gt;Peak!$G235,B$8*Peak!$AM$11,0))</f>
        <v>-</v>
      </c>
      <c r="C234" s="177" t="str">
        <f>IF('Peak Revenue'!$A$1="BL","-",IF(Peak!I235&gt;Peak!$G235,C$8*Peak!$AM$11,0))</f>
        <v>-</v>
      </c>
      <c r="D234" s="177" t="str">
        <f>IF('Peak Revenue'!$A$1="BL","-",IF(Peak!J235&gt;Peak!$G235,D$8*Peak!$AM$11,0))</f>
        <v>-</v>
      </c>
      <c r="E234" s="177" t="str">
        <f>IF('Peak Revenue'!$A$1="BL","-",IF(Peak!K235&gt;Peak!$G235,E$8*Peak!$AM$11,0))</f>
        <v>-</v>
      </c>
      <c r="F234" s="177" t="str">
        <f>IF('Peak Revenue'!$A$1="BL","-",IF(Peak!L235&gt;Peak!$G235,F$8*Peak!$AM$11,0))</f>
        <v>-</v>
      </c>
      <c r="G234" s="177" t="str">
        <f>IF('Peak Revenue'!$A$1="BL","-",IF(Peak!M235&gt;Peak!$G235,G$8*Peak!$AM$11,0))</f>
        <v>-</v>
      </c>
      <c r="H234" s="177" t="str">
        <f>IF('Peak Revenue'!$A$1="BL","-",IF(Peak!N235&gt;Peak!$G235,H$8*Peak!$AM$11,0))</f>
        <v>-</v>
      </c>
      <c r="I234" s="177" t="str">
        <f>IF('Peak Revenue'!$A$1="BL","-",IF(Peak!O235&gt;Peak!$G235,I$8*Peak!$AM$11,0))</f>
        <v>-</v>
      </c>
      <c r="J234" s="177" t="str">
        <f>IF('Peak Revenue'!$A$1="BL","-",IF(Peak!P235&gt;Peak!$G235,J$8*Peak!$AM$11,0))</f>
        <v>-</v>
      </c>
      <c r="K234" s="177" t="str">
        <f>IF('Peak Revenue'!$A$1="BL","-",IF(Peak!Q235&gt;Peak!$G235,K$8*Peak!$AM$11,0))</f>
        <v>-</v>
      </c>
      <c r="L234" s="177" t="str">
        <f>IF('Peak Revenue'!$A$1="BL","-",IF(Peak!R235&gt;Peak!$G235,L$8*Peak!$AM$11,0))</f>
        <v>-</v>
      </c>
      <c r="M234" s="177" t="str">
        <f>IF('Peak Revenue'!$A$1="BL","-",IF(Peak!S235&gt;Peak!$G235,M$8*Peak!$AM$11,0))</f>
        <v>-</v>
      </c>
      <c r="N234" s="177" t="str">
        <f>IF('Peak Revenue'!$A$1="BL","-",IF(Peak!T235&gt;Peak!$G235,N$8*Peak!$AM$11,0))</f>
        <v>-</v>
      </c>
      <c r="O234" s="177" t="str">
        <f>IF('Peak Revenue'!$A$1="BL","-",IF(Peak!U235&gt;Peak!$G235,O$8*Peak!$AM$11,0))</f>
        <v>-</v>
      </c>
      <c r="P234" s="177" t="str">
        <f>IF('Peak Revenue'!$A$1="BL","-",IF(Peak!V235&gt;Peak!$G235,P$8*Peak!$AM$11,0))</f>
        <v>-</v>
      </c>
      <c r="Q234" s="177" t="str">
        <f>IF('Peak Revenue'!$A$1="BL","-",IF(Peak!W235&gt;Peak!$G235,Q$8*Peak!$AM$11,0))</f>
        <v>-</v>
      </c>
      <c r="R234" s="177" t="str">
        <f>IF('Peak Revenue'!$A$1="BL","-",IF(Peak!X235&gt;Peak!$G235,R$8*Peak!$AM$11,0))</f>
        <v>-</v>
      </c>
      <c r="S234" s="177" t="str">
        <f>IF('Peak Revenue'!$A$1="BL","-",IF(Peak!Y235&gt;Peak!$G235,S$8*Peak!$AM$11,0))</f>
        <v>-</v>
      </c>
      <c r="T234" s="177" t="str">
        <f>IF('Peak Revenue'!$A$1="BL","-",IF(Peak!Z235&gt;Peak!$G235,T$8*Peak!$AM$11,0))</f>
        <v>-</v>
      </c>
      <c r="U234" s="177" t="str">
        <f>IF('Peak Revenue'!$A$1="BL","-",IF(Peak!AA235&gt;Peak!$G235,U$8*Peak!$AM$11,0))</f>
        <v>-</v>
      </c>
      <c r="V234" s="178">
        <f t="shared" si="6"/>
        <v>0</v>
      </c>
      <c r="W234" s="165"/>
    </row>
    <row r="235" spans="1:23" x14ac:dyDescent="0.2">
      <c r="A235" s="1">
        <f t="shared" si="7"/>
        <v>43383.825000000288</v>
      </c>
      <c r="B235" s="176" t="str">
        <f>IF('Peak Revenue'!$A$1="BL","-",IF(Peak!H236&gt;Peak!$G236,B$8*Peak!$AM$11,0))</f>
        <v>-</v>
      </c>
      <c r="C235" s="177" t="str">
        <f>IF('Peak Revenue'!$A$1="BL","-",IF(Peak!I236&gt;Peak!$G236,C$8*Peak!$AM$11,0))</f>
        <v>-</v>
      </c>
      <c r="D235" s="177" t="str">
        <f>IF('Peak Revenue'!$A$1="BL","-",IF(Peak!J236&gt;Peak!$G236,D$8*Peak!$AM$11,0))</f>
        <v>-</v>
      </c>
      <c r="E235" s="177" t="str">
        <f>IF('Peak Revenue'!$A$1="BL","-",IF(Peak!K236&gt;Peak!$G236,E$8*Peak!$AM$11,0))</f>
        <v>-</v>
      </c>
      <c r="F235" s="177" t="str">
        <f>IF('Peak Revenue'!$A$1="BL","-",IF(Peak!L236&gt;Peak!$G236,F$8*Peak!$AM$11,0))</f>
        <v>-</v>
      </c>
      <c r="G235" s="177" t="str">
        <f>IF('Peak Revenue'!$A$1="BL","-",IF(Peak!M236&gt;Peak!$G236,G$8*Peak!$AM$11,0))</f>
        <v>-</v>
      </c>
      <c r="H235" s="177" t="str">
        <f>IF('Peak Revenue'!$A$1="BL","-",IF(Peak!N236&gt;Peak!$G236,H$8*Peak!$AM$11,0))</f>
        <v>-</v>
      </c>
      <c r="I235" s="177" t="str">
        <f>IF('Peak Revenue'!$A$1="BL","-",IF(Peak!O236&gt;Peak!$G236,I$8*Peak!$AM$11,0))</f>
        <v>-</v>
      </c>
      <c r="J235" s="177" t="str">
        <f>IF('Peak Revenue'!$A$1="BL","-",IF(Peak!P236&gt;Peak!$G236,J$8*Peak!$AM$11,0))</f>
        <v>-</v>
      </c>
      <c r="K235" s="177" t="str">
        <f>IF('Peak Revenue'!$A$1="BL","-",IF(Peak!Q236&gt;Peak!$G236,K$8*Peak!$AM$11,0))</f>
        <v>-</v>
      </c>
      <c r="L235" s="177" t="str">
        <f>IF('Peak Revenue'!$A$1="BL","-",IF(Peak!R236&gt;Peak!$G236,L$8*Peak!$AM$11,0))</f>
        <v>-</v>
      </c>
      <c r="M235" s="177" t="str">
        <f>IF('Peak Revenue'!$A$1="BL","-",IF(Peak!S236&gt;Peak!$G236,M$8*Peak!$AM$11,0))</f>
        <v>-</v>
      </c>
      <c r="N235" s="177" t="str">
        <f>IF('Peak Revenue'!$A$1="BL","-",IF(Peak!T236&gt;Peak!$G236,N$8*Peak!$AM$11,0))</f>
        <v>-</v>
      </c>
      <c r="O235" s="177" t="str">
        <f>IF('Peak Revenue'!$A$1="BL","-",IF(Peak!U236&gt;Peak!$G236,O$8*Peak!$AM$11,0))</f>
        <v>-</v>
      </c>
      <c r="P235" s="177" t="str">
        <f>IF('Peak Revenue'!$A$1="BL","-",IF(Peak!V236&gt;Peak!$G236,P$8*Peak!$AM$11,0))</f>
        <v>-</v>
      </c>
      <c r="Q235" s="177" t="str">
        <f>IF('Peak Revenue'!$A$1="BL","-",IF(Peak!W236&gt;Peak!$G236,Q$8*Peak!$AM$11,0))</f>
        <v>-</v>
      </c>
      <c r="R235" s="177" t="str">
        <f>IF('Peak Revenue'!$A$1="BL","-",IF(Peak!X236&gt;Peak!$G236,R$8*Peak!$AM$11,0))</f>
        <v>-</v>
      </c>
      <c r="S235" s="177" t="str">
        <f>IF('Peak Revenue'!$A$1="BL","-",IF(Peak!Y236&gt;Peak!$G236,S$8*Peak!$AM$11,0))</f>
        <v>-</v>
      </c>
      <c r="T235" s="177" t="str">
        <f>IF('Peak Revenue'!$A$1="BL","-",IF(Peak!Z236&gt;Peak!$G236,T$8*Peak!$AM$11,0))</f>
        <v>-</v>
      </c>
      <c r="U235" s="177" t="str">
        <f>IF('Peak Revenue'!$A$1="BL","-",IF(Peak!AA236&gt;Peak!$G236,U$8*Peak!$AM$11,0))</f>
        <v>-</v>
      </c>
      <c r="V235" s="178">
        <f t="shared" si="6"/>
        <v>0</v>
      </c>
      <c r="W235" s="165"/>
    </row>
    <row r="236" spans="1:23" x14ac:dyDescent="0.2">
      <c r="A236" s="1">
        <f t="shared" si="7"/>
        <v>43414.242000000289</v>
      </c>
      <c r="B236" s="176" t="str">
        <f>IF('Peak Revenue'!$A$1="BL","-",IF(Peak!H237&gt;Peak!$G237,B$8*Peak!$AM$11,0))</f>
        <v>-</v>
      </c>
      <c r="C236" s="177" t="str">
        <f>IF('Peak Revenue'!$A$1="BL","-",IF(Peak!I237&gt;Peak!$G237,C$8*Peak!$AM$11,0))</f>
        <v>-</v>
      </c>
      <c r="D236" s="177" t="str">
        <f>IF('Peak Revenue'!$A$1="BL","-",IF(Peak!J237&gt;Peak!$G237,D$8*Peak!$AM$11,0))</f>
        <v>-</v>
      </c>
      <c r="E236" s="177" t="str">
        <f>IF('Peak Revenue'!$A$1="BL","-",IF(Peak!K237&gt;Peak!$G237,E$8*Peak!$AM$11,0))</f>
        <v>-</v>
      </c>
      <c r="F236" s="177" t="str">
        <f>IF('Peak Revenue'!$A$1="BL","-",IF(Peak!L237&gt;Peak!$G237,F$8*Peak!$AM$11,0))</f>
        <v>-</v>
      </c>
      <c r="G236" s="177" t="str">
        <f>IF('Peak Revenue'!$A$1="BL","-",IF(Peak!M237&gt;Peak!$G237,G$8*Peak!$AM$11,0))</f>
        <v>-</v>
      </c>
      <c r="H236" s="177" t="str">
        <f>IF('Peak Revenue'!$A$1="BL","-",IF(Peak!N237&gt;Peak!$G237,H$8*Peak!$AM$11,0))</f>
        <v>-</v>
      </c>
      <c r="I236" s="177" t="str">
        <f>IF('Peak Revenue'!$A$1="BL","-",IF(Peak!O237&gt;Peak!$G237,I$8*Peak!$AM$11,0))</f>
        <v>-</v>
      </c>
      <c r="J236" s="177" t="str">
        <f>IF('Peak Revenue'!$A$1="BL","-",IF(Peak!P237&gt;Peak!$G237,J$8*Peak!$AM$11,0))</f>
        <v>-</v>
      </c>
      <c r="K236" s="177" t="str">
        <f>IF('Peak Revenue'!$A$1="BL","-",IF(Peak!Q237&gt;Peak!$G237,K$8*Peak!$AM$11,0))</f>
        <v>-</v>
      </c>
      <c r="L236" s="177" t="str">
        <f>IF('Peak Revenue'!$A$1="BL","-",IF(Peak!R237&gt;Peak!$G237,L$8*Peak!$AM$11,0))</f>
        <v>-</v>
      </c>
      <c r="M236" s="177" t="str">
        <f>IF('Peak Revenue'!$A$1="BL","-",IF(Peak!S237&gt;Peak!$G237,M$8*Peak!$AM$11,0))</f>
        <v>-</v>
      </c>
      <c r="N236" s="177" t="str">
        <f>IF('Peak Revenue'!$A$1="BL","-",IF(Peak!T237&gt;Peak!$G237,N$8*Peak!$AM$11,0))</f>
        <v>-</v>
      </c>
      <c r="O236" s="177" t="str">
        <f>IF('Peak Revenue'!$A$1="BL","-",IF(Peak!U237&gt;Peak!$G237,O$8*Peak!$AM$11,0))</f>
        <v>-</v>
      </c>
      <c r="P236" s="177" t="str">
        <f>IF('Peak Revenue'!$A$1="BL","-",IF(Peak!V237&gt;Peak!$G237,P$8*Peak!$AM$11,0))</f>
        <v>-</v>
      </c>
      <c r="Q236" s="177" t="str">
        <f>IF('Peak Revenue'!$A$1="BL","-",IF(Peak!W237&gt;Peak!$G237,Q$8*Peak!$AM$11,0))</f>
        <v>-</v>
      </c>
      <c r="R236" s="177" t="str">
        <f>IF('Peak Revenue'!$A$1="BL","-",IF(Peak!X237&gt;Peak!$G237,R$8*Peak!$AM$11,0))</f>
        <v>-</v>
      </c>
      <c r="S236" s="177" t="str">
        <f>IF('Peak Revenue'!$A$1="BL","-",IF(Peak!Y237&gt;Peak!$G237,S$8*Peak!$AM$11,0))</f>
        <v>-</v>
      </c>
      <c r="T236" s="177" t="str">
        <f>IF('Peak Revenue'!$A$1="BL","-",IF(Peak!Z237&gt;Peak!$G237,T$8*Peak!$AM$11,0))</f>
        <v>-</v>
      </c>
      <c r="U236" s="177" t="str">
        <f>IF('Peak Revenue'!$A$1="BL","-",IF(Peak!AA237&gt;Peak!$G237,U$8*Peak!$AM$11,0))</f>
        <v>-</v>
      </c>
      <c r="V236" s="178">
        <f t="shared" si="6"/>
        <v>0</v>
      </c>
      <c r="W236" s="165"/>
    </row>
    <row r="237" spans="1:23" x14ac:dyDescent="0.2">
      <c r="A237" s="1">
        <f t="shared" si="7"/>
        <v>43444.659000000291</v>
      </c>
      <c r="B237" s="176" t="str">
        <f>IF('Peak Revenue'!$A$1="BL","-",IF(Peak!H238&gt;Peak!$G238,B$8*Peak!$AM$11,0))</f>
        <v>-</v>
      </c>
      <c r="C237" s="177" t="str">
        <f>IF('Peak Revenue'!$A$1="BL","-",IF(Peak!I238&gt;Peak!$G238,C$8*Peak!$AM$11,0))</f>
        <v>-</v>
      </c>
      <c r="D237" s="177" t="str">
        <f>IF('Peak Revenue'!$A$1="BL","-",IF(Peak!J238&gt;Peak!$G238,D$8*Peak!$AM$11,0))</f>
        <v>-</v>
      </c>
      <c r="E237" s="177" t="str">
        <f>IF('Peak Revenue'!$A$1="BL","-",IF(Peak!K238&gt;Peak!$G238,E$8*Peak!$AM$11,0))</f>
        <v>-</v>
      </c>
      <c r="F237" s="177" t="str">
        <f>IF('Peak Revenue'!$A$1="BL","-",IF(Peak!L238&gt;Peak!$G238,F$8*Peak!$AM$11,0))</f>
        <v>-</v>
      </c>
      <c r="G237" s="177" t="str">
        <f>IF('Peak Revenue'!$A$1="BL","-",IF(Peak!M238&gt;Peak!$G238,G$8*Peak!$AM$11,0))</f>
        <v>-</v>
      </c>
      <c r="H237" s="177" t="str">
        <f>IF('Peak Revenue'!$A$1="BL","-",IF(Peak!N238&gt;Peak!$G238,H$8*Peak!$AM$11,0))</f>
        <v>-</v>
      </c>
      <c r="I237" s="177" t="str">
        <f>IF('Peak Revenue'!$A$1="BL","-",IF(Peak!O238&gt;Peak!$G238,I$8*Peak!$AM$11,0))</f>
        <v>-</v>
      </c>
      <c r="J237" s="177" t="str">
        <f>IF('Peak Revenue'!$A$1="BL","-",IF(Peak!P238&gt;Peak!$G238,J$8*Peak!$AM$11,0))</f>
        <v>-</v>
      </c>
      <c r="K237" s="177" t="str">
        <f>IF('Peak Revenue'!$A$1="BL","-",IF(Peak!Q238&gt;Peak!$G238,K$8*Peak!$AM$11,0))</f>
        <v>-</v>
      </c>
      <c r="L237" s="177" t="str">
        <f>IF('Peak Revenue'!$A$1="BL","-",IF(Peak!R238&gt;Peak!$G238,L$8*Peak!$AM$11,0))</f>
        <v>-</v>
      </c>
      <c r="M237" s="177" t="str">
        <f>IF('Peak Revenue'!$A$1="BL","-",IF(Peak!S238&gt;Peak!$G238,M$8*Peak!$AM$11,0))</f>
        <v>-</v>
      </c>
      <c r="N237" s="177" t="str">
        <f>IF('Peak Revenue'!$A$1="BL","-",IF(Peak!T238&gt;Peak!$G238,N$8*Peak!$AM$11,0))</f>
        <v>-</v>
      </c>
      <c r="O237" s="177" t="str">
        <f>IF('Peak Revenue'!$A$1="BL","-",IF(Peak!U238&gt;Peak!$G238,O$8*Peak!$AM$11,0))</f>
        <v>-</v>
      </c>
      <c r="P237" s="177" t="str">
        <f>IF('Peak Revenue'!$A$1="BL","-",IF(Peak!V238&gt;Peak!$G238,P$8*Peak!$AM$11,0))</f>
        <v>-</v>
      </c>
      <c r="Q237" s="177" t="str">
        <f>IF('Peak Revenue'!$A$1="BL","-",IF(Peak!W238&gt;Peak!$G238,Q$8*Peak!$AM$11,0))</f>
        <v>-</v>
      </c>
      <c r="R237" s="177" t="str">
        <f>IF('Peak Revenue'!$A$1="BL","-",IF(Peak!X238&gt;Peak!$G238,R$8*Peak!$AM$11,0))</f>
        <v>-</v>
      </c>
      <c r="S237" s="177" t="str">
        <f>IF('Peak Revenue'!$A$1="BL","-",IF(Peak!Y238&gt;Peak!$G238,S$8*Peak!$AM$11,0))</f>
        <v>-</v>
      </c>
      <c r="T237" s="177" t="str">
        <f>IF('Peak Revenue'!$A$1="BL","-",IF(Peak!Z238&gt;Peak!$G238,T$8*Peak!$AM$11,0))</f>
        <v>-</v>
      </c>
      <c r="U237" s="177" t="str">
        <f>IF('Peak Revenue'!$A$1="BL","-",IF(Peak!AA238&gt;Peak!$G238,U$8*Peak!$AM$11,0))</f>
        <v>-</v>
      </c>
      <c r="V237" s="178">
        <f t="shared" si="6"/>
        <v>0</v>
      </c>
      <c r="W237" s="164">
        <f>SUM(V226:V237)</f>
        <v>0</v>
      </c>
    </row>
    <row r="238" spans="1:23" x14ac:dyDescent="0.2">
      <c r="A238" s="1">
        <f t="shared" si="7"/>
        <v>43475.076000000292</v>
      </c>
      <c r="B238" s="176" t="str">
        <f>IF('Peak Revenue'!$A$1="BL","-",IF(Peak!H239&gt;Peak!$G239,B$8*Peak!$AM$11,0))</f>
        <v>-</v>
      </c>
      <c r="C238" s="177" t="str">
        <f>IF('Peak Revenue'!$A$1="BL","-",IF(Peak!I239&gt;Peak!$G239,C$8*Peak!$AM$11,0))</f>
        <v>-</v>
      </c>
      <c r="D238" s="177" t="str">
        <f>IF('Peak Revenue'!$A$1="BL","-",IF(Peak!J239&gt;Peak!$G239,D$8*Peak!$AM$11,0))</f>
        <v>-</v>
      </c>
      <c r="E238" s="177" t="str">
        <f>IF('Peak Revenue'!$A$1="BL","-",IF(Peak!K239&gt;Peak!$G239,E$8*Peak!$AM$11,0))</f>
        <v>-</v>
      </c>
      <c r="F238" s="177" t="str">
        <f>IF('Peak Revenue'!$A$1="BL","-",IF(Peak!L239&gt;Peak!$G239,F$8*Peak!$AM$11,0))</f>
        <v>-</v>
      </c>
      <c r="G238" s="177" t="str">
        <f>IF('Peak Revenue'!$A$1="BL","-",IF(Peak!M239&gt;Peak!$G239,G$8*Peak!$AM$11,0))</f>
        <v>-</v>
      </c>
      <c r="H238" s="177" t="str">
        <f>IF('Peak Revenue'!$A$1="BL","-",IF(Peak!N239&gt;Peak!$G239,H$8*Peak!$AM$11,0))</f>
        <v>-</v>
      </c>
      <c r="I238" s="177" t="str">
        <f>IF('Peak Revenue'!$A$1="BL","-",IF(Peak!O239&gt;Peak!$G239,I$8*Peak!$AM$11,0))</f>
        <v>-</v>
      </c>
      <c r="J238" s="177" t="str">
        <f>IF('Peak Revenue'!$A$1="BL","-",IF(Peak!P239&gt;Peak!$G239,J$8*Peak!$AM$11,0))</f>
        <v>-</v>
      </c>
      <c r="K238" s="177" t="str">
        <f>IF('Peak Revenue'!$A$1="BL","-",IF(Peak!Q239&gt;Peak!$G239,K$8*Peak!$AM$11,0))</f>
        <v>-</v>
      </c>
      <c r="L238" s="177" t="str">
        <f>IF('Peak Revenue'!$A$1="BL","-",IF(Peak!R239&gt;Peak!$G239,L$8*Peak!$AM$11,0))</f>
        <v>-</v>
      </c>
      <c r="M238" s="177" t="str">
        <f>IF('Peak Revenue'!$A$1="BL","-",IF(Peak!S239&gt;Peak!$G239,M$8*Peak!$AM$11,0))</f>
        <v>-</v>
      </c>
      <c r="N238" s="177" t="str">
        <f>IF('Peak Revenue'!$A$1="BL","-",IF(Peak!T239&gt;Peak!$G239,N$8*Peak!$AM$11,0))</f>
        <v>-</v>
      </c>
      <c r="O238" s="177" t="str">
        <f>IF('Peak Revenue'!$A$1="BL","-",IF(Peak!U239&gt;Peak!$G239,O$8*Peak!$AM$11,0))</f>
        <v>-</v>
      </c>
      <c r="P238" s="177" t="str">
        <f>IF('Peak Revenue'!$A$1="BL","-",IF(Peak!V239&gt;Peak!$G239,P$8*Peak!$AM$11,0))</f>
        <v>-</v>
      </c>
      <c r="Q238" s="177" t="str">
        <f>IF('Peak Revenue'!$A$1="BL","-",IF(Peak!W239&gt;Peak!$G239,Q$8*Peak!$AM$11,0))</f>
        <v>-</v>
      </c>
      <c r="R238" s="177" t="str">
        <f>IF('Peak Revenue'!$A$1="BL","-",IF(Peak!X239&gt;Peak!$G239,R$8*Peak!$AM$11,0))</f>
        <v>-</v>
      </c>
      <c r="S238" s="177" t="str">
        <f>IF('Peak Revenue'!$A$1="BL","-",IF(Peak!Y239&gt;Peak!$G239,S$8*Peak!$AM$11,0))</f>
        <v>-</v>
      </c>
      <c r="T238" s="177" t="str">
        <f>IF('Peak Revenue'!$A$1="BL","-",IF(Peak!Z239&gt;Peak!$G239,T$8*Peak!$AM$11,0))</f>
        <v>-</v>
      </c>
      <c r="U238" s="177" t="str">
        <f>IF('Peak Revenue'!$A$1="BL","-",IF(Peak!AA239&gt;Peak!$G239,U$8*Peak!$AM$11,0))</f>
        <v>-</v>
      </c>
      <c r="V238" s="178">
        <f t="shared" si="6"/>
        <v>0</v>
      </c>
      <c r="W238" s="165"/>
    </row>
    <row r="239" spans="1:23" x14ac:dyDescent="0.2">
      <c r="A239" s="1">
        <f t="shared" si="7"/>
        <v>43505.493000000293</v>
      </c>
      <c r="B239" s="176" t="str">
        <f>IF('Peak Revenue'!$A$1="BL","-",IF(Peak!H240&gt;Peak!$G240,B$8*Peak!$AM$11,0))</f>
        <v>-</v>
      </c>
      <c r="C239" s="177" t="str">
        <f>IF('Peak Revenue'!$A$1="BL","-",IF(Peak!I240&gt;Peak!$G240,C$8*Peak!$AM$11,0))</f>
        <v>-</v>
      </c>
      <c r="D239" s="177" t="str">
        <f>IF('Peak Revenue'!$A$1="BL","-",IF(Peak!J240&gt;Peak!$G240,D$8*Peak!$AM$11,0))</f>
        <v>-</v>
      </c>
      <c r="E239" s="177" t="str">
        <f>IF('Peak Revenue'!$A$1="BL","-",IF(Peak!K240&gt;Peak!$G240,E$8*Peak!$AM$11,0))</f>
        <v>-</v>
      </c>
      <c r="F239" s="177" t="str">
        <f>IF('Peak Revenue'!$A$1="BL","-",IF(Peak!L240&gt;Peak!$G240,F$8*Peak!$AM$11,0))</f>
        <v>-</v>
      </c>
      <c r="G239" s="177" t="str">
        <f>IF('Peak Revenue'!$A$1="BL","-",IF(Peak!M240&gt;Peak!$G240,G$8*Peak!$AM$11,0))</f>
        <v>-</v>
      </c>
      <c r="H239" s="177" t="str">
        <f>IF('Peak Revenue'!$A$1="BL","-",IF(Peak!N240&gt;Peak!$G240,H$8*Peak!$AM$11,0))</f>
        <v>-</v>
      </c>
      <c r="I239" s="177" t="str">
        <f>IF('Peak Revenue'!$A$1="BL","-",IF(Peak!O240&gt;Peak!$G240,I$8*Peak!$AM$11,0))</f>
        <v>-</v>
      </c>
      <c r="J239" s="177" t="str">
        <f>IF('Peak Revenue'!$A$1="BL","-",IF(Peak!P240&gt;Peak!$G240,J$8*Peak!$AM$11,0))</f>
        <v>-</v>
      </c>
      <c r="K239" s="177" t="str">
        <f>IF('Peak Revenue'!$A$1="BL","-",IF(Peak!Q240&gt;Peak!$G240,K$8*Peak!$AM$11,0))</f>
        <v>-</v>
      </c>
      <c r="L239" s="177" t="str">
        <f>IF('Peak Revenue'!$A$1="BL","-",IF(Peak!R240&gt;Peak!$G240,L$8*Peak!$AM$11,0))</f>
        <v>-</v>
      </c>
      <c r="M239" s="177" t="str">
        <f>IF('Peak Revenue'!$A$1="BL","-",IF(Peak!S240&gt;Peak!$G240,M$8*Peak!$AM$11,0))</f>
        <v>-</v>
      </c>
      <c r="N239" s="177" t="str">
        <f>IF('Peak Revenue'!$A$1="BL","-",IF(Peak!T240&gt;Peak!$G240,N$8*Peak!$AM$11,0))</f>
        <v>-</v>
      </c>
      <c r="O239" s="177" t="str">
        <f>IF('Peak Revenue'!$A$1="BL","-",IF(Peak!U240&gt;Peak!$G240,O$8*Peak!$AM$11,0))</f>
        <v>-</v>
      </c>
      <c r="P239" s="177" t="str">
        <f>IF('Peak Revenue'!$A$1="BL","-",IF(Peak!V240&gt;Peak!$G240,P$8*Peak!$AM$11,0))</f>
        <v>-</v>
      </c>
      <c r="Q239" s="177" t="str">
        <f>IF('Peak Revenue'!$A$1="BL","-",IF(Peak!W240&gt;Peak!$G240,Q$8*Peak!$AM$11,0))</f>
        <v>-</v>
      </c>
      <c r="R239" s="177" t="str">
        <f>IF('Peak Revenue'!$A$1="BL","-",IF(Peak!X240&gt;Peak!$G240,R$8*Peak!$AM$11,0))</f>
        <v>-</v>
      </c>
      <c r="S239" s="177" t="str">
        <f>IF('Peak Revenue'!$A$1="BL","-",IF(Peak!Y240&gt;Peak!$G240,S$8*Peak!$AM$11,0))</f>
        <v>-</v>
      </c>
      <c r="T239" s="177" t="str">
        <f>IF('Peak Revenue'!$A$1="BL","-",IF(Peak!Z240&gt;Peak!$G240,T$8*Peak!$AM$11,0))</f>
        <v>-</v>
      </c>
      <c r="U239" s="177" t="str">
        <f>IF('Peak Revenue'!$A$1="BL","-",IF(Peak!AA240&gt;Peak!$G240,U$8*Peak!$AM$11,0))</f>
        <v>-</v>
      </c>
      <c r="V239" s="178">
        <f t="shared" si="6"/>
        <v>0</v>
      </c>
      <c r="W239" s="165"/>
    </row>
    <row r="240" spans="1:23" x14ac:dyDescent="0.2">
      <c r="A240" s="1">
        <f t="shared" si="7"/>
        <v>43535.910000000295</v>
      </c>
      <c r="B240" s="176" t="str">
        <f>IF('Peak Revenue'!$A$1="BL","-",IF(Peak!H241&gt;Peak!$G241,B$8*Peak!$AM$11,0))</f>
        <v>-</v>
      </c>
      <c r="C240" s="177" t="str">
        <f>IF('Peak Revenue'!$A$1="BL","-",IF(Peak!I241&gt;Peak!$G241,C$8*Peak!$AM$11,0))</f>
        <v>-</v>
      </c>
      <c r="D240" s="177" t="str">
        <f>IF('Peak Revenue'!$A$1="BL","-",IF(Peak!J241&gt;Peak!$G241,D$8*Peak!$AM$11,0))</f>
        <v>-</v>
      </c>
      <c r="E240" s="177" t="str">
        <f>IF('Peak Revenue'!$A$1="BL","-",IF(Peak!K241&gt;Peak!$G241,E$8*Peak!$AM$11,0))</f>
        <v>-</v>
      </c>
      <c r="F240" s="177" t="str">
        <f>IF('Peak Revenue'!$A$1="BL","-",IF(Peak!L241&gt;Peak!$G241,F$8*Peak!$AM$11,0))</f>
        <v>-</v>
      </c>
      <c r="G240" s="177" t="str">
        <f>IF('Peak Revenue'!$A$1="BL","-",IF(Peak!M241&gt;Peak!$G241,G$8*Peak!$AM$11,0))</f>
        <v>-</v>
      </c>
      <c r="H240" s="177" t="str">
        <f>IF('Peak Revenue'!$A$1="BL","-",IF(Peak!N241&gt;Peak!$G241,H$8*Peak!$AM$11,0))</f>
        <v>-</v>
      </c>
      <c r="I240" s="177" t="str">
        <f>IF('Peak Revenue'!$A$1="BL","-",IF(Peak!O241&gt;Peak!$G241,I$8*Peak!$AM$11,0))</f>
        <v>-</v>
      </c>
      <c r="J240" s="177" t="str">
        <f>IF('Peak Revenue'!$A$1="BL","-",IF(Peak!P241&gt;Peak!$G241,J$8*Peak!$AM$11,0))</f>
        <v>-</v>
      </c>
      <c r="K240" s="177" t="str">
        <f>IF('Peak Revenue'!$A$1="BL","-",IF(Peak!Q241&gt;Peak!$G241,K$8*Peak!$AM$11,0))</f>
        <v>-</v>
      </c>
      <c r="L240" s="177" t="str">
        <f>IF('Peak Revenue'!$A$1="BL","-",IF(Peak!R241&gt;Peak!$G241,L$8*Peak!$AM$11,0))</f>
        <v>-</v>
      </c>
      <c r="M240" s="177" t="str">
        <f>IF('Peak Revenue'!$A$1="BL","-",IF(Peak!S241&gt;Peak!$G241,M$8*Peak!$AM$11,0))</f>
        <v>-</v>
      </c>
      <c r="N240" s="177" t="str">
        <f>IF('Peak Revenue'!$A$1="BL","-",IF(Peak!T241&gt;Peak!$G241,N$8*Peak!$AM$11,0))</f>
        <v>-</v>
      </c>
      <c r="O240" s="177" t="str">
        <f>IF('Peak Revenue'!$A$1="BL","-",IF(Peak!U241&gt;Peak!$G241,O$8*Peak!$AM$11,0))</f>
        <v>-</v>
      </c>
      <c r="P240" s="177" t="str">
        <f>IF('Peak Revenue'!$A$1="BL","-",IF(Peak!V241&gt;Peak!$G241,P$8*Peak!$AM$11,0))</f>
        <v>-</v>
      </c>
      <c r="Q240" s="177" t="str">
        <f>IF('Peak Revenue'!$A$1="BL","-",IF(Peak!W241&gt;Peak!$G241,Q$8*Peak!$AM$11,0))</f>
        <v>-</v>
      </c>
      <c r="R240" s="177" t="str">
        <f>IF('Peak Revenue'!$A$1="BL","-",IF(Peak!X241&gt;Peak!$G241,R$8*Peak!$AM$11,0))</f>
        <v>-</v>
      </c>
      <c r="S240" s="177" t="str">
        <f>IF('Peak Revenue'!$A$1="BL","-",IF(Peak!Y241&gt;Peak!$G241,S$8*Peak!$AM$11,0))</f>
        <v>-</v>
      </c>
      <c r="T240" s="177" t="str">
        <f>IF('Peak Revenue'!$A$1="BL","-",IF(Peak!Z241&gt;Peak!$G241,T$8*Peak!$AM$11,0))</f>
        <v>-</v>
      </c>
      <c r="U240" s="177" t="str">
        <f>IF('Peak Revenue'!$A$1="BL","-",IF(Peak!AA241&gt;Peak!$G241,U$8*Peak!$AM$11,0))</f>
        <v>-</v>
      </c>
      <c r="V240" s="178">
        <f t="shared" si="6"/>
        <v>0</v>
      </c>
      <c r="W240" s="165"/>
    </row>
    <row r="241" spans="1:23" x14ac:dyDescent="0.2">
      <c r="A241" s="1">
        <f t="shared" si="7"/>
        <v>43566.327000000296</v>
      </c>
      <c r="B241" s="176" t="str">
        <f>IF('Peak Revenue'!$A$1="BL","-",IF(Peak!H242&gt;Peak!$G242,B$8*Peak!$AM$11,0))</f>
        <v>-</v>
      </c>
      <c r="C241" s="177" t="str">
        <f>IF('Peak Revenue'!$A$1="BL","-",IF(Peak!I242&gt;Peak!$G242,C$8*Peak!$AM$11,0))</f>
        <v>-</v>
      </c>
      <c r="D241" s="177" t="str">
        <f>IF('Peak Revenue'!$A$1="BL","-",IF(Peak!J242&gt;Peak!$G242,D$8*Peak!$AM$11,0))</f>
        <v>-</v>
      </c>
      <c r="E241" s="177" t="str">
        <f>IF('Peak Revenue'!$A$1="BL","-",IF(Peak!K242&gt;Peak!$G242,E$8*Peak!$AM$11,0))</f>
        <v>-</v>
      </c>
      <c r="F241" s="177" t="str">
        <f>IF('Peak Revenue'!$A$1="BL","-",IF(Peak!L242&gt;Peak!$G242,F$8*Peak!$AM$11,0))</f>
        <v>-</v>
      </c>
      <c r="G241" s="177" t="str">
        <f>IF('Peak Revenue'!$A$1="BL","-",IF(Peak!M242&gt;Peak!$G242,G$8*Peak!$AM$11,0))</f>
        <v>-</v>
      </c>
      <c r="H241" s="177" t="str">
        <f>IF('Peak Revenue'!$A$1="BL","-",IF(Peak!N242&gt;Peak!$G242,H$8*Peak!$AM$11,0))</f>
        <v>-</v>
      </c>
      <c r="I241" s="177" t="str">
        <f>IF('Peak Revenue'!$A$1="BL","-",IF(Peak!O242&gt;Peak!$G242,I$8*Peak!$AM$11,0))</f>
        <v>-</v>
      </c>
      <c r="J241" s="177" t="str">
        <f>IF('Peak Revenue'!$A$1="BL","-",IF(Peak!P242&gt;Peak!$G242,J$8*Peak!$AM$11,0))</f>
        <v>-</v>
      </c>
      <c r="K241" s="177" t="str">
        <f>IF('Peak Revenue'!$A$1="BL","-",IF(Peak!Q242&gt;Peak!$G242,K$8*Peak!$AM$11,0))</f>
        <v>-</v>
      </c>
      <c r="L241" s="177" t="str">
        <f>IF('Peak Revenue'!$A$1="BL","-",IF(Peak!R242&gt;Peak!$G242,L$8*Peak!$AM$11,0))</f>
        <v>-</v>
      </c>
      <c r="M241" s="177" t="str">
        <f>IF('Peak Revenue'!$A$1="BL","-",IF(Peak!S242&gt;Peak!$G242,M$8*Peak!$AM$11,0))</f>
        <v>-</v>
      </c>
      <c r="N241" s="177" t="str">
        <f>IF('Peak Revenue'!$A$1="BL","-",IF(Peak!T242&gt;Peak!$G242,N$8*Peak!$AM$11,0))</f>
        <v>-</v>
      </c>
      <c r="O241" s="177" t="str">
        <f>IF('Peak Revenue'!$A$1="BL","-",IF(Peak!U242&gt;Peak!$G242,O$8*Peak!$AM$11,0))</f>
        <v>-</v>
      </c>
      <c r="P241" s="177" t="str">
        <f>IF('Peak Revenue'!$A$1="BL","-",IF(Peak!V242&gt;Peak!$G242,P$8*Peak!$AM$11,0))</f>
        <v>-</v>
      </c>
      <c r="Q241" s="177" t="str">
        <f>IF('Peak Revenue'!$A$1="BL","-",IF(Peak!W242&gt;Peak!$G242,Q$8*Peak!$AM$11,0))</f>
        <v>-</v>
      </c>
      <c r="R241" s="177" t="str">
        <f>IF('Peak Revenue'!$A$1="BL","-",IF(Peak!X242&gt;Peak!$G242,R$8*Peak!$AM$11,0))</f>
        <v>-</v>
      </c>
      <c r="S241" s="177" t="str">
        <f>IF('Peak Revenue'!$A$1="BL","-",IF(Peak!Y242&gt;Peak!$G242,S$8*Peak!$AM$11,0))</f>
        <v>-</v>
      </c>
      <c r="T241" s="177" t="str">
        <f>IF('Peak Revenue'!$A$1="BL","-",IF(Peak!Z242&gt;Peak!$G242,T$8*Peak!$AM$11,0))</f>
        <v>-</v>
      </c>
      <c r="U241" s="177" t="str">
        <f>IF('Peak Revenue'!$A$1="BL","-",IF(Peak!AA242&gt;Peak!$G242,U$8*Peak!$AM$11,0))</f>
        <v>-</v>
      </c>
      <c r="V241" s="178">
        <f t="shared" si="6"/>
        <v>0</v>
      </c>
      <c r="W241" s="165"/>
    </row>
    <row r="242" spans="1:23" x14ac:dyDescent="0.2">
      <c r="A242" s="1">
        <f t="shared" si="7"/>
        <v>43596.744000000297</v>
      </c>
      <c r="B242" s="176" t="str">
        <f>IF('Peak Revenue'!$A$1="BL","-",IF(Peak!H243&gt;Peak!$G243,B$8*Peak!$AM$11,0))</f>
        <v>-</v>
      </c>
      <c r="C242" s="177" t="str">
        <f>IF('Peak Revenue'!$A$1="BL","-",IF(Peak!I243&gt;Peak!$G243,C$8*Peak!$AM$11,0))</f>
        <v>-</v>
      </c>
      <c r="D242" s="177" t="str">
        <f>IF('Peak Revenue'!$A$1="BL","-",IF(Peak!J243&gt;Peak!$G243,D$8*Peak!$AM$11,0))</f>
        <v>-</v>
      </c>
      <c r="E242" s="177" t="str">
        <f>IF('Peak Revenue'!$A$1="BL","-",IF(Peak!K243&gt;Peak!$G243,E$8*Peak!$AM$11,0))</f>
        <v>-</v>
      </c>
      <c r="F242" s="177" t="str">
        <f>IF('Peak Revenue'!$A$1="BL","-",IF(Peak!L243&gt;Peak!$G243,F$8*Peak!$AM$11,0))</f>
        <v>-</v>
      </c>
      <c r="G242" s="177" t="str">
        <f>IF('Peak Revenue'!$A$1="BL","-",IF(Peak!M243&gt;Peak!$G243,G$8*Peak!$AM$11,0))</f>
        <v>-</v>
      </c>
      <c r="H242" s="177" t="str">
        <f>IF('Peak Revenue'!$A$1="BL","-",IF(Peak!N243&gt;Peak!$G243,H$8*Peak!$AM$11,0))</f>
        <v>-</v>
      </c>
      <c r="I242" s="177" t="str">
        <f>IF('Peak Revenue'!$A$1="BL","-",IF(Peak!O243&gt;Peak!$G243,I$8*Peak!$AM$11,0))</f>
        <v>-</v>
      </c>
      <c r="J242" s="177" t="str">
        <f>IF('Peak Revenue'!$A$1="BL","-",IF(Peak!P243&gt;Peak!$G243,J$8*Peak!$AM$11,0))</f>
        <v>-</v>
      </c>
      <c r="K242" s="177" t="str">
        <f>IF('Peak Revenue'!$A$1="BL","-",IF(Peak!Q243&gt;Peak!$G243,K$8*Peak!$AM$11,0))</f>
        <v>-</v>
      </c>
      <c r="L242" s="177" t="str">
        <f>IF('Peak Revenue'!$A$1="BL","-",IF(Peak!R243&gt;Peak!$G243,L$8*Peak!$AM$11,0))</f>
        <v>-</v>
      </c>
      <c r="M242" s="177" t="str">
        <f>IF('Peak Revenue'!$A$1="BL","-",IF(Peak!S243&gt;Peak!$G243,M$8*Peak!$AM$11,0))</f>
        <v>-</v>
      </c>
      <c r="N242" s="177" t="str">
        <f>IF('Peak Revenue'!$A$1="BL","-",IF(Peak!T243&gt;Peak!$G243,N$8*Peak!$AM$11,0))</f>
        <v>-</v>
      </c>
      <c r="O242" s="177" t="str">
        <f>IF('Peak Revenue'!$A$1="BL","-",IF(Peak!U243&gt;Peak!$G243,O$8*Peak!$AM$11,0))</f>
        <v>-</v>
      </c>
      <c r="P242" s="177" t="str">
        <f>IF('Peak Revenue'!$A$1="BL","-",IF(Peak!V243&gt;Peak!$G243,P$8*Peak!$AM$11,0))</f>
        <v>-</v>
      </c>
      <c r="Q242" s="177" t="str">
        <f>IF('Peak Revenue'!$A$1="BL","-",IF(Peak!W243&gt;Peak!$G243,Q$8*Peak!$AM$11,0))</f>
        <v>-</v>
      </c>
      <c r="R242" s="177" t="str">
        <f>IF('Peak Revenue'!$A$1="BL","-",IF(Peak!X243&gt;Peak!$G243,R$8*Peak!$AM$11,0))</f>
        <v>-</v>
      </c>
      <c r="S242" s="177" t="str">
        <f>IF('Peak Revenue'!$A$1="BL","-",IF(Peak!Y243&gt;Peak!$G243,S$8*Peak!$AM$11,0))</f>
        <v>-</v>
      </c>
      <c r="T242" s="177" t="str">
        <f>IF('Peak Revenue'!$A$1="BL","-",IF(Peak!Z243&gt;Peak!$G243,T$8*Peak!$AM$11,0))</f>
        <v>-</v>
      </c>
      <c r="U242" s="177" t="str">
        <f>IF('Peak Revenue'!$A$1="BL","-",IF(Peak!AA243&gt;Peak!$G243,U$8*Peak!$AM$11,0))</f>
        <v>-</v>
      </c>
      <c r="V242" s="178">
        <f t="shared" si="6"/>
        <v>0</v>
      </c>
      <c r="W242" s="165"/>
    </row>
    <row r="243" spans="1:23" x14ac:dyDescent="0.2">
      <c r="A243" s="1">
        <f t="shared" si="7"/>
        <v>43627.161000000298</v>
      </c>
      <c r="B243" s="176" t="str">
        <f>IF('Peak Revenue'!$A$1="BL","-",IF(Peak!H244&gt;Peak!$G244,B$8*Peak!$AM$11,0))</f>
        <v>-</v>
      </c>
      <c r="C243" s="177" t="str">
        <f>IF('Peak Revenue'!$A$1="BL","-",IF(Peak!I244&gt;Peak!$G244,C$8*Peak!$AM$11,0))</f>
        <v>-</v>
      </c>
      <c r="D243" s="177" t="str">
        <f>IF('Peak Revenue'!$A$1="BL","-",IF(Peak!J244&gt;Peak!$G244,D$8*Peak!$AM$11,0))</f>
        <v>-</v>
      </c>
      <c r="E243" s="177" t="str">
        <f>IF('Peak Revenue'!$A$1="BL","-",IF(Peak!K244&gt;Peak!$G244,E$8*Peak!$AM$11,0))</f>
        <v>-</v>
      </c>
      <c r="F243" s="177" t="str">
        <f>IF('Peak Revenue'!$A$1="BL","-",IF(Peak!L244&gt;Peak!$G244,F$8*Peak!$AM$11,0))</f>
        <v>-</v>
      </c>
      <c r="G243" s="177" t="str">
        <f>IF('Peak Revenue'!$A$1="BL","-",IF(Peak!M244&gt;Peak!$G244,G$8*Peak!$AM$11,0))</f>
        <v>-</v>
      </c>
      <c r="H243" s="177" t="str">
        <f>IF('Peak Revenue'!$A$1="BL","-",IF(Peak!N244&gt;Peak!$G244,H$8*Peak!$AM$11,0))</f>
        <v>-</v>
      </c>
      <c r="I243" s="177" t="str">
        <f>IF('Peak Revenue'!$A$1="BL","-",IF(Peak!O244&gt;Peak!$G244,I$8*Peak!$AM$11,0))</f>
        <v>-</v>
      </c>
      <c r="J243" s="177" t="str">
        <f>IF('Peak Revenue'!$A$1="BL","-",IF(Peak!P244&gt;Peak!$G244,J$8*Peak!$AM$11,0))</f>
        <v>-</v>
      </c>
      <c r="K243" s="177" t="str">
        <f>IF('Peak Revenue'!$A$1="BL","-",IF(Peak!Q244&gt;Peak!$G244,K$8*Peak!$AM$11,0))</f>
        <v>-</v>
      </c>
      <c r="L243" s="177" t="str">
        <f>IF('Peak Revenue'!$A$1="BL","-",IF(Peak!R244&gt;Peak!$G244,L$8*Peak!$AM$11,0))</f>
        <v>-</v>
      </c>
      <c r="M243" s="177" t="str">
        <f>IF('Peak Revenue'!$A$1="BL","-",IF(Peak!S244&gt;Peak!$G244,M$8*Peak!$AM$11,0))</f>
        <v>-</v>
      </c>
      <c r="N243" s="177" t="str">
        <f>IF('Peak Revenue'!$A$1="BL","-",IF(Peak!T244&gt;Peak!$G244,N$8*Peak!$AM$11,0))</f>
        <v>-</v>
      </c>
      <c r="O243" s="177" t="str">
        <f>IF('Peak Revenue'!$A$1="BL","-",IF(Peak!U244&gt;Peak!$G244,O$8*Peak!$AM$11,0))</f>
        <v>-</v>
      </c>
      <c r="P243" s="177" t="str">
        <f>IF('Peak Revenue'!$A$1="BL","-",IF(Peak!V244&gt;Peak!$G244,P$8*Peak!$AM$11,0))</f>
        <v>-</v>
      </c>
      <c r="Q243" s="177" t="str">
        <f>IF('Peak Revenue'!$A$1="BL","-",IF(Peak!W244&gt;Peak!$G244,Q$8*Peak!$AM$11,0))</f>
        <v>-</v>
      </c>
      <c r="R243" s="177" t="str">
        <f>IF('Peak Revenue'!$A$1="BL","-",IF(Peak!X244&gt;Peak!$G244,R$8*Peak!$AM$11,0))</f>
        <v>-</v>
      </c>
      <c r="S243" s="177" t="str">
        <f>IF('Peak Revenue'!$A$1="BL","-",IF(Peak!Y244&gt;Peak!$G244,S$8*Peak!$AM$11,0))</f>
        <v>-</v>
      </c>
      <c r="T243" s="177" t="str">
        <f>IF('Peak Revenue'!$A$1="BL","-",IF(Peak!Z244&gt;Peak!$G244,T$8*Peak!$AM$11,0))</f>
        <v>-</v>
      </c>
      <c r="U243" s="177" t="str">
        <f>IF('Peak Revenue'!$A$1="BL","-",IF(Peak!AA244&gt;Peak!$G244,U$8*Peak!$AM$11,0))</f>
        <v>-</v>
      </c>
      <c r="V243" s="178">
        <f t="shared" si="6"/>
        <v>0</v>
      </c>
      <c r="W243" s="165"/>
    </row>
    <row r="244" spans="1:23" x14ac:dyDescent="0.2">
      <c r="A244" s="1">
        <f t="shared" si="7"/>
        <v>43657.5780000003</v>
      </c>
      <c r="B244" s="176" t="str">
        <f>IF('Peak Revenue'!$A$1="BL","-",IF(Peak!H245&gt;Peak!$G245,B$8*Peak!$AM$11,0))</f>
        <v>-</v>
      </c>
      <c r="C244" s="177" t="str">
        <f>IF('Peak Revenue'!$A$1="BL","-",IF(Peak!I245&gt;Peak!$G245,C$8*Peak!$AM$11,0))</f>
        <v>-</v>
      </c>
      <c r="D244" s="177" t="str">
        <f>IF('Peak Revenue'!$A$1="BL","-",IF(Peak!J245&gt;Peak!$G245,D$8*Peak!$AM$11,0))</f>
        <v>-</v>
      </c>
      <c r="E244" s="177" t="str">
        <f>IF('Peak Revenue'!$A$1="BL","-",IF(Peak!K245&gt;Peak!$G245,E$8*Peak!$AM$11,0))</f>
        <v>-</v>
      </c>
      <c r="F244" s="177" t="str">
        <f>IF('Peak Revenue'!$A$1="BL","-",IF(Peak!L245&gt;Peak!$G245,F$8*Peak!$AM$11,0))</f>
        <v>-</v>
      </c>
      <c r="G244" s="177" t="str">
        <f>IF('Peak Revenue'!$A$1="BL","-",IF(Peak!M245&gt;Peak!$G245,G$8*Peak!$AM$11,0))</f>
        <v>-</v>
      </c>
      <c r="H244" s="177" t="str">
        <f>IF('Peak Revenue'!$A$1="BL","-",IF(Peak!N245&gt;Peak!$G245,H$8*Peak!$AM$11,0))</f>
        <v>-</v>
      </c>
      <c r="I244" s="177" t="str">
        <f>IF('Peak Revenue'!$A$1="BL","-",IF(Peak!O245&gt;Peak!$G245,I$8*Peak!$AM$11,0))</f>
        <v>-</v>
      </c>
      <c r="J244" s="177" t="str">
        <f>IF('Peak Revenue'!$A$1="BL","-",IF(Peak!P245&gt;Peak!$G245,J$8*Peak!$AM$11,0))</f>
        <v>-</v>
      </c>
      <c r="K244" s="177" t="str">
        <f>IF('Peak Revenue'!$A$1="BL","-",IF(Peak!Q245&gt;Peak!$G245,K$8*Peak!$AM$11,0))</f>
        <v>-</v>
      </c>
      <c r="L244" s="177" t="str">
        <f>IF('Peak Revenue'!$A$1="BL","-",IF(Peak!R245&gt;Peak!$G245,L$8*Peak!$AM$11,0))</f>
        <v>-</v>
      </c>
      <c r="M244" s="177" t="str">
        <f>IF('Peak Revenue'!$A$1="BL","-",IF(Peak!S245&gt;Peak!$G245,M$8*Peak!$AM$11,0))</f>
        <v>-</v>
      </c>
      <c r="N244" s="177" t="str">
        <f>IF('Peak Revenue'!$A$1="BL","-",IF(Peak!T245&gt;Peak!$G245,N$8*Peak!$AM$11,0))</f>
        <v>-</v>
      </c>
      <c r="O244" s="177" t="str">
        <f>IF('Peak Revenue'!$A$1="BL","-",IF(Peak!U245&gt;Peak!$G245,O$8*Peak!$AM$11,0))</f>
        <v>-</v>
      </c>
      <c r="P244" s="177" t="str">
        <f>IF('Peak Revenue'!$A$1="BL","-",IF(Peak!V245&gt;Peak!$G245,P$8*Peak!$AM$11,0))</f>
        <v>-</v>
      </c>
      <c r="Q244" s="177" t="str">
        <f>IF('Peak Revenue'!$A$1="BL","-",IF(Peak!W245&gt;Peak!$G245,Q$8*Peak!$AM$11,0))</f>
        <v>-</v>
      </c>
      <c r="R244" s="177" t="str">
        <f>IF('Peak Revenue'!$A$1="BL","-",IF(Peak!X245&gt;Peak!$G245,R$8*Peak!$AM$11,0))</f>
        <v>-</v>
      </c>
      <c r="S244" s="177" t="str">
        <f>IF('Peak Revenue'!$A$1="BL","-",IF(Peak!Y245&gt;Peak!$G245,S$8*Peak!$AM$11,0))</f>
        <v>-</v>
      </c>
      <c r="T244" s="177" t="str">
        <f>IF('Peak Revenue'!$A$1="BL","-",IF(Peak!Z245&gt;Peak!$G245,T$8*Peak!$AM$11,0))</f>
        <v>-</v>
      </c>
      <c r="U244" s="177" t="str">
        <f>IF('Peak Revenue'!$A$1="BL","-",IF(Peak!AA245&gt;Peak!$G245,U$8*Peak!$AM$11,0))</f>
        <v>-</v>
      </c>
      <c r="V244" s="178">
        <f t="shared" si="6"/>
        <v>0</v>
      </c>
      <c r="W244" s="165"/>
    </row>
    <row r="245" spans="1:23" x14ac:dyDescent="0.2">
      <c r="A245" s="1">
        <f t="shared" si="7"/>
        <v>43687.995000000301</v>
      </c>
      <c r="B245" s="176" t="str">
        <f>IF('Peak Revenue'!$A$1="BL","-",IF(Peak!H246&gt;Peak!$G246,B$8*Peak!$AM$11,0))</f>
        <v>-</v>
      </c>
      <c r="C245" s="177" t="str">
        <f>IF('Peak Revenue'!$A$1="BL","-",IF(Peak!I246&gt;Peak!$G246,C$8*Peak!$AM$11,0))</f>
        <v>-</v>
      </c>
      <c r="D245" s="177" t="str">
        <f>IF('Peak Revenue'!$A$1="BL","-",IF(Peak!J246&gt;Peak!$G246,D$8*Peak!$AM$11,0))</f>
        <v>-</v>
      </c>
      <c r="E245" s="177" t="str">
        <f>IF('Peak Revenue'!$A$1="BL","-",IF(Peak!K246&gt;Peak!$G246,E$8*Peak!$AM$11,0))</f>
        <v>-</v>
      </c>
      <c r="F245" s="177" t="str">
        <f>IF('Peak Revenue'!$A$1="BL","-",IF(Peak!L246&gt;Peak!$G246,F$8*Peak!$AM$11,0))</f>
        <v>-</v>
      </c>
      <c r="G245" s="177" t="str">
        <f>IF('Peak Revenue'!$A$1="BL","-",IF(Peak!M246&gt;Peak!$G246,G$8*Peak!$AM$11,0))</f>
        <v>-</v>
      </c>
      <c r="H245" s="177" t="str">
        <f>IF('Peak Revenue'!$A$1="BL","-",IF(Peak!N246&gt;Peak!$G246,H$8*Peak!$AM$11,0))</f>
        <v>-</v>
      </c>
      <c r="I245" s="177" t="str">
        <f>IF('Peak Revenue'!$A$1="BL","-",IF(Peak!O246&gt;Peak!$G246,I$8*Peak!$AM$11,0))</f>
        <v>-</v>
      </c>
      <c r="J245" s="177" t="str">
        <f>IF('Peak Revenue'!$A$1="BL","-",IF(Peak!P246&gt;Peak!$G246,J$8*Peak!$AM$11,0))</f>
        <v>-</v>
      </c>
      <c r="K245" s="177" t="str">
        <f>IF('Peak Revenue'!$A$1="BL","-",IF(Peak!Q246&gt;Peak!$G246,K$8*Peak!$AM$11,0))</f>
        <v>-</v>
      </c>
      <c r="L245" s="177" t="str">
        <f>IF('Peak Revenue'!$A$1="BL","-",IF(Peak!R246&gt;Peak!$G246,L$8*Peak!$AM$11,0))</f>
        <v>-</v>
      </c>
      <c r="M245" s="177" t="str">
        <f>IF('Peak Revenue'!$A$1="BL","-",IF(Peak!S246&gt;Peak!$G246,M$8*Peak!$AM$11,0))</f>
        <v>-</v>
      </c>
      <c r="N245" s="177" t="str">
        <f>IF('Peak Revenue'!$A$1="BL","-",IF(Peak!T246&gt;Peak!$G246,N$8*Peak!$AM$11,0))</f>
        <v>-</v>
      </c>
      <c r="O245" s="177" t="str">
        <f>IF('Peak Revenue'!$A$1="BL","-",IF(Peak!U246&gt;Peak!$G246,O$8*Peak!$AM$11,0))</f>
        <v>-</v>
      </c>
      <c r="P245" s="177" t="str">
        <f>IF('Peak Revenue'!$A$1="BL","-",IF(Peak!V246&gt;Peak!$G246,P$8*Peak!$AM$11,0))</f>
        <v>-</v>
      </c>
      <c r="Q245" s="177" t="str">
        <f>IF('Peak Revenue'!$A$1="BL","-",IF(Peak!W246&gt;Peak!$G246,Q$8*Peak!$AM$11,0))</f>
        <v>-</v>
      </c>
      <c r="R245" s="177" t="str">
        <f>IF('Peak Revenue'!$A$1="BL","-",IF(Peak!X246&gt;Peak!$G246,R$8*Peak!$AM$11,0))</f>
        <v>-</v>
      </c>
      <c r="S245" s="177" t="str">
        <f>IF('Peak Revenue'!$A$1="BL","-",IF(Peak!Y246&gt;Peak!$G246,S$8*Peak!$AM$11,0))</f>
        <v>-</v>
      </c>
      <c r="T245" s="177" t="str">
        <f>IF('Peak Revenue'!$A$1="BL","-",IF(Peak!Z246&gt;Peak!$G246,T$8*Peak!$AM$11,0))</f>
        <v>-</v>
      </c>
      <c r="U245" s="177" t="str">
        <f>IF('Peak Revenue'!$A$1="BL","-",IF(Peak!AA246&gt;Peak!$G246,U$8*Peak!$AM$11,0))</f>
        <v>-</v>
      </c>
      <c r="V245" s="178">
        <f t="shared" si="6"/>
        <v>0</v>
      </c>
      <c r="W245" s="165"/>
    </row>
    <row r="246" spans="1:23" x14ac:dyDescent="0.2">
      <c r="A246" s="1">
        <f t="shared" si="7"/>
        <v>43718.412000000302</v>
      </c>
      <c r="B246" s="176" t="str">
        <f>IF('Peak Revenue'!$A$1="BL","-",IF(Peak!H247&gt;Peak!$G247,B$8*Peak!$AM$11,0))</f>
        <v>-</v>
      </c>
      <c r="C246" s="177" t="str">
        <f>IF('Peak Revenue'!$A$1="BL","-",IF(Peak!I247&gt;Peak!$G247,C$8*Peak!$AM$11,0))</f>
        <v>-</v>
      </c>
      <c r="D246" s="177" t="str">
        <f>IF('Peak Revenue'!$A$1="BL","-",IF(Peak!J247&gt;Peak!$G247,D$8*Peak!$AM$11,0))</f>
        <v>-</v>
      </c>
      <c r="E246" s="177" t="str">
        <f>IF('Peak Revenue'!$A$1="BL","-",IF(Peak!K247&gt;Peak!$G247,E$8*Peak!$AM$11,0))</f>
        <v>-</v>
      </c>
      <c r="F246" s="177" t="str">
        <f>IF('Peak Revenue'!$A$1="BL","-",IF(Peak!L247&gt;Peak!$G247,F$8*Peak!$AM$11,0))</f>
        <v>-</v>
      </c>
      <c r="G246" s="177" t="str">
        <f>IF('Peak Revenue'!$A$1="BL","-",IF(Peak!M247&gt;Peak!$G247,G$8*Peak!$AM$11,0))</f>
        <v>-</v>
      </c>
      <c r="H246" s="177" t="str">
        <f>IF('Peak Revenue'!$A$1="BL","-",IF(Peak!N247&gt;Peak!$G247,H$8*Peak!$AM$11,0))</f>
        <v>-</v>
      </c>
      <c r="I246" s="177" t="str">
        <f>IF('Peak Revenue'!$A$1="BL","-",IF(Peak!O247&gt;Peak!$G247,I$8*Peak!$AM$11,0))</f>
        <v>-</v>
      </c>
      <c r="J246" s="177" t="str">
        <f>IF('Peak Revenue'!$A$1="BL","-",IF(Peak!P247&gt;Peak!$G247,J$8*Peak!$AM$11,0))</f>
        <v>-</v>
      </c>
      <c r="K246" s="177" t="str">
        <f>IF('Peak Revenue'!$A$1="BL","-",IF(Peak!Q247&gt;Peak!$G247,K$8*Peak!$AM$11,0))</f>
        <v>-</v>
      </c>
      <c r="L246" s="177" t="str">
        <f>IF('Peak Revenue'!$A$1="BL","-",IF(Peak!R247&gt;Peak!$G247,L$8*Peak!$AM$11,0))</f>
        <v>-</v>
      </c>
      <c r="M246" s="177" t="str">
        <f>IF('Peak Revenue'!$A$1="BL","-",IF(Peak!S247&gt;Peak!$G247,M$8*Peak!$AM$11,0))</f>
        <v>-</v>
      </c>
      <c r="N246" s="177" t="str">
        <f>IF('Peak Revenue'!$A$1="BL","-",IF(Peak!T247&gt;Peak!$G247,N$8*Peak!$AM$11,0))</f>
        <v>-</v>
      </c>
      <c r="O246" s="177" t="str">
        <f>IF('Peak Revenue'!$A$1="BL","-",IF(Peak!U247&gt;Peak!$G247,O$8*Peak!$AM$11,0))</f>
        <v>-</v>
      </c>
      <c r="P246" s="177" t="str">
        <f>IF('Peak Revenue'!$A$1="BL","-",IF(Peak!V247&gt;Peak!$G247,P$8*Peak!$AM$11,0))</f>
        <v>-</v>
      </c>
      <c r="Q246" s="177" t="str">
        <f>IF('Peak Revenue'!$A$1="BL","-",IF(Peak!W247&gt;Peak!$G247,Q$8*Peak!$AM$11,0))</f>
        <v>-</v>
      </c>
      <c r="R246" s="177" t="str">
        <f>IF('Peak Revenue'!$A$1="BL","-",IF(Peak!X247&gt;Peak!$G247,R$8*Peak!$AM$11,0))</f>
        <v>-</v>
      </c>
      <c r="S246" s="177" t="str">
        <f>IF('Peak Revenue'!$A$1="BL","-",IF(Peak!Y247&gt;Peak!$G247,S$8*Peak!$AM$11,0))</f>
        <v>-</v>
      </c>
      <c r="T246" s="177" t="str">
        <f>IF('Peak Revenue'!$A$1="BL","-",IF(Peak!Z247&gt;Peak!$G247,T$8*Peak!$AM$11,0))</f>
        <v>-</v>
      </c>
      <c r="U246" s="177" t="str">
        <f>IF('Peak Revenue'!$A$1="BL","-",IF(Peak!AA247&gt;Peak!$G247,U$8*Peak!$AM$11,0))</f>
        <v>-</v>
      </c>
      <c r="V246" s="178">
        <f t="shared" si="6"/>
        <v>0</v>
      </c>
      <c r="W246" s="165"/>
    </row>
    <row r="247" spans="1:23" x14ac:dyDescent="0.2">
      <c r="A247" s="1">
        <f t="shared" si="7"/>
        <v>43748.829000000303</v>
      </c>
      <c r="B247" s="176" t="str">
        <f>IF('Peak Revenue'!$A$1="BL","-",IF(Peak!H248&gt;Peak!$G248,B$8*Peak!$AM$11,0))</f>
        <v>-</v>
      </c>
      <c r="C247" s="177" t="str">
        <f>IF('Peak Revenue'!$A$1="BL","-",IF(Peak!I248&gt;Peak!$G248,C$8*Peak!$AM$11,0))</f>
        <v>-</v>
      </c>
      <c r="D247" s="177" t="str">
        <f>IF('Peak Revenue'!$A$1="BL","-",IF(Peak!J248&gt;Peak!$G248,D$8*Peak!$AM$11,0))</f>
        <v>-</v>
      </c>
      <c r="E247" s="177" t="str">
        <f>IF('Peak Revenue'!$A$1="BL","-",IF(Peak!K248&gt;Peak!$G248,E$8*Peak!$AM$11,0))</f>
        <v>-</v>
      </c>
      <c r="F247" s="177" t="str">
        <f>IF('Peak Revenue'!$A$1="BL","-",IF(Peak!L248&gt;Peak!$G248,F$8*Peak!$AM$11,0))</f>
        <v>-</v>
      </c>
      <c r="G247" s="177" t="str">
        <f>IF('Peak Revenue'!$A$1="BL","-",IF(Peak!M248&gt;Peak!$G248,G$8*Peak!$AM$11,0))</f>
        <v>-</v>
      </c>
      <c r="H247" s="177" t="str">
        <f>IF('Peak Revenue'!$A$1="BL","-",IF(Peak!N248&gt;Peak!$G248,H$8*Peak!$AM$11,0))</f>
        <v>-</v>
      </c>
      <c r="I247" s="177" t="str">
        <f>IF('Peak Revenue'!$A$1="BL","-",IF(Peak!O248&gt;Peak!$G248,I$8*Peak!$AM$11,0))</f>
        <v>-</v>
      </c>
      <c r="J247" s="177" t="str">
        <f>IF('Peak Revenue'!$A$1="BL","-",IF(Peak!P248&gt;Peak!$G248,J$8*Peak!$AM$11,0))</f>
        <v>-</v>
      </c>
      <c r="K247" s="177" t="str">
        <f>IF('Peak Revenue'!$A$1="BL","-",IF(Peak!Q248&gt;Peak!$G248,K$8*Peak!$AM$11,0))</f>
        <v>-</v>
      </c>
      <c r="L247" s="177" t="str">
        <f>IF('Peak Revenue'!$A$1="BL","-",IF(Peak!R248&gt;Peak!$G248,L$8*Peak!$AM$11,0))</f>
        <v>-</v>
      </c>
      <c r="M247" s="177" t="str">
        <f>IF('Peak Revenue'!$A$1="BL","-",IF(Peak!S248&gt;Peak!$G248,M$8*Peak!$AM$11,0))</f>
        <v>-</v>
      </c>
      <c r="N247" s="177" t="str">
        <f>IF('Peak Revenue'!$A$1="BL","-",IF(Peak!T248&gt;Peak!$G248,N$8*Peak!$AM$11,0))</f>
        <v>-</v>
      </c>
      <c r="O247" s="177" t="str">
        <f>IF('Peak Revenue'!$A$1="BL","-",IF(Peak!U248&gt;Peak!$G248,O$8*Peak!$AM$11,0))</f>
        <v>-</v>
      </c>
      <c r="P247" s="177" t="str">
        <f>IF('Peak Revenue'!$A$1="BL","-",IF(Peak!V248&gt;Peak!$G248,P$8*Peak!$AM$11,0))</f>
        <v>-</v>
      </c>
      <c r="Q247" s="177" t="str">
        <f>IF('Peak Revenue'!$A$1="BL","-",IF(Peak!W248&gt;Peak!$G248,Q$8*Peak!$AM$11,0))</f>
        <v>-</v>
      </c>
      <c r="R247" s="177" t="str">
        <f>IF('Peak Revenue'!$A$1="BL","-",IF(Peak!X248&gt;Peak!$G248,R$8*Peak!$AM$11,0))</f>
        <v>-</v>
      </c>
      <c r="S247" s="177" t="str">
        <f>IF('Peak Revenue'!$A$1="BL","-",IF(Peak!Y248&gt;Peak!$G248,S$8*Peak!$AM$11,0))</f>
        <v>-</v>
      </c>
      <c r="T247" s="177" t="str">
        <f>IF('Peak Revenue'!$A$1="BL","-",IF(Peak!Z248&gt;Peak!$G248,T$8*Peak!$AM$11,0))</f>
        <v>-</v>
      </c>
      <c r="U247" s="177" t="str">
        <f>IF('Peak Revenue'!$A$1="BL","-",IF(Peak!AA248&gt;Peak!$G248,U$8*Peak!$AM$11,0))</f>
        <v>-</v>
      </c>
      <c r="V247" s="178">
        <f t="shared" si="6"/>
        <v>0</v>
      </c>
      <c r="W247" s="165"/>
    </row>
    <row r="248" spans="1:23" x14ac:dyDescent="0.2">
      <c r="A248" s="1">
        <f t="shared" si="7"/>
        <v>43779.246000000305</v>
      </c>
      <c r="B248" s="176" t="str">
        <f>IF('Peak Revenue'!$A$1="BL","-",IF(Peak!H249&gt;Peak!$G249,B$8*Peak!$AM$11,0))</f>
        <v>-</v>
      </c>
      <c r="C248" s="177" t="str">
        <f>IF('Peak Revenue'!$A$1="BL","-",IF(Peak!I249&gt;Peak!$G249,C$8*Peak!$AM$11,0))</f>
        <v>-</v>
      </c>
      <c r="D248" s="177" t="str">
        <f>IF('Peak Revenue'!$A$1="BL","-",IF(Peak!J249&gt;Peak!$G249,D$8*Peak!$AM$11,0))</f>
        <v>-</v>
      </c>
      <c r="E248" s="177" t="str">
        <f>IF('Peak Revenue'!$A$1="BL","-",IF(Peak!K249&gt;Peak!$G249,E$8*Peak!$AM$11,0))</f>
        <v>-</v>
      </c>
      <c r="F248" s="177" t="str">
        <f>IF('Peak Revenue'!$A$1="BL","-",IF(Peak!L249&gt;Peak!$G249,F$8*Peak!$AM$11,0))</f>
        <v>-</v>
      </c>
      <c r="G248" s="177" t="str">
        <f>IF('Peak Revenue'!$A$1="BL","-",IF(Peak!M249&gt;Peak!$G249,G$8*Peak!$AM$11,0))</f>
        <v>-</v>
      </c>
      <c r="H248" s="177" t="str">
        <f>IF('Peak Revenue'!$A$1="BL","-",IF(Peak!N249&gt;Peak!$G249,H$8*Peak!$AM$11,0))</f>
        <v>-</v>
      </c>
      <c r="I248" s="177" t="str">
        <f>IF('Peak Revenue'!$A$1="BL","-",IF(Peak!O249&gt;Peak!$G249,I$8*Peak!$AM$11,0))</f>
        <v>-</v>
      </c>
      <c r="J248" s="177" t="str">
        <f>IF('Peak Revenue'!$A$1="BL","-",IF(Peak!P249&gt;Peak!$G249,J$8*Peak!$AM$11,0))</f>
        <v>-</v>
      </c>
      <c r="K248" s="177" t="str">
        <f>IF('Peak Revenue'!$A$1="BL","-",IF(Peak!Q249&gt;Peak!$G249,K$8*Peak!$AM$11,0))</f>
        <v>-</v>
      </c>
      <c r="L248" s="177" t="str">
        <f>IF('Peak Revenue'!$A$1="BL","-",IF(Peak!R249&gt;Peak!$G249,L$8*Peak!$AM$11,0))</f>
        <v>-</v>
      </c>
      <c r="M248" s="177" t="str">
        <f>IF('Peak Revenue'!$A$1="BL","-",IF(Peak!S249&gt;Peak!$G249,M$8*Peak!$AM$11,0))</f>
        <v>-</v>
      </c>
      <c r="N248" s="177" t="str">
        <f>IF('Peak Revenue'!$A$1="BL","-",IF(Peak!T249&gt;Peak!$G249,N$8*Peak!$AM$11,0))</f>
        <v>-</v>
      </c>
      <c r="O248" s="177" t="str">
        <f>IF('Peak Revenue'!$A$1="BL","-",IF(Peak!U249&gt;Peak!$G249,O$8*Peak!$AM$11,0))</f>
        <v>-</v>
      </c>
      <c r="P248" s="177" t="str">
        <f>IF('Peak Revenue'!$A$1="BL","-",IF(Peak!V249&gt;Peak!$G249,P$8*Peak!$AM$11,0))</f>
        <v>-</v>
      </c>
      <c r="Q248" s="177" t="str">
        <f>IF('Peak Revenue'!$A$1="BL","-",IF(Peak!W249&gt;Peak!$G249,Q$8*Peak!$AM$11,0))</f>
        <v>-</v>
      </c>
      <c r="R248" s="177" t="str">
        <f>IF('Peak Revenue'!$A$1="BL","-",IF(Peak!X249&gt;Peak!$G249,R$8*Peak!$AM$11,0))</f>
        <v>-</v>
      </c>
      <c r="S248" s="177" t="str">
        <f>IF('Peak Revenue'!$A$1="BL","-",IF(Peak!Y249&gt;Peak!$G249,S$8*Peak!$AM$11,0))</f>
        <v>-</v>
      </c>
      <c r="T248" s="177" t="str">
        <f>IF('Peak Revenue'!$A$1="BL","-",IF(Peak!Z249&gt;Peak!$G249,T$8*Peak!$AM$11,0))</f>
        <v>-</v>
      </c>
      <c r="U248" s="177" t="str">
        <f>IF('Peak Revenue'!$A$1="BL","-",IF(Peak!AA249&gt;Peak!$G249,U$8*Peak!$AM$11,0))</f>
        <v>-</v>
      </c>
      <c r="V248" s="178">
        <f t="shared" si="6"/>
        <v>0</v>
      </c>
      <c r="W248" s="165"/>
    </row>
    <row r="249" spans="1:23" x14ac:dyDescent="0.2">
      <c r="A249" s="1">
        <f t="shared" si="7"/>
        <v>43809.663000000306</v>
      </c>
      <c r="B249" s="176" t="str">
        <f>IF('Peak Revenue'!$A$1="BL","-",IF(Peak!H250&gt;Peak!$G250,B$8*Peak!$AM$11,0))</f>
        <v>-</v>
      </c>
      <c r="C249" s="177" t="str">
        <f>IF('Peak Revenue'!$A$1="BL","-",IF(Peak!I250&gt;Peak!$G250,C$8*Peak!$AM$11,0))</f>
        <v>-</v>
      </c>
      <c r="D249" s="177" t="str">
        <f>IF('Peak Revenue'!$A$1="BL","-",IF(Peak!J250&gt;Peak!$G250,D$8*Peak!$AM$11,0))</f>
        <v>-</v>
      </c>
      <c r="E249" s="177" t="str">
        <f>IF('Peak Revenue'!$A$1="BL","-",IF(Peak!K250&gt;Peak!$G250,E$8*Peak!$AM$11,0))</f>
        <v>-</v>
      </c>
      <c r="F249" s="177" t="str">
        <f>IF('Peak Revenue'!$A$1="BL","-",IF(Peak!L250&gt;Peak!$G250,F$8*Peak!$AM$11,0))</f>
        <v>-</v>
      </c>
      <c r="G249" s="177" t="str">
        <f>IF('Peak Revenue'!$A$1="BL","-",IF(Peak!M250&gt;Peak!$G250,G$8*Peak!$AM$11,0))</f>
        <v>-</v>
      </c>
      <c r="H249" s="177" t="str">
        <f>IF('Peak Revenue'!$A$1="BL","-",IF(Peak!N250&gt;Peak!$G250,H$8*Peak!$AM$11,0))</f>
        <v>-</v>
      </c>
      <c r="I249" s="177" t="str">
        <f>IF('Peak Revenue'!$A$1="BL","-",IF(Peak!O250&gt;Peak!$G250,I$8*Peak!$AM$11,0))</f>
        <v>-</v>
      </c>
      <c r="J249" s="177" t="str">
        <f>IF('Peak Revenue'!$A$1="BL","-",IF(Peak!P250&gt;Peak!$G250,J$8*Peak!$AM$11,0))</f>
        <v>-</v>
      </c>
      <c r="K249" s="177" t="str">
        <f>IF('Peak Revenue'!$A$1="BL","-",IF(Peak!Q250&gt;Peak!$G250,K$8*Peak!$AM$11,0))</f>
        <v>-</v>
      </c>
      <c r="L249" s="177" t="str">
        <f>IF('Peak Revenue'!$A$1="BL","-",IF(Peak!R250&gt;Peak!$G250,L$8*Peak!$AM$11,0))</f>
        <v>-</v>
      </c>
      <c r="M249" s="177" t="str">
        <f>IF('Peak Revenue'!$A$1="BL","-",IF(Peak!S250&gt;Peak!$G250,M$8*Peak!$AM$11,0))</f>
        <v>-</v>
      </c>
      <c r="N249" s="177" t="str">
        <f>IF('Peak Revenue'!$A$1="BL","-",IF(Peak!T250&gt;Peak!$G250,N$8*Peak!$AM$11,0))</f>
        <v>-</v>
      </c>
      <c r="O249" s="177" t="str">
        <f>IF('Peak Revenue'!$A$1="BL","-",IF(Peak!U250&gt;Peak!$G250,O$8*Peak!$AM$11,0))</f>
        <v>-</v>
      </c>
      <c r="P249" s="177" t="str">
        <f>IF('Peak Revenue'!$A$1="BL","-",IF(Peak!V250&gt;Peak!$G250,P$8*Peak!$AM$11,0))</f>
        <v>-</v>
      </c>
      <c r="Q249" s="177" t="str">
        <f>IF('Peak Revenue'!$A$1="BL","-",IF(Peak!W250&gt;Peak!$G250,Q$8*Peak!$AM$11,0))</f>
        <v>-</v>
      </c>
      <c r="R249" s="177" t="str">
        <f>IF('Peak Revenue'!$A$1="BL","-",IF(Peak!X250&gt;Peak!$G250,R$8*Peak!$AM$11,0))</f>
        <v>-</v>
      </c>
      <c r="S249" s="177" t="str">
        <f>IF('Peak Revenue'!$A$1="BL","-",IF(Peak!Y250&gt;Peak!$G250,S$8*Peak!$AM$11,0))</f>
        <v>-</v>
      </c>
      <c r="T249" s="177" t="str">
        <f>IF('Peak Revenue'!$A$1="BL","-",IF(Peak!Z250&gt;Peak!$G250,T$8*Peak!$AM$11,0))</f>
        <v>-</v>
      </c>
      <c r="U249" s="177" t="str">
        <f>IF('Peak Revenue'!$A$1="BL","-",IF(Peak!AA250&gt;Peak!$G250,U$8*Peak!$AM$11,0))</f>
        <v>-</v>
      </c>
      <c r="V249" s="178">
        <f t="shared" si="6"/>
        <v>0</v>
      </c>
      <c r="W249" s="164">
        <f>SUM(V238:V249)</f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249"/>
  <sheetViews>
    <sheetView workbookViewId="0"/>
  </sheetViews>
  <sheetFormatPr defaultRowHeight="12.75" x14ac:dyDescent="0.2"/>
  <cols>
    <col min="22" max="22" width="8.42578125" bestFit="1" customWidth="1"/>
    <col min="23" max="23" width="8.140625" bestFit="1" customWidth="1"/>
    <col min="24" max="25" width="7.28515625" bestFit="1" customWidth="1"/>
  </cols>
  <sheetData>
    <row r="1" spans="1:25" x14ac:dyDescent="0.2">
      <c r="A1" s="13" t="str">
        <f>IS!C2</f>
        <v>BL</v>
      </c>
    </row>
    <row r="2" spans="1:25" x14ac:dyDescent="0.2">
      <c r="A2" s="13"/>
    </row>
    <row r="3" spans="1:25" x14ac:dyDescent="0.2">
      <c r="A3" s="13"/>
    </row>
    <row r="4" spans="1:25" x14ac:dyDescent="0.2">
      <c r="A4" s="13"/>
    </row>
    <row r="5" spans="1:25" x14ac:dyDescent="0.2">
      <c r="A5" s="13"/>
      <c r="V5" s="12" t="s">
        <v>171</v>
      </c>
      <c r="W5" s="12" t="s">
        <v>171</v>
      </c>
      <c r="X5" s="12"/>
    </row>
    <row r="6" spans="1:25" x14ac:dyDescent="0.2">
      <c r="V6" s="32" t="s">
        <v>135</v>
      </c>
      <c r="W6" s="32" t="s">
        <v>135</v>
      </c>
      <c r="X6" s="32" t="s">
        <v>171</v>
      </c>
      <c r="Y6" s="12" t="s">
        <v>296</v>
      </c>
    </row>
    <row r="7" spans="1:25" x14ac:dyDescent="0.2">
      <c r="B7" s="166" t="s">
        <v>0</v>
      </c>
      <c r="C7" s="166" t="s">
        <v>1</v>
      </c>
      <c r="D7" s="166" t="s">
        <v>2</v>
      </c>
      <c r="E7" s="166" t="s">
        <v>3</v>
      </c>
      <c r="F7" s="166" t="s">
        <v>4</v>
      </c>
      <c r="G7" s="166" t="s">
        <v>5</v>
      </c>
      <c r="H7" s="166" t="s">
        <v>6</v>
      </c>
      <c r="I7" s="166" t="s">
        <v>7</v>
      </c>
      <c r="J7" s="166" t="s">
        <v>8</v>
      </c>
      <c r="K7" s="166" t="s">
        <v>9</v>
      </c>
      <c r="L7" s="166" t="s">
        <v>10</v>
      </c>
      <c r="M7" s="166" t="s">
        <v>11</v>
      </c>
      <c r="N7" s="166" t="s">
        <v>12</v>
      </c>
      <c r="O7" s="166" t="s">
        <v>13</v>
      </c>
      <c r="P7" s="166" t="s">
        <v>14</v>
      </c>
      <c r="Q7" s="166" t="s">
        <v>15</v>
      </c>
      <c r="R7" s="166" t="s">
        <v>16</v>
      </c>
      <c r="S7" s="166" t="s">
        <v>17</v>
      </c>
      <c r="T7" s="166" t="s">
        <v>18</v>
      </c>
      <c r="U7" s="166" t="s">
        <v>19</v>
      </c>
      <c r="V7" s="12" t="s">
        <v>294</v>
      </c>
      <c r="W7" s="12" t="s">
        <v>295</v>
      </c>
      <c r="X7" s="12" t="s">
        <v>135</v>
      </c>
      <c r="Y7" s="166" t="s">
        <v>135</v>
      </c>
    </row>
    <row r="8" spans="1:25" x14ac:dyDescent="0.2">
      <c r="B8" s="168">
        <v>5</v>
      </c>
      <c r="C8" s="168">
        <v>5</v>
      </c>
      <c r="D8" s="168">
        <v>10</v>
      </c>
      <c r="E8" s="168">
        <v>20</v>
      </c>
      <c r="F8" s="168">
        <v>20</v>
      </c>
      <c r="G8" s="168">
        <v>40</v>
      </c>
      <c r="H8" s="168">
        <v>40</v>
      </c>
      <c r="I8" s="168">
        <v>40</v>
      </c>
      <c r="J8" s="168">
        <v>40</v>
      </c>
      <c r="K8" s="168">
        <v>40</v>
      </c>
      <c r="L8" s="168">
        <v>40</v>
      </c>
      <c r="M8" s="168">
        <v>40</v>
      </c>
      <c r="N8" s="168">
        <v>40</v>
      </c>
      <c r="O8" s="168">
        <v>40</v>
      </c>
      <c r="P8" s="168">
        <v>40</v>
      </c>
      <c r="Q8" s="168">
        <v>40</v>
      </c>
      <c r="R8" s="168">
        <v>40</v>
      </c>
      <c r="S8" s="168">
        <v>40</v>
      </c>
      <c r="T8" s="168">
        <v>40</v>
      </c>
      <c r="U8" s="168">
        <v>110</v>
      </c>
      <c r="V8" s="168">
        <f>SUM(B8:U8)</f>
        <v>730</v>
      </c>
      <c r="W8" s="168"/>
      <c r="X8" s="168"/>
      <c r="Y8" s="168"/>
    </row>
    <row r="9" spans="1:25" x14ac:dyDescent="0.2"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</row>
    <row r="10" spans="1:25" x14ac:dyDescent="0.2">
      <c r="A10" s="1">
        <v>36540</v>
      </c>
      <c r="B10" s="243">
        <f>IF($A$1="Peak","-",IF(BaseLoad!H9&gt;BaseLoad!$G9,B$8*BaseLoad!$AM$9,0))</f>
        <v>0</v>
      </c>
      <c r="C10" s="243">
        <f>IF($A$1="Peak","-",IF(BaseLoad!I9&gt;BaseLoad!$G9,C$8*BaseLoad!$AM$9,0))</f>
        <v>0</v>
      </c>
      <c r="D10" s="243">
        <f>IF($A$1="Peak","-",IF(BaseLoad!J9&gt;BaseLoad!$G9,D$8*BaseLoad!$AM$9,0))</f>
        <v>0</v>
      </c>
      <c r="E10" s="243">
        <f>IF($A$1="Peak","-",IF(BaseLoad!K9&gt;BaseLoad!$G9,E$8*BaseLoad!$AM$9,0))</f>
        <v>0</v>
      </c>
      <c r="F10" s="243">
        <f>IF($A$1="Peak","-",IF(BaseLoad!L9&gt;BaseLoad!$G9,F$8*BaseLoad!$AM$9,0))</f>
        <v>0</v>
      </c>
      <c r="G10" s="243">
        <f>IF($A$1="Peak","-",IF(BaseLoad!M9&gt;BaseLoad!$G9,G$8*BaseLoad!$AM$9,0))</f>
        <v>0</v>
      </c>
      <c r="H10" s="243">
        <f>IF($A$1="Peak","-",IF(BaseLoad!N9&gt;BaseLoad!$G9,H$8*BaseLoad!$AM$9,0))</f>
        <v>0</v>
      </c>
      <c r="I10" s="243">
        <f>IF($A$1="Peak","-",IF(BaseLoad!O9&gt;BaseLoad!$G9,I$8*BaseLoad!$AM$9,0))</f>
        <v>0</v>
      </c>
      <c r="J10" s="243">
        <f>IF($A$1="Peak","-",IF(BaseLoad!P9&gt;BaseLoad!$G9,J$8*BaseLoad!$AM$9,0))</f>
        <v>0</v>
      </c>
      <c r="K10" s="243">
        <f>IF($A$1="Peak","-",IF(BaseLoad!Q9&gt;BaseLoad!$G9,K$8*BaseLoad!$AM$9,0))</f>
        <v>0</v>
      </c>
      <c r="L10" s="243">
        <f>IF($A$1="Peak","-",IF(BaseLoad!R9&gt;BaseLoad!$G9,L$8*BaseLoad!$AM$9,0))</f>
        <v>0</v>
      </c>
      <c r="M10" s="243">
        <f>IF($A$1="Peak","-",IF(BaseLoad!S9&gt;BaseLoad!$G9,M$8*BaseLoad!$AM$9,0))</f>
        <v>0</v>
      </c>
      <c r="N10" s="243">
        <f>IF($A$1="Peak","-",IF(BaseLoad!T9&gt;BaseLoad!$G9,N$8*BaseLoad!$AM$9,0))</f>
        <v>0</v>
      </c>
      <c r="O10" s="243">
        <f>IF($A$1="Peak","-",IF(BaseLoad!U9&gt;BaseLoad!$G9,O$8*BaseLoad!$AM$9,0))</f>
        <v>0</v>
      </c>
      <c r="P10" s="243">
        <f>IF($A$1="Peak","-",IF(BaseLoad!V9&gt;BaseLoad!$G9,P$8*BaseLoad!$AM$9,0))</f>
        <v>0</v>
      </c>
      <c r="Q10" s="243">
        <f>IF($A$1="Peak","-",IF(BaseLoad!W9&gt;BaseLoad!$G9,Q$8*BaseLoad!$AM$9,0))</f>
        <v>0</v>
      </c>
      <c r="R10" s="243">
        <f>IF($A$1="Peak","-",IF(BaseLoad!X9&gt;BaseLoad!$G9,R$8*BaseLoad!$AM$9,0))</f>
        <v>0</v>
      </c>
      <c r="S10" s="243">
        <f>IF($A$1="Peak","-",IF(BaseLoad!Y9&gt;BaseLoad!$G9,S$8*BaseLoad!$AM$9,0))</f>
        <v>0</v>
      </c>
      <c r="T10" s="243">
        <f>IF($A$1="Peak","-",IF(BaseLoad!Z9&gt;BaseLoad!$G9,T$8*BaseLoad!$AM$9,0))</f>
        <v>0</v>
      </c>
      <c r="U10" s="243">
        <f>IF($A$1="Peak","-",IF(BaseLoad!AA9&gt;BaseLoad!$G9,U$8*BaseLoad!$AM$9,0))</f>
        <v>0</v>
      </c>
      <c r="V10" s="243">
        <f>SUM(B10:U10)</f>
        <v>0</v>
      </c>
      <c r="W10" s="243">
        <v>0</v>
      </c>
      <c r="X10" s="243">
        <f>SUM(V10:W10)</f>
        <v>0</v>
      </c>
      <c r="Y10" s="243"/>
    </row>
    <row r="11" spans="1:25" x14ac:dyDescent="0.2">
      <c r="A11" s="1">
        <f>A10+30.417</f>
        <v>36570.417000000001</v>
      </c>
      <c r="B11" s="243">
        <f>IF($A$1="Peak","-",IF(BaseLoad!H10&gt;BaseLoad!$G10,B$8*BaseLoad!$AM$9,0))</f>
        <v>0</v>
      </c>
      <c r="C11" s="243">
        <f>IF($A$1="Peak","-",IF(BaseLoad!I10&gt;BaseLoad!$G10,C$8*BaseLoad!$AM$9,0))</f>
        <v>0</v>
      </c>
      <c r="D11" s="243">
        <f>IF($A$1="Peak","-",IF(BaseLoad!J10&gt;BaseLoad!$G10,D$8*BaseLoad!$AM$9,0))</f>
        <v>0</v>
      </c>
      <c r="E11" s="243">
        <f>IF($A$1="Peak","-",IF(BaseLoad!K10&gt;BaseLoad!$G10,E$8*BaseLoad!$AM$9,0))</f>
        <v>0</v>
      </c>
      <c r="F11" s="243">
        <f>IF($A$1="Peak","-",IF(BaseLoad!L10&gt;BaseLoad!$G10,F$8*BaseLoad!$AM$9,0))</f>
        <v>0</v>
      </c>
      <c r="G11" s="243">
        <f>IF($A$1="Peak","-",IF(BaseLoad!M10&gt;BaseLoad!$G10,G$8*BaseLoad!$AM$9,0))</f>
        <v>0</v>
      </c>
      <c r="H11" s="243">
        <f>IF($A$1="Peak","-",IF(BaseLoad!N10&gt;BaseLoad!$G10,H$8*BaseLoad!$AM$9,0))</f>
        <v>0</v>
      </c>
      <c r="I11" s="243">
        <f>IF($A$1="Peak","-",IF(BaseLoad!O10&gt;BaseLoad!$G10,I$8*BaseLoad!$AM$9,0))</f>
        <v>0</v>
      </c>
      <c r="J11" s="243">
        <f>IF($A$1="Peak","-",IF(BaseLoad!P10&gt;BaseLoad!$G10,J$8*BaseLoad!$AM$9,0))</f>
        <v>0</v>
      </c>
      <c r="K11" s="243">
        <f>IF($A$1="Peak","-",IF(BaseLoad!Q10&gt;BaseLoad!$G10,K$8*BaseLoad!$AM$9,0))</f>
        <v>0</v>
      </c>
      <c r="L11" s="243">
        <f>IF($A$1="Peak","-",IF(BaseLoad!R10&gt;BaseLoad!$G10,L$8*BaseLoad!$AM$9,0))</f>
        <v>0</v>
      </c>
      <c r="M11" s="243">
        <f>IF($A$1="Peak","-",IF(BaseLoad!S10&gt;BaseLoad!$G10,M$8*BaseLoad!$AM$9,0))</f>
        <v>0</v>
      </c>
      <c r="N11" s="243">
        <f>IF($A$1="Peak","-",IF(BaseLoad!T10&gt;BaseLoad!$G10,N$8*BaseLoad!$AM$9,0))</f>
        <v>0</v>
      </c>
      <c r="O11" s="243">
        <f>IF($A$1="Peak","-",IF(BaseLoad!U10&gt;BaseLoad!$G10,O$8*BaseLoad!$AM$9,0))</f>
        <v>0</v>
      </c>
      <c r="P11" s="243">
        <f>IF($A$1="Peak","-",IF(BaseLoad!V10&gt;BaseLoad!$G10,P$8*BaseLoad!$AM$9,0))</f>
        <v>0</v>
      </c>
      <c r="Q11" s="243">
        <f>IF($A$1="Peak","-",IF(BaseLoad!W10&gt;BaseLoad!$G10,Q$8*BaseLoad!$AM$9,0))</f>
        <v>0</v>
      </c>
      <c r="R11" s="243">
        <f>IF($A$1="Peak","-",IF(BaseLoad!X10&gt;BaseLoad!$G10,R$8*BaseLoad!$AM$9,0))</f>
        <v>0</v>
      </c>
      <c r="S11" s="243">
        <f>IF($A$1="Peak","-",IF(BaseLoad!Y10&gt;BaseLoad!$G10,S$8*BaseLoad!$AM$9,0))</f>
        <v>0</v>
      </c>
      <c r="T11" s="243">
        <f>IF($A$1="Peak","-",IF(BaseLoad!Z10&gt;BaseLoad!$G10,T$8*BaseLoad!$AM$9,0))</f>
        <v>0</v>
      </c>
      <c r="U11" s="243">
        <f>IF($A$1="Peak","-",IF(BaseLoad!AA10&gt;BaseLoad!$G10,U$8*BaseLoad!$AM$9,0))</f>
        <v>0</v>
      </c>
      <c r="V11" s="243">
        <f t="shared" ref="V11:V74" si="0">SUM(B11:U11)</f>
        <v>0</v>
      </c>
      <c r="W11" s="243">
        <v>0</v>
      </c>
      <c r="X11" s="243">
        <f t="shared" ref="X11:X74" si="1">SUM(V11:W11)</f>
        <v>0</v>
      </c>
      <c r="Y11" s="243"/>
    </row>
    <row r="12" spans="1:25" x14ac:dyDescent="0.2">
      <c r="A12" s="1">
        <f t="shared" ref="A12:A75" si="2">A11+30.417</f>
        <v>36600.834000000003</v>
      </c>
      <c r="B12" s="243">
        <f>IF($A$1="Peak","-",IF(BaseLoad!H11&gt;BaseLoad!$G11,B$8*BaseLoad!$AM$9,0))</f>
        <v>0</v>
      </c>
      <c r="C12" s="243">
        <f>IF($A$1="Peak","-",IF(BaseLoad!I11&gt;BaseLoad!$G11,C$8*BaseLoad!$AM$9,0))</f>
        <v>0</v>
      </c>
      <c r="D12" s="243">
        <f>IF($A$1="Peak","-",IF(BaseLoad!J11&gt;BaseLoad!$G11,D$8*BaseLoad!$AM$9,0))</f>
        <v>0</v>
      </c>
      <c r="E12" s="243">
        <f>IF($A$1="Peak","-",IF(BaseLoad!K11&gt;BaseLoad!$G11,E$8*BaseLoad!$AM$9,0))</f>
        <v>0</v>
      </c>
      <c r="F12" s="243">
        <f>IF($A$1="Peak","-",IF(BaseLoad!L11&gt;BaseLoad!$G11,F$8*BaseLoad!$AM$9,0))</f>
        <v>0</v>
      </c>
      <c r="G12" s="243">
        <f>IF($A$1="Peak","-",IF(BaseLoad!M11&gt;BaseLoad!$G11,G$8*BaseLoad!$AM$9,0))</f>
        <v>0</v>
      </c>
      <c r="H12" s="243">
        <f>IF($A$1="Peak","-",IF(BaseLoad!N11&gt;BaseLoad!$G11,H$8*BaseLoad!$AM$9,0))</f>
        <v>0</v>
      </c>
      <c r="I12" s="243">
        <f>IF($A$1="Peak","-",IF(BaseLoad!O11&gt;BaseLoad!$G11,I$8*BaseLoad!$AM$9,0))</f>
        <v>0</v>
      </c>
      <c r="J12" s="243">
        <f>IF($A$1="Peak","-",IF(BaseLoad!P11&gt;BaseLoad!$G11,J$8*BaseLoad!$AM$9,0))</f>
        <v>0</v>
      </c>
      <c r="K12" s="243">
        <f>IF($A$1="Peak","-",IF(BaseLoad!Q11&gt;BaseLoad!$G11,K$8*BaseLoad!$AM$9,0))</f>
        <v>0</v>
      </c>
      <c r="L12" s="243">
        <f>IF($A$1="Peak","-",IF(BaseLoad!R11&gt;BaseLoad!$G11,L$8*BaseLoad!$AM$9,0))</f>
        <v>0</v>
      </c>
      <c r="M12" s="243">
        <f>IF($A$1="Peak","-",IF(BaseLoad!S11&gt;BaseLoad!$G11,M$8*BaseLoad!$AM$9,0))</f>
        <v>0</v>
      </c>
      <c r="N12" s="243">
        <f>IF($A$1="Peak","-",IF(BaseLoad!T11&gt;BaseLoad!$G11,N$8*BaseLoad!$AM$9,0))</f>
        <v>0</v>
      </c>
      <c r="O12" s="243">
        <f>IF($A$1="Peak","-",IF(BaseLoad!U11&gt;BaseLoad!$G11,O$8*BaseLoad!$AM$9,0))</f>
        <v>0</v>
      </c>
      <c r="P12" s="243">
        <f>IF($A$1="Peak","-",IF(BaseLoad!V11&gt;BaseLoad!$G11,P$8*BaseLoad!$AM$9,0))</f>
        <v>0</v>
      </c>
      <c r="Q12" s="243">
        <f>IF($A$1="Peak","-",IF(BaseLoad!W11&gt;BaseLoad!$G11,Q$8*BaseLoad!$AM$9,0))</f>
        <v>0</v>
      </c>
      <c r="R12" s="243">
        <f>IF($A$1="Peak","-",IF(BaseLoad!X11&gt;BaseLoad!$G11,R$8*BaseLoad!$AM$9,0))</f>
        <v>0</v>
      </c>
      <c r="S12" s="243">
        <f>IF($A$1="Peak","-",IF(BaseLoad!Y11&gt;BaseLoad!$G11,S$8*BaseLoad!$AM$9,0))</f>
        <v>0</v>
      </c>
      <c r="T12" s="243">
        <f>IF($A$1="Peak","-",IF(BaseLoad!Z11&gt;BaseLoad!$G11,T$8*BaseLoad!$AM$9,0))</f>
        <v>0</v>
      </c>
      <c r="U12" s="243">
        <f>IF($A$1="Peak","-",IF(BaseLoad!AA11&gt;BaseLoad!$G11,U$8*BaseLoad!$AM$9,0))</f>
        <v>0</v>
      </c>
      <c r="V12" s="243">
        <f t="shared" si="0"/>
        <v>0</v>
      </c>
      <c r="W12" s="243">
        <v>0</v>
      </c>
      <c r="X12" s="243">
        <f t="shared" si="1"/>
        <v>0</v>
      </c>
      <c r="Y12" s="243"/>
    </row>
    <row r="13" spans="1:25" x14ac:dyDescent="0.2">
      <c r="A13" s="1">
        <f t="shared" si="2"/>
        <v>36631.251000000004</v>
      </c>
      <c r="B13" s="243">
        <f>IF($A$1="Peak","-",IF(BaseLoad!H12&gt;BaseLoad!$G12,B$8*BaseLoad!$AM$9,0))</f>
        <v>0</v>
      </c>
      <c r="C13" s="243">
        <f>IF($A$1="Peak","-",IF(BaseLoad!I12&gt;BaseLoad!$G12,C$8*BaseLoad!$AM$9,0))</f>
        <v>0</v>
      </c>
      <c r="D13" s="243">
        <f>IF($A$1="Peak","-",IF(BaseLoad!J12&gt;BaseLoad!$G12,D$8*BaseLoad!$AM$9,0))</f>
        <v>0</v>
      </c>
      <c r="E13" s="243">
        <f>IF($A$1="Peak","-",IF(BaseLoad!K12&gt;BaseLoad!$G12,E$8*BaseLoad!$AM$9,0))</f>
        <v>0</v>
      </c>
      <c r="F13" s="243">
        <f>IF($A$1="Peak","-",IF(BaseLoad!L12&gt;BaseLoad!$G12,F$8*BaseLoad!$AM$9,0))</f>
        <v>0</v>
      </c>
      <c r="G13" s="243">
        <f>IF($A$1="Peak","-",IF(BaseLoad!M12&gt;BaseLoad!$G12,G$8*BaseLoad!$AM$9,0))</f>
        <v>0</v>
      </c>
      <c r="H13" s="243">
        <f>IF($A$1="Peak","-",IF(BaseLoad!N12&gt;BaseLoad!$G12,H$8*BaseLoad!$AM$9,0))</f>
        <v>0</v>
      </c>
      <c r="I13" s="243">
        <f>IF($A$1="Peak","-",IF(BaseLoad!O12&gt;BaseLoad!$G12,I$8*BaseLoad!$AM$9,0))</f>
        <v>0</v>
      </c>
      <c r="J13" s="243">
        <f>IF($A$1="Peak","-",IF(BaseLoad!P12&gt;BaseLoad!$G12,J$8*BaseLoad!$AM$9,0))</f>
        <v>0</v>
      </c>
      <c r="K13" s="243">
        <f>IF($A$1="Peak","-",IF(BaseLoad!Q12&gt;BaseLoad!$G12,K$8*BaseLoad!$AM$9,0))</f>
        <v>0</v>
      </c>
      <c r="L13" s="243">
        <f>IF($A$1="Peak","-",IF(BaseLoad!R12&gt;BaseLoad!$G12,L$8*BaseLoad!$AM$9,0))</f>
        <v>0</v>
      </c>
      <c r="M13" s="243">
        <f>IF($A$1="Peak","-",IF(BaseLoad!S12&gt;BaseLoad!$G12,M$8*BaseLoad!$AM$9,0))</f>
        <v>0</v>
      </c>
      <c r="N13" s="243">
        <f>IF($A$1="Peak","-",IF(BaseLoad!T12&gt;BaseLoad!$G12,N$8*BaseLoad!$AM$9,0))</f>
        <v>0</v>
      </c>
      <c r="O13" s="243">
        <f>IF($A$1="Peak","-",IF(BaseLoad!U12&gt;BaseLoad!$G12,O$8*BaseLoad!$AM$9,0))</f>
        <v>0</v>
      </c>
      <c r="P13" s="243">
        <f>IF($A$1="Peak","-",IF(BaseLoad!V12&gt;BaseLoad!$G12,P$8*BaseLoad!$AM$9,0))</f>
        <v>0</v>
      </c>
      <c r="Q13" s="243">
        <f>IF($A$1="Peak","-",IF(BaseLoad!W12&gt;BaseLoad!$G12,Q$8*BaseLoad!$AM$9,0))</f>
        <v>0</v>
      </c>
      <c r="R13" s="243">
        <f>IF($A$1="Peak","-",IF(BaseLoad!X12&gt;BaseLoad!$G12,R$8*BaseLoad!$AM$9,0))</f>
        <v>0</v>
      </c>
      <c r="S13" s="243">
        <f>IF($A$1="Peak","-",IF(BaseLoad!Y12&gt;BaseLoad!$G12,S$8*BaseLoad!$AM$9,0))</f>
        <v>0</v>
      </c>
      <c r="T13" s="243">
        <f>IF($A$1="Peak","-",IF(BaseLoad!Z12&gt;BaseLoad!$G12,T$8*BaseLoad!$AM$9,0))</f>
        <v>0</v>
      </c>
      <c r="U13" s="243">
        <f>IF($A$1="Peak","-",IF(BaseLoad!AA12&gt;BaseLoad!$G12,U$8*BaseLoad!$AM$9,0))</f>
        <v>0</v>
      </c>
      <c r="V13" s="243">
        <f t="shared" si="0"/>
        <v>0</v>
      </c>
      <c r="W13" s="243">
        <v>0</v>
      </c>
      <c r="X13" s="243">
        <f t="shared" si="1"/>
        <v>0</v>
      </c>
      <c r="Y13" s="243"/>
    </row>
    <row r="14" spans="1:25" x14ac:dyDescent="0.2">
      <c r="A14" s="1">
        <f t="shared" si="2"/>
        <v>36661.668000000005</v>
      </c>
      <c r="B14" s="243">
        <f>IF($A$1="Peak","-",IF(BaseLoad!H13&gt;BaseLoad!$G13,B$8*BaseLoad!$AM$9,0))</f>
        <v>0</v>
      </c>
      <c r="C14" s="243">
        <f>IF($A$1="Peak","-",IF(BaseLoad!I13&gt;BaseLoad!$G13,C$8*BaseLoad!$AM$9,0))</f>
        <v>0</v>
      </c>
      <c r="D14" s="243">
        <f>IF($A$1="Peak","-",IF(BaseLoad!J13&gt;BaseLoad!$G13,D$8*BaseLoad!$AM$9,0))</f>
        <v>0</v>
      </c>
      <c r="E14" s="243">
        <f>IF($A$1="Peak","-",IF(BaseLoad!K13&gt;BaseLoad!$G13,E$8*BaseLoad!$AM$9,0))</f>
        <v>0</v>
      </c>
      <c r="F14" s="243">
        <f>IF($A$1="Peak","-",IF(BaseLoad!L13&gt;BaseLoad!$G13,F$8*BaseLoad!$AM$9,0))</f>
        <v>0</v>
      </c>
      <c r="G14" s="243">
        <f>IF($A$1="Peak","-",IF(BaseLoad!M13&gt;BaseLoad!$G13,G$8*BaseLoad!$AM$9,0))</f>
        <v>0</v>
      </c>
      <c r="H14" s="243">
        <f>IF($A$1="Peak","-",IF(BaseLoad!N13&gt;BaseLoad!$G13,H$8*BaseLoad!$AM$9,0))</f>
        <v>0</v>
      </c>
      <c r="I14" s="243">
        <f>IF($A$1="Peak","-",IF(BaseLoad!O13&gt;BaseLoad!$G13,I$8*BaseLoad!$AM$9,0))</f>
        <v>0</v>
      </c>
      <c r="J14" s="243">
        <f>IF($A$1="Peak","-",IF(BaseLoad!P13&gt;BaseLoad!$G13,J$8*BaseLoad!$AM$9,0))</f>
        <v>0</v>
      </c>
      <c r="K14" s="243">
        <f>IF($A$1="Peak","-",IF(BaseLoad!Q13&gt;BaseLoad!$G13,K$8*BaseLoad!$AM$9,0))</f>
        <v>0</v>
      </c>
      <c r="L14" s="243">
        <f>IF($A$1="Peak","-",IF(BaseLoad!R13&gt;BaseLoad!$G13,L$8*BaseLoad!$AM$9,0))</f>
        <v>0</v>
      </c>
      <c r="M14" s="243">
        <f>IF($A$1="Peak","-",IF(BaseLoad!S13&gt;BaseLoad!$G13,M$8*BaseLoad!$AM$9,0))</f>
        <v>0</v>
      </c>
      <c r="N14" s="243">
        <f>IF($A$1="Peak","-",IF(BaseLoad!T13&gt;BaseLoad!$G13,N$8*BaseLoad!$AM$9,0))</f>
        <v>0</v>
      </c>
      <c r="O14" s="243">
        <f>IF($A$1="Peak","-",IF(BaseLoad!U13&gt;BaseLoad!$G13,O$8*BaseLoad!$AM$9,0))</f>
        <v>0</v>
      </c>
      <c r="P14" s="243">
        <f>IF($A$1="Peak","-",IF(BaseLoad!V13&gt;BaseLoad!$G13,P$8*BaseLoad!$AM$9,0))</f>
        <v>0</v>
      </c>
      <c r="Q14" s="243">
        <f>IF($A$1="Peak","-",IF(BaseLoad!W13&gt;BaseLoad!$G13,Q$8*BaseLoad!$AM$9,0))</f>
        <v>0</v>
      </c>
      <c r="R14" s="243">
        <f>IF($A$1="Peak","-",IF(BaseLoad!X13&gt;BaseLoad!$G13,R$8*BaseLoad!$AM$9,0))</f>
        <v>0</v>
      </c>
      <c r="S14" s="243">
        <f>IF($A$1="Peak","-",IF(BaseLoad!Y13&gt;BaseLoad!$G13,S$8*BaseLoad!$AM$9,0))</f>
        <v>0</v>
      </c>
      <c r="T14" s="243">
        <f>IF($A$1="Peak","-",IF(BaseLoad!Z13&gt;BaseLoad!$G13,T$8*BaseLoad!$AM$9,0))</f>
        <v>0</v>
      </c>
      <c r="U14" s="243">
        <f>IF($A$1="Peak","-",IF(BaseLoad!AA13&gt;BaseLoad!$G13,U$8*BaseLoad!$AM$9,0))</f>
        <v>0</v>
      </c>
      <c r="V14" s="243">
        <f t="shared" si="0"/>
        <v>0</v>
      </c>
      <c r="W14" s="243">
        <v>0</v>
      </c>
      <c r="X14" s="243">
        <f t="shared" si="1"/>
        <v>0</v>
      </c>
      <c r="Y14" s="243"/>
    </row>
    <row r="15" spans="1:25" x14ac:dyDescent="0.2">
      <c r="A15" s="1">
        <f t="shared" si="2"/>
        <v>36692.085000000006</v>
      </c>
      <c r="B15" s="243">
        <f>IF($A$1="Peak","-",IF(BaseLoad!H14&gt;BaseLoad!$G14,B$8*BaseLoad!$AM$9,0))</f>
        <v>0</v>
      </c>
      <c r="C15" s="243">
        <f>IF($A$1="Peak","-",IF(BaseLoad!I14&gt;BaseLoad!$G14,C$8*BaseLoad!$AM$9,0))</f>
        <v>0</v>
      </c>
      <c r="D15" s="243">
        <f>IF($A$1="Peak","-",IF(BaseLoad!J14&gt;BaseLoad!$G14,D$8*BaseLoad!$AM$9,0))</f>
        <v>0</v>
      </c>
      <c r="E15" s="243">
        <f>IF($A$1="Peak","-",IF(BaseLoad!K14&gt;BaseLoad!$G14,E$8*BaseLoad!$AM$9,0))</f>
        <v>0</v>
      </c>
      <c r="F15" s="243">
        <f>IF($A$1="Peak","-",IF(BaseLoad!L14&gt;BaseLoad!$G14,F$8*BaseLoad!$AM$9,0))</f>
        <v>0</v>
      </c>
      <c r="G15" s="243">
        <f>IF($A$1="Peak","-",IF(BaseLoad!M14&gt;BaseLoad!$G14,G$8*BaseLoad!$AM$9,0))</f>
        <v>0</v>
      </c>
      <c r="H15" s="243">
        <f>IF($A$1="Peak","-",IF(BaseLoad!N14&gt;BaseLoad!$G14,H$8*BaseLoad!$AM$9,0))</f>
        <v>0</v>
      </c>
      <c r="I15" s="243">
        <f>IF($A$1="Peak","-",IF(BaseLoad!O14&gt;BaseLoad!$G14,I$8*BaseLoad!$AM$9,0))</f>
        <v>0</v>
      </c>
      <c r="J15" s="243">
        <f>IF($A$1="Peak","-",IF(BaseLoad!P14&gt;BaseLoad!$G14,J$8*BaseLoad!$AM$9,0))</f>
        <v>0</v>
      </c>
      <c r="K15" s="243">
        <f>IF($A$1="Peak","-",IF(BaseLoad!Q14&gt;BaseLoad!$G14,K$8*BaseLoad!$AM$9,0))</f>
        <v>0</v>
      </c>
      <c r="L15" s="243">
        <f>IF($A$1="Peak","-",IF(BaseLoad!R14&gt;BaseLoad!$G14,L$8*BaseLoad!$AM$9,0))</f>
        <v>0</v>
      </c>
      <c r="M15" s="243">
        <f>IF($A$1="Peak","-",IF(BaseLoad!S14&gt;BaseLoad!$G14,M$8*BaseLoad!$AM$9,0))</f>
        <v>0</v>
      </c>
      <c r="N15" s="243">
        <f>IF($A$1="Peak","-",IF(BaseLoad!T14&gt;BaseLoad!$G14,N$8*BaseLoad!$AM$9,0))</f>
        <v>0</v>
      </c>
      <c r="O15" s="243">
        <f>IF($A$1="Peak","-",IF(BaseLoad!U14&gt;BaseLoad!$G14,O$8*BaseLoad!$AM$9,0))</f>
        <v>0</v>
      </c>
      <c r="P15" s="243">
        <f>IF($A$1="Peak","-",IF(BaseLoad!V14&gt;BaseLoad!$G14,P$8*BaseLoad!$AM$9,0))</f>
        <v>0</v>
      </c>
      <c r="Q15" s="243">
        <f>IF($A$1="Peak","-",IF(BaseLoad!W14&gt;BaseLoad!$G14,Q$8*BaseLoad!$AM$9,0))</f>
        <v>0</v>
      </c>
      <c r="R15" s="243">
        <f>IF($A$1="Peak","-",IF(BaseLoad!X14&gt;BaseLoad!$G14,R$8*BaseLoad!$AM$9,0))</f>
        <v>0</v>
      </c>
      <c r="S15" s="243">
        <f>IF($A$1="Peak","-",IF(BaseLoad!Y14&gt;BaseLoad!$G14,S$8*BaseLoad!$AM$9,0))</f>
        <v>0</v>
      </c>
      <c r="T15" s="243">
        <f>IF($A$1="Peak","-",IF(BaseLoad!Z14&gt;BaseLoad!$G14,T$8*BaseLoad!$AM$9,0))</f>
        <v>0</v>
      </c>
      <c r="U15" s="243">
        <f>IF($A$1="Peak","-",IF(BaseLoad!AA14&gt;BaseLoad!$G14,U$8*BaseLoad!$AM$9,0))</f>
        <v>0</v>
      </c>
      <c r="V15" s="243">
        <f t="shared" si="0"/>
        <v>0</v>
      </c>
      <c r="W15" s="243">
        <v>0</v>
      </c>
      <c r="X15" s="243">
        <f t="shared" si="1"/>
        <v>0</v>
      </c>
      <c r="Y15" s="243"/>
    </row>
    <row r="16" spans="1:25" x14ac:dyDescent="0.2">
      <c r="A16" s="1">
        <f t="shared" si="2"/>
        <v>36722.502000000008</v>
      </c>
      <c r="B16" s="243">
        <f>IF($A$1="Peak","-",IF(BaseLoad!H15&gt;BaseLoad!$G15,B$8*BaseLoad!$AM$9,0))</f>
        <v>0</v>
      </c>
      <c r="C16" s="243">
        <f>IF($A$1="Peak","-",IF(BaseLoad!I15&gt;BaseLoad!$G15,C$8*BaseLoad!$AM$9,0))</f>
        <v>0</v>
      </c>
      <c r="D16" s="243">
        <f>IF($A$1="Peak","-",IF(BaseLoad!J15&gt;BaseLoad!$G15,D$8*BaseLoad!$AM$9,0))</f>
        <v>0</v>
      </c>
      <c r="E16" s="243">
        <f>IF($A$1="Peak","-",IF(BaseLoad!K15&gt;BaseLoad!$G15,E$8*BaseLoad!$AM$9,0))</f>
        <v>0</v>
      </c>
      <c r="F16" s="243">
        <f>IF($A$1="Peak","-",IF(BaseLoad!L15&gt;BaseLoad!$G15,F$8*BaseLoad!$AM$9,0))</f>
        <v>0</v>
      </c>
      <c r="G16" s="243">
        <f>IF($A$1="Peak","-",IF(BaseLoad!M15&gt;BaseLoad!$G15,G$8*BaseLoad!$AM$9,0))</f>
        <v>0</v>
      </c>
      <c r="H16" s="243">
        <f>IF($A$1="Peak","-",IF(BaseLoad!N15&gt;BaseLoad!$G15,H$8*BaseLoad!$AM$9,0))</f>
        <v>0</v>
      </c>
      <c r="I16" s="243">
        <f>IF($A$1="Peak","-",IF(BaseLoad!O15&gt;BaseLoad!$G15,I$8*BaseLoad!$AM$9,0))</f>
        <v>0</v>
      </c>
      <c r="J16" s="243">
        <f>IF($A$1="Peak","-",IF(BaseLoad!P15&gt;BaseLoad!$G15,J$8*BaseLoad!$AM$9,0))</f>
        <v>0</v>
      </c>
      <c r="K16" s="243">
        <f>IF($A$1="Peak","-",IF(BaseLoad!Q15&gt;BaseLoad!$G15,K$8*BaseLoad!$AM$9,0))</f>
        <v>0</v>
      </c>
      <c r="L16" s="243">
        <f>IF($A$1="Peak","-",IF(BaseLoad!R15&gt;BaseLoad!$G15,L$8*BaseLoad!$AM$9,0))</f>
        <v>0</v>
      </c>
      <c r="M16" s="243">
        <f>IF($A$1="Peak","-",IF(BaseLoad!S15&gt;BaseLoad!$G15,M$8*BaseLoad!$AM$9,0))</f>
        <v>0</v>
      </c>
      <c r="N16" s="243">
        <f>IF($A$1="Peak","-",IF(BaseLoad!T15&gt;BaseLoad!$G15,N$8*BaseLoad!$AM$9,0))</f>
        <v>0</v>
      </c>
      <c r="O16" s="243">
        <f>IF($A$1="Peak","-",IF(BaseLoad!U15&gt;BaseLoad!$G15,O$8*BaseLoad!$AM$9,0))</f>
        <v>0</v>
      </c>
      <c r="P16" s="243">
        <f>IF($A$1="Peak","-",IF(BaseLoad!V15&gt;BaseLoad!$G15,P$8*BaseLoad!$AM$9,0))</f>
        <v>0</v>
      </c>
      <c r="Q16" s="243">
        <f>IF($A$1="Peak","-",IF(BaseLoad!W15&gt;BaseLoad!$G15,Q$8*BaseLoad!$AM$9,0))</f>
        <v>0</v>
      </c>
      <c r="R16" s="243">
        <f>IF($A$1="Peak","-",IF(BaseLoad!X15&gt;BaseLoad!$G15,R$8*BaseLoad!$AM$9,0))</f>
        <v>0</v>
      </c>
      <c r="S16" s="243">
        <f>IF($A$1="Peak","-",IF(BaseLoad!Y15&gt;BaseLoad!$G15,S$8*BaseLoad!$AM$9,0))</f>
        <v>0</v>
      </c>
      <c r="T16" s="243">
        <f>IF($A$1="Peak","-",IF(BaseLoad!Z15&gt;BaseLoad!$G15,T$8*BaseLoad!$AM$9,0))</f>
        <v>0</v>
      </c>
      <c r="U16" s="243">
        <f>IF($A$1="Peak","-",IF(BaseLoad!AA15&gt;BaseLoad!$G15,U$8*BaseLoad!$AM$9,0))</f>
        <v>0</v>
      </c>
      <c r="V16" s="243">
        <f t="shared" si="0"/>
        <v>0</v>
      </c>
      <c r="W16" s="243">
        <v>0</v>
      </c>
      <c r="X16" s="243">
        <f t="shared" si="1"/>
        <v>0</v>
      </c>
      <c r="Y16" s="243"/>
    </row>
    <row r="17" spans="1:25" x14ac:dyDescent="0.2">
      <c r="A17" s="1">
        <f t="shared" si="2"/>
        <v>36752.919000000009</v>
      </c>
      <c r="B17" s="243">
        <f>IF($A$1="Peak","-",IF(BaseLoad!H16&gt;BaseLoad!$G16,B$8*BaseLoad!$AM$9,0))</f>
        <v>0</v>
      </c>
      <c r="C17" s="243">
        <f>IF($A$1="Peak","-",IF(BaseLoad!I16&gt;BaseLoad!$G16,C$8*BaseLoad!$AM$9,0))</f>
        <v>0</v>
      </c>
      <c r="D17" s="243">
        <f>IF($A$1="Peak","-",IF(BaseLoad!J16&gt;BaseLoad!$G16,D$8*BaseLoad!$AM$9,0))</f>
        <v>0</v>
      </c>
      <c r="E17" s="243">
        <f>IF($A$1="Peak","-",IF(BaseLoad!K16&gt;BaseLoad!$G16,E$8*BaseLoad!$AM$9,0))</f>
        <v>0</v>
      </c>
      <c r="F17" s="243">
        <f>IF($A$1="Peak","-",IF(BaseLoad!L16&gt;BaseLoad!$G16,F$8*BaseLoad!$AM$9,0))</f>
        <v>0</v>
      </c>
      <c r="G17" s="243">
        <f>IF($A$1="Peak","-",IF(BaseLoad!M16&gt;BaseLoad!$G16,G$8*BaseLoad!$AM$9,0))</f>
        <v>0</v>
      </c>
      <c r="H17" s="243">
        <f>IF($A$1="Peak","-",IF(BaseLoad!N16&gt;BaseLoad!$G16,H$8*BaseLoad!$AM$9,0))</f>
        <v>0</v>
      </c>
      <c r="I17" s="243">
        <f>IF($A$1="Peak","-",IF(BaseLoad!O16&gt;BaseLoad!$G16,I$8*BaseLoad!$AM$9,0))</f>
        <v>0</v>
      </c>
      <c r="J17" s="243">
        <f>IF($A$1="Peak","-",IF(BaseLoad!P16&gt;BaseLoad!$G16,J$8*BaseLoad!$AM$9,0))</f>
        <v>0</v>
      </c>
      <c r="K17" s="243">
        <f>IF($A$1="Peak","-",IF(BaseLoad!Q16&gt;BaseLoad!$G16,K$8*BaseLoad!$AM$9,0))</f>
        <v>0</v>
      </c>
      <c r="L17" s="243">
        <f>IF($A$1="Peak","-",IF(BaseLoad!R16&gt;BaseLoad!$G16,L$8*BaseLoad!$AM$9,0))</f>
        <v>0</v>
      </c>
      <c r="M17" s="243">
        <f>IF($A$1="Peak","-",IF(BaseLoad!S16&gt;BaseLoad!$G16,M$8*BaseLoad!$AM$9,0))</f>
        <v>0</v>
      </c>
      <c r="N17" s="243">
        <f>IF($A$1="Peak","-",IF(BaseLoad!T16&gt;BaseLoad!$G16,N$8*BaseLoad!$AM$9,0))</f>
        <v>0</v>
      </c>
      <c r="O17" s="243">
        <f>IF($A$1="Peak","-",IF(BaseLoad!U16&gt;BaseLoad!$G16,O$8*BaseLoad!$AM$9,0))</f>
        <v>0</v>
      </c>
      <c r="P17" s="243">
        <f>IF($A$1="Peak","-",IF(BaseLoad!V16&gt;BaseLoad!$G16,P$8*BaseLoad!$AM$9,0))</f>
        <v>0</v>
      </c>
      <c r="Q17" s="243">
        <f>IF($A$1="Peak","-",IF(BaseLoad!W16&gt;BaseLoad!$G16,Q$8*BaseLoad!$AM$9,0))</f>
        <v>0</v>
      </c>
      <c r="R17" s="243">
        <f>IF($A$1="Peak","-",IF(BaseLoad!X16&gt;BaseLoad!$G16,R$8*BaseLoad!$AM$9,0))</f>
        <v>0</v>
      </c>
      <c r="S17" s="243">
        <f>IF($A$1="Peak","-",IF(BaseLoad!Y16&gt;BaseLoad!$G16,S$8*BaseLoad!$AM$9,0))</f>
        <v>0</v>
      </c>
      <c r="T17" s="243">
        <f>IF($A$1="Peak","-",IF(BaseLoad!Z16&gt;BaseLoad!$G16,T$8*BaseLoad!$AM$9,0))</f>
        <v>0</v>
      </c>
      <c r="U17" s="243">
        <f>IF($A$1="Peak","-",IF(BaseLoad!AA16&gt;BaseLoad!$G16,U$8*BaseLoad!$AM$9,0))</f>
        <v>0</v>
      </c>
      <c r="V17" s="243">
        <f t="shared" si="0"/>
        <v>0</v>
      </c>
      <c r="W17" s="243">
        <v>0</v>
      </c>
      <c r="X17" s="243">
        <f t="shared" si="1"/>
        <v>0</v>
      </c>
      <c r="Y17" s="243"/>
    </row>
    <row r="18" spans="1:25" x14ac:dyDescent="0.2">
      <c r="A18" s="1">
        <f t="shared" si="2"/>
        <v>36783.33600000001</v>
      </c>
      <c r="B18" s="243">
        <f>IF($A$1="Peak","-",IF(BaseLoad!H17&gt;BaseLoad!$G17,B$8*BaseLoad!$AM$9,0))</f>
        <v>0</v>
      </c>
      <c r="C18" s="243">
        <f>IF($A$1="Peak","-",IF(BaseLoad!I17&gt;BaseLoad!$G17,C$8*BaseLoad!$AM$9,0))</f>
        <v>0</v>
      </c>
      <c r="D18" s="243">
        <f>IF($A$1="Peak","-",IF(BaseLoad!J17&gt;BaseLoad!$G17,D$8*BaseLoad!$AM$9,0))</f>
        <v>0</v>
      </c>
      <c r="E18" s="243">
        <f>IF($A$1="Peak","-",IF(BaseLoad!K17&gt;BaseLoad!$G17,E$8*BaseLoad!$AM$9,0))</f>
        <v>0</v>
      </c>
      <c r="F18" s="243">
        <f>IF($A$1="Peak","-",IF(BaseLoad!L17&gt;BaseLoad!$G17,F$8*BaseLoad!$AM$9,0))</f>
        <v>0</v>
      </c>
      <c r="G18" s="243">
        <f>IF($A$1="Peak","-",IF(BaseLoad!M17&gt;BaseLoad!$G17,G$8*BaseLoad!$AM$9,0))</f>
        <v>0</v>
      </c>
      <c r="H18" s="243">
        <f>IF($A$1="Peak","-",IF(BaseLoad!N17&gt;BaseLoad!$G17,H$8*BaseLoad!$AM$9,0))</f>
        <v>0</v>
      </c>
      <c r="I18" s="243">
        <f>IF($A$1="Peak","-",IF(BaseLoad!O17&gt;BaseLoad!$G17,I$8*BaseLoad!$AM$9,0))</f>
        <v>0</v>
      </c>
      <c r="J18" s="243">
        <f>IF($A$1="Peak","-",IF(BaseLoad!P17&gt;BaseLoad!$G17,J$8*BaseLoad!$AM$9,0))</f>
        <v>0</v>
      </c>
      <c r="K18" s="243">
        <f>IF($A$1="Peak","-",IF(BaseLoad!Q17&gt;BaseLoad!$G17,K$8*BaseLoad!$AM$9,0))</f>
        <v>0</v>
      </c>
      <c r="L18" s="243">
        <f>IF($A$1="Peak","-",IF(BaseLoad!R17&gt;BaseLoad!$G17,L$8*BaseLoad!$AM$9,0))</f>
        <v>0</v>
      </c>
      <c r="M18" s="243">
        <f>IF($A$1="Peak","-",IF(BaseLoad!S17&gt;BaseLoad!$G17,M$8*BaseLoad!$AM$9,0))</f>
        <v>0</v>
      </c>
      <c r="N18" s="243">
        <f>IF($A$1="Peak","-",IF(BaseLoad!T17&gt;BaseLoad!$G17,N$8*BaseLoad!$AM$9,0))</f>
        <v>0</v>
      </c>
      <c r="O18" s="243">
        <f>IF($A$1="Peak","-",IF(BaseLoad!U17&gt;BaseLoad!$G17,O$8*BaseLoad!$AM$9,0))</f>
        <v>0</v>
      </c>
      <c r="P18" s="243">
        <f>IF($A$1="Peak","-",IF(BaseLoad!V17&gt;BaseLoad!$G17,P$8*BaseLoad!$AM$9,0))</f>
        <v>0</v>
      </c>
      <c r="Q18" s="243">
        <f>IF($A$1="Peak","-",IF(BaseLoad!W17&gt;BaseLoad!$G17,Q$8*BaseLoad!$AM$9,0))</f>
        <v>0</v>
      </c>
      <c r="R18" s="243">
        <f>IF($A$1="Peak","-",IF(BaseLoad!X17&gt;BaseLoad!$G17,R$8*BaseLoad!$AM$9,0))</f>
        <v>0</v>
      </c>
      <c r="S18" s="243">
        <f>IF($A$1="Peak","-",IF(BaseLoad!Y17&gt;BaseLoad!$G17,S$8*BaseLoad!$AM$9,0))</f>
        <v>0</v>
      </c>
      <c r="T18" s="243">
        <f>IF($A$1="Peak","-",IF(BaseLoad!Z17&gt;BaseLoad!$G17,T$8*BaseLoad!$AM$9,0))</f>
        <v>0</v>
      </c>
      <c r="U18" s="243">
        <f>IF($A$1="Peak","-",IF(BaseLoad!AA17&gt;BaseLoad!$G17,U$8*BaseLoad!$AM$9,0))</f>
        <v>0</v>
      </c>
      <c r="V18" s="243">
        <f t="shared" si="0"/>
        <v>0</v>
      </c>
      <c r="W18" s="243">
        <v>0</v>
      </c>
      <c r="X18" s="243">
        <f t="shared" si="1"/>
        <v>0</v>
      </c>
      <c r="Y18" s="243"/>
    </row>
    <row r="19" spans="1:25" x14ac:dyDescent="0.2">
      <c r="A19" s="1">
        <f t="shared" si="2"/>
        <v>36813.753000000012</v>
      </c>
      <c r="B19" s="243">
        <f>IF($A$1="Peak","-",IF(BaseLoad!H18&gt;BaseLoad!$G18,B$8*BaseLoad!$AM$9,0))</f>
        <v>0</v>
      </c>
      <c r="C19" s="243">
        <f>IF($A$1="Peak","-",IF(BaseLoad!I18&gt;BaseLoad!$G18,C$8*BaseLoad!$AM$9,0))</f>
        <v>0</v>
      </c>
      <c r="D19" s="243">
        <f>IF($A$1="Peak","-",IF(BaseLoad!J18&gt;BaseLoad!$G18,D$8*BaseLoad!$AM$9,0))</f>
        <v>0</v>
      </c>
      <c r="E19" s="243">
        <f>IF($A$1="Peak","-",IF(BaseLoad!K18&gt;BaseLoad!$G18,E$8*BaseLoad!$AM$9,0))</f>
        <v>0</v>
      </c>
      <c r="F19" s="243">
        <f>IF($A$1="Peak","-",IF(BaseLoad!L18&gt;BaseLoad!$G18,F$8*BaseLoad!$AM$9,0))</f>
        <v>0</v>
      </c>
      <c r="G19" s="243">
        <f>IF($A$1="Peak","-",IF(BaseLoad!M18&gt;BaseLoad!$G18,G$8*BaseLoad!$AM$9,0))</f>
        <v>0</v>
      </c>
      <c r="H19" s="243">
        <f>IF($A$1="Peak","-",IF(BaseLoad!N18&gt;BaseLoad!$G18,H$8*BaseLoad!$AM$9,0))</f>
        <v>0</v>
      </c>
      <c r="I19" s="243">
        <f>IF($A$1="Peak","-",IF(BaseLoad!O18&gt;BaseLoad!$G18,I$8*BaseLoad!$AM$9,0))</f>
        <v>0</v>
      </c>
      <c r="J19" s="243">
        <f>IF($A$1="Peak","-",IF(BaseLoad!P18&gt;BaseLoad!$G18,J$8*BaseLoad!$AM$9,0))</f>
        <v>0</v>
      </c>
      <c r="K19" s="243">
        <f>IF($A$1="Peak","-",IF(BaseLoad!Q18&gt;BaseLoad!$G18,K$8*BaseLoad!$AM$9,0))</f>
        <v>0</v>
      </c>
      <c r="L19" s="243">
        <f>IF($A$1="Peak","-",IF(BaseLoad!R18&gt;BaseLoad!$G18,L$8*BaseLoad!$AM$9,0))</f>
        <v>0</v>
      </c>
      <c r="M19" s="243">
        <f>IF($A$1="Peak","-",IF(BaseLoad!S18&gt;BaseLoad!$G18,M$8*BaseLoad!$AM$9,0))</f>
        <v>0</v>
      </c>
      <c r="N19" s="243">
        <f>IF($A$1="Peak","-",IF(BaseLoad!T18&gt;BaseLoad!$G18,N$8*BaseLoad!$AM$9,0))</f>
        <v>0</v>
      </c>
      <c r="O19" s="243">
        <f>IF($A$1="Peak","-",IF(BaseLoad!U18&gt;BaseLoad!$G18,O$8*BaseLoad!$AM$9,0))</f>
        <v>0</v>
      </c>
      <c r="P19" s="243">
        <f>IF($A$1="Peak","-",IF(BaseLoad!V18&gt;BaseLoad!$G18,P$8*BaseLoad!$AM$9,0))</f>
        <v>0</v>
      </c>
      <c r="Q19" s="243">
        <f>IF($A$1="Peak","-",IF(BaseLoad!W18&gt;BaseLoad!$G18,Q$8*BaseLoad!$AM$9,0))</f>
        <v>0</v>
      </c>
      <c r="R19" s="243">
        <f>IF($A$1="Peak","-",IF(BaseLoad!X18&gt;BaseLoad!$G18,R$8*BaseLoad!$AM$9,0))</f>
        <v>0</v>
      </c>
      <c r="S19" s="243">
        <f>IF($A$1="Peak","-",IF(BaseLoad!Y18&gt;BaseLoad!$G18,S$8*BaseLoad!$AM$9,0))</f>
        <v>0</v>
      </c>
      <c r="T19" s="243">
        <f>IF($A$1="Peak","-",IF(BaseLoad!Z18&gt;BaseLoad!$G18,T$8*BaseLoad!$AM$9,0))</f>
        <v>0</v>
      </c>
      <c r="U19" s="243">
        <f>IF($A$1="Peak","-",IF(BaseLoad!AA18&gt;BaseLoad!$G18,U$8*BaseLoad!$AM$9,0))</f>
        <v>0</v>
      </c>
      <c r="V19" s="243">
        <f t="shared" si="0"/>
        <v>0</v>
      </c>
      <c r="W19" s="243">
        <v>0</v>
      </c>
      <c r="X19" s="243">
        <f t="shared" si="1"/>
        <v>0</v>
      </c>
      <c r="Y19" s="243"/>
    </row>
    <row r="20" spans="1:25" x14ac:dyDescent="0.2">
      <c r="A20" s="1">
        <f t="shared" si="2"/>
        <v>36844.170000000013</v>
      </c>
      <c r="B20" s="243">
        <f>IF($A$1="Peak","-",IF(BaseLoad!H19&gt;BaseLoad!$G19,B$8*BaseLoad!$AM$9,0))</f>
        <v>0</v>
      </c>
      <c r="C20" s="243">
        <f>IF($A$1="Peak","-",IF(BaseLoad!I19&gt;BaseLoad!$G19,C$8*BaseLoad!$AM$9,0))</f>
        <v>0</v>
      </c>
      <c r="D20" s="243">
        <f>IF($A$1="Peak","-",IF(BaseLoad!J19&gt;BaseLoad!$G19,D$8*BaseLoad!$AM$9,0))</f>
        <v>0</v>
      </c>
      <c r="E20" s="243">
        <f>IF($A$1="Peak","-",IF(BaseLoad!K19&gt;BaseLoad!$G19,E$8*BaseLoad!$AM$9,0))</f>
        <v>0</v>
      </c>
      <c r="F20" s="243">
        <f>IF($A$1="Peak","-",IF(BaseLoad!L19&gt;BaseLoad!$G19,F$8*BaseLoad!$AM$9,0))</f>
        <v>0</v>
      </c>
      <c r="G20" s="243">
        <f>IF($A$1="Peak","-",IF(BaseLoad!M19&gt;BaseLoad!$G19,G$8*BaseLoad!$AM$9,0))</f>
        <v>0</v>
      </c>
      <c r="H20" s="243">
        <f>IF($A$1="Peak","-",IF(BaseLoad!N19&gt;BaseLoad!$G19,H$8*BaseLoad!$AM$9,0))</f>
        <v>0</v>
      </c>
      <c r="I20" s="243">
        <f>IF($A$1="Peak","-",IF(BaseLoad!O19&gt;BaseLoad!$G19,I$8*BaseLoad!$AM$9,0))</f>
        <v>0</v>
      </c>
      <c r="J20" s="243">
        <f>IF($A$1="Peak","-",IF(BaseLoad!P19&gt;BaseLoad!$G19,J$8*BaseLoad!$AM$9,0))</f>
        <v>0</v>
      </c>
      <c r="K20" s="243">
        <f>IF($A$1="Peak","-",IF(BaseLoad!Q19&gt;BaseLoad!$G19,K$8*BaseLoad!$AM$9,0))</f>
        <v>0</v>
      </c>
      <c r="L20" s="243">
        <f>IF($A$1="Peak","-",IF(BaseLoad!R19&gt;BaseLoad!$G19,L$8*BaseLoad!$AM$9,0))</f>
        <v>0</v>
      </c>
      <c r="M20" s="243">
        <f>IF($A$1="Peak","-",IF(BaseLoad!S19&gt;BaseLoad!$G19,M$8*BaseLoad!$AM$9,0))</f>
        <v>0</v>
      </c>
      <c r="N20" s="243">
        <f>IF($A$1="Peak","-",IF(BaseLoad!T19&gt;BaseLoad!$G19,N$8*BaseLoad!$AM$9,0))</f>
        <v>0</v>
      </c>
      <c r="O20" s="243">
        <f>IF($A$1="Peak","-",IF(BaseLoad!U19&gt;BaseLoad!$G19,O$8*BaseLoad!$AM$9,0))</f>
        <v>0</v>
      </c>
      <c r="P20" s="243">
        <f>IF($A$1="Peak","-",IF(BaseLoad!V19&gt;BaseLoad!$G19,P$8*BaseLoad!$AM$9,0))</f>
        <v>0</v>
      </c>
      <c r="Q20" s="243">
        <f>IF($A$1="Peak","-",IF(BaseLoad!W19&gt;BaseLoad!$G19,Q$8*BaseLoad!$AM$9,0))</f>
        <v>0</v>
      </c>
      <c r="R20" s="243">
        <f>IF($A$1="Peak","-",IF(BaseLoad!X19&gt;BaseLoad!$G19,R$8*BaseLoad!$AM$9,0))</f>
        <v>0</v>
      </c>
      <c r="S20" s="243">
        <f>IF($A$1="Peak","-",IF(BaseLoad!Y19&gt;BaseLoad!$G19,S$8*BaseLoad!$AM$9,0))</f>
        <v>0</v>
      </c>
      <c r="T20" s="243">
        <f>IF($A$1="Peak","-",IF(BaseLoad!Z19&gt;BaseLoad!$G19,T$8*BaseLoad!$AM$9,0))</f>
        <v>0</v>
      </c>
      <c r="U20" s="243">
        <f>IF($A$1="Peak","-",IF(BaseLoad!AA19&gt;BaseLoad!$G19,U$8*BaseLoad!$AM$9,0))</f>
        <v>0</v>
      </c>
      <c r="V20" s="243">
        <f t="shared" si="0"/>
        <v>0</v>
      </c>
      <c r="W20" s="243">
        <v>0</v>
      </c>
      <c r="X20" s="243">
        <f t="shared" si="1"/>
        <v>0</v>
      </c>
      <c r="Y20" s="243"/>
    </row>
    <row r="21" spans="1:25" x14ac:dyDescent="0.2">
      <c r="A21" s="1">
        <f t="shared" si="2"/>
        <v>36874.587000000014</v>
      </c>
      <c r="B21" s="243">
        <f>IF($A$1="Peak","-",IF(BaseLoad!H20&gt;BaseLoad!$G20,B$8*BaseLoad!$AM$9,0))</f>
        <v>0</v>
      </c>
      <c r="C21" s="243">
        <f>IF($A$1="Peak","-",IF(BaseLoad!I20&gt;BaseLoad!$G20,C$8*BaseLoad!$AM$9,0))</f>
        <v>0</v>
      </c>
      <c r="D21" s="243">
        <f>IF($A$1="Peak","-",IF(BaseLoad!J20&gt;BaseLoad!$G20,D$8*BaseLoad!$AM$9,0))</f>
        <v>0</v>
      </c>
      <c r="E21" s="243">
        <f>IF($A$1="Peak","-",IF(BaseLoad!K20&gt;BaseLoad!$G20,E$8*BaseLoad!$AM$9,0))</f>
        <v>0</v>
      </c>
      <c r="F21" s="243">
        <f>IF($A$1="Peak","-",IF(BaseLoad!L20&gt;BaseLoad!$G20,F$8*BaseLoad!$AM$9,0))</f>
        <v>0</v>
      </c>
      <c r="G21" s="243">
        <f>IF($A$1="Peak","-",IF(BaseLoad!M20&gt;BaseLoad!$G20,G$8*BaseLoad!$AM$9,0))</f>
        <v>0</v>
      </c>
      <c r="H21" s="243">
        <f>IF($A$1="Peak","-",IF(BaseLoad!N20&gt;BaseLoad!$G20,H$8*BaseLoad!$AM$9,0))</f>
        <v>0</v>
      </c>
      <c r="I21" s="243">
        <f>IF($A$1="Peak","-",IF(BaseLoad!O20&gt;BaseLoad!$G20,I$8*BaseLoad!$AM$9,0))</f>
        <v>0</v>
      </c>
      <c r="J21" s="243">
        <f>IF($A$1="Peak","-",IF(BaseLoad!P20&gt;BaseLoad!$G20,J$8*BaseLoad!$AM$9,0))</f>
        <v>0</v>
      </c>
      <c r="K21" s="243">
        <f>IF($A$1="Peak","-",IF(BaseLoad!Q20&gt;BaseLoad!$G20,K$8*BaseLoad!$AM$9,0))</f>
        <v>0</v>
      </c>
      <c r="L21" s="243">
        <f>IF($A$1="Peak","-",IF(BaseLoad!R20&gt;BaseLoad!$G20,L$8*BaseLoad!$AM$9,0))</f>
        <v>0</v>
      </c>
      <c r="M21" s="243">
        <f>IF($A$1="Peak","-",IF(BaseLoad!S20&gt;BaseLoad!$G20,M$8*BaseLoad!$AM$9,0))</f>
        <v>0</v>
      </c>
      <c r="N21" s="243">
        <f>IF($A$1="Peak","-",IF(BaseLoad!T20&gt;BaseLoad!$G20,N$8*BaseLoad!$AM$9,0))</f>
        <v>0</v>
      </c>
      <c r="O21" s="243">
        <f>IF($A$1="Peak","-",IF(BaseLoad!U20&gt;BaseLoad!$G20,O$8*BaseLoad!$AM$9,0))</f>
        <v>0</v>
      </c>
      <c r="P21" s="243">
        <f>IF($A$1="Peak","-",IF(BaseLoad!V20&gt;BaseLoad!$G20,P$8*BaseLoad!$AM$9,0))</f>
        <v>0</v>
      </c>
      <c r="Q21" s="243">
        <f>IF($A$1="Peak","-",IF(BaseLoad!W20&gt;BaseLoad!$G20,Q$8*BaseLoad!$AM$9,0))</f>
        <v>0</v>
      </c>
      <c r="R21" s="243">
        <f>IF($A$1="Peak","-",IF(BaseLoad!X20&gt;BaseLoad!$G20,R$8*BaseLoad!$AM$9,0))</f>
        <v>0</v>
      </c>
      <c r="S21" s="243">
        <f>IF($A$1="Peak","-",IF(BaseLoad!Y20&gt;BaseLoad!$G20,S$8*BaseLoad!$AM$9,0))</f>
        <v>0</v>
      </c>
      <c r="T21" s="243">
        <f>IF($A$1="Peak","-",IF(BaseLoad!Z20&gt;BaseLoad!$G20,T$8*BaseLoad!$AM$9,0))</f>
        <v>0</v>
      </c>
      <c r="U21" s="243">
        <f>IF($A$1="Peak","-",IF(BaseLoad!AA20&gt;BaseLoad!$G20,U$8*BaseLoad!$AM$9,0))</f>
        <v>0</v>
      </c>
      <c r="V21" s="243">
        <f t="shared" si="0"/>
        <v>0</v>
      </c>
      <c r="W21" s="243">
        <v>0</v>
      </c>
      <c r="X21" s="243">
        <f t="shared" si="1"/>
        <v>0</v>
      </c>
      <c r="Y21" s="243">
        <f>SUM(V10:V21)</f>
        <v>0</v>
      </c>
    </row>
    <row r="22" spans="1:25" x14ac:dyDescent="0.2">
      <c r="A22" s="1">
        <f t="shared" si="2"/>
        <v>36905.004000000015</v>
      </c>
      <c r="B22" s="243">
        <f>IF($A$1="Peak","-",IF(BaseLoad!H21&gt;BaseLoad!$G21,B$8*PPA!$G$5*BaseLoad!$AM$9,0))</f>
        <v>1.0017739982447105</v>
      </c>
      <c r="C22" s="243">
        <f>IF($A$1="Peak","-",IF(BaseLoad!I21&gt;BaseLoad!$G21,C$8*PPA!$G$5*BaseLoad!$AM$9,0))</f>
        <v>1.0017739982447105</v>
      </c>
      <c r="D22" s="243">
        <f>IF($A$1="Peak","-",IF(BaseLoad!J21&gt;BaseLoad!$G21,D$8*PPA!$G$5*BaseLoad!$AM$9,0))</f>
        <v>2.0035479964894209</v>
      </c>
      <c r="E22" s="243">
        <f>IF($A$1="Peak","-",IF(BaseLoad!K21&gt;BaseLoad!$G21,E$8*PPA!$G$5*BaseLoad!$AM$9,0))</f>
        <v>4.0070959929788419</v>
      </c>
      <c r="F22" s="243">
        <f>IF($A$1="Peak","-",IF(BaseLoad!L21&gt;BaseLoad!$G21,F$8*PPA!$G$5*BaseLoad!$AM$9,0))</f>
        <v>4.0070959929788419</v>
      </c>
      <c r="G22" s="243">
        <f>IF($A$1="Peak","-",IF(BaseLoad!M21&gt;BaseLoad!$G21,G$8*PPA!$G$5*BaseLoad!$AM$9,0))</f>
        <v>8.0141919859576838</v>
      </c>
      <c r="H22" s="243">
        <f>IF($A$1="Peak","-",IF(BaseLoad!N21&gt;BaseLoad!$G21,H$8*PPA!$G$5*BaseLoad!$AM$9,0))</f>
        <v>8.0141919859576838</v>
      </c>
      <c r="I22" s="243">
        <f>IF($A$1="Peak","-",IF(BaseLoad!O21&gt;BaseLoad!$G21,I$8*PPA!$G$5*BaseLoad!$AM$9,0))</f>
        <v>8.0141919859576838</v>
      </c>
      <c r="J22" s="243">
        <f>IF($A$1="Peak","-",IF(BaseLoad!P21&gt;BaseLoad!$G21,J$8*PPA!$G$5*BaseLoad!$AM$9,0))</f>
        <v>8.0141919859576838</v>
      </c>
      <c r="K22" s="243">
        <f>IF($A$1="Peak","-",IF(BaseLoad!Q21&gt;BaseLoad!$G21,K$8*PPA!$G$5*BaseLoad!$AM$9,0))</f>
        <v>8.0141919859576838</v>
      </c>
      <c r="L22" s="243">
        <f>IF($A$1="Peak","-",IF(BaseLoad!R21&gt;BaseLoad!$G21,L$8*PPA!$G$5*BaseLoad!$AM$9,0))</f>
        <v>8.0141919859576838</v>
      </c>
      <c r="M22" s="243">
        <f>IF($A$1="Peak","-",IF(BaseLoad!S21&gt;BaseLoad!$G21,M$8*PPA!$G$5*BaseLoad!$AM$9,0))</f>
        <v>8.0141919859576838</v>
      </c>
      <c r="N22" s="243">
        <f>IF($A$1="Peak","-",IF(BaseLoad!T21&gt;BaseLoad!$G21,N$8*PPA!$G$5*BaseLoad!$AM$9,0))</f>
        <v>8.0141919859576838</v>
      </c>
      <c r="O22" s="243">
        <f>IF($A$1="Peak","-",IF(BaseLoad!U21&gt;BaseLoad!$G21,O$8*PPA!$G$5*BaseLoad!$AM$9,0))</f>
        <v>8.0141919859576838</v>
      </c>
      <c r="P22" s="243">
        <f>IF($A$1="Peak","-",IF(BaseLoad!V21&gt;BaseLoad!$G21,P$8*PPA!$G$5*BaseLoad!$AM$9,0))</f>
        <v>8.0141919859576838</v>
      </c>
      <c r="Q22" s="243">
        <f>IF($A$1="Peak","-",IF(BaseLoad!W21&gt;BaseLoad!$G21,Q$8*PPA!$G$5*BaseLoad!$AM$9,0))</f>
        <v>8.0141919859576838</v>
      </c>
      <c r="R22" s="243">
        <f>IF($A$1="Peak","-",IF(BaseLoad!X21&gt;BaseLoad!$G21,R$8*PPA!$G$5*BaseLoad!$AM$9,0))</f>
        <v>8.0141919859576838</v>
      </c>
      <c r="S22" s="243">
        <f>IF($A$1="Peak","-",IF(BaseLoad!Y21&gt;BaseLoad!$G21,S$8*PPA!$G$5*BaseLoad!$AM$9,0))</f>
        <v>8.0141919859576838</v>
      </c>
      <c r="T22" s="243">
        <f>IF($A$1="Peak","-",IF(BaseLoad!Z21&gt;BaseLoad!$G21,T$8*PPA!$G$5*BaseLoad!$AM$9,0))</f>
        <v>8.0141919859576838</v>
      </c>
      <c r="U22" s="243">
        <f>IF($A$1="Peak","-",IF(BaseLoad!AA21&gt;BaseLoad!$G21,U$8*PPA!$G$5*BaseLoad!$AM$9,0))</f>
        <v>22.039027961383631</v>
      </c>
      <c r="V22" s="243">
        <f t="shared" si="0"/>
        <v>146.2590037437277</v>
      </c>
      <c r="W22" s="243">
        <f>IF($A$1="Peak","-",(730*PPA!$G$4*BaseLoad!$AP$9))</f>
        <v>421.0504308764738</v>
      </c>
      <c r="X22" s="243">
        <f t="shared" si="1"/>
        <v>567.3094346202015</v>
      </c>
      <c r="Y22" s="243"/>
    </row>
    <row r="23" spans="1:25" x14ac:dyDescent="0.2">
      <c r="A23" s="1">
        <f t="shared" si="2"/>
        <v>36935.421000000017</v>
      </c>
      <c r="B23" s="243">
        <f>IF($A$1="Peak","-",IF(BaseLoad!H22&gt;BaseLoad!$G22,B$8*PPA!$G$5*BaseLoad!$AM$9,0))</f>
        <v>1.0017739982447105</v>
      </c>
      <c r="C23" s="243">
        <f>IF($A$1="Peak","-",IF(BaseLoad!I22&gt;BaseLoad!$G22,C$8*PPA!$G$5*BaseLoad!$AM$9,0))</f>
        <v>1.0017739982447105</v>
      </c>
      <c r="D23" s="243">
        <f>IF($A$1="Peak","-",IF(BaseLoad!J22&gt;BaseLoad!$G22,D$8*PPA!$G$5*BaseLoad!$AM$9,0))</f>
        <v>2.0035479964894209</v>
      </c>
      <c r="E23" s="243">
        <f>IF($A$1="Peak","-",IF(BaseLoad!K22&gt;BaseLoad!$G22,E$8*PPA!$G$5*BaseLoad!$AM$9,0))</f>
        <v>4.0070959929788419</v>
      </c>
      <c r="F23" s="243">
        <f>IF($A$1="Peak","-",IF(BaseLoad!L22&gt;BaseLoad!$G22,F$8*PPA!$G$5*BaseLoad!$AM$9,0))</f>
        <v>4.0070959929788419</v>
      </c>
      <c r="G23" s="243">
        <f>IF($A$1="Peak","-",IF(BaseLoad!M22&gt;BaseLoad!$G22,G$8*PPA!$G$5*BaseLoad!$AM$9,0))</f>
        <v>8.0141919859576838</v>
      </c>
      <c r="H23" s="243">
        <f>IF($A$1="Peak","-",IF(BaseLoad!N22&gt;BaseLoad!$G22,H$8*PPA!$G$5*BaseLoad!$AM$9,0))</f>
        <v>8.0141919859576838</v>
      </c>
      <c r="I23" s="243">
        <f>IF($A$1="Peak","-",IF(BaseLoad!O22&gt;BaseLoad!$G22,I$8*PPA!$G$5*BaseLoad!$AM$9,0))</f>
        <v>8.0141919859576838</v>
      </c>
      <c r="J23" s="243">
        <f>IF($A$1="Peak","-",IF(BaseLoad!P22&gt;BaseLoad!$G22,J$8*PPA!$G$5*BaseLoad!$AM$9,0))</f>
        <v>8.0141919859576838</v>
      </c>
      <c r="K23" s="243">
        <f>IF($A$1="Peak","-",IF(BaseLoad!Q22&gt;BaseLoad!$G22,K$8*PPA!$G$5*BaseLoad!$AM$9,0))</f>
        <v>8.0141919859576838</v>
      </c>
      <c r="L23" s="243">
        <f>IF($A$1="Peak","-",IF(BaseLoad!R22&gt;BaseLoad!$G22,L$8*PPA!$G$5*BaseLoad!$AM$9,0))</f>
        <v>8.0141919859576838</v>
      </c>
      <c r="M23" s="243">
        <f>IF($A$1="Peak","-",IF(BaseLoad!S22&gt;BaseLoad!$G22,M$8*PPA!$G$5*BaseLoad!$AM$9,0))</f>
        <v>8.0141919859576838</v>
      </c>
      <c r="N23" s="243">
        <f>IF($A$1="Peak","-",IF(BaseLoad!T22&gt;BaseLoad!$G22,N$8*PPA!$G$5*BaseLoad!$AM$9,0))</f>
        <v>8.0141919859576838</v>
      </c>
      <c r="O23" s="243">
        <f>IF($A$1="Peak","-",IF(BaseLoad!U22&gt;BaseLoad!$G22,O$8*PPA!$G$5*BaseLoad!$AM$9,0))</f>
        <v>8.0141919859576838</v>
      </c>
      <c r="P23" s="243">
        <f>IF($A$1="Peak","-",IF(BaseLoad!V22&gt;BaseLoad!$G22,P$8*PPA!$G$5*BaseLoad!$AM$9,0))</f>
        <v>8.0141919859576838</v>
      </c>
      <c r="Q23" s="243">
        <f>IF($A$1="Peak","-",IF(BaseLoad!W22&gt;BaseLoad!$G22,Q$8*PPA!$G$5*BaseLoad!$AM$9,0))</f>
        <v>8.0141919859576838</v>
      </c>
      <c r="R23" s="243">
        <f>IF($A$1="Peak","-",IF(BaseLoad!X22&gt;BaseLoad!$G22,R$8*PPA!$G$5*BaseLoad!$AM$9,0))</f>
        <v>8.0141919859576838</v>
      </c>
      <c r="S23" s="243">
        <f>IF($A$1="Peak","-",IF(BaseLoad!Y22&gt;BaseLoad!$G22,S$8*PPA!$G$5*BaseLoad!$AM$9,0))</f>
        <v>8.0141919859576838</v>
      </c>
      <c r="T23" s="243">
        <f>IF($A$1="Peak","-",IF(BaseLoad!Z22&gt;BaseLoad!$G22,T$8*PPA!$G$5*BaseLoad!$AM$9,0))</f>
        <v>8.0141919859576838</v>
      </c>
      <c r="U23" s="243">
        <f>IF($A$1="Peak","-",IF(BaseLoad!AA22&gt;BaseLoad!$G22,U$8*PPA!$G$5*BaseLoad!$AM$9,0))</f>
        <v>22.039027961383631</v>
      </c>
      <c r="V23" s="243">
        <f t="shared" si="0"/>
        <v>146.2590037437277</v>
      </c>
      <c r="W23" s="243">
        <f>IF($A$1="Peak","-",(730*PPA!$G$4*BaseLoad!$AP$9))</f>
        <v>421.0504308764738</v>
      </c>
      <c r="X23" s="243">
        <f t="shared" si="1"/>
        <v>567.3094346202015</v>
      </c>
      <c r="Y23" s="243"/>
    </row>
    <row r="24" spans="1:25" x14ac:dyDescent="0.2">
      <c r="A24" s="1">
        <f t="shared" si="2"/>
        <v>36965.838000000018</v>
      </c>
      <c r="B24" s="243">
        <f>IF($A$1="Peak","-",IF(BaseLoad!H23&gt;BaseLoad!$G23,B$8*PPA!$G$5*BaseLoad!$AM$9,0))</f>
        <v>1.0017739982447105</v>
      </c>
      <c r="C24" s="243">
        <f>IF($A$1="Peak","-",IF(BaseLoad!I23&gt;BaseLoad!$G23,C$8*PPA!$G$5*BaseLoad!$AM$9,0))</f>
        <v>1.0017739982447105</v>
      </c>
      <c r="D24" s="243">
        <f>IF($A$1="Peak","-",IF(BaseLoad!J23&gt;BaseLoad!$G23,D$8*PPA!$G$5*BaseLoad!$AM$9,0))</f>
        <v>2.0035479964894209</v>
      </c>
      <c r="E24" s="243">
        <f>IF($A$1="Peak","-",IF(BaseLoad!K23&gt;BaseLoad!$G23,E$8*PPA!$G$5*BaseLoad!$AM$9,0))</f>
        <v>4.0070959929788419</v>
      </c>
      <c r="F24" s="243">
        <f>IF($A$1="Peak","-",IF(BaseLoad!L23&gt;BaseLoad!$G23,F$8*PPA!$G$5*BaseLoad!$AM$9,0))</f>
        <v>4.0070959929788419</v>
      </c>
      <c r="G24" s="243">
        <f>IF($A$1="Peak","-",IF(BaseLoad!M23&gt;BaseLoad!$G23,G$8*PPA!$G$5*BaseLoad!$AM$9,0))</f>
        <v>8.0141919859576838</v>
      </c>
      <c r="H24" s="243">
        <f>IF($A$1="Peak","-",IF(BaseLoad!N23&gt;BaseLoad!$G23,H$8*PPA!$G$5*BaseLoad!$AM$9,0))</f>
        <v>8.0141919859576838</v>
      </c>
      <c r="I24" s="243">
        <f>IF($A$1="Peak","-",IF(BaseLoad!O23&gt;BaseLoad!$G23,I$8*PPA!$G$5*BaseLoad!$AM$9,0))</f>
        <v>8.0141919859576838</v>
      </c>
      <c r="J24" s="243">
        <f>IF($A$1="Peak","-",IF(BaseLoad!P23&gt;BaseLoad!$G23,J$8*PPA!$G$5*BaseLoad!$AM$9,0))</f>
        <v>8.0141919859576838</v>
      </c>
      <c r="K24" s="243">
        <f>IF($A$1="Peak","-",IF(BaseLoad!Q23&gt;BaseLoad!$G23,K$8*PPA!$G$5*BaseLoad!$AM$9,0))</f>
        <v>8.0141919859576838</v>
      </c>
      <c r="L24" s="243">
        <f>IF($A$1="Peak","-",IF(BaseLoad!R23&gt;BaseLoad!$G23,L$8*PPA!$G$5*BaseLoad!$AM$9,0))</f>
        <v>8.0141919859576838</v>
      </c>
      <c r="M24" s="243">
        <f>IF($A$1="Peak","-",IF(BaseLoad!S23&gt;BaseLoad!$G23,M$8*PPA!$G$5*BaseLoad!$AM$9,0))</f>
        <v>8.0141919859576838</v>
      </c>
      <c r="N24" s="243">
        <f>IF($A$1="Peak","-",IF(BaseLoad!T23&gt;BaseLoad!$G23,N$8*PPA!$G$5*BaseLoad!$AM$9,0))</f>
        <v>8.0141919859576838</v>
      </c>
      <c r="O24" s="243">
        <f>IF($A$1="Peak","-",IF(BaseLoad!U23&gt;BaseLoad!$G23,O$8*PPA!$G$5*BaseLoad!$AM$9,0))</f>
        <v>8.0141919859576838</v>
      </c>
      <c r="P24" s="243">
        <f>IF($A$1="Peak","-",IF(BaseLoad!V23&gt;BaseLoad!$G23,P$8*PPA!$G$5*BaseLoad!$AM$9,0))</f>
        <v>8.0141919859576838</v>
      </c>
      <c r="Q24" s="243">
        <f>IF($A$1="Peak","-",IF(BaseLoad!W23&gt;BaseLoad!$G23,Q$8*PPA!$G$5*BaseLoad!$AM$9,0))</f>
        <v>8.0141919859576838</v>
      </c>
      <c r="R24" s="243">
        <f>IF($A$1="Peak","-",IF(BaseLoad!X23&gt;BaseLoad!$G23,R$8*PPA!$G$5*BaseLoad!$AM$9,0))</f>
        <v>8.0141919859576838</v>
      </c>
      <c r="S24" s="243">
        <f>IF($A$1="Peak","-",IF(BaseLoad!Y23&gt;BaseLoad!$G23,S$8*PPA!$G$5*BaseLoad!$AM$9,0))</f>
        <v>8.0141919859576838</v>
      </c>
      <c r="T24" s="243">
        <f>IF($A$1="Peak","-",IF(BaseLoad!Z23&gt;BaseLoad!$G23,T$8*PPA!$G$5*BaseLoad!$AM$9,0))</f>
        <v>8.0141919859576838</v>
      </c>
      <c r="U24" s="243">
        <f>IF($A$1="Peak","-",IF(BaseLoad!AA23&gt;BaseLoad!$G23,U$8*PPA!$G$5*BaseLoad!$AM$9,0))</f>
        <v>22.039027961383631</v>
      </c>
      <c r="V24" s="243">
        <f t="shared" si="0"/>
        <v>146.2590037437277</v>
      </c>
      <c r="W24" s="243">
        <f>IF($A$1="Peak","-",(730*PPA!$G$4*BaseLoad!$AP$9))</f>
        <v>421.0504308764738</v>
      </c>
      <c r="X24" s="243">
        <f t="shared" si="1"/>
        <v>567.3094346202015</v>
      </c>
      <c r="Y24" s="243"/>
    </row>
    <row r="25" spans="1:25" x14ac:dyDescent="0.2">
      <c r="A25" s="1">
        <f t="shared" si="2"/>
        <v>36996.255000000019</v>
      </c>
      <c r="B25" s="243">
        <f>IF($A$1="Peak","-",IF(BaseLoad!H24&gt;BaseLoad!$G24,B$8*PPA!$G$5*BaseLoad!$AM$9,0))</f>
        <v>1.0017739982447105</v>
      </c>
      <c r="C25" s="243">
        <f>IF($A$1="Peak","-",IF(BaseLoad!I24&gt;BaseLoad!$G24,C$8*PPA!$G$5*BaseLoad!$AM$9,0))</f>
        <v>1.0017739982447105</v>
      </c>
      <c r="D25" s="243">
        <f>IF($A$1="Peak","-",IF(BaseLoad!J24&gt;BaseLoad!$G24,D$8*PPA!$G$5*BaseLoad!$AM$9,0))</f>
        <v>2.0035479964894209</v>
      </c>
      <c r="E25" s="243">
        <f>IF($A$1="Peak","-",IF(BaseLoad!K24&gt;BaseLoad!$G24,E$8*PPA!$G$5*BaseLoad!$AM$9,0))</f>
        <v>4.0070959929788419</v>
      </c>
      <c r="F25" s="243">
        <f>IF($A$1="Peak","-",IF(BaseLoad!L24&gt;BaseLoad!$G24,F$8*PPA!$G$5*BaseLoad!$AM$9,0))</f>
        <v>4.0070959929788419</v>
      </c>
      <c r="G25" s="243">
        <f>IF($A$1="Peak","-",IF(BaseLoad!M24&gt;BaseLoad!$G24,G$8*PPA!$G$5*BaseLoad!$AM$9,0))</f>
        <v>8.0141919859576838</v>
      </c>
      <c r="H25" s="243">
        <f>IF($A$1="Peak","-",IF(BaseLoad!N24&gt;BaseLoad!$G24,H$8*PPA!$G$5*BaseLoad!$AM$9,0))</f>
        <v>8.0141919859576838</v>
      </c>
      <c r="I25" s="243">
        <f>IF($A$1="Peak","-",IF(BaseLoad!O24&gt;BaseLoad!$G24,I$8*PPA!$G$5*BaseLoad!$AM$9,0))</f>
        <v>8.0141919859576838</v>
      </c>
      <c r="J25" s="243">
        <f>IF($A$1="Peak","-",IF(BaseLoad!P24&gt;BaseLoad!$G24,J$8*PPA!$G$5*BaseLoad!$AM$9,0))</f>
        <v>8.0141919859576838</v>
      </c>
      <c r="K25" s="243">
        <f>IF($A$1="Peak","-",IF(BaseLoad!Q24&gt;BaseLoad!$G24,K$8*PPA!$G$5*BaseLoad!$AM$9,0))</f>
        <v>8.0141919859576838</v>
      </c>
      <c r="L25" s="243">
        <f>IF($A$1="Peak","-",IF(BaseLoad!R24&gt;BaseLoad!$G24,L$8*PPA!$G$5*BaseLoad!$AM$9,0))</f>
        <v>8.0141919859576838</v>
      </c>
      <c r="M25" s="243">
        <f>IF($A$1="Peak","-",IF(BaseLoad!S24&gt;BaseLoad!$G24,M$8*PPA!$G$5*BaseLoad!$AM$9,0))</f>
        <v>8.0141919859576838</v>
      </c>
      <c r="N25" s="243">
        <f>IF($A$1="Peak","-",IF(BaseLoad!T24&gt;BaseLoad!$G24,N$8*PPA!$G$5*BaseLoad!$AM$9,0))</f>
        <v>8.0141919859576838</v>
      </c>
      <c r="O25" s="243">
        <f>IF($A$1="Peak","-",IF(BaseLoad!U24&gt;BaseLoad!$G24,O$8*PPA!$G$5*BaseLoad!$AM$9,0))</f>
        <v>8.0141919859576838</v>
      </c>
      <c r="P25" s="243">
        <f>IF($A$1="Peak","-",IF(BaseLoad!V24&gt;BaseLoad!$G24,P$8*PPA!$G$5*BaseLoad!$AM$9,0))</f>
        <v>8.0141919859576838</v>
      </c>
      <c r="Q25" s="243">
        <f>IF($A$1="Peak","-",IF(BaseLoad!W24&gt;BaseLoad!$G24,Q$8*PPA!$G$5*BaseLoad!$AM$9,0))</f>
        <v>8.0141919859576838</v>
      </c>
      <c r="R25" s="243">
        <f>IF($A$1="Peak","-",IF(BaseLoad!X24&gt;BaseLoad!$G24,R$8*PPA!$G$5*BaseLoad!$AM$9,0))</f>
        <v>8.0141919859576838</v>
      </c>
      <c r="S25" s="243">
        <f>IF($A$1="Peak","-",IF(BaseLoad!Y24&gt;BaseLoad!$G24,S$8*PPA!$G$5*BaseLoad!$AM$9,0))</f>
        <v>8.0141919859576838</v>
      </c>
      <c r="T25" s="243">
        <f>IF($A$1="Peak","-",IF(BaseLoad!Z24&gt;BaseLoad!$G24,T$8*PPA!$G$5*BaseLoad!$AM$9,0))</f>
        <v>8.0141919859576838</v>
      </c>
      <c r="U25" s="243">
        <f>IF($A$1="Peak","-",IF(BaseLoad!AA24&gt;BaseLoad!$G24,U$8*PPA!$G$5*BaseLoad!$AM$9,0))</f>
        <v>22.039027961383631</v>
      </c>
      <c r="V25" s="243">
        <f t="shared" si="0"/>
        <v>146.2590037437277</v>
      </c>
      <c r="W25" s="243">
        <f>IF($A$1="Peak","-",(730*PPA!$G$4*BaseLoad!$AP$9))</f>
        <v>421.0504308764738</v>
      </c>
      <c r="X25" s="243">
        <f t="shared" si="1"/>
        <v>567.3094346202015</v>
      </c>
      <c r="Y25" s="243"/>
    </row>
    <row r="26" spans="1:25" x14ac:dyDescent="0.2">
      <c r="A26" s="1">
        <f t="shared" si="2"/>
        <v>37026.67200000002</v>
      </c>
      <c r="B26" s="243">
        <f>IF($A$1="Peak","-",IF(BaseLoad!H25&gt;BaseLoad!$G25,B$8*PPA!$G$5*BaseLoad!$AM$9,0))</f>
        <v>1.0017739982447105</v>
      </c>
      <c r="C26" s="243">
        <f>IF($A$1="Peak","-",IF(BaseLoad!I25&gt;BaseLoad!$G25,C$8*PPA!$G$5*BaseLoad!$AM$9,0))</f>
        <v>1.0017739982447105</v>
      </c>
      <c r="D26" s="243">
        <f>IF($A$1="Peak","-",IF(BaseLoad!J25&gt;BaseLoad!$G25,D$8*PPA!$G$5*BaseLoad!$AM$9,0))</f>
        <v>2.0035479964894209</v>
      </c>
      <c r="E26" s="243">
        <f>IF($A$1="Peak","-",IF(BaseLoad!K25&gt;BaseLoad!$G25,E$8*PPA!$G$5*BaseLoad!$AM$9,0))</f>
        <v>4.0070959929788419</v>
      </c>
      <c r="F26" s="243">
        <f>IF($A$1="Peak","-",IF(BaseLoad!L25&gt;BaseLoad!$G25,F$8*PPA!$G$5*BaseLoad!$AM$9,0))</f>
        <v>4.0070959929788419</v>
      </c>
      <c r="G26" s="243">
        <f>IF($A$1="Peak","-",IF(BaseLoad!M25&gt;BaseLoad!$G25,G$8*PPA!$G$5*BaseLoad!$AM$9,0))</f>
        <v>8.0141919859576838</v>
      </c>
      <c r="H26" s="243">
        <f>IF($A$1="Peak","-",IF(BaseLoad!N25&gt;BaseLoad!$G25,H$8*PPA!$G$5*BaseLoad!$AM$9,0))</f>
        <v>8.0141919859576838</v>
      </c>
      <c r="I26" s="243">
        <f>IF($A$1="Peak","-",IF(BaseLoad!O25&gt;BaseLoad!$G25,I$8*PPA!$G$5*BaseLoad!$AM$9,0))</f>
        <v>8.0141919859576838</v>
      </c>
      <c r="J26" s="243">
        <f>IF($A$1="Peak","-",IF(BaseLoad!P25&gt;BaseLoad!$G25,J$8*PPA!$G$5*BaseLoad!$AM$9,0))</f>
        <v>8.0141919859576838</v>
      </c>
      <c r="K26" s="243">
        <f>IF($A$1="Peak","-",IF(BaseLoad!Q25&gt;BaseLoad!$G25,K$8*PPA!$G$5*BaseLoad!$AM$9,0))</f>
        <v>8.0141919859576838</v>
      </c>
      <c r="L26" s="243">
        <f>IF($A$1="Peak","-",IF(BaseLoad!R25&gt;BaseLoad!$G25,L$8*PPA!$G$5*BaseLoad!$AM$9,0))</f>
        <v>8.0141919859576838</v>
      </c>
      <c r="M26" s="243">
        <f>IF($A$1="Peak","-",IF(BaseLoad!S25&gt;BaseLoad!$G25,M$8*PPA!$G$5*BaseLoad!$AM$9,0))</f>
        <v>8.0141919859576838</v>
      </c>
      <c r="N26" s="243">
        <f>IF($A$1="Peak","-",IF(BaseLoad!T25&gt;BaseLoad!$G25,N$8*PPA!$G$5*BaseLoad!$AM$9,0))</f>
        <v>8.0141919859576838</v>
      </c>
      <c r="O26" s="243">
        <f>IF($A$1="Peak","-",IF(BaseLoad!U25&gt;BaseLoad!$G25,O$8*PPA!$G$5*BaseLoad!$AM$9,0))</f>
        <v>8.0141919859576838</v>
      </c>
      <c r="P26" s="243">
        <f>IF($A$1="Peak","-",IF(BaseLoad!V25&gt;BaseLoad!$G25,P$8*PPA!$G$5*BaseLoad!$AM$9,0))</f>
        <v>8.0141919859576838</v>
      </c>
      <c r="Q26" s="243">
        <f>IF($A$1="Peak","-",IF(BaseLoad!W25&gt;BaseLoad!$G25,Q$8*PPA!$G$5*BaseLoad!$AM$9,0))</f>
        <v>8.0141919859576838</v>
      </c>
      <c r="R26" s="243">
        <f>IF($A$1="Peak","-",IF(BaseLoad!X25&gt;BaseLoad!$G25,R$8*PPA!$G$5*BaseLoad!$AM$9,0))</f>
        <v>8.0141919859576838</v>
      </c>
      <c r="S26" s="243">
        <f>IF($A$1="Peak","-",IF(BaseLoad!Y25&gt;BaseLoad!$G25,S$8*PPA!$G$5*BaseLoad!$AM$9,0))</f>
        <v>8.0141919859576838</v>
      </c>
      <c r="T26" s="243">
        <f>IF($A$1="Peak","-",IF(BaseLoad!Z25&gt;BaseLoad!$G25,T$8*PPA!$G$5*BaseLoad!$AM$9,0))</f>
        <v>8.0141919859576838</v>
      </c>
      <c r="U26" s="243">
        <f>IF($A$1="Peak","-",IF(BaseLoad!AA25&gt;BaseLoad!$G25,U$8*PPA!$G$5*BaseLoad!$AM$9,0))</f>
        <v>22.039027961383631</v>
      </c>
      <c r="V26" s="243">
        <f t="shared" si="0"/>
        <v>146.2590037437277</v>
      </c>
      <c r="W26" s="243">
        <f>IF($A$1="Peak","-",(730*PPA!$G$4*BaseLoad!$AP$9))</f>
        <v>421.0504308764738</v>
      </c>
      <c r="X26" s="243">
        <f t="shared" si="1"/>
        <v>567.3094346202015</v>
      </c>
      <c r="Y26" s="243"/>
    </row>
    <row r="27" spans="1:25" x14ac:dyDescent="0.2">
      <c r="A27" s="1">
        <f t="shared" si="2"/>
        <v>37057.089000000022</v>
      </c>
      <c r="B27" s="243">
        <f>IF($A$1="Peak","-",IF(BaseLoad!H26&gt;BaseLoad!$G26,B$8*PPA!$G$5*BaseLoad!$AM$9,0))</f>
        <v>1.0017739982447105</v>
      </c>
      <c r="C27" s="243">
        <f>IF($A$1="Peak","-",IF(BaseLoad!I26&gt;BaseLoad!$G26,C$8*PPA!$G$5*BaseLoad!$AM$9,0))</f>
        <v>1.0017739982447105</v>
      </c>
      <c r="D27" s="243">
        <f>IF($A$1="Peak","-",IF(BaseLoad!J26&gt;BaseLoad!$G26,D$8*PPA!$G$5*BaseLoad!$AM$9,0))</f>
        <v>2.0035479964894209</v>
      </c>
      <c r="E27" s="243">
        <f>IF($A$1="Peak","-",IF(BaseLoad!K26&gt;BaseLoad!$G26,E$8*PPA!$G$5*BaseLoad!$AM$9,0))</f>
        <v>4.0070959929788419</v>
      </c>
      <c r="F27" s="243">
        <f>IF($A$1="Peak","-",IF(BaseLoad!L26&gt;BaseLoad!$G26,F$8*PPA!$G$5*BaseLoad!$AM$9,0))</f>
        <v>4.0070959929788419</v>
      </c>
      <c r="G27" s="243">
        <f>IF($A$1="Peak","-",IF(BaseLoad!M26&gt;BaseLoad!$G26,G$8*PPA!$G$5*BaseLoad!$AM$9,0))</f>
        <v>8.0141919859576838</v>
      </c>
      <c r="H27" s="243">
        <f>IF($A$1="Peak","-",IF(BaseLoad!N26&gt;BaseLoad!$G26,H$8*PPA!$G$5*BaseLoad!$AM$9,0))</f>
        <v>8.0141919859576838</v>
      </c>
      <c r="I27" s="243">
        <f>IF($A$1="Peak","-",IF(BaseLoad!O26&gt;BaseLoad!$G26,I$8*PPA!$G$5*BaseLoad!$AM$9,0))</f>
        <v>8.0141919859576838</v>
      </c>
      <c r="J27" s="243">
        <f>IF($A$1="Peak","-",IF(BaseLoad!P26&gt;BaseLoad!$G26,J$8*PPA!$G$5*BaseLoad!$AM$9,0))</f>
        <v>8.0141919859576838</v>
      </c>
      <c r="K27" s="243">
        <f>IF($A$1="Peak","-",IF(BaseLoad!Q26&gt;BaseLoad!$G26,K$8*PPA!$G$5*BaseLoad!$AM$9,0))</f>
        <v>8.0141919859576838</v>
      </c>
      <c r="L27" s="243">
        <f>IF($A$1="Peak","-",IF(BaseLoad!R26&gt;BaseLoad!$G26,L$8*PPA!$G$5*BaseLoad!$AM$9,0))</f>
        <v>8.0141919859576838</v>
      </c>
      <c r="M27" s="243">
        <f>IF($A$1="Peak","-",IF(BaseLoad!S26&gt;BaseLoad!$G26,M$8*PPA!$G$5*BaseLoad!$AM$9,0))</f>
        <v>8.0141919859576838</v>
      </c>
      <c r="N27" s="243">
        <f>IF($A$1="Peak","-",IF(BaseLoad!T26&gt;BaseLoad!$G26,N$8*PPA!$G$5*BaseLoad!$AM$9,0))</f>
        <v>8.0141919859576838</v>
      </c>
      <c r="O27" s="243">
        <f>IF($A$1="Peak","-",IF(BaseLoad!U26&gt;BaseLoad!$G26,O$8*PPA!$G$5*BaseLoad!$AM$9,0))</f>
        <v>8.0141919859576838</v>
      </c>
      <c r="P27" s="243">
        <f>IF($A$1="Peak","-",IF(BaseLoad!V26&gt;BaseLoad!$G26,P$8*PPA!$G$5*BaseLoad!$AM$9,0))</f>
        <v>8.0141919859576838</v>
      </c>
      <c r="Q27" s="243">
        <f>IF($A$1="Peak","-",IF(BaseLoad!W26&gt;BaseLoad!$G26,Q$8*PPA!$G$5*BaseLoad!$AM$9,0))</f>
        <v>8.0141919859576838</v>
      </c>
      <c r="R27" s="243">
        <f>IF($A$1="Peak","-",IF(BaseLoad!X26&gt;BaseLoad!$G26,R$8*PPA!$G$5*BaseLoad!$AM$9,0))</f>
        <v>8.0141919859576838</v>
      </c>
      <c r="S27" s="243">
        <f>IF($A$1="Peak","-",IF(BaseLoad!Y26&gt;BaseLoad!$G26,S$8*PPA!$G$5*BaseLoad!$AM$9,0))</f>
        <v>8.0141919859576838</v>
      </c>
      <c r="T27" s="243">
        <f>IF($A$1="Peak","-",IF(BaseLoad!Z26&gt;BaseLoad!$G26,T$8*PPA!$G$5*BaseLoad!$AM$9,0))</f>
        <v>8.0141919859576838</v>
      </c>
      <c r="U27" s="243">
        <f>IF($A$1="Peak","-",IF(BaseLoad!AA26&gt;BaseLoad!$G26,U$8*PPA!$G$5*BaseLoad!$AM$9,0))</f>
        <v>22.039027961383631</v>
      </c>
      <c r="V27" s="243">
        <f t="shared" si="0"/>
        <v>146.2590037437277</v>
      </c>
      <c r="W27" s="243">
        <f>IF($A$1="Peak","-",(730*PPA!$G$4*BaseLoad!$AP$9))</f>
        <v>421.0504308764738</v>
      </c>
      <c r="X27" s="243">
        <f t="shared" si="1"/>
        <v>567.3094346202015</v>
      </c>
      <c r="Y27" s="243"/>
    </row>
    <row r="28" spans="1:25" x14ac:dyDescent="0.2">
      <c r="A28" s="1">
        <f t="shared" si="2"/>
        <v>37087.506000000023</v>
      </c>
      <c r="B28" s="243">
        <f>IF($A$1="Peak","-",IF(BaseLoad!H27&gt;BaseLoad!$G27,B$8*PPA!$G$5*BaseLoad!$AM$9,0))</f>
        <v>1.0017739982447105</v>
      </c>
      <c r="C28" s="243">
        <f>IF($A$1="Peak","-",IF(BaseLoad!I27&gt;BaseLoad!$G27,C$8*PPA!$G$5*BaseLoad!$AM$9,0))</f>
        <v>1.0017739982447105</v>
      </c>
      <c r="D28" s="243">
        <f>IF($A$1="Peak","-",IF(BaseLoad!J27&gt;BaseLoad!$G27,D$8*PPA!$G$5*BaseLoad!$AM$9,0))</f>
        <v>2.0035479964894209</v>
      </c>
      <c r="E28" s="243">
        <f>IF($A$1="Peak","-",IF(BaseLoad!K27&gt;BaseLoad!$G27,E$8*PPA!$G$5*BaseLoad!$AM$9,0))</f>
        <v>4.0070959929788419</v>
      </c>
      <c r="F28" s="243">
        <f>IF($A$1="Peak","-",IF(BaseLoad!L27&gt;BaseLoad!$G27,F$8*PPA!$G$5*BaseLoad!$AM$9,0))</f>
        <v>4.0070959929788419</v>
      </c>
      <c r="G28" s="243">
        <f>IF($A$1="Peak","-",IF(BaseLoad!M27&gt;BaseLoad!$G27,G$8*PPA!$G$5*BaseLoad!$AM$9,0))</f>
        <v>8.0141919859576838</v>
      </c>
      <c r="H28" s="243">
        <f>IF($A$1="Peak","-",IF(BaseLoad!N27&gt;BaseLoad!$G27,H$8*PPA!$G$5*BaseLoad!$AM$9,0))</f>
        <v>8.0141919859576838</v>
      </c>
      <c r="I28" s="243">
        <f>IF($A$1="Peak","-",IF(BaseLoad!O27&gt;BaseLoad!$G27,I$8*PPA!$G$5*BaseLoad!$AM$9,0))</f>
        <v>8.0141919859576838</v>
      </c>
      <c r="J28" s="243">
        <f>IF($A$1="Peak","-",IF(BaseLoad!P27&gt;BaseLoad!$G27,J$8*PPA!$G$5*BaseLoad!$AM$9,0))</f>
        <v>8.0141919859576838</v>
      </c>
      <c r="K28" s="243">
        <f>IF($A$1="Peak","-",IF(BaseLoad!Q27&gt;BaseLoad!$G27,K$8*PPA!$G$5*BaseLoad!$AM$9,0))</f>
        <v>8.0141919859576838</v>
      </c>
      <c r="L28" s="243">
        <f>IF($A$1="Peak","-",IF(BaseLoad!R27&gt;BaseLoad!$G27,L$8*PPA!$G$5*BaseLoad!$AM$9,0))</f>
        <v>8.0141919859576838</v>
      </c>
      <c r="M28" s="243">
        <f>IF($A$1="Peak","-",IF(BaseLoad!S27&gt;BaseLoad!$G27,M$8*PPA!$G$5*BaseLoad!$AM$9,0))</f>
        <v>8.0141919859576838</v>
      </c>
      <c r="N28" s="243">
        <f>IF($A$1="Peak","-",IF(BaseLoad!T27&gt;BaseLoad!$G27,N$8*PPA!$G$5*BaseLoad!$AM$9,0))</f>
        <v>8.0141919859576838</v>
      </c>
      <c r="O28" s="243">
        <f>IF($A$1="Peak","-",IF(BaseLoad!U27&gt;BaseLoad!$G27,O$8*PPA!$G$5*BaseLoad!$AM$9,0))</f>
        <v>8.0141919859576838</v>
      </c>
      <c r="P28" s="243">
        <f>IF($A$1="Peak","-",IF(BaseLoad!V27&gt;BaseLoad!$G27,P$8*PPA!$G$5*BaseLoad!$AM$9,0))</f>
        <v>8.0141919859576838</v>
      </c>
      <c r="Q28" s="243">
        <f>IF($A$1="Peak","-",IF(BaseLoad!W27&gt;BaseLoad!$G27,Q$8*PPA!$G$5*BaseLoad!$AM$9,0))</f>
        <v>8.0141919859576838</v>
      </c>
      <c r="R28" s="243">
        <f>IF($A$1="Peak","-",IF(BaseLoad!X27&gt;BaseLoad!$G27,R$8*PPA!$G$5*BaseLoad!$AM$9,0))</f>
        <v>8.0141919859576838</v>
      </c>
      <c r="S28" s="243">
        <f>IF($A$1="Peak","-",IF(BaseLoad!Y27&gt;BaseLoad!$G27,S$8*PPA!$G$5*BaseLoad!$AM$9,0))</f>
        <v>8.0141919859576838</v>
      </c>
      <c r="T28" s="243">
        <f>IF($A$1="Peak","-",IF(BaseLoad!Z27&gt;BaseLoad!$G27,T$8*PPA!$G$5*BaseLoad!$AM$9,0))</f>
        <v>8.0141919859576838</v>
      </c>
      <c r="U28" s="243">
        <f>IF($A$1="Peak","-",IF(BaseLoad!AA27&gt;BaseLoad!$G27,U$8*PPA!$G$5*BaseLoad!$AM$9,0))</f>
        <v>22.039027961383631</v>
      </c>
      <c r="V28" s="243">
        <f t="shared" si="0"/>
        <v>146.2590037437277</v>
      </c>
      <c r="W28" s="243">
        <f>IF($A$1="Peak","-",(730*PPA!$G$4*BaseLoad!$AP$9))</f>
        <v>421.0504308764738</v>
      </c>
      <c r="X28" s="243">
        <f t="shared" si="1"/>
        <v>567.3094346202015</v>
      </c>
      <c r="Y28" s="243"/>
    </row>
    <row r="29" spans="1:25" x14ac:dyDescent="0.2">
      <c r="A29" s="1">
        <f t="shared" si="2"/>
        <v>37117.923000000024</v>
      </c>
      <c r="B29" s="243">
        <f>IF($A$1="Peak","-",IF(BaseLoad!H28&gt;BaseLoad!$G28,B$8*PPA!$G$5*BaseLoad!$AM$9,0))</f>
        <v>1.0017739982447105</v>
      </c>
      <c r="C29" s="243">
        <f>IF($A$1="Peak","-",IF(BaseLoad!I28&gt;BaseLoad!$G28,C$8*PPA!$G$5*BaseLoad!$AM$9,0))</f>
        <v>1.0017739982447105</v>
      </c>
      <c r="D29" s="243">
        <f>IF($A$1="Peak","-",IF(BaseLoad!J28&gt;BaseLoad!$G28,D$8*PPA!$G$5*BaseLoad!$AM$9,0))</f>
        <v>2.0035479964894209</v>
      </c>
      <c r="E29" s="243">
        <f>IF($A$1="Peak","-",IF(BaseLoad!K28&gt;BaseLoad!$G28,E$8*PPA!$G$5*BaseLoad!$AM$9,0))</f>
        <v>4.0070959929788419</v>
      </c>
      <c r="F29" s="243">
        <f>IF($A$1="Peak","-",IF(BaseLoad!L28&gt;BaseLoad!$G28,F$8*PPA!$G$5*BaseLoad!$AM$9,0))</f>
        <v>4.0070959929788419</v>
      </c>
      <c r="G29" s="243">
        <f>IF($A$1="Peak","-",IF(BaseLoad!M28&gt;BaseLoad!$G28,G$8*PPA!$G$5*BaseLoad!$AM$9,0))</f>
        <v>8.0141919859576838</v>
      </c>
      <c r="H29" s="243">
        <f>IF($A$1="Peak","-",IF(BaseLoad!N28&gt;BaseLoad!$G28,H$8*PPA!$G$5*BaseLoad!$AM$9,0))</f>
        <v>8.0141919859576838</v>
      </c>
      <c r="I29" s="243">
        <f>IF($A$1="Peak","-",IF(BaseLoad!O28&gt;BaseLoad!$G28,I$8*PPA!$G$5*BaseLoad!$AM$9,0))</f>
        <v>8.0141919859576838</v>
      </c>
      <c r="J29" s="243">
        <f>IF($A$1="Peak","-",IF(BaseLoad!P28&gt;BaseLoad!$G28,J$8*PPA!$G$5*BaseLoad!$AM$9,0))</f>
        <v>8.0141919859576838</v>
      </c>
      <c r="K29" s="243">
        <f>IF($A$1="Peak","-",IF(BaseLoad!Q28&gt;BaseLoad!$G28,K$8*PPA!$G$5*BaseLoad!$AM$9,0))</f>
        <v>8.0141919859576838</v>
      </c>
      <c r="L29" s="243">
        <f>IF($A$1="Peak","-",IF(BaseLoad!R28&gt;BaseLoad!$G28,L$8*PPA!$G$5*BaseLoad!$AM$9,0))</f>
        <v>8.0141919859576838</v>
      </c>
      <c r="M29" s="243">
        <f>IF($A$1="Peak","-",IF(BaseLoad!S28&gt;BaseLoad!$G28,M$8*PPA!$G$5*BaseLoad!$AM$9,0))</f>
        <v>8.0141919859576838</v>
      </c>
      <c r="N29" s="243">
        <f>IF($A$1="Peak","-",IF(BaseLoad!T28&gt;BaseLoad!$G28,N$8*PPA!$G$5*BaseLoad!$AM$9,0))</f>
        <v>8.0141919859576838</v>
      </c>
      <c r="O29" s="243">
        <f>IF($A$1="Peak","-",IF(BaseLoad!U28&gt;BaseLoad!$G28,O$8*PPA!$G$5*BaseLoad!$AM$9,0))</f>
        <v>8.0141919859576838</v>
      </c>
      <c r="P29" s="243">
        <f>IF($A$1="Peak","-",IF(BaseLoad!V28&gt;BaseLoad!$G28,P$8*PPA!$G$5*BaseLoad!$AM$9,0))</f>
        <v>8.0141919859576838</v>
      </c>
      <c r="Q29" s="243">
        <f>IF($A$1="Peak","-",IF(BaseLoad!W28&gt;BaseLoad!$G28,Q$8*PPA!$G$5*BaseLoad!$AM$9,0))</f>
        <v>8.0141919859576838</v>
      </c>
      <c r="R29" s="243">
        <f>IF($A$1="Peak","-",IF(BaseLoad!X28&gt;BaseLoad!$G28,R$8*PPA!$G$5*BaseLoad!$AM$9,0))</f>
        <v>8.0141919859576838</v>
      </c>
      <c r="S29" s="243">
        <f>IF($A$1="Peak","-",IF(BaseLoad!Y28&gt;BaseLoad!$G28,S$8*PPA!$G$5*BaseLoad!$AM$9,0))</f>
        <v>8.0141919859576838</v>
      </c>
      <c r="T29" s="243">
        <f>IF($A$1="Peak","-",IF(BaseLoad!Z28&gt;BaseLoad!$G28,T$8*PPA!$G$5*BaseLoad!$AM$9,0))</f>
        <v>8.0141919859576838</v>
      </c>
      <c r="U29" s="243">
        <f>IF($A$1="Peak","-",IF(BaseLoad!AA28&gt;BaseLoad!$G28,U$8*PPA!$G$5*BaseLoad!$AM$9,0))</f>
        <v>22.039027961383631</v>
      </c>
      <c r="V29" s="243">
        <f t="shared" si="0"/>
        <v>146.2590037437277</v>
      </c>
      <c r="W29" s="243">
        <f>IF($A$1="Peak","-",(730*PPA!$G$4*BaseLoad!$AP$9))</f>
        <v>421.0504308764738</v>
      </c>
      <c r="X29" s="243">
        <f t="shared" si="1"/>
        <v>567.3094346202015</v>
      </c>
      <c r="Y29" s="243"/>
    </row>
    <row r="30" spans="1:25" x14ac:dyDescent="0.2">
      <c r="A30" s="1">
        <f t="shared" si="2"/>
        <v>37148.340000000026</v>
      </c>
      <c r="B30" s="243">
        <f>IF($A$1="Peak","-",IF(BaseLoad!H29&gt;BaseLoad!$G29,B$8*PPA!$G$5*BaseLoad!$AM$9,0))</f>
        <v>1.0017739982447105</v>
      </c>
      <c r="C30" s="243">
        <f>IF($A$1="Peak","-",IF(BaseLoad!I29&gt;BaseLoad!$G29,C$8*PPA!$G$5*BaseLoad!$AM$9,0))</f>
        <v>1.0017739982447105</v>
      </c>
      <c r="D30" s="243">
        <f>IF($A$1="Peak","-",IF(BaseLoad!J29&gt;BaseLoad!$G29,D$8*PPA!$G$5*BaseLoad!$AM$9,0))</f>
        <v>2.0035479964894209</v>
      </c>
      <c r="E30" s="243">
        <f>IF($A$1="Peak","-",IF(BaseLoad!K29&gt;BaseLoad!$G29,E$8*PPA!$G$5*BaseLoad!$AM$9,0))</f>
        <v>4.0070959929788419</v>
      </c>
      <c r="F30" s="243">
        <f>IF($A$1="Peak","-",IF(BaseLoad!L29&gt;BaseLoad!$G29,F$8*PPA!$G$5*BaseLoad!$AM$9,0))</f>
        <v>4.0070959929788419</v>
      </c>
      <c r="G30" s="243">
        <f>IF($A$1="Peak","-",IF(BaseLoad!M29&gt;BaseLoad!$G29,G$8*PPA!$G$5*BaseLoad!$AM$9,0))</f>
        <v>8.0141919859576838</v>
      </c>
      <c r="H30" s="243">
        <f>IF($A$1="Peak","-",IF(BaseLoad!N29&gt;BaseLoad!$G29,H$8*PPA!$G$5*BaseLoad!$AM$9,0))</f>
        <v>8.0141919859576838</v>
      </c>
      <c r="I30" s="243">
        <f>IF($A$1="Peak","-",IF(BaseLoad!O29&gt;BaseLoad!$G29,I$8*PPA!$G$5*BaseLoad!$AM$9,0))</f>
        <v>8.0141919859576838</v>
      </c>
      <c r="J30" s="243">
        <f>IF($A$1="Peak","-",IF(BaseLoad!P29&gt;BaseLoad!$G29,J$8*PPA!$G$5*BaseLoad!$AM$9,0))</f>
        <v>8.0141919859576838</v>
      </c>
      <c r="K30" s="243">
        <f>IF($A$1="Peak","-",IF(BaseLoad!Q29&gt;BaseLoad!$G29,K$8*PPA!$G$5*BaseLoad!$AM$9,0))</f>
        <v>8.0141919859576838</v>
      </c>
      <c r="L30" s="243">
        <f>IF($A$1="Peak","-",IF(BaseLoad!R29&gt;BaseLoad!$G29,L$8*PPA!$G$5*BaseLoad!$AM$9,0))</f>
        <v>8.0141919859576838</v>
      </c>
      <c r="M30" s="243">
        <f>IF($A$1="Peak","-",IF(BaseLoad!S29&gt;BaseLoad!$G29,M$8*PPA!$G$5*BaseLoad!$AM$9,0))</f>
        <v>8.0141919859576838</v>
      </c>
      <c r="N30" s="243">
        <f>IF($A$1="Peak","-",IF(BaseLoad!T29&gt;BaseLoad!$G29,N$8*PPA!$G$5*BaseLoad!$AM$9,0))</f>
        <v>8.0141919859576838</v>
      </c>
      <c r="O30" s="243">
        <f>IF($A$1="Peak","-",IF(BaseLoad!U29&gt;BaseLoad!$G29,O$8*PPA!$G$5*BaseLoad!$AM$9,0))</f>
        <v>8.0141919859576838</v>
      </c>
      <c r="P30" s="243">
        <f>IF($A$1="Peak","-",IF(BaseLoad!V29&gt;BaseLoad!$G29,P$8*PPA!$G$5*BaseLoad!$AM$9,0))</f>
        <v>8.0141919859576838</v>
      </c>
      <c r="Q30" s="243">
        <f>IF($A$1="Peak","-",IF(BaseLoad!W29&gt;BaseLoad!$G29,Q$8*PPA!$G$5*BaseLoad!$AM$9,0))</f>
        <v>8.0141919859576838</v>
      </c>
      <c r="R30" s="243">
        <f>IF($A$1="Peak","-",IF(BaseLoad!X29&gt;BaseLoad!$G29,R$8*PPA!$G$5*BaseLoad!$AM$9,0))</f>
        <v>8.0141919859576838</v>
      </c>
      <c r="S30" s="243">
        <f>IF($A$1="Peak","-",IF(BaseLoad!Y29&gt;BaseLoad!$G29,S$8*PPA!$G$5*BaseLoad!$AM$9,0))</f>
        <v>8.0141919859576838</v>
      </c>
      <c r="T30" s="243">
        <f>IF($A$1="Peak","-",IF(BaseLoad!Z29&gt;BaseLoad!$G29,T$8*PPA!$G$5*BaseLoad!$AM$9,0))</f>
        <v>8.0141919859576838</v>
      </c>
      <c r="U30" s="243">
        <f>IF($A$1="Peak","-",IF(BaseLoad!AA29&gt;BaseLoad!$G29,U$8*PPA!$G$5*BaseLoad!$AM$9,0))</f>
        <v>22.039027961383631</v>
      </c>
      <c r="V30" s="243">
        <f t="shared" si="0"/>
        <v>146.2590037437277</v>
      </c>
      <c r="W30" s="243">
        <f>IF($A$1="Peak","-",(730*PPA!$G$4*BaseLoad!$AP$9))</f>
        <v>421.0504308764738</v>
      </c>
      <c r="X30" s="243">
        <f t="shared" si="1"/>
        <v>567.3094346202015</v>
      </c>
      <c r="Y30" s="243"/>
    </row>
    <row r="31" spans="1:25" x14ac:dyDescent="0.2">
      <c r="A31" s="1">
        <f t="shared" si="2"/>
        <v>37178.757000000027</v>
      </c>
      <c r="B31" s="243">
        <f>IF($A$1="Peak","-",IF(BaseLoad!H30&gt;BaseLoad!$G30,B$8*PPA!$G$5*BaseLoad!$AM$9,0))</f>
        <v>1.0017739982447105</v>
      </c>
      <c r="C31" s="243">
        <f>IF($A$1="Peak","-",IF(BaseLoad!I30&gt;BaseLoad!$G30,C$8*PPA!$G$5*BaseLoad!$AM$9,0))</f>
        <v>1.0017739982447105</v>
      </c>
      <c r="D31" s="243">
        <f>IF($A$1="Peak","-",IF(BaseLoad!J30&gt;BaseLoad!$G30,D$8*PPA!$G$5*BaseLoad!$AM$9,0))</f>
        <v>2.0035479964894209</v>
      </c>
      <c r="E31" s="243">
        <f>IF($A$1="Peak","-",IF(BaseLoad!K30&gt;BaseLoad!$G30,E$8*PPA!$G$5*BaseLoad!$AM$9,0))</f>
        <v>4.0070959929788419</v>
      </c>
      <c r="F31" s="243">
        <f>IF($A$1="Peak","-",IF(BaseLoad!L30&gt;BaseLoad!$G30,F$8*PPA!$G$5*BaseLoad!$AM$9,0))</f>
        <v>4.0070959929788419</v>
      </c>
      <c r="G31" s="243">
        <f>IF($A$1="Peak","-",IF(BaseLoad!M30&gt;BaseLoad!$G30,G$8*PPA!$G$5*BaseLoad!$AM$9,0))</f>
        <v>8.0141919859576838</v>
      </c>
      <c r="H31" s="243">
        <f>IF($A$1="Peak","-",IF(BaseLoad!N30&gt;BaseLoad!$G30,H$8*PPA!$G$5*BaseLoad!$AM$9,0))</f>
        <v>8.0141919859576838</v>
      </c>
      <c r="I31" s="243">
        <f>IF($A$1="Peak","-",IF(BaseLoad!O30&gt;BaseLoad!$G30,I$8*PPA!$G$5*BaseLoad!$AM$9,0))</f>
        <v>8.0141919859576838</v>
      </c>
      <c r="J31" s="243">
        <f>IF($A$1="Peak","-",IF(BaseLoad!P30&gt;BaseLoad!$G30,J$8*PPA!$G$5*BaseLoad!$AM$9,0))</f>
        <v>8.0141919859576838</v>
      </c>
      <c r="K31" s="243">
        <f>IF($A$1="Peak","-",IF(BaseLoad!Q30&gt;BaseLoad!$G30,K$8*PPA!$G$5*BaseLoad!$AM$9,0))</f>
        <v>8.0141919859576838</v>
      </c>
      <c r="L31" s="243">
        <f>IF($A$1="Peak","-",IF(BaseLoad!R30&gt;BaseLoad!$G30,L$8*PPA!$G$5*BaseLoad!$AM$9,0))</f>
        <v>8.0141919859576838</v>
      </c>
      <c r="M31" s="243">
        <f>IF($A$1="Peak","-",IF(BaseLoad!S30&gt;BaseLoad!$G30,M$8*PPA!$G$5*BaseLoad!$AM$9,0))</f>
        <v>8.0141919859576838</v>
      </c>
      <c r="N31" s="243">
        <f>IF($A$1="Peak","-",IF(BaseLoad!T30&gt;BaseLoad!$G30,N$8*PPA!$G$5*BaseLoad!$AM$9,0))</f>
        <v>8.0141919859576838</v>
      </c>
      <c r="O31" s="243">
        <f>IF($A$1="Peak","-",IF(BaseLoad!U30&gt;BaseLoad!$G30,O$8*PPA!$G$5*BaseLoad!$AM$9,0))</f>
        <v>8.0141919859576838</v>
      </c>
      <c r="P31" s="243">
        <f>IF($A$1="Peak","-",IF(BaseLoad!V30&gt;BaseLoad!$G30,P$8*PPA!$G$5*BaseLoad!$AM$9,0))</f>
        <v>8.0141919859576838</v>
      </c>
      <c r="Q31" s="243">
        <f>IF($A$1="Peak","-",IF(BaseLoad!W30&gt;BaseLoad!$G30,Q$8*PPA!$G$5*BaseLoad!$AM$9,0))</f>
        <v>8.0141919859576838</v>
      </c>
      <c r="R31" s="243">
        <f>IF($A$1="Peak","-",IF(BaseLoad!X30&gt;BaseLoad!$G30,R$8*PPA!$G$5*BaseLoad!$AM$9,0))</f>
        <v>8.0141919859576838</v>
      </c>
      <c r="S31" s="243">
        <f>IF($A$1="Peak","-",IF(BaseLoad!Y30&gt;BaseLoad!$G30,S$8*PPA!$G$5*BaseLoad!$AM$9,0))</f>
        <v>8.0141919859576838</v>
      </c>
      <c r="T31" s="243">
        <f>IF($A$1="Peak","-",IF(BaseLoad!Z30&gt;BaseLoad!$G30,T$8*PPA!$G$5*BaseLoad!$AM$9,0))</f>
        <v>8.0141919859576838</v>
      </c>
      <c r="U31" s="243">
        <f>IF($A$1="Peak","-",IF(BaseLoad!AA30&gt;BaseLoad!$G30,U$8*PPA!$G$5*BaseLoad!$AM$9,0))</f>
        <v>22.039027961383631</v>
      </c>
      <c r="V31" s="243">
        <f t="shared" si="0"/>
        <v>146.2590037437277</v>
      </c>
      <c r="W31" s="243">
        <f>IF($A$1="Peak","-",(730*PPA!$G$4*BaseLoad!$AP$9))</f>
        <v>421.0504308764738</v>
      </c>
      <c r="X31" s="243">
        <f t="shared" si="1"/>
        <v>567.3094346202015</v>
      </c>
      <c r="Y31" s="243"/>
    </row>
    <row r="32" spans="1:25" x14ac:dyDescent="0.2">
      <c r="A32" s="1">
        <f t="shared" si="2"/>
        <v>37209.174000000028</v>
      </c>
      <c r="B32" s="243">
        <f>IF($A$1="Peak","-",IF(BaseLoad!H31&gt;BaseLoad!$G31,B$8*PPA!$G$5*BaseLoad!$AM$9,0))</f>
        <v>1.0017739982447105</v>
      </c>
      <c r="C32" s="243">
        <f>IF($A$1="Peak","-",IF(BaseLoad!I31&gt;BaseLoad!$G31,C$8*PPA!$G$5*BaseLoad!$AM$9,0))</f>
        <v>1.0017739982447105</v>
      </c>
      <c r="D32" s="243">
        <f>IF($A$1="Peak","-",IF(BaseLoad!J31&gt;BaseLoad!$G31,D$8*PPA!$G$5*BaseLoad!$AM$9,0))</f>
        <v>2.0035479964894209</v>
      </c>
      <c r="E32" s="243">
        <f>IF($A$1="Peak","-",IF(BaseLoad!K31&gt;BaseLoad!$G31,E$8*PPA!$G$5*BaseLoad!$AM$9,0))</f>
        <v>4.0070959929788419</v>
      </c>
      <c r="F32" s="243">
        <f>IF($A$1="Peak","-",IF(BaseLoad!L31&gt;BaseLoad!$G31,F$8*PPA!$G$5*BaseLoad!$AM$9,0))</f>
        <v>4.0070959929788419</v>
      </c>
      <c r="G32" s="243">
        <f>IF($A$1="Peak","-",IF(BaseLoad!M31&gt;BaseLoad!$G31,G$8*PPA!$G$5*BaseLoad!$AM$9,0))</f>
        <v>8.0141919859576838</v>
      </c>
      <c r="H32" s="243">
        <f>IF($A$1="Peak","-",IF(BaseLoad!N31&gt;BaseLoad!$G31,H$8*PPA!$G$5*BaseLoad!$AM$9,0))</f>
        <v>8.0141919859576838</v>
      </c>
      <c r="I32" s="243">
        <f>IF($A$1="Peak","-",IF(BaseLoad!O31&gt;BaseLoad!$G31,I$8*PPA!$G$5*BaseLoad!$AM$9,0))</f>
        <v>8.0141919859576838</v>
      </c>
      <c r="J32" s="243">
        <f>IF($A$1="Peak","-",IF(BaseLoad!P31&gt;BaseLoad!$G31,J$8*PPA!$G$5*BaseLoad!$AM$9,0))</f>
        <v>8.0141919859576838</v>
      </c>
      <c r="K32" s="243">
        <f>IF($A$1="Peak","-",IF(BaseLoad!Q31&gt;BaseLoad!$G31,K$8*PPA!$G$5*BaseLoad!$AM$9,0))</f>
        <v>8.0141919859576838</v>
      </c>
      <c r="L32" s="243">
        <f>IF($A$1="Peak","-",IF(BaseLoad!R31&gt;BaseLoad!$G31,L$8*PPA!$G$5*BaseLoad!$AM$9,0))</f>
        <v>8.0141919859576838</v>
      </c>
      <c r="M32" s="243">
        <f>IF($A$1="Peak","-",IF(BaseLoad!S31&gt;BaseLoad!$G31,M$8*PPA!$G$5*BaseLoad!$AM$9,0))</f>
        <v>8.0141919859576838</v>
      </c>
      <c r="N32" s="243">
        <f>IF($A$1="Peak","-",IF(BaseLoad!T31&gt;BaseLoad!$G31,N$8*PPA!$G$5*BaseLoad!$AM$9,0))</f>
        <v>8.0141919859576838</v>
      </c>
      <c r="O32" s="243">
        <f>IF($A$1="Peak","-",IF(BaseLoad!U31&gt;BaseLoad!$G31,O$8*PPA!$G$5*BaseLoad!$AM$9,0))</f>
        <v>8.0141919859576838</v>
      </c>
      <c r="P32" s="243">
        <f>IF($A$1="Peak","-",IF(BaseLoad!V31&gt;BaseLoad!$G31,P$8*PPA!$G$5*BaseLoad!$AM$9,0))</f>
        <v>8.0141919859576838</v>
      </c>
      <c r="Q32" s="243">
        <f>IF($A$1="Peak","-",IF(BaseLoad!W31&gt;BaseLoad!$G31,Q$8*PPA!$G$5*BaseLoad!$AM$9,0))</f>
        <v>8.0141919859576838</v>
      </c>
      <c r="R32" s="243">
        <f>IF($A$1="Peak","-",IF(BaseLoad!X31&gt;BaseLoad!$G31,R$8*PPA!$G$5*BaseLoad!$AM$9,0))</f>
        <v>8.0141919859576838</v>
      </c>
      <c r="S32" s="243">
        <f>IF($A$1="Peak","-",IF(BaseLoad!Y31&gt;BaseLoad!$G31,S$8*PPA!$G$5*BaseLoad!$AM$9,0))</f>
        <v>8.0141919859576838</v>
      </c>
      <c r="T32" s="243">
        <f>IF($A$1="Peak","-",IF(BaseLoad!Z31&gt;BaseLoad!$G31,T$8*PPA!$G$5*BaseLoad!$AM$9,0))</f>
        <v>8.0141919859576838</v>
      </c>
      <c r="U32" s="243">
        <f>IF($A$1="Peak","-",IF(BaseLoad!AA31&gt;BaseLoad!$G31,U$8*PPA!$G$5*BaseLoad!$AM$9,0))</f>
        <v>22.039027961383631</v>
      </c>
      <c r="V32" s="243">
        <f t="shared" si="0"/>
        <v>146.2590037437277</v>
      </c>
      <c r="W32" s="243">
        <f>IF($A$1="Peak","-",(730*PPA!$G$4*BaseLoad!$AP$9))</f>
        <v>421.0504308764738</v>
      </c>
      <c r="X32" s="243">
        <f t="shared" si="1"/>
        <v>567.3094346202015</v>
      </c>
      <c r="Y32" s="243"/>
    </row>
    <row r="33" spans="1:25" x14ac:dyDescent="0.2">
      <c r="A33" s="1">
        <f t="shared" si="2"/>
        <v>37239.591000000029</v>
      </c>
      <c r="B33" s="243">
        <f>IF($A$1="Peak","-",IF(BaseLoad!H32&gt;BaseLoad!$G32,B$8*PPA!$G$5*BaseLoad!$AM$9,0))</f>
        <v>1.0017739982447105</v>
      </c>
      <c r="C33" s="243">
        <f>IF($A$1="Peak","-",IF(BaseLoad!I32&gt;BaseLoad!$G32,C$8*PPA!$G$5*BaseLoad!$AM$9,0))</f>
        <v>1.0017739982447105</v>
      </c>
      <c r="D33" s="243">
        <f>IF($A$1="Peak","-",IF(BaseLoad!J32&gt;BaseLoad!$G32,D$8*PPA!$G$5*BaseLoad!$AM$9,0))</f>
        <v>2.0035479964894209</v>
      </c>
      <c r="E33" s="243">
        <f>IF($A$1="Peak","-",IF(BaseLoad!K32&gt;BaseLoad!$G32,E$8*PPA!$G$5*BaseLoad!$AM$9,0))</f>
        <v>4.0070959929788419</v>
      </c>
      <c r="F33" s="243">
        <f>IF($A$1="Peak","-",IF(BaseLoad!L32&gt;BaseLoad!$G32,F$8*PPA!$G$5*BaseLoad!$AM$9,0))</f>
        <v>4.0070959929788419</v>
      </c>
      <c r="G33" s="243">
        <f>IF($A$1="Peak","-",IF(BaseLoad!M32&gt;BaseLoad!$G32,G$8*PPA!$G$5*BaseLoad!$AM$9,0))</f>
        <v>8.0141919859576838</v>
      </c>
      <c r="H33" s="243">
        <f>IF($A$1="Peak","-",IF(BaseLoad!N32&gt;BaseLoad!$G32,H$8*PPA!$G$5*BaseLoad!$AM$9,0))</f>
        <v>8.0141919859576838</v>
      </c>
      <c r="I33" s="243">
        <f>IF($A$1="Peak","-",IF(BaseLoad!O32&gt;BaseLoad!$G32,I$8*PPA!$G$5*BaseLoad!$AM$9,0))</f>
        <v>8.0141919859576838</v>
      </c>
      <c r="J33" s="243">
        <f>IF($A$1="Peak","-",IF(BaseLoad!P32&gt;BaseLoad!$G32,J$8*PPA!$G$5*BaseLoad!$AM$9,0))</f>
        <v>8.0141919859576838</v>
      </c>
      <c r="K33" s="243">
        <f>IF($A$1="Peak","-",IF(BaseLoad!Q32&gt;BaseLoad!$G32,K$8*PPA!$G$5*BaseLoad!$AM$9,0))</f>
        <v>8.0141919859576838</v>
      </c>
      <c r="L33" s="243">
        <f>IF($A$1="Peak","-",IF(BaseLoad!R32&gt;BaseLoad!$G32,L$8*PPA!$G$5*BaseLoad!$AM$9,0))</f>
        <v>8.0141919859576838</v>
      </c>
      <c r="M33" s="243">
        <f>IF($A$1="Peak","-",IF(BaseLoad!S32&gt;BaseLoad!$G32,M$8*PPA!$G$5*BaseLoad!$AM$9,0))</f>
        <v>8.0141919859576838</v>
      </c>
      <c r="N33" s="243">
        <f>IF($A$1="Peak","-",IF(BaseLoad!T32&gt;BaseLoad!$G32,N$8*PPA!$G$5*BaseLoad!$AM$9,0))</f>
        <v>8.0141919859576838</v>
      </c>
      <c r="O33" s="243">
        <f>IF($A$1="Peak","-",IF(BaseLoad!U32&gt;BaseLoad!$G32,O$8*PPA!$G$5*BaseLoad!$AM$9,0))</f>
        <v>8.0141919859576838</v>
      </c>
      <c r="P33" s="243">
        <f>IF($A$1="Peak","-",IF(BaseLoad!V32&gt;BaseLoad!$G32,P$8*PPA!$G$5*BaseLoad!$AM$9,0))</f>
        <v>8.0141919859576838</v>
      </c>
      <c r="Q33" s="243">
        <f>IF($A$1="Peak","-",IF(BaseLoad!W32&gt;BaseLoad!$G32,Q$8*PPA!$G$5*BaseLoad!$AM$9,0))</f>
        <v>8.0141919859576838</v>
      </c>
      <c r="R33" s="243">
        <f>IF($A$1="Peak","-",IF(BaseLoad!X32&gt;BaseLoad!$G32,R$8*PPA!$G$5*BaseLoad!$AM$9,0))</f>
        <v>8.0141919859576838</v>
      </c>
      <c r="S33" s="243">
        <f>IF($A$1="Peak","-",IF(BaseLoad!Y32&gt;BaseLoad!$G32,S$8*PPA!$G$5*BaseLoad!$AM$9,0))</f>
        <v>8.0141919859576838</v>
      </c>
      <c r="T33" s="243">
        <f>IF($A$1="Peak","-",IF(BaseLoad!Z32&gt;BaseLoad!$G32,T$8*PPA!$G$5*BaseLoad!$AM$9,0))</f>
        <v>8.0141919859576838</v>
      </c>
      <c r="U33" s="243">
        <f>IF($A$1="Peak","-",IF(BaseLoad!AA32&gt;BaseLoad!$G32,U$8*PPA!$G$5*BaseLoad!$AM$9,0))</f>
        <v>22.039027961383631</v>
      </c>
      <c r="V33" s="243">
        <f t="shared" si="0"/>
        <v>146.2590037437277</v>
      </c>
      <c r="W33" s="243">
        <f>IF($A$1="Peak","-",(730*PPA!$G$4*BaseLoad!$AP$9))</f>
        <v>421.0504308764738</v>
      </c>
      <c r="X33" s="243">
        <f t="shared" si="1"/>
        <v>567.3094346202015</v>
      </c>
      <c r="Y33" s="243">
        <f>SUM(X22:X33)</f>
        <v>6807.713215442418</v>
      </c>
    </row>
    <row r="34" spans="1:25" x14ac:dyDescent="0.2">
      <c r="A34" s="1">
        <f t="shared" si="2"/>
        <v>37270.008000000031</v>
      </c>
      <c r="B34" s="243">
        <f>IF($A$1="Peak","-",IF(BaseLoad!H33&gt;BaseLoad!$G33,B$8*PPA!$H$5*BaseLoad!$AM$9,0))</f>
        <v>0.94912484496346539</v>
      </c>
      <c r="C34" s="243">
        <f>IF($A$1="Peak","-",IF(BaseLoad!I33&gt;BaseLoad!$G33,C$8*PPA!$H$5*BaseLoad!$AM$9,0))</f>
        <v>0.94912484496346539</v>
      </c>
      <c r="D34" s="243">
        <f>IF($A$1="Peak","-",IF(BaseLoad!J33&gt;BaseLoad!$G33,D$8*PPA!$H$5*BaseLoad!$AM$9,0))</f>
        <v>1.8982496899269308</v>
      </c>
      <c r="E34" s="243">
        <f>IF($A$1="Peak","-",IF(BaseLoad!K33&gt;BaseLoad!$G33,E$8*PPA!$H$5*BaseLoad!$AM$9,0))</f>
        <v>3.7964993798538615</v>
      </c>
      <c r="F34" s="243">
        <f>IF($A$1="Peak","-",IF(BaseLoad!L33&gt;BaseLoad!$G33,F$8*PPA!$H$5*BaseLoad!$AM$9,0))</f>
        <v>3.7964993798538615</v>
      </c>
      <c r="G34" s="243">
        <f>IF($A$1="Peak","-",IF(BaseLoad!M33&gt;BaseLoad!$G33,G$8*PPA!$H$5*BaseLoad!$AM$9,0))</f>
        <v>7.5929987597077231</v>
      </c>
      <c r="H34" s="243">
        <f>IF($A$1="Peak","-",IF(BaseLoad!N33&gt;BaseLoad!$G33,H$8*PPA!$H$5*BaseLoad!$AM$9,0))</f>
        <v>7.5929987597077231</v>
      </c>
      <c r="I34" s="243">
        <f>IF($A$1="Peak","-",IF(BaseLoad!O33&gt;BaseLoad!$G33,I$8*PPA!$H$5*BaseLoad!$AM$9,0))</f>
        <v>7.5929987597077231</v>
      </c>
      <c r="J34" s="243">
        <f>IF($A$1="Peak","-",IF(BaseLoad!P33&gt;BaseLoad!$G33,J$8*PPA!$H$5*BaseLoad!$AM$9,0))</f>
        <v>7.5929987597077231</v>
      </c>
      <c r="K34" s="243">
        <f>IF($A$1="Peak","-",IF(BaseLoad!Q33&gt;BaseLoad!$G33,K$8*PPA!$H$5*BaseLoad!$AM$9,0))</f>
        <v>7.5929987597077231</v>
      </c>
      <c r="L34" s="243">
        <f>IF($A$1="Peak","-",IF(BaseLoad!R33&gt;BaseLoad!$G33,L$8*PPA!$H$5*BaseLoad!$AM$9,0))</f>
        <v>7.5929987597077231</v>
      </c>
      <c r="M34" s="243">
        <f>IF($A$1="Peak","-",IF(BaseLoad!S33&gt;BaseLoad!$G33,M$8*PPA!$H$5*BaseLoad!$AM$9,0))</f>
        <v>7.5929987597077231</v>
      </c>
      <c r="N34" s="243">
        <f>IF($A$1="Peak","-",IF(BaseLoad!T33&gt;BaseLoad!$G33,N$8*PPA!$H$5*BaseLoad!$AM$9,0))</f>
        <v>7.5929987597077231</v>
      </c>
      <c r="O34" s="243">
        <f>IF($A$1="Peak","-",IF(BaseLoad!U33&gt;BaseLoad!$G33,O$8*PPA!$H$5*BaseLoad!$AM$9,0))</f>
        <v>7.5929987597077231</v>
      </c>
      <c r="P34" s="243">
        <f>IF($A$1="Peak","-",IF(BaseLoad!V33&gt;BaseLoad!$G33,P$8*PPA!$H$5*BaseLoad!$AM$9,0))</f>
        <v>7.5929987597077231</v>
      </c>
      <c r="Q34" s="243">
        <f>IF($A$1="Peak","-",IF(BaseLoad!W33&gt;BaseLoad!$G33,Q$8*PPA!$H$5*BaseLoad!$AM$9,0))</f>
        <v>7.5929987597077231</v>
      </c>
      <c r="R34" s="243">
        <f>IF($A$1="Peak","-",IF(BaseLoad!X33&gt;BaseLoad!$G33,R$8*PPA!$H$5*BaseLoad!$AM$9,0))</f>
        <v>7.5929987597077231</v>
      </c>
      <c r="S34" s="243">
        <f>IF($A$1="Peak","-",IF(BaseLoad!Y33&gt;BaseLoad!$G33,S$8*PPA!$H$5*BaseLoad!$AM$9,0))</f>
        <v>7.5929987597077231</v>
      </c>
      <c r="T34" s="243">
        <f>IF($A$1="Peak","-",IF(BaseLoad!Z33&gt;BaseLoad!$G33,T$8*PPA!$H$5*BaseLoad!$AM$9,0))</f>
        <v>7.5929987597077231</v>
      </c>
      <c r="U34" s="243">
        <f>IF($A$1="Peak","-",IF(BaseLoad!AA33&gt;BaseLoad!$G33,U$8*PPA!$H$5*BaseLoad!$AM$9,0))</f>
        <v>20.880746589196235</v>
      </c>
      <c r="V34" s="243">
        <f t="shared" si="0"/>
        <v>138.57222736466596</v>
      </c>
      <c r="W34" s="243">
        <f>IF($A$1="Peak","-",(730*PPA!$G$4*BaseLoad!$AP$9))</f>
        <v>421.0504308764738</v>
      </c>
      <c r="X34" s="243">
        <f t="shared" si="1"/>
        <v>559.62265824113979</v>
      </c>
      <c r="Y34" s="243"/>
    </row>
    <row r="35" spans="1:25" x14ac:dyDescent="0.2">
      <c r="A35" s="1">
        <f t="shared" si="2"/>
        <v>37300.425000000032</v>
      </c>
      <c r="B35" s="243">
        <f>IF($A$1="Peak","-",IF(BaseLoad!H34&gt;BaseLoad!$G34,B$8*PPA!$H$5*BaseLoad!$AM$9,0))</f>
        <v>0.94912484496346539</v>
      </c>
      <c r="C35" s="243">
        <f>IF($A$1="Peak","-",IF(BaseLoad!I34&gt;BaseLoad!$G34,C$8*PPA!$H$5*BaseLoad!$AM$9,0))</f>
        <v>0.94912484496346539</v>
      </c>
      <c r="D35" s="243">
        <f>IF($A$1="Peak","-",IF(BaseLoad!J34&gt;BaseLoad!$G34,D$8*PPA!$H$5*BaseLoad!$AM$9,0))</f>
        <v>1.8982496899269308</v>
      </c>
      <c r="E35" s="243">
        <f>IF($A$1="Peak","-",IF(BaseLoad!K34&gt;BaseLoad!$G34,E$8*PPA!$H$5*BaseLoad!$AM$9,0))</f>
        <v>3.7964993798538615</v>
      </c>
      <c r="F35" s="243">
        <f>IF($A$1="Peak","-",IF(BaseLoad!L34&gt;BaseLoad!$G34,F$8*PPA!$H$5*BaseLoad!$AM$9,0))</f>
        <v>3.7964993798538615</v>
      </c>
      <c r="G35" s="243">
        <f>IF($A$1="Peak","-",IF(BaseLoad!M34&gt;BaseLoad!$G34,G$8*PPA!$H$5*BaseLoad!$AM$9,0))</f>
        <v>7.5929987597077231</v>
      </c>
      <c r="H35" s="243">
        <f>IF($A$1="Peak","-",IF(BaseLoad!N34&gt;BaseLoad!$G34,H$8*PPA!$H$5*BaseLoad!$AM$9,0))</f>
        <v>7.5929987597077231</v>
      </c>
      <c r="I35" s="243">
        <f>IF($A$1="Peak","-",IF(BaseLoad!O34&gt;BaseLoad!$G34,I$8*PPA!$H$5*BaseLoad!$AM$9,0))</f>
        <v>7.5929987597077231</v>
      </c>
      <c r="J35" s="243">
        <f>IF($A$1="Peak","-",IF(BaseLoad!P34&gt;BaseLoad!$G34,J$8*PPA!$H$5*BaseLoad!$AM$9,0))</f>
        <v>7.5929987597077231</v>
      </c>
      <c r="K35" s="243">
        <f>IF($A$1="Peak","-",IF(BaseLoad!Q34&gt;BaseLoad!$G34,K$8*PPA!$H$5*BaseLoad!$AM$9,0))</f>
        <v>7.5929987597077231</v>
      </c>
      <c r="L35" s="243">
        <f>IF($A$1="Peak","-",IF(BaseLoad!R34&gt;BaseLoad!$G34,L$8*PPA!$H$5*BaseLoad!$AM$9,0))</f>
        <v>7.5929987597077231</v>
      </c>
      <c r="M35" s="243">
        <f>IF($A$1="Peak","-",IF(BaseLoad!S34&gt;BaseLoad!$G34,M$8*PPA!$H$5*BaseLoad!$AM$9,0))</f>
        <v>7.5929987597077231</v>
      </c>
      <c r="N35" s="243">
        <f>IF($A$1="Peak","-",IF(BaseLoad!T34&gt;BaseLoad!$G34,N$8*PPA!$H$5*BaseLoad!$AM$9,0))</f>
        <v>7.5929987597077231</v>
      </c>
      <c r="O35" s="243">
        <f>IF($A$1="Peak","-",IF(BaseLoad!U34&gt;BaseLoad!$G34,O$8*PPA!$H$5*BaseLoad!$AM$9,0))</f>
        <v>7.5929987597077231</v>
      </c>
      <c r="P35" s="243">
        <f>IF($A$1="Peak","-",IF(BaseLoad!V34&gt;BaseLoad!$G34,P$8*PPA!$H$5*BaseLoad!$AM$9,0))</f>
        <v>7.5929987597077231</v>
      </c>
      <c r="Q35" s="243">
        <f>IF($A$1="Peak","-",IF(BaseLoad!W34&gt;BaseLoad!$G34,Q$8*PPA!$H$5*BaseLoad!$AM$9,0))</f>
        <v>7.5929987597077231</v>
      </c>
      <c r="R35" s="243">
        <f>IF($A$1="Peak","-",IF(BaseLoad!X34&gt;BaseLoad!$G34,R$8*PPA!$H$5*BaseLoad!$AM$9,0))</f>
        <v>7.5929987597077231</v>
      </c>
      <c r="S35" s="243">
        <f>IF($A$1="Peak","-",IF(BaseLoad!Y34&gt;BaseLoad!$G34,S$8*PPA!$H$5*BaseLoad!$AM$9,0))</f>
        <v>7.5929987597077231</v>
      </c>
      <c r="T35" s="243">
        <f>IF($A$1="Peak","-",IF(BaseLoad!Z34&gt;BaseLoad!$G34,T$8*PPA!$H$5*BaseLoad!$AM$9,0))</f>
        <v>7.5929987597077231</v>
      </c>
      <c r="U35" s="243">
        <f>IF($A$1="Peak","-",IF(BaseLoad!AA34&gt;BaseLoad!$G34,U$8*PPA!$H$5*BaseLoad!$AM$9,0))</f>
        <v>20.880746589196235</v>
      </c>
      <c r="V35" s="243">
        <f t="shared" si="0"/>
        <v>138.57222736466596</v>
      </c>
      <c r="W35" s="243">
        <f>IF($A$1="Peak","-",(730*PPA!$G$4*BaseLoad!$AP$9))</f>
        <v>421.0504308764738</v>
      </c>
      <c r="X35" s="243">
        <f t="shared" si="1"/>
        <v>559.62265824113979</v>
      </c>
      <c r="Y35" s="243"/>
    </row>
    <row r="36" spans="1:25" x14ac:dyDescent="0.2">
      <c r="A36" s="1">
        <f t="shared" si="2"/>
        <v>37330.842000000033</v>
      </c>
      <c r="B36" s="243">
        <f>IF($A$1="Peak","-",IF(BaseLoad!H35&gt;BaseLoad!$G35,B$8*PPA!$H$5*BaseLoad!$AM$9,0))</f>
        <v>0.94912484496346539</v>
      </c>
      <c r="C36" s="243">
        <f>IF($A$1="Peak","-",IF(BaseLoad!I35&gt;BaseLoad!$G35,C$8*PPA!$H$5*BaseLoad!$AM$9,0))</f>
        <v>0.94912484496346539</v>
      </c>
      <c r="D36" s="243">
        <f>IF($A$1="Peak","-",IF(BaseLoad!J35&gt;BaseLoad!$G35,D$8*PPA!$H$5*BaseLoad!$AM$9,0))</f>
        <v>1.8982496899269308</v>
      </c>
      <c r="E36" s="243">
        <f>IF($A$1="Peak","-",IF(BaseLoad!K35&gt;BaseLoad!$G35,E$8*PPA!$H$5*BaseLoad!$AM$9,0))</f>
        <v>3.7964993798538615</v>
      </c>
      <c r="F36" s="243">
        <f>IF($A$1="Peak","-",IF(BaseLoad!L35&gt;BaseLoad!$G35,F$8*PPA!$H$5*BaseLoad!$AM$9,0))</f>
        <v>3.7964993798538615</v>
      </c>
      <c r="G36" s="243">
        <f>IF($A$1="Peak","-",IF(BaseLoad!M35&gt;BaseLoad!$G35,G$8*PPA!$H$5*BaseLoad!$AM$9,0))</f>
        <v>7.5929987597077231</v>
      </c>
      <c r="H36" s="243">
        <f>IF($A$1="Peak","-",IF(BaseLoad!N35&gt;BaseLoad!$G35,H$8*PPA!$H$5*BaseLoad!$AM$9,0))</f>
        <v>7.5929987597077231</v>
      </c>
      <c r="I36" s="243">
        <f>IF($A$1="Peak","-",IF(BaseLoad!O35&gt;BaseLoad!$G35,I$8*PPA!$H$5*BaseLoad!$AM$9,0))</f>
        <v>7.5929987597077231</v>
      </c>
      <c r="J36" s="243">
        <f>IF($A$1="Peak","-",IF(BaseLoad!P35&gt;BaseLoad!$G35,J$8*PPA!$H$5*BaseLoad!$AM$9,0))</f>
        <v>7.5929987597077231</v>
      </c>
      <c r="K36" s="243">
        <f>IF($A$1="Peak","-",IF(BaseLoad!Q35&gt;BaseLoad!$G35,K$8*PPA!$H$5*BaseLoad!$AM$9,0))</f>
        <v>7.5929987597077231</v>
      </c>
      <c r="L36" s="243">
        <f>IF($A$1="Peak","-",IF(BaseLoad!R35&gt;BaseLoad!$G35,L$8*PPA!$H$5*BaseLoad!$AM$9,0))</f>
        <v>7.5929987597077231</v>
      </c>
      <c r="M36" s="243">
        <f>IF($A$1="Peak","-",IF(BaseLoad!S35&gt;BaseLoad!$G35,M$8*PPA!$H$5*BaseLoad!$AM$9,0))</f>
        <v>7.5929987597077231</v>
      </c>
      <c r="N36" s="243">
        <f>IF($A$1="Peak","-",IF(BaseLoad!T35&gt;BaseLoad!$G35,N$8*PPA!$H$5*BaseLoad!$AM$9,0))</f>
        <v>7.5929987597077231</v>
      </c>
      <c r="O36" s="243">
        <f>IF($A$1="Peak","-",IF(BaseLoad!U35&gt;BaseLoad!$G35,O$8*PPA!$H$5*BaseLoad!$AM$9,0))</f>
        <v>7.5929987597077231</v>
      </c>
      <c r="P36" s="243">
        <f>IF($A$1="Peak","-",IF(BaseLoad!V35&gt;BaseLoad!$G35,P$8*PPA!$H$5*BaseLoad!$AM$9,0))</f>
        <v>7.5929987597077231</v>
      </c>
      <c r="Q36" s="243">
        <f>IF($A$1="Peak","-",IF(BaseLoad!W35&gt;BaseLoad!$G35,Q$8*PPA!$H$5*BaseLoad!$AM$9,0))</f>
        <v>7.5929987597077231</v>
      </c>
      <c r="R36" s="243">
        <f>IF($A$1="Peak","-",IF(BaseLoad!X35&gt;BaseLoad!$G35,R$8*PPA!$H$5*BaseLoad!$AM$9,0))</f>
        <v>7.5929987597077231</v>
      </c>
      <c r="S36" s="243">
        <f>IF($A$1="Peak","-",IF(BaseLoad!Y35&gt;BaseLoad!$G35,S$8*PPA!$H$5*BaseLoad!$AM$9,0))</f>
        <v>7.5929987597077231</v>
      </c>
      <c r="T36" s="243">
        <f>IF($A$1="Peak","-",IF(BaseLoad!Z35&gt;BaseLoad!$G35,T$8*PPA!$H$5*BaseLoad!$AM$9,0))</f>
        <v>7.5929987597077231</v>
      </c>
      <c r="U36" s="243">
        <f>IF($A$1="Peak","-",IF(BaseLoad!AA35&gt;BaseLoad!$G35,U$8*PPA!$H$5*BaseLoad!$AM$9,0))</f>
        <v>20.880746589196235</v>
      </c>
      <c r="V36" s="243">
        <f t="shared" si="0"/>
        <v>138.57222736466596</v>
      </c>
      <c r="W36" s="243">
        <f>IF($A$1="Peak","-",(730*PPA!$G$4*BaseLoad!$AP$9))</f>
        <v>421.0504308764738</v>
      </c>
      <c r="X36" s="243">
        <f t="shared" si="1"/>
        <v>559.62265824113979</v>
      </c>
      <c r="Y36" s="243"/>
    </row>
    <row r="37" spans="1:25" x14ac:dyDescent="0.2">
      <c r="A37" s="1">
        <f t="shared" si="2"/>
        <v>37361.259000000035</v>
      </c>
      <c r="B37" s="243">
        <f>IF($A$1="Peak","-",IF(BaseLoad!H36&gt;BaseLoad!$G36,B$8*PPA!$H$5*BaseLoad!$AM$9,0))</f>
        <v>0.94912484496346539</v>
      </c>
      <c r="C37" s="243">
        <f>IF($A$1="Peak","-",IF(BaseLoad!I36&gt;BaseLoad!$G36,C$8*PPA!$H$5*BaseLoad!$AM$9,0))</f>
        <v>0.94912484496346539</v>
      </c>
      <c r="D37" s="243">
        <f>IF($A$1="Peak","-",IF(BaseLoad!J36&gt;BaseLoad!$G36,D$8*PPA!$H$5*BaseLoad!$AM$9,0))</f>
        <v>1.8982496899269308</v>
      </c>
      <c r="E37" s="243">
        <f>IF($A$1="Peak","-",IF(BaseLoad!K36&gt;BaseLoad!$G36,E$8*PPA!$H$5*BaseLoad!$AM$9,0))</f>
        <v>3.7964993798538615</v>
      </c>
      <c r="F37" s="243">
        <f>IF($A$1="Peak","-",IF(BaseLoad!L36&gt;BaseLoad!$G36,F$8*PPA!$H$5*BaseLoad!$AM$9,0))</f>
        <v>3.7964993798538615</v>
      </c>
      <c r="G37" s="243">
        <f>IF($A$1="Peak","-",IF(BaseLoad!M36&gt;BaseLoad!$G36,G$8*PPA!$H$5*BaseLoad!$AM$9,0))</f>
        <v>7.5929987597077231</v>
      </c>
      <c r="H37" s="243">
        <f>IF($A$1="Peak","-",IF(BaseLoad!N36&gt;BaseLoad!$G36,H$8*PPA!$H$5*BaseLoad!$AM$9,0))</f>
        <v>7.5929987597077231</v>
      </c>
      <c r="I37" s="243">
        <f>IF($A$1="Peak","-",IF(BaseLoad!O36&gt;BaseLoad!$G36,I$8*PPA!$H$5*BaseLoad!$AM$9,0))</f>
        <v>7.5929987597077231</v>
      </c>
      <c r="J37" s="243">
        <f>IF($A$1="Peak","-",IF(BaseLoad!P36&gt;BaseLoad!$G36,J$8*PPA!$H$5*BaseLoad!$AM$9,0))</f>
        <v>7.5929987597077231</v>
      </c>
      <c r="K37" s="243">
        <f>IF($A$1="Peak","-",IF(BaseLoad!Q36&gt;BaseLoad!$G36,K$8*PPA!$H$5*BaseLoad!$AM$9,0))</f>
        <v>7.5929987597077231</v>
      </c>
      <c r="L37" s="243">
        <f>IF($A$1="Peak","-",IF(BaseLoad!R36&gt;BaseLoad!$G36,L$8*PPA!$H$5*BaseLoad!$AM$9,0))</f>
        <v>7.5929987597077231</v>
      </c>
      <c r="M37" s="243">
        <f>IF($A$1="Peak","-",IF(BaseLoad!S36&gt;BaseLoad!$G36,M$8*PPA!$H$5*BaseLoad!$AM$9,0))</f>
        <v>7.5929987597077231</v>
      </c>
      <c r="N37" s="243">
        <f>IF($A$1="Peak","-",IF(BaseLoad!T36&gt;BaseLoad!$G36,N$8*PPA!$H$5*BaseLoad!$AM$9,0))</f>
        <v>7.5929987597077231</v>
      </c>
      <c r="O37" s="243">
        <f>IF($A$1="Peak","-",IF(BaseLoad!U36&gt;BaseLoad!$G36,O$8*PPA!$H$5*BaseLoad!$AM$9,0))</f>
        <v>7.5929987597077231</v>
      </c>
      <c r="P37" s="243">
        <f>IF($A$1="Peak","-",IF(BaseLoad!V36&gt;BaseLoad!$G36,P$8*PPA!$H$5*BaseLoad!$AM$9,0))</f>
        <v>7.5929987597077231</v>
      </c>
      <c r="Q37" s="243">
        <f>IF($A$1="Peak","-",IF(BaseLoad!W36&gt;BaseLoad!$G36,Q$8*PPA!$H$5*BaseLoad!$AM$9,0))</f>
        <v>7.5929987597077231</v>
      </c>
      <c r="R37" s="243">
        <f>IF($A$1="Peak","-",IF(BaseLoad!X36&gt;BaseLoad!$G36,R$8*PPA!$H$5*BaseLoad!$AM$9,0))</f>
        <v>7.5929987597077231</v>
      </c>
      <c r="S37" s="243">
        <f>IF($A$1="Peak","-",IF(BaseLoad!Y36&gt;BaseLoad!$G36,S$8*PPA!$H$5*BaseLoad!$AM$9,0))</f>
        <v>7.5929987597077231</v>
      </c>
      <c r="T37" s="243">
        <f>IF($A$1="Peak","-",IF(BaseLoad!Z36&gt;BaseLoad!$G36,T$8*PPA!$H$5*BaseLoad!$AM$9,0))</f>
        <v>7.5929987597077231</v>
      </c>
      <c r="U37" s="243">
        <f>IF($A$1="Peak","-",IF(BaseLoad!AA36&gt;BaseLoad!$G36,U$8*PPA!$H$5*BaseLoad!$AM$9,0))</f>
        <v>20.880746589196235</v>
      </c>
      <c r="V37" s="243">
        <f t="shared" si="0"/>
        <v>138.57222736466596</v>
      </c>
      <c r="W37" s="243">
        <f>IF($A$1="Peak","-",(730*PPA!$G$4*BaseLoad!$AP$9))</f>
        <v>421.0504308764738</v>
      </c>
      <c r="X37" s="243">
        <f t="shared" si="1"/>
        <v>559.62265824113979</v>
      </c>
      <c r="Y37" s="243"/>
    </row>
    <row r="38" spans="1:25" x14ac:dyDescent="0.2">
      <c r="A38" s="1">
        <f t="shared" si="2"/>
        <v>37391.676000000036</v>
      </c>
      <c r="B38" s="243">
        <f>IF($A$1="Peak","-",IF(BaseLoad!H37&gt;BaseLoad!$G37,B$8*PPA!$H$5*BaseLoad!$AM$9,0))</f>
        <v>0.94912484496346539</v>
      </c>
      <c r="C38" s="243">
        <f>IF($A$1="Peak","-",IF(BaseLoad!I37&gt;BaseLoad!$G37,C$8*PPA!$H$5*BaseLoad!$AM$9,0))</f>
        <v>0.94912484496346539</v>
      </c>
      <c r="D38" s="243">
        <f>IF($A$1="Peak","-",IF(BaseLoad!J37&gt;BaseLoad!$G37,D$8*PPA!$H$5*BaseLoad!$AM$9,0))</f>
        <v>1.8982496899269308</v>
      </c>
      <c r="E38" s="243">
        <f>IF($A$1="Peak","-",IF(BaseLoad!K37&gt;BaseLoad!$G37,E$8*PPA!$H$5*BaseLoad!$AM$9,0))</f>
        <v>3.7964993798538615</v>
      </c>
      <c r="F38" s="243">
        <f>IF($A$1="Peak","-",IF(BaseLoad!L37&gt;BaseLoad!$G37,F$8*PPA!$H$5*BaseLoad!$AM$9,0))</f>
        <v>3.7964993798538615</v>
      </c>
      <c r="G38" s="243">
        <f>IF($A$1="Peak","-",IF(BaseLoad!M37&gt;BaseLoad!$G37,G$8*PPA!$H$5*BaseLoad!$AM$9,0))</f>
        <v>7.5929987597077231</v>
      </c>
      <c r="H38" s="243">
        <f>IF($A$1="Peak","-",IF(BaseLoad!N37&gt;BaseLoad!$G37,H$8*PPA!$H$5*BaseLoad!$AM$9,0))</f>
        <v>7.5929987597077231</v>
      </c>
      <c r="I38" s="243">
        <f>IF($A$1="Peak","-",IF(BaseLoad!O37&gt;BaseLoad!$G37,I$8*PPA!$H$5*BaseLoad!$AM$9,0))</f>
        <v>7.5929987597077231</v>
      </c>
      <c r="J38" s="243">
        <f>IF($A$1="Peak","-",IF(BaseLoad!P37&gt;BaseLoad!$G37,J$8*PPA!$H$5*BaseLoad!$AM$9,0))</f>
        <v>7.5929987597077231</v>
      </c>
      <c r="K38" s="243">
        <f>IF($A$1="Peak","-",IF(BaseLoad!Q37&gt;BaseLoad!$G37,K$8*PPA!$H$5*BaseLoad!$AM$9,0))</f>
        <v>7.5929987597077231</v>
      </c>
      <c r="L38" s="243">
        <f>IF($A$1="Peak","-",IF(BaseLoad!R37&gt;BaseLoad!$G37,L$8*PPA!$H$5*BaseLoad!$AM$9,0))</f>
        <v>7.5929987597077231</v>
      </c>
      <c r="M38" s="243">
        <f>IF($A$1="Peak","-",IF(BaseLoad!S37&gt;BaseLoad!$G37,M$8*PPA!$H$5*BaseLoad!$AM$9,0))</f>
        <v>7.5929987597077231</v>
      </c>
      <c r="N38" s="243">
        <f>IF($A$1="Peak","-",IF(BaseLoad!T37&gt;BaseLoad!$G37,N$8*PPA!$H$5*BaseLoad!$AM$9,0))</f>
        <v>7.5929987597077231</v>
      </c>
      <c r="O38" s="243">
        <f>IF($A$1="Peak","-",IF(BaseLoad!U37&gt;BaseLoad!$G37,O$8*PPA!$H$5*BaseLoad!$AM$9,0))</f>
        <v>7.5929987597077231</v>
      </c>
      <c r="P38" s="243">
        <f>IF($A$1="Peak","-",IF(BaseLoad!V37&gt;BaseLoad!$G37,P$8*PPA!$H$5*BaseLoad!$AM$9,0))</f>
        <v>7.5929987597077231</v>
      </c>
      <c r="Q38" s="243">
        <f>IF($A$1="Peak","-",IF(BaseLoad!W37&gt;BaseLoad!$G37,Q$8*PPA!$H$5*BaseLoad!$AM$9,0))</f>
        <v>7.5929987597077231</v>
      </c>
      <c r="R38" s="243">
        <f>IF($A$1="Peak","-",IF(BaseLoad!X37&gt;BaseLoad!$G37,R$8*PPA!$H$5*BaseLoad!$AM$9,0))</f>
        <v>7.5929987597077231</v>
      </c>
      <c r="S38" s="243">
        <f>IF($A$1="Peak","-",IF(BaseLoad!Y37&gt;BaseLoad!$G37,S$8*PPA!$H$5*BaseLoad!$AM$9,0))</f>
        <v>7.5929987597077231</v>
      </c>
      <c r="T38" s="243">
        <f>IF($A$1="Peak","-",IF(BaseLoad!Z37&gt;BaseLoad!$G37,T$8*PPA!$H$5*BaseLoad!$AM$9,0))</f>
        <v>7.5929987597077231</v>
      </c>
      <c r="U38" s="243">
        <f>IF($A$1="Peak","-",IF(BaseLoad!AA37&gt;BaseLoad!$G37,U$8*PPA!$H$5*BaseLoad!$AM$9,0))</f>
        <v>20.880746589196235</v>
      </c>
      <c r="V38" s="243">
        <f t="shared" si="0"/>
        <v>138.57222736466596</v>
      </c>
      <c r="W38" s="243">
        <f>IF($A$1="Peak","-",(730*PPA!$G$4*BaseLoad!$AP$9))</f>
        <v>421.0504308764738</v>
      </c>
      <c r="X38" s="243">
        <f t="shared" si="1"/>
        <v>559.62265824113979</v>
      </c>
      <c r="Y38" s="243"/>
    </row>
    <row r="39" spans="1:25" x14ac:dyDescent="0.2">
      <c r="A39" s="1">
        <f t="shared" si="2"/>
        <v>37422.093000000037</v>
      </c>
      <c r="B39" s="243">
        <f>IF($A$1="Peak","-",IF(BaseLoad!H38&gt;BaseLoad!$G38,B$8*PPA!$H$5*BaseLoad!$AM$9,0))</f>
        <v>0.94912484496346539</v>
      </c>
      <c r="C39" s="243">
        <f>IF($A$1="Peak","-",IF(BaseLoad!I38&gt;BaseLoad!$G38,C$8*PPA!$H$5*BaseLoad!$AM$9,0))</f>
        <v>0.94912484496346539</v>
      </c>
      <c r="D39" s="243">
        <f>IF($A$1="Peak","-",IF(BaseLoad!J38&gt;BaseLoad!$G38,D$8*PPA!$H$5*BaseLoad!$AM$9,0))</f>
        <v>1.8982496899269308</v>
      </c>
      <c r="E39" s="243">
        <f>IF($A$1="Peak","-",IF(BaseLoad!K38&gt;BaseLoad!$G38,E$8*PPA!$H$5*BaseLoad!$AM$9,0))</f>
        <v>3.7964993798538615</v>
      </c>
      <c r="F39" s="243">
        <f>IF($A$1="Peak","-",IF(BaseLoad!L38&gt;BaseLoad!$G38,F$8*PPA!$H$5*BaseLoad!$AM$9,0))</f>
        <v>3.7964993798538615</v>
      </c>
      <c r="G39" s="243">
        <f>IF($A$1="Peak","-",IF(BaseLoad!M38&gt;BaseLoad!$G38,G$8*PPA!$H$5*BaseLoad!$AM$9,0))</f>
        <v>7.5929987597077231</v>
      </c>
      <c r="H39" s="243">
        <f>IF($A$1="Peak","-",IF(BaseLoad!N38&gt;BaseLoad!$G38,H$8*PPA!$H$5*BaseLoad!$AM$9,0))</f>
        <v>7.5929987597077231</v>
      </c>
      <c r="I39" s="243">
        <f>IF($A$1="Peak","-",IF(BaseLoad!O38&gt;BaseLoad!$G38,I$8*PPA!$H$5*BaseLoad!$AM$9,0))</f>
        <v>7.5929987597077231</v>
      </c>
      <c r="J39" s="243">
        <f>IF($A$1="Peak","-",IF(BaseLoad!P38&gt;BaseLoad!$G38,J$8*PPA!$H$5*BaseLoad!$AM$9,0))</f>
        <v>7.5929987597077231</v>
      </c>
      <c r="K39" s="243">
        <f>IF($A$1="Peak","-",IF(BaseLoad!Q38&gt;BaseLoad!$G38,K$8*PPA!$H$5*BaseLoad!$AM$9,0))</f>
        <v>7.5929987597077231</v>
      </c>
      <c r="L39" s="243">
        <f>IF($A$1="Peak","-",IF(BaseLoad!R38&gt;BaseLoad!$G38,L$8*PPA!$H$5*BaseLoad!$AM$9,0))</f>
        <v>7.5929987597077231</v>
      </c>
      <c r="M39" s="243">
        <f>IF($A$1="Peak","-",IF(BaseLoad!S38&gt;BaseLoad!$G38,M$8*PPA!$H$5*BaseLoad!$AM$9,0))</f>
        <v>7.5929987597077231</v>
      </c>
      <c r="N39" s="243">
        <f>IF($A$1="Peak","-",IF(BaseLoad!T38&gt;BaseLoad!$G38,N$8*PPA!$H$5*BaseLoad!$AM$9,0))</f>
        <v>7.5929987597077231</v>
      </c>
      <c r="O39" s="243">
        <f>IF($A$1="Peak","-",IF(BaseLoad!U38&gt;BaseLoad!$G38,O$8*PPA!$H$5*BaseLoad!$AM$9,0))</f>
        <v>7.5929987597077231</v>
      </c>
      <c r="P39" s="243">
        <f>IF($A$1="Peak","-",IF(BaseLoad!V38&gt;BaseLoad!$G38,P$8*PPA!$H$5*BaseLoad!$AM$9,0))</f>
        <v>7.5929987597077231</v>
      </c>
      <c r="Q39" s="243">
        <f>IF($A$1="Peak","-",IF(BaseLoad!W38&gt;BaseLoad!$G38,Q$8*PPA!$H$5*BaseLoad!$AM$9,0))</f>
        <v>7.5929987597077231</v>
      </c>
      <c r="R39" s="243">
        <f>IF($A$1="Peak","-",IF(BaseLoad!X38&gt;BaseLoad!$G38,R$8*PPA!$H$5*BaseLoad!$AM$9,0))</f>
        <v>7.5929987597077231</v>
      </c>
      <c r="S39" s="243">
        <f>IF($A$1="Peak","-",IF(BaseLoad!Y38&gt;BaseLoad!$G38,S$8*PPA!$H$5*BaseLoad!$AM$9,0))</f>
        <v>7.5929987597077231</v>
      </c>
      <c r="T39" s="243">
        <f>IF($A$1="Peak","-",IF(BaseLoad!Z38&gt;BaseLoad!$G38,T$8*PPA!$H$5*BaseLoad!$AM$9,0))</f>
        <v>7.5929987597077231</v>
      </c>
      <c r="U39" s="243">
        <f>IF($A$1="Peak","-",IF(BaseLoad!AA38&gt;BaseLoad!$G38,U$8*PPA!$H$5*BaseLoad!$AM$9,0))</f>
        <v>20.880746589196235</v>
      </c>
      <c r="V39" s="243">
        <f t="shared" si="0"/>
        <v>138.57222736466596</v>
      </c>
      <c r="W39" s="243">
        <f>IF($A$1="Peak","-",(730*PPA!$G$4*BaseLoad!$AP$9))</f>
        <v>421.0504308764738</v>
      </c>
      <c r="X39" s="243">
        <f t="shared" si="1"/>
        <v>559.62265824113979</v>
      </c>
      <c r="Y39" s="243"/>
    </row>
    <row r="40" spans="1:25" x14ac:dyDescent="0.2">
      <c r="A40" s="1">
        <f t="shared" si="2"/>
        <v>37452.510000000038</v>
      </c>
      <c r="B40" s="243">
        <f>IF($A$1="Peak","-",IF(BaseLoad!H39&gt;BaseLoad!$G39,B$8*PPA!$H$5*BaseLoad!$AM$9,0))</f>
        <v>0.94912484496346539</v>
      </c>
      <c r="C40" s="243">
        <f>IF($A$1="Peak","-",IF(BaseLoad!I39&gt;BaseLoad!$G39,C$8*PPA!$H$5*BaseLoad!$AM$9,0))</f>
        <v>0.94912484496346539</v>
      </c>
      <c r="D40" s="243">
        <f>IF($A$1="Peak","-",IF(BaseLoad!J39&gt;BaseLoad!$G39,D$8*PPA!$H$5*BaseLoad!$AM$9,0))</f>
        <v>1.8982496899269308</v>
      </c>
      <c r="E40" s="243">
        <f>IF($A$1="Peak","-",IF(BaseLoad!K39&gt;BaseLoad!$G39,E$8*PPA!$H$5*BaseLoad!$AM$9,0))</f>
        <v>3.7964993798538615</v>
      </c>
      <c r="F40" s="243">
        <f>IF($A$1="Peak","-",IF(BaseLoad!L39&gt;BaseLoad!$G39,F$8*PPA!$H$5*BaseLoad!$AM$9,0))</f>
        <v>3.7964993798538615</v>
      </c>
      <c r="G40" s="243">
        <f>IF($A$1="Peak","-",IF(BaseLoad!M39&gt;BaseLoad!$G39,G$8*PPA!$H$5*BaseLoad!$AM$9,0))</f>
        <v>7.5929987597077231</v>
      </c>
      <c r="H40" s="243">
        <f>IF($A$1="Peak","-",IF(BaseLoad!N39&gt;BaseLoad!$G39,H$8*PPA!$H$5*BaseLoad!$AM$9,0))</f>
        <v>7.5929987597077231</v>
      </c>
      <c r="I40" s="243">
        <f>IF($A$1="Peak","-",IF(BaseLoad!O39&gt;BaseLoad!$G39,I$8*PPA!$H$5*BaseLoad!$AM$9,0))</f>
        <v>7.5929987597077231</v>
      </c>
      <c r="J40" s="243">
        <f>IF($A$1="Peak","-",IF(BaseLoad!P39&gt;BaseLoad!$G39,J$8*PPA!$H$5*BaseLoad!$AM$9,0))</f>
        <v>7.5929987597077231</v>
      </c>
      <c r="K40" s="243">
        <f>IF($A$1="Peak","-",IF(BaseLoad!Q39&gt;BaseLoad!$G39,K$8*PPA!$H$5*BaseLoad!$AM$9,0))</f>
        <v>7.5929987597077231</v>
      </c>
      <c r="L40" s="243">
        <f>IF($A$1="Peak","-",IF(BaseLoad!R39&gt;BaseLoad!$G39,L$8*PPA!$H$5*BaseLoad!$AM$9,0))</f>
        <v>7.5929987597077231</v>
      </c>
      <c r="M40" s="243">
        <f>IF($A$1="Peak","-",IF(BaseLoad!S39&gt;BaseLoad!$G39,M$8*PPA!$H$5*BaseLoad!$AM$9,0))</f>
        <v>7.5929987597077231</v>
      </c>
      <c r="N40" s="243">
        <f>IF($A$1="Peak","-",IF(BaseLoad!T39&gt;BaseLoad!$G39,N$8*PPA!$H$5*BaseLoad!$AM$9,0))</f>
        <v>7.5929987597077231</v>
      </c>
      <c r="O40" s="243">
        <f>IF($A$1="Peak","-",IF(BaseLoad!U39&gt;BaseLoad!$G39,O$8*PPA!$H$5*BaseLoad!$AM$9,0))</f>
        <v>7.5929987597077231</v>
      </c>
      <c r="P40" s="243">
        <f>IF($A$1="Peak","-",IF(BaseLoad!V39&gt;BaseLoad!$G39,P$8*PPA!$H$5*BaseLoad!$AM$9,0))</f>
        <v>7.5929987597077231</v>
      </c>
      <c r="Q40" s="243">
        <f>IF($A$1="Peak","-",IF(BaseLoad!W39&gt;BaseLoad!$G39,Q$8*PPA!$H$5*BaseLoad!$AM$9,0))</f>
        <v>7.5929987597077231</v>
      </c>
      <c r="R40" s="243">
        <f>IF($A$1="Peak","-",IF(BaseLoad!X39&gt;BaseLoad!$G39,R$8*PPA!$H$5*BaseLoad!$AM$9,0))</f>
        <v>7.5929987597077231</v>
      </c>
      <c r="S40" s="243">
        <f>IF($A$1="Peak","-",IF(BaseLoad!Y39&gt;BaseLoad!$G39,S$8*PPA!$H$5*BaseLoad!$AM$9,0))</f>
        <v>7.5929987597077231</v>
      </c>
      <c r="T40" s="243">
        <f>IF($A$1="Peak","-",IF(BaseLoad!Z39&gt;BaseLoad!$G39,T$8*PPA!$H$5*BaseLoad!$AM$9,0))</f>
        <v>7.5929987597077231</v>
      </c>
      <c r="U40" s="243">
        <f>IF($A$1="Peak","-",IF(BaseLoad!AA39&gt;BaseLoad!$G39,U$8*PPA!$H$5*BaseLoad!$AM$9,0))</f>
        <v>20.880746589196235</v>
      </c>
      <c r="V40" s="243">
        <f t="shared" si="0"/>
        <v>138.57222736466596</v>
      </c>
      <c r="W40" s="243">
        <f>IF($A$1="Peak","-",(730*PPA!$G$4*BaseLoad!$AP$9))</f>
        <v>421.0504308764738</v>
      </c>
      <c r="X40" s="243">
        <f t="shared" si="1"/>
        <v>559.62265824113979</v>
      </c>
      <c r="Y40" s="243"/>
    </row>
    <row r="41" spans="1:25" x14ac:dyDescent="0.2">
      <c r="A41" s="1">
        <f t="shared" si="2"/>
        <v>37482.92700000004</v>
      </c>
      <c r="B41" s="243">
        <f>IF($A$1="Peak","-",IF(BaseLoad!H40&gt;BaseLoad!$G40,B$8*PPA!$H$5*BaseLoad!$AM$9,0))</f>
        <v>0.94912484496346539</v>
      </c>
      <c r="C41" s="243">
        <f>IF($A$1="Peak","-",IF(BaseLoad!I40&gt;BaseLoad!$G40,C$8*PPA!$H$5*BaseLoad!$AM$9,0))</f>
        <v>0.94912484496346539</v>
      </c>
      <c r="D41" s="243">
        <f>IF($A$1="Peak","-",IF(BaseLoad!J40&gt;BaseLoad!$G40,D$8*PPA!$H$5*BaseLoad!$AM$9,0))</f>
        <v>1.8982496899269308</v>
      </c>
      <c r="E41" s="243">
        <f>IF($A$1="Peak","-",IF(BaseLoad!K40&gt;BaseLoad!$G40,E$8*PPA!$H$5*BaseLoad!$AM$9,0))</f>
        <v>3.7964993798538615</v>
      </c>
      <c r="F41" s="243">
        <f>IF($A$1="Peak","-",IF(BaseLoad!L40&gt;BaseLoad!$G40,F$8*PPA!$H$5*BaseLoad!$AM$9,0))</f>
        <v>3.7964993798538615</v>
      </c>
      <c r="G41" s="243">
        <f>IF($A$1="Peak","-",IF(BaseLoad!M40&gt;BaseLoad!$G40,G$8*PPA!$H$5*BaseLoad!$AM$9,0))</f>
        <v>7.5929987597077231</v>
      </c>
      <c r="H41" s="243">
        <f>IF($A$1="Peak","-",IF(BaseLoad!N40&gt;BaseLoad!$G40,H$8*PPA!$H$5*BaseLoad!$AM$9,0))</f>
        <v>7.5929987597077231</v>
      </c>
      <c r="I41" s="243">
        <f>IF($A$1="Peak","-",IF(BaseLoad!O40&gt;BaseLoad!$G40,I$8*PPA!$H$5*BaseLoad!$AM$9,0))</f>
        <v>7.5929987597077231</v>
      </c>
      <c r="J41" s="243">
        <f>IF($A$1="Peak","-",IF(BaseLoad!P40&gt;BaseLoad!$G40,J$8*PPA!$H$5*BaseLoad!$AM$9,0))</f>
        <v>7.5929987597077231</v>
      </c>
      <c r="K41" s="243">
        <f>IF($A$1="Peak","-",IF(BaseLoad!Q40&gt;BaseLoad!$G40,K$8*PPA!$H$5*BaseLoad!$AM$9,0))</f>
        <v>7.5929987597077231</v>
      </c>
      <c r="L41" s="243">
        <f>IF($A$1="Peak","-",IF(BaseLoad!R40&gt;BaseLoad!$G40,L$8*PPA!$H$5*BaseLoad!$AM$9,0))</f>
        <v>7.5929987597077231</v>
      </c>
      <c r="M41" s="243">
        <f>IF($A$1="Peak","-",IF(BaseLoad!S40&gt;BaseLoad!$G40,M$8*PPA!$H$5*BaseLoad!$AM$9,0))</f>
        <v>7.5929987597077231</v>
      </c>
      <c r="N41" s="243">
        <f>IF($A$1="Peak","-",IF(BaseLoad!T40&gt;BaseLoad!$G40,N$8*PPA!$H$5*BaseLoad!$AM$9,0))</f>
        <v>7.5929987597077231</v>
      </c>
      <c r="O41" s="243">
        <f>IF($A$1="Peak","-",IF(BaseLoad!U40&gt;BaseLoad!$G40,O$8*PPA!$H$5*BaseLoad!$AM$9,0))</f>
        <v>7.5929987597077231</v>
      </c>
      <c r="P41" s="243">
        <f>IF($A$1="Peak","-",IF(BaseLoad!V40&gt;BaseLoad!$G40,P$8*PPA!$H$5*BaseLoad!$AM$9,0))</f>
        <v>7.5929987597077231</v>
      </c>
      <c r="Q41" s="243">
        <f>IF($A$1="Peak","-",IF(BaseLoad!W40&gt;BaseLoad!$G40,Q$8*PPA!$H$5*BaseLoad!$AM$9,0))</f>
        <v>7.5929987597077231</v>
      </c>
      <c r="R41" s="243">
        <f>IF($A$1="Peak","-",IF(BaseLoad!X40&gt;BaseLoad!$G40,R$8*PPA!$H$5*BaseLoad!$AM$9,0))</f>
        <v>7.5929987597077231</v>
      </c>
      <c r="S41" s="243">
        <f>IF($A$1="Peak","-",IF(BaseLoad!Y40&gt;BaseLoad!$G40,S$8*PPA!$H$5*BaseLoad!$AM$9,0))</f>
        <v>7.5929987597077231</v>
      </c>
      <c r="T41" s="243">
        <f>IF($A$1="Peak","-",IF(BaseLoad!Z40&gt;BaseLoad!$G40,T$8*PPA!$H$5*BaseLoad!$AM$9,0))</f>
        <v>7.5929987597077231</v>
      </c>
      <c r="U41" s="243">
        <f>IF($A$1="Peak","-",IF(BaseLoad!AA40&gt;BaseLoad!$G40,U$8*PPA!$H$5*BaseLoad!$AM$9,0))</f>
        <v>20.880746589196235</v>
      </c>
      <c r="V41" s="243">
        <f t="shared" si="0"/>
        <v>138.57222736466596</v>
      </c>
      <c r="W41" s="243">
        <f>IF($A$1="Peak","-",(730*PPA!$G$4*BaseLoad!$AP$9))</f>
        <v>421.0504308764738</v>
      </c>
      <c r="X41" s="243">
        <f t="shared" si="1"/>
        <v>559.62265824113979</v>
      </c>
      <c r="Y41" s="243"/>
    </row>
    <row r="42" spans="1:25" x14ac:dyDescent="0.2">
      <c r="A42" s="1">
        <f t="shared" si="2"/>
        <v>37513.344000000041</v>
      </c>
      <c r="B42" s="243">
        <f>IF($A$1="Peak","-",IF(BaseLoad!H41&gt;BaseLoad!$G41,B$8*PPA!$H$5*BaseLoad!$AM$9,0))</f>
        <v>0.94912484496346539</v>
      </c>
      <c r="C42" s="243">
        <f>IF($A$1="Peak","-",IF(BaseLoad!I41&gt;BaseLoad!$G41,C$8*PPA!$H$5*BaseLoad!$AM$9,0))</f>
        <v>0.94912484496346539</v>
      </c>
      <c r="D42" s="243">
        <f>IF($A$1="Peak","-",IF(BaseLoad!J41&gt;BaseLoad!$G41,D$8*PPA!$H$5*BaseLoad!$AM$9,0))</f>
        <v>1.8982496899269308</v>
      </c>
      <c r="E42" s="243">
        <f>IF($A$1="Peak","-",IF(BaseLoad!K41&gt;BaseLoad!$G41,E$8*PPA!$H$5*BaseLoad!$AM$9,0))</f>
        <v>3.7964993798538615</v>
      </c>
      <c r="F42" s="243">
        <f>IF($A$1="Peak","-",IF(BaseLoad!L41&gt;BaseLoad!$G41,F$8*PPA!$H$5*BaseLoad!$AM$9,0))</f>
        <v>3.7964993798538615</v>
      </c>
      <c r="G42" s="243">
        <f>IF($A$1="Peak","-",IF(BaseLoad!M41&gt;BaseLoad!$G41,G$8*PPA!$H$5*BaseLoad!$AM$9,0))</f>
        <v>7.5929987597077231</v>
      </c>
      <c r="H42" s="243">
        <f>IF($A$1="Peak","-",IF(BaseLoad!N41&gt;BaseLoad!$G41,H$8*PPA!$H$5*BaseLoad!$AM$9,0))</f>
        <v>7.5929987597077231</v>
      </c>
      <c r="I42" s="243">
        <f>IF($A$1="Peak","-",IF(BaseLoad!O41&gt;BaseLoad!$G41,I$8*PPA!$H$5*BaseLoad!$AM$9,0))</f>
        <v>7.5929987597077231</v>
      </c>
      <c r="J42" s="243">
        <f>IF($A$1="Peak","-",IF(BaseLoad!P41&gt;BaseLoad!$G41,J$8*PPA!$H$5*BaseLoad!$AM$9,0))</f>
        <v>7.5929987597077231</v>
      </c>
      <c r="K42" s="243">
        <f>IF($A$1="Peak","-",IF(BaseLoad!Q41&gt;BaseLoad!$G41,K$8*PPA!$H$5*BaseLoad!$AM$9,0))</f>
        <v>7.5929987597077231</v>
      </c>
      <c r="L42" s="243">
        <f>IF($A$1="Peak","-",IF(BaseLoad!R41&gt;BaseLoad!$G41,L$8*PPA!$H$5*BaseLoad!$AM$9,0))</f>
        <v>7.5929987597077231</v>
      </c>
      <c r="M42" s="243">
        <f>IF($A$1="Peak","-",IF(BaseLoad!S41&gt;BaseLoad!$G41,M$8*PPA!$H$5*BaseLoad!$AM$9,0))</f>
        <v>7.5929987597077231</v>
      </c>
      <c r="N42" s="243">
        <f>IF($A$1="Peak","-",IF(BaseLoad!T41&gt;BaseLoad!$G41,N$8*PPA!$H$5*BaseLoad!$AM$9,0))</f>
        <v>7.5929987597077231</v>
      </c>
      <c r="O42" s="243">
        <f>IF($A$1="Peak","-",IF(BaseLoad!U41&gt;BaseLoad!$G41,O$8*PPA!$H$5*BaseLoad!$AM$9,0))</f>
        <v>7.5929987597077231</v>
      </c>
      <c r="P42" s="243">
        <f>IF($A$1="Peak","-",IF(BaseLoad!V41&gt;BaseLoad!$G41,P$8*PPA!$H$5*BaseLoad!$AM$9,0))</f>
        <v>7.5929987597077231</v>
      </c>
      <c r="Q42" s="243">
        <f>IF($A$1="Peak","-",IF(BaseLoad!W41&gt;BaseLoad!$G41,Q$8*PPA!$H$5*BaseLoad!$AM$9,0))</f>
        <v>7.5929987597077231</v>
      </c>
      <c r="R42" s="243">
        <f>IF($A$1="Peak","-",IF(BaseLoad!X41&gt;BaseLoad!$G41,R$8*PPA!$H$5*BaseLoad!$AM$9,0))</f>
        <v>7.5929987597077231</v>
      </c>
      <c r="S42" s="243">
        <f>IF($A$1="Peak","-",IF(BaseLoad!Y41&gt;BaseLoad!$G41,S$8*PPA!$H$5*BaseLoad!$AM$9,0))</f>
        <v>7.5929987597077231</v>
      </c>
      <c r="T42" s="243">
        <f>IF($A$1="Peak","-",IF(BaseLoad!Z41&gt;BaseLoad!$G41,T$8*PPA!$H$5*BaseLoad!$AM$9,0))</f>
        <v>7.5929987597077231</v>
      </c>
      <c r="U42" s="243">
        <f>IF($A$1="Peak","-",IF(BaseLoad!AA41&gt;BaseLoad!$G41,U$8*PPA!$H$5*BaseLoad!$AM$9,0))</f>
        <v>20.880746589196235</v>
      </c>
      <c r="V42" s="243">
        <f t="shared" si="0"/>
        <v>138.57222736466596</v>
      </c>
      <c r="W42" s="243">
        <f>IF($A$1="Peak","-",(730*PPA!$G$4*BaseLoad!$AP$9))</f>
        <v>421.0504308764738</v>
      </c>
      <c r="X42" s="243">
        <f t="shared" si="1"/>
        <v>559.62265824113979</v>
      </c>
      <c r="Y42" s="243"/>
    </row>
    <row r="43" spans="1:25" x14ac:dyDescent="0.2">
      <c r="A43" s="1">
        <f t="shared" si="2"/>
        <v>37543.761000000042</v>
      </c>
      <c r="B43" s="243">
        <f>IF($A$1="Peak","-",IF(BaseLoad!H42&gt;BaseLoad!$G42,B$8*PPA!$H$5*BaseLoad!$AM$9,0))</f>
        <v>0.94912484496346539</v>
      </c>
      <c r="C43" s="243">
        <f>IF($A$1="Peak","-",IF(BaseLoad!I42&gt;BaseLoad!$G42,C$8*PPA!$H$5*BaseLoad!$AM$9,0))</f>
        <v>0.94912484496346539</v>
      </c>
      <c r="D43" s="243">
        <f>IF($A$1="Peak","-",IF(BaseLoad!J42&gt;BaseLoad!$G42,D$8*PPA!$H$5*BaseLoad!$AM$9,0))</f>
        <v>1.8982496899269308</v>
      </c>
      <c r="E43" s="243">
        <f>IF($A$1="Peak","-",IF(BaseLoad!K42&gt;BaseLoad!$G42,E$8*PPA!$H$5*BaseLoad!$AM$9,0))</f>
        <v>3.7964993798538615</v>
      </c>
      <c r="F43" s="243">
        <f>IF($A$1="Peak","-",IF(BaseLoad!L42&gt;BaseLoad!$G42,F$8*PPA!$H$5*BaseLoad!$AM$9,0))</f>
        <v>3.7964993798538615</v>
      </c>
      <c r="G43" s="243">
        <f>IF($A$1="Peak","-",IF(BaseLoad!M42&gt;BaseLoad!$G42,G$8*PPA!$H$5*BaseLoad!$AM$9,0))</f>
        <v>7.5929987597077231</v>
      </c>
      <c r="H43" s="243">
        <f>IF($A$1="Peak","-",IF(BaseLoad!N42&gt;BaseLoad!$G42,H$8*PPA!$H$5*BaseLoad!$AM$9,0))</f>
        <v>7.5929987597077231</v>
      </c>
      <c r="I43" s="243">
        <f>IF($A$1="Peak","-",IF(BaseLoad!O42&gt;BaseLoad!$G42,I$8*PPA!$H$5*BaseLoad!$AM$9,0))</f>
        <v>7.5929987597077231</v>
      </c>
      <c r="J43" s="243">
        <f>IF($A$1="Peak","-",IF(BaseLoad!P42&gt;BaseLoad!$G42,J$8*PPA!$H$5*BaseLoad!$AM$9,0))</f>
        <v>7.5929987597077231</v>
      </c>
      <c r="K43" s="243">
        <f>IF($A$1="Peak","-",IF(BaseLoad!Q42&gt;BaseLoad!$G42,K$8*PPA!$H$5*BaseLoad!$AM$9,0))</f>
        <v>7.5929987597077231</v>
      </c>
      <c r="L43" s="243">
        <f>IF($A$1="Peak","-",IF(BaseLoad!R42&gt;BaseLoad!$G42,L$8*PPA!$H$5*BaseLoad!$AM$9,0))</f>
        <v>7.5929987597077231</v>
      </c>
      <c r="M43" s="243">
        <f>IF($A$1="Peak","-",IF(BaseLoad!S42&gt;BaseLoad!$G42,M$8*PPA!$H$5*BaseLoad!$AM$9,0))</f>
        <v>7.5929987597077231</v>
      </c>
      <c r="N43" s="243">
        <f>IF($A$1="Peak","-",IF(BaseLoad!T42&gt;BaseLoad!$G42,N$8*PPA!$H$5*BaseLoad!$AM$9,0))</f>
        <v>7.5929987597077231</v>
      </c>
      <c r="O43" s="243">
        <f>IF($A$1="Peak","-",IF(BaseLoad!U42&gt;BaseLoad!$G42,O$8*PPA!$H$5*BaseLoad!$AM$9,0))</f>
        <v>7.5929987597077231</v>
      </c>
      <c r="P43" s="243">
        <f>IF($A$1="Peak","-",IF(BaseLoad!V42&gt;BaseLoad!$G42,P$8*PPA!$H$5*BaseLoad!$AM$9,0))</f>
        <v>7.5929987597077231</v>
      </c>
      <c r="Q43" s="243">
        <f>IF($A$1="Peak","-",IF(BaseLoad!W42&gt;BaseLoad!$G42,Q$8*PPA!$H$5*BaseLoad!$AM$9,0))</f>
        <v>7.5929987597077231</v>
      </c>
      <c r="R43" s="243">
        <f>IF($A$1="Peak","-",IF(BaseLoad!X42&gt;BaseLoad!$G42,R$8*PPA!$H$5*BaseLoad!$AM$9,0))</f>
        <v>7.5929987597077231</v>
      </c>
      <c r="S43" s="243">
        <f>IF($A$1="Peak","-",IF(BaseLoad!Y42&gt;BaseLoad!$G42,S$8*PPA!$H$5*BaseLoad!$AM$9,0))</f>
        <v>7.5929987597077231</v>
      </c>
      <c r="T43" s="243">
        <f>IF($A$1="Peak","-",IF(BaseLoad!Z42&gt;BaseLoad!$G42,T$8*PPA!$H$5*BaseLoad!$AM$9,0))</f>
        <v>7.5929987597077231</v>
      </c>
      <c r="U43" s="243">
        <f>IF($A$1="Peak","-",IF(BaseLoad!AA42&gt;BaseLoad!$G42,U$8*PPA!$H$5*BaseLoad!$AM$9,0))</f>
        <v>20.880746589196235</v>
      </c>
      <c r="V43" s="243">
        <f t="shared" si="0"/>
        <v>138.57222736466596</v>
      </c>
      <c r="W43" s="243">
        <f>IF($A$1="Peak","-",(730*PPA!$G$4*BaseLoad!$AP$9))</f>
        <v>421.0504308764738</v>
      </c>
      <c r="X43" s="243">
        <f t="shared" si="1"/>
        <v>559.62265824113979</v>
      </c>
      <c r="Y43" s="243"/>
    </row>
    <row r="44" spans="1:25" x14ac:dyDescent="0.2">
      <c r="A44" s="1">
        <f t="shared" si="2"/>
        <v>37574.178000000044</v>
      </c>
      <c r="B44" s="243">
        <f>IF($A$1="Peak","-",IF(BaseLoad!H43&gt;BaseLoad!$G43,B$8*PPA!$H$5*BaseLoad!$AM$9,0))</f>
        <v>0.94912484496346539</v>
      </c>
      <c r="C44" s="243">
        <f>IF($A$1="Peak","-",IF(BaseLoad!I43&gt;BaseLoad!$G43,C$8*PPA!$H$5*BaseLoad!$AM$9,0))</f>
        <v>0.94912484496346539</v>
      </c>
      <c r="D44" s="243">
        <f>IF($A$1="Peak","-",IF(BaseLoad!J43&gt;BaseLoad!$G43,D$8*PPA!$H$5*BaseLoad!$AM$9,0))</f>
        <v>1.8982496899269308</v>
      </c>
      <c r="E44" s="243">
        <f>IF($A$1="Peak","-",IF(BaseLoad!K43&gt;BaseLoad!$G43,E$8*PPA!$H$5*BaseLoad!$AM$9,0))</f>
        <v>3.7964993798538615</v>
      </c>
      <c r="F44" s="243">
        <f>IF($A$1="Peak","-",IF(BaseLoad!L43&gt;BaseLoad!$G43,F$8*PPA!$H$5*BaseLoad!$AM$9,0))</f>
        <v>3.7964993798538615</v>
      </c>
      <c r="G44" s="243">
        <f>IF($A$1="Peak","-",IF(BaseLoad!M43&gt;BaseLoad!$G43,G$8*PPA!$H$5*BaseLoad!$AM$9,0))</f>
        <v>7.5929987597077231</v>
      </c>
      <c r="H44" s="243">
        <f>IF($A$1="Peak","-",IF(BaseLoad!N43&gt;BaseLoad!$G43,H$8*PPA!$H$5*BaseLoad!$AM$9,0))</f>
        <v>7.5929987597077231</v>
      </c>
      <c r="I44" s="243">
        <f>IF($A$1="Peak","-",IF(BaseLoad!O43&gt;BaseLoad!$G43,I$8*PPA!$H$5*BaseLoad!$AM$9,0))</f>
        <v>7.5929987597077231</v>
      </c>
      <c r="J44" s="243">
        <f>IF($A$1="Peak","-",IF(BaseLoad!P43&gt;BaseLoad!$G43,J$8*PPA!$H$5*BaseLoad!$AM$9,0))</f>
        <v>7.5929987597077231</v>
      </c>
      <c r="K44" s="243">
        <f>IF($A$1="Peak","-",IF(BaseLoad!Q43&gt;BaseLoad!$G43,K$8*PPA!$H$5*BaseLoad!$AM$9,0))</f>
        <v>7.5929987597077231</v>
      </c>
      <c r="L44" s="243">
        <f>IF($A$1="Peak","-",IF(BaseLoad!R43&gt;BaseLoad!$G43,L$8*PPA!$H$5*BaseLoad!$AM$9,0))</f>
        <v>7.5929987597077231</v>
      </c>
      <c r="M44" s="243">
        <f>IF($A$1="Peak","-",IF(BaseLoad!S43&gt;BaseLoad!$G43,M$8*PPA!$H$5*BaseLoad!$AM$9,0))</f>
        <v>7.5929987597077231</v>
      </c>
      <c r="N44" s="243">
        <f>IF($A$1="Peak","-",IF(BaseLoad!T43&gt;BaseLoad!$G43,N$8*PPA!$H$5*BaseLoad!$AM$9,0))</f>
        <v>7.5929987597077231</v>
      </c>
      <c r="O44" s="243">
        <f>IF($A$1="Peak","-",IF(BaseLoad!U43&gt;BaseLoad!$G43,O$8*PPA!$H$5*BaseLoad!$AM$9,0))</f>
        <v>7.5929987597077231</v>
      </c>
      <c r="P44" s="243">
        <f>IF($A$1="Peak","-",IF(BaseLoad!V43&gt;BaseLoad!$G43,P$8*PPA!$H$5*BaseLoad!$AM$9,0))</f>
        <v>7.5929987597077231</v>
      </c>
      <c r="Q44" s="243">
        <f>IF($A$1="Peak","-",IF(BaseLoad!W43&gt;BaseLoad!$G43,Q$8*PPA!$H$5*BaseLoad!$AM$9,0))</f>
        <v>7.5929987597077231</v>
      </c>
      <c r="R44" s="243">
        <f>IF($A$1="Peak","-",IF(BaseLoad!X43&gt;BaseLoad!$G43,R$8*PPA!$H$5*BaseLoad!$AM$9,0))</f>
        <v>7.5929987597077231</v>
      </c>
      <c r="S44" s="243">
        <f>IF($A$1="Peak","-",IF(BaseLoad!Y43&gt;BaseLoad!$G43,S$8*PPA!$H$5*BaseLoad!$AM$9,0))</f>
        <v>7.5929987597077231</v>
      </c>
      <c r="T44" s="243">
        <f>IF($A$1="Peak","-",IF(BaseLoad!Z43&gt;BaseLoad!$G43,T$8*PPA!$H$5*BaseLoad!$AM$9,0))</f>
        <v>7.5929987597077231</v>
      </c>
      <c r="U44" s="243">
        <f>IF($A$1="Peak","-",IF(BaseLoad!AA43&gt;BaseLoad!$G43,U$8*PPA!$H$5*BaseLoad!$AM$9,0))</f>
        <v>20.880746589196235</v>
      </c>
      <c r="V44" s="243">
        <f t="shared" si="0"/>
        <v>138.57222736466596</v>
      </c>
      <c r="W44" s="243">
        <f>IF($A$1="Peak","-",(730*PPA!$G$4*BaseLoad!$AP$9))</f>
        <v>421.0504308764738</v>
      </c>
      <c r="X44" s="243">
        <f t="shared" si="1"/>
        <v>559.62265824113979</v>
      </c>
      <c r="Y44" s="243"/>
    </row>
    <row r="45" spans="1:25" x14ac:dyDescent="0.2">
      <c r="A45" s="1">
        <f t="shared" si="2"/>
        <v>37604.595000000045</v>
      </c>
      <c r="B45" s="243">
        <f>IF($A$1="Peak","-",IF(BaseLoad!H44&gt;BaseLoad!$G44,B$8*PPA!$H$5*BaseLoad!$AM$9,0))</f>
        <v>0.94912484496346539</v>
      </c>
      <c r="C45" s="243">
        <f>IF($A$1="Peak","-",IF(BaseLoad!I44&gt;BaseLoad!$G44,C$8*PPA!$H$5*BaseLoad!$AM$9,0))</f>
        <v>0.94912484496346539</v>
      </c>
      <c r="D45" s="243">
        <f>IF($A$1="Peak","-",IF(BaseLoad!J44&gt;BaseLoad!$G44,D$8*PPA!$H$5*BaseLoad!$AM$9,0))</f>
        <v>1.8982496899269308</v>
      </c>
      <c r="E45" s="243">
        <f>IF($A$1="Peak","-",IF(BaseLoad!K44&gt;BaseLoad!$G44,E$8*PPA!$H$5*BaseLoad!$AM$9,0))</f>
        <v>3.7964993798538615</v>
      </c>
      <c r="F45" s="243">
        <f>IF($A$1="Peak","-",IF(BaseLoad!L44&gt;BaseLoad!$G44,F$8*PPA!$H$5*BaseLoad!$AM$9,0))</f>
        <v>3.7964993798538615</v>
      </c>
      <c r="G45" s="243">
        <f>IF($A$1="Peak","-",IF(BaseLoad!M44&gt;BaseLoad!$G44,G$8*PPA!$H$5*BaseLoad!$AM$9,0))</f>
        <v>7.5929987597077231</v>
      </c>
      <c r="H45" s="243">
        <f>IF($A$1="Peak","-",IF(BaseLoad!N44&gt;BaseLoad!$G44,H$8*PPA!$H$5*BaseLoad!$AM$9,0))</f>
        <v>7.5929987597077231</v>
      </c>
      <c r="I45" s="243">
        <f>IF($A$1="Peak","-",IF(BaseLoad!O44&gt;BaseLoad!$G44,I$8*PPA!$H$5*BaseLoad!$AM$9,0))</f>
        <v>7.5929987597077231</v>
      </c>
      <c r="J45" s="243">
        <f>IF($A$1="Peak","-",IF(BaseLoad!P44&gt;BaseLoad!$G44,J$8*PPA!$H$5*BaseLoad!$AM$9,0))</f>
        <v>7.5929987597077231</v>
      </c>
      <c r="K45" s="243">
        <f>IF($A$1="Peak","-",IF(BaseLoad!Q44&gt;BaseLoad!$G44,K$8*PPA!$H$5*BaseLoad!$AM$9,0))</f>
        <v>7.5929987597077231</v>
      </c>
      <c r="L45" s="243">
        <f>IF($A$1="Peak","-",IF(BaseLoad!R44&gt;BaseLoad!$G44,L$8*PPA!$H$5*BaseLoad!$AM$9,0))</f>
        <v>7.5929987597077231</v>
      </c>
      <c r="M45" s="243">
        <f>IF($A$1="Peak","-",IF(BaseLoad!S44&gt;BaseLoad!$G44,M$8*PPA!$H$5*BaseLoad!$AM$9,0))</f>
        <v>7.5929987597077231</v>
      </c>
      <c r="N45" s="243">
        <f>IF($A$1="Peak","-",IF(BaseLoad!T44&gt;BaseLoad!$G44,N$8*PPA!$H$5*BaseLoad!$AM$9,0))</f>
        <v>7.5929987597077231</v>
      </c>
      <c r="O45" s="243">
        <f>IF($A$1="Peak","-",IF(BaseLoad!U44&gt;BaseLoad!$G44,O$8*PPA!$H$5*BaseLoad!$AM$9,0))</f>
        <v>7.5929987597077231</v>
      </c>
      <c r="P45" s="243">
        <f>IF($A$1="Peak","-",IF(BaseLoad!V44&gt;BaseLoad!$G44,P$8*PPA!$H$5*BaseLoad!$AM$9,0))</f>
        <v>7.5929987597077231</v>
      </c>
      <c r="Q45" s="243">
        <f>IF($A$1="Peak","-",IF(BaseLoad!W44&gt;BaseLoad!$G44,Q$8*PPA!$H$5*BaseLoad!$AM$9,0))</f>
        <v>7.5929987597077231</v>
      </c>
      <c r="R45" s="243">
        <f>IF($A$1="Peak","-",IF(BaseLoad!X44&gt;BaseLoad!$G44,R$8*PPA!$H$5*BaseLoad!$AM$9,0))</f>
        <v>7.5929987597077231</v>
      </c>
      <c r="S45" s="243">
        <f>IF($A$1="Peak","-",IF(BaseLoad!Y44&gt;BaseLoad!$G44,S$8*PPA!$H$5*BaseLoad!$AM$9,0))</f>
        <v>7.5929987597077231</v>
      </c>
      <c r="T45" s="243">
        <f>IF($A$1="Peak","-",IF(BaseLoad!Z44&gt;BaseLoad!$G44,T$8*PPA!$H$5*BaseLoad!$AM$9,0))</f>
        <v>7.5929987597077231</v>
      </c>
      <c r="U45" s="243">
        <f>IF($A$1="Peak","-",IF(BaseLoad!AA44&gt;BaseLoad!$G44,U$8*PPA!$H$5*BaseLoad!$AM$9,0))</f>
        <v>20.880746589196235</v>
      </c>
      <c r="V45" s="243">
        <f t="shared" si="0"/>
        <v>138.57222736466596</v>
      </c>
      <c r="W45" s="243">
        <f>IF($A$1="Peak","-",(730*PPA!$G$4*BaseLoad!$AP$9))</f>
        <v>421.0504308764738</v>
      </c>
      <c r="X45" s="243">
        <f t="shared" si="1"/>
        <v>559.62265824113979</v>
      </c>
      <c r="Y45" s="243">
        <f>SUM(X34:X45)</f>
        <v>6715.4718988936793</v>
      </c>
    </row>
    <row r="46" spans="1:25" x14ac:dyDescent="0.2">
      <c r="A46" s="1">
        <f t="shared" si="2"/>
        <v>37635.012000000046</v>
      </c>
      <c r="B46" s="243">
        <f>IF($A$1="Peak","-",IF(BaseLoad!H45&gt;BaseLoad!$G45,B$8*PPA!$I$5*BaseLoad!$AM$9,0))</f>
        <v>0.89542270861659523</v>
      </c>
      <c r="C46" s="243">
        <f>IF($A$1="Peak","-",IF(BaseLoad!I45&gt;BaseLoad!$G45,C$8*PPA!$I$5*BaseLoad!$AM$9,0))</f>
        <v>0.89542270861659523</v>
      </c>
      <c r="D46" s="243">
        <f>IF($A$1="Peak","-",IF(BaseLoad!J45&gt;BaseLoad!$G45,D$8*PPA!$I$5*BaseLoad!$AM$9,0))</f>
        <v>1.7908454172331905</v>
      </c>
      <c r="E46" s="243">
        <f>IF($A$1="Peak","-",IF(BaseLoad!K45&gt;BaseLoad!$G45,E$8*PPA!$I$5*BaseLoad!$AM$9,0))</f>
        <v>3.5816908344663809</v>
      </c>
      <c r="F46" s="243">
        <f>IF($A$1="Peak","-",IF(BaseLoad!L45&gt;BaseLoad!$G45,F$8*PPA!$I$5*BaseLoad!$AM$9,0))</f>
        <v>3.5816908344663809</v>
      </c>
      <c r="G46" s="243">
        <f>IF($A$1="Peak","-",IF(BaseLoad!M45&gt;BaseLoad!$G45,G$8*PPA!$I$5*BaseLoad!$AM$9,0))</f>
        <v>7.1633816689327618</v>
      </c>
      <c r="H46" s="243">
        <f>IF($A$1="Peak","-",IF(BaseLoad!N45&gt;BaseLoad!$G45,H$8*PPA!$I$5*BaseLoad!$AM$9,0))</f>
        <v>7.1633816689327618</v>
      </c>
      <c r="I46" s="243">
        <f>IF($A$1="Peak","-",IF(BaseLoad!O45&gt;BaseLoad!$G45,I$8*PPA!$I$5*BaseLoad!$AM$9,0))</f>
        <v>7.1633816689327618</v>
      </c>
      <c r="J46" s="243">
        <f>IF($A$1="Peak","-",IF(BaseLoad!P45&gt;BaseLoad!$G45,J$8*PPA!$I$5*BaseLoad!$AM$9,0))</f>
        <v>7.1633816689327618</v>
      </c>
      <c r="K46" s="243">
        <f>IF($A$1="Peak","-",IF(BaseLoad!Q45&gt;BaseLoad!$G45,K$8*PPA!$I$5*BaseLoad!$AM$9,0))</f>
        <v>7.1633816689327618</v>
      </c>
      <c r="L46" s="243">
        <f>IF($A$1="Peak","-",IF(BaseLoad!R45&gt;BaseLoad!$G45,L$8*PPA!$I$5*BaseLoad!$AM$9,0))</f>
        <v>7.1633816689327618</v>
      </c>
      <c r="M46" s="243">
        <f>IF($A$1="Peak","-",IF(BaseLoad!S45&gt;BaseLoad!$G45,M$8*PPA!$I$5*BaseLoad!$AM$9,0))</f>
        <v>7.1633816689327618</v>
      </c>
      <c r="N46" s="243">
        <f>IF($A$1="Peak","-",IF(BaseLoad!T45&gt;BaseLoad!$G45,N$8*PPA!$I$5*BaseLoad!$AM$9,0))</f>
        <v>7.1633816689327618</v>
      </c>
      <c r="O46" s="243">
        <f>IF($A$1="Peak","-",IF(BaseLoad!U45&gt;BaseLoad!$G45,O$8*PPA!$I$5*BaseLoad!$AM$9,0))</f>
        <v>7.1633816689327618</v>
      </c>
      <c r="P46" s="243">
        <f>IF($A$1="Peak","-",IF(BaseLoad!V45&gt;BaseLoad!$G45,P$8*PPA!$I$5*BaseLoad!$AM$9,0))</f>
        <v>7.1633816689327618</v>
      </c>
      <c r="Q46" s="243">
        <f>IF($A$1="Peak","-",IF(BaseLoad!W45&gt;BaseLoad!$G45,Q$8*PPA!$I$5*BaseLoad!$AM$9,0))</f>
        <v>7.1633816689327618</v>
      </c>
      <c r="R46" s="243">
        <f>IF($A$1="Peak","-",IF(BaseLoad!X45&gt;BaseLoad!$G45,R$8*PPA!$I$5*BaseLoad!$AM$9,0))</f>
        <v>7.1633816689327618</v>
      </c>
      <c r="S46" s="243">
        <f>IF($A$1="Peak","-",IF(BaseLoad!Y45&gt;BaseLoad!$G45,S$8*PPA!$I$5*BaseLoad!$AM$9,0))</f>
        <v>7.1633816689327618</v>
      </c>
      <c r="T46" s="243">
        <f>IF($A$1="Peak","-",IF(BaseLoad!Z45&gt;BaseLoad!$G45,T$8*PPA!$I$5*BaseLoad!$AM$9,0))</f>
        <v>7.1633816689327618</v>
      </c>
      <c r="U46" s="243">
        <f>IF($A$1="Peak","-",IF(BaseLoad!AA45&gt;BaseLoad!$G45,U$8*PPA!$I$5*BaseLoad!$AM$9,0))</f>
        <v>19.699299589565094</v>
      </c>
      <c r="V46" s="243">
        <f t="shared" si="0"/>
        <v>130.73171545802288</v>
      </c>
      <c r="W46" s="243">
        <f>IF($A$1="Peak","-",(730*PPA!$G$4*BaseLoad!$AP$9))</f>
        <v>421.0504308764738</v>
      </c>
      <c r="X46" s="243">
        <f t="shared" si="1"/>
        <v>551.7821463344967</v>
      </c>
      <c r="Y46" s="243"/>
    </row>
    <row r="47" spans="1:25" x14ac:dyDescent="0.2">
      <c r="A47" s="1">
        <f t="shared" si="2"/>
        <v>37665.429000000047</v>
      </c>
      <c r="B47" s="243">
        <f>IF($A$1="Peak","-",IF(BaseLoad!H46&gt;BaseLoad!$G46,B$8*PPA!$I$5*BaseLoad!$AM$9,0))</f>
        <v>0.89542270861659523</v>
      </c>
      <c r="C47" s="243">
        <f>IF($A$1="Peak","-",IF(BaseLoad!I46&gt;BaseLoad!$G46,C$8*PPA!$I$5*BaseLoad!$AM$9,0))</f>
        <v>0.89542270861659523</v>
      </c>
      <c r="D47" s="243">
        <f>IF($A$1="Peak","-",IF(BaseLoad!J46&gt;BaseLoad!$G46,D$8*PPA!$I$5*BaseLoad!$AM$9,0))</f>
        <v>1.7908454172331905</v>
      </c>
      <c r="E47" s="243">
        <f>IF($A$1="Peak","-",IF(BaseLoad!K46&gt;BaseLoad!$G46,E$8*PPA!$I$5*BaseLoad!$AM$9,0))</f>
        <v>3.5816908344663809</v>
      </c>
      <c r="F47" s="243">
        <f>IF($A$1="Peak","-",IF(BaseLoad!L46&gt;BaseLoad!$G46,F$8*PPA!$I$5*BaseLoad!$AM$9,0))</f>
        <v>3.5816908344663809</v>
      </c>
      <c r="G47" s="243">
        <f>IF($A$1="Peak","-",IF(BaseLoad!M46&gt;BaseLoad!$G46,G$8*PPA!$I$5*BaseLoad!$AM$9,0))</f>
        <v>7.1633816689327618</v>
      </c>
      <c r="H47" s="243">
        <f>IF($A$1="Peak","-",IF(BaseLoad!N46&gt;BaseLoad!$G46,H$8*PPA!$I$5*BaseLoad!$AM$9,0))</f>
        <v>7.1633816689327618</v>
      </c>
      <c r="I47" s="243">
        <f>IF($A$1="Peak","-",IF(BaseLoad!O46&gt;BaseLoad!$G46,I$8*PPA!$I$5*BaseLoad!$AM$9,0))</f>
        <v>7.1633816689327618</v>
      </c>
      <c r="J47" s="243">
        <f>IF($A$1="Peak","-",IF(BaseLoad!P46&gt;BaseLoad!$G46,J$8*PPA!$I$5*BaseLoad!$AM$9,0))</f>
        <v>7.1633816689327618</v>
      </c>
      <c r="K47" s="243">
        <f>IF($A$1="Peak","-",IF(BaseLoad!Q46&gt;BaseLoad!$G46,K$8*PPA!$I$5*BaseLoad!$AM$9,0))</f>
        <v>7.1633816689327618</v>
      </c>
      <c r="L47" s="243">
        <f>IF($A$1="Peak","-",IF(BaseLoad!R46&gt;BaseLoad!$G46,L$8*PPA!$I$5*BaseLoad!$AM$9,0))</f>
        <v>7.1633816689327618</v>
      </c>
      <c r="M47" s="243">
        <f>IF($A$1="Peak","-",IF(BaseLoad!S46&gt;BaseLoad!$G46,M$8*PPA!$I$5*BaseLoad!$AM$9,0))</f>
        <v>7.1633816689327618</v>
      </c>
      <c r="N47" s="243">
        <f>IF($A$1="Peak","-",IF(BaseLoad!T46&gt;BaseLoad!$G46,N$8*PPA!$I$5*BaseLoad!$AM$9,0))</f>
        <v>7.1633816689327618</v>
      </c>
      <c r="O47" s="243">
        <f>IF($A$1="Peak","-",IF(BaseLoad!U46&gt;BaseLoad!$G46,O$8*PPA!$I$5*BaseLoad!$AM$9,0))</f>
        <v>7.1633816689327618</v>
      </c>
      <c r="P47" s="243">
        <f>IF($A$1="Peak","-",IF(BaseLoad!V46&gt;BaseLoad!$G46,P$8*PPA!$I$5*BaseLoad!$AM$9,0))</f>
        <v>7.1633816689327618</v>
      </c>
      <c r="Q47" s="243">
        <f>IF($A$1="Peak","-",IF(BaseLoad!W46&gt;BaseLoad!$G46,Q$8*PPA!$I$5*BaseLoad!$AM$9,0))</f>
        <v>7.1633816689327618</v>
      </c>
      <c r="R47" s="243">
        <f>IF($A$1="Peak","-",IF(BaseLoad!X46&gt;BaseLoad!$G46,R$8*PPA!$I$5*BaseLoad!$AM$9,0))</f>
        <v>7.1633816689327618</v>
      </c>
      <c r="S47" s="243">
        <f>IF($A$1="Peak","-",IF(BaseLoad!Y46&gt;BaseLoad!$G46,S$8*PPA!$I$5*BaseLoad!$AM$9,0))</f>
        <v>7.1633816689327618</v>
      </c>
      <c r="T47" s="243">
        <f>IF($A$1="Peak","-",IF(BaseLoad!Z46&gt;BaseLoad!$G46,T$8*PPA!$I$5*BaseLoad!$AM$9,0))</f>
        <v>7.1633816689327618</v>
      </c>
      <c r="U47" s="243">
        <f>IF($A$1="Peak","-",IF(BaseLoad!AA46&gt;BaseLoad!$G46,U$8*PPA!$I$5*BaseLoad!$AM$9,0))</f>
        <v>19.699299589565094</v>
      </c>
      <c r="V47" s="243">
        <f t="shared" si="0"/>
        <v>130.73171545802288</v>
      </c>
      <c r="W47" s="243">
        <f>IF($A$1="Peak","-",(730*PPA!$G$4*BaseLoad!$AP$9))</f>
        <v>421.0504308764738</v>
      </c>
      <c r="X47" s="243">
        <f t="shared" si="1"/>
        <v>551.7821463344967</v>
      </c>
      <c r="Y47" s="243"/>
    </row>
    <row r="48" spans="1:25" x14ac:dyDescent="0.2">
      <c r="A48" s="1">
        <f t="shared" si="2"/>
        <v>37695.846000000049</v>
      </c>
      <c r="B48" s="243">
        <f>IF($A$1="Peak","-",IF(BaseLoad!H47&gt;BaseLoad!$G47,B$8*PPA!$I$5*BaseLoad!$AM$9,0))</f>
        <v>0.89542270861659523</v>
      </c>
      <c r="C48" s="243">
        <f>IF($A$1="Peak","-",IF(BaseLoad!I47&gt;BaseLoad!$G47,C$8*PPA!$I$5*BaseLoad!$AM$9,0))</f>
        <v>0.89542270861659523</v>
      </c>
      <c r="D48" s="243">
        <f>IF($A$1="Peak","-",IF(BaseLoad!J47&gt;BaseLoad!$G47,D$8*PPA!$I$5*BaseLoad!$AM$9,0))</f>
        <v>1.7908454172331905</v>
      </c>
      <c r="E48" s="243">
        <f>IF($A$1="Peak","-",IF(BaseLoad!K47&gt;BaseLoad!$G47,E$8*PPA!$I$5*BaseLoad!$AM$9,0))</f>
        <v>3.5816908344663809</v>
      </c>
      <c r="F48" s="243">
        <f>IF($A$1="Peak","-",IF(BaseLoad!L47&gt;BaseLoad!$G47,F$8*PPA!$I$5*BaseLoad!$AM$9,0))</f>
        <v>3.5816908344663809</v>
      </c>
      <c r="G48" s="243">
        <f>IF($A$1="Peak","-",IF(BaseLoad!M47&gt;BaseLoad!$G47,G$8*PPA!$I$5*BaseLoad!$AM$9,0))</f>
        <v>7.1633816689327618</v>
      </c>
      <c r="H48" s="243">
        <f>IF($A$1="Peak","-",IF(BaseLoad!N47&gt;BaseLoad!$G47,H$8*PPA!$I$5*BaseLoad!$AM$9,0))</f>
        <v>7.1633816689327618</v>
      </c>
      <c r="I48" s="243">
        <f>IF($A$1="Peak","-",IF(BaseLoad!O47&gt;BaseLoad!$G47,I$8*PPA!$I$5*BaseLoad!$AM$9,0))</f>
        <v>7.1633816689327618</v>
      </c>
      <c r="J48" s="243">
        <f>IF($A$1="Peak","-",IF(BaseLoad!P47&gt;BaseLoad!$G47,J$8*PPA!$I$5*BaseLoad!$AM$9,0))</f>
        <v>7.1633816689327618</v>
      </c>
      <c r="K48" s="243">
        <f>IF($A$1="Peak","-",IF(BaseLoad!Q47&gt;BaseLoad!$G47,K$8*PPA!$I$5*BaseLoad!$AM$9,0))</f>
        <v>7.1633816689327618</v>
      </c>
      <c r="L48" s="243">
        <f>IF($A$1="Peak","-",IF(BaseLoad!R47&gt;BaseLoad!$G47,L$8*PPA!$I$5*BaseLoad!$AM$9,0))</f>
        <v>7.1633816689327618</v>
      </c>
      <c r="M48" s="243">
        <f>IF($A$1="Peak","-",IF(BaseLoad!S47&gt;BaseLoad!$G47,M$8*PPA!$I$5*BaseLoad!$AM$9,0))</f>
        <v>7.1633816689327618</v>
      </c>
      <c r="N48" s="243">
        <f>IF($A$1="Peak","-",IF(BaseLoad!T47&gt;BaseLoad!$G47,N$8*PPA!$I$5*BaseLoad!$AM$9,0))</f>
        <v>7.1633816689327618</v>
      </c>
      <c r="O48" s="243">
        <f>IF($A$1="Peak","-",IF(BaseLoad!U47&gt;BaseLoad!$G47,O$8*PPA!$I$5*BaseLoad!$AM$9,0))</f>
        <v>7.1633816689327618</v>
      </c>
      <c r="P48" s="243">
        <f>IF($A$1="Peak","-",IF(BaseLoad!V47&gt;BaseLoad!$G47,P$8*PPA!$I$5*BaseLoad!$AM$9,0))</f>
        <v>7.1633816689327618</v>
      </c>
      <c r="Q48" s="243">
        <f>IF($A$1="Peak","-",IF(BaseLoad!W47&gt;BaseLoad!$G47,Q$8*PPA!$I$5*BaseLoad!$AM$9,0))</f>
        <v>7.1633816689327618</v>
      </c>
      <c r="R48" s="243">
        <f>IF($A$1="Peak","-",IF(BaseLoad!X47&gt;BaseLoad!$G47,R$8*PPA!$I$5*BaseLoad!$AM$9,0))</f>
        <v>7.1633816689327618</v>
      </c>
      <c r="S48" s="243">
        <f>IF($A$1="Peak","-",IF(BaseLoad!Y47&gt;BaseLoad!$G47,S$8*PPA!$I$5*BaseLoad!$AM$9,0))</f>
        <v>7.1633816689327618</v>
      </c>
      <c r="T48" s="243">
        <f>IF($A$1="Peak","-",IF(BaseLoad!Z47&gt;BaseLoad!$G47,T$8*PPA!$I$5*BaseLoad!$AM$9,0))</f>
        <v>7.1633816689327618</v>
      </c>
      <c r="U48" s="243">
        <f>IF($A$1="Peak","-",IF(BaseLoad!AA47&gt;BaseLoad!$G47,U$8*PPA!$I$5*BaseLoad!$AM$9,0))</f>
        <v>19.699299589565094</v>
      </c>
      <c r="V48" s="243">
        <f t="shared" si="0"/>
        <v>130.73171545802288</v>
      </c>
      <c r="W48" s="243">
        <f>IF($A$1="Peak","-",(730*PPA!$G$4*BaseLoad!$AP$9))</f>
        <v>421.0504308764738</v>
      </c>
      <c r="X48" s="243">
        <f t="shared" si="1"/>
        <v>551.7821463344967</v>
      </c>
      <c r="Y48" s="243"/>
    </row>
    <row r="49" spans="1:25" x14ac:dyDescent="0.2">
      <c r="A49" s="1">
        <f t="shared" si="2"/>
        <v>37726.26300000005</v>
      </c>
      <c r="B49" s="243">
        <f>IF($A$1="Peak","-",IF(BaseLoad!H48&gt;BaseLoad!$G48,B$8*PPA!$I$5*BaseLoad!$AM$9,0))</f>
        <v>0.89542270861659523</v>
      </c>
      <c r="C49" s="243">
        <f>IF($A$1="Peak","-",IF(BaseLoad!I48&gt;BaseLoad!$G48,C$8*PPA!$I$5*BaseLoad!$AM$9,0))</f>
        <v>0.89542270861659523</v>
      </c>
      <c r="D49" s="243">
        <f>IF($A$1="Peak","-",IF(BaseLoad!J48&gt;BaseLoad!$G48,D$8*PPA!$I$5*BaseLoad!$AM$9,0))</f>
        <v>1.7908454172331905</v>
      </c>
      <c r="E49" s="243">
        <f>IF($A$1="Peak","-",IF(BaseLoad!K48&gt;BaseLoad!$G48,E$8*PPA!$I$5*BaseLoad!$AM$9,0))</f>
        <v>3.5816908344663809</v>
      </c>
      <c r="F49" s="243">
        <f>IF($A$1="Peak","-",IF(BaseLoad!L48&gt;BaseLoad!$G48,F$8*PPA!$I$5*BaseLoad!$AM$9,0))</f>
        <v>3.5816908344663809</v>
      </c>
      <c r="G49" s="243">
        <f>IF($A$1="Peak","-",IF(BaseLoad!M48&gt;BaseLoad!$G48,G$8*PPA!$I$5*BaseLoad!$AM$9,0))</f>
        <v>7.1633816689327618</v>
      </c>
      <c r="H49" s="243">
        <f>IF($A$1="Peak","-",IF(BaseLoad!N48&gt;BaseLoad!$G48,H$8*PPA!$I$5*BaseLoad!$AM$9,0))</f>
        <v>7.1633816689327618</v>
      </c>
      <c r="I49" s="243">
        <f>IF($A$1="Peak","-",IF(BaseLoad!O48&gt;BaseLoad!$G48,I$8*PPA!$I$5*BaseLoad!$AM$9,0))</f>
        <v>7.1633816689327618</v>
      </c>
      <c r="J49" s="243">
        <f>IF($A$1="Peak","-",IF(BaseLoad!P48&gt;BaseLoad!$G48,J$8*PPA!$I$5*BaseLoad!$AM$9,0))</f>
        <v>7.1633816689327618</v>
      </c>
      <c r="K49" s="243">
        <f>IF($A$1="Peak","-",IF(BaseLoad!Q48&gt;BaseLoad!$G48,K$8*PPA!$I$5*BaseLoad!$AM$9,0))</f>
        <v>7.1633816689327618</v>
      </c>
      <c r="L49" s="243">
        <f>IF($A$1="Peak","-",IF(BaseLoad!R48&gt;BaseLoad!$G48,L$8*PPA!$I$5*BaseLoad!$AM$9,0))</f>
        <v>7.1633816689327618</v>
      </c>
      <c r="M49" s="243">
        <f>IF($A$1="Peak","-",IF(BaseLoad!S48&gt;BaseLoad!$G48,M$8*PPA!$I$5*BaseLoad!$AM$9,0))</f>
        <v>7.1633816689327618</v>
      </c>
      <c r="N49" s="243">
        <f>IF($A$1="Peak","-",IF(BaseLoad!T48&gt;BaseLoad!$G48,N$8*PPA!$I$5*BaseLoad!$AM$9,0))</f>
        <v>7.1633816689327618</v>
      </c>
      <c r="O49" s="243">
        <f>IF($A$1="Peak","-",IF(BaseLoad!U48&gt;BaseLoad!$G48,O$8*PPA!$I$5*BaseLoad!$AM$9,0))</f>
        <v>7.1633816689327618</v>
      </c>
      <c r="P49" s="243">
        <f>IF($A$1="Peak","-",IF(BaseLoad!V48&gt;BaseLoad!$G48,P$8*PPA!$I$5*BaseLoad!$AM$9,0))</f>
        <v>7.1633816689327618</v>
      </c>
      <c r="Q49" s="243">
        <f>IF($A$1="Peak","-",IF(BaseLoad!W48&gt;BaseLoad!$G48,Q$8*PPA!$I$5*BaseLoad!$AM$9,0))</f>
        <v>7.1633816689327618</v>
      </c>
      <c r="R49" s="243">
        <f>IF($A$1="Peak","-",IF(BaseLoad!X48&gt;BaseLoad!$G48,R$8*PPA!$I$5*BaseLoad!$AM$9,0))</f>
        <v>7.1633816689327618</v>
      </c>
      <c r="S49" s="243">
        <f>IF($A$1="Peak","-",IF(BaseLoad!Y48&gt;BaseLoad!$G48,S$8*PPA!$I$5*BaseLoad!$AM$9,0))</f>
        <v>7.1633816689327618</v>
      </c>
      <c r="T49" s="243">
        <f>IF($A$1="Peak","-",IF(BaseLoad!Z48&gt;BaseLoad!$G48,T$8*PPA!$I$5*BaseLoad!$AM$9,0))</f>
        <v>7.1633816689327618</v>
      </c>
      <c r="U49" s="243">
        <f>IF($A$1="Peak","-",IF(BaseLoad!AA48&gt;BaseLoad!$G48,U$8*PPA!$I$5*BaseLoad!$AM$9,0))</f>
        <v>19.699299589565094</v>
      </c>
      <c r="V49" s="243">
        <f t="shared" si="0"/>
        <v>130.73171545802288</v>
      </c>
      <c r="W49" s="243">
        <f>IF($A$1="Peak","-",(730*PPA!$G$4*BaseLoad!$AP$9))</f>
        <v>421.0504308764738</v>
      </c>
      <c r="X49" s="243">
        <f t="shared" si="1"/>
        <v>551.7821463344967</v>
      </c>
      <c r="Y49" s="243"/>
    </row>
    <row r="50" spans="1:25" x14ac:dyDescent="0.2">
      <c r="A50" s="1">
        <f t="shared" si="2"/>
        <v>37756.680000000051</v>
      </c>
      <c r="B50" s="243">
        <f>IF($A$1="Peak","-",IF(BaseLoad!H49&gt;BaseLoad!$G49,B$8*PPA!$I$5*BaseLoad!$AM$9,0))</f>
        <v>0.89542270861659523</v>
      </c>
      <c r="C50" s="243">
        <f>IF($A$1="Peak","-",IF(BaseLoad!I49&gt;BaseLoad!$G49,C$8*PPA!$I$5*BaseLoad!$AM$9,0))</f>
        <v>0.89542270861659523</v>
      </c>
      <c r="D50" s="243">
        <f>IF($A$1="Peak","-",IF(BaseLoad!J49&gt;BaseLoad!$G49,D$8*PPA!$I$5*BaseLoad!$AM$9,0))</f>
        <v>1.7908454172331905</v>
      </c>
      <c r="E50" s="243">
        <f>IF($A$1="Peak","-",IF(BaseLoad!K49&gt;BaseLoad!$G49,E$8*PPA!$I$5*BaseLoad!$AM$9,0))</f>
        <v>3.5816908344663809</v>
      </c>
      <c r="F50" s="243">
        <f>IF($A$1="Peak","-",IF(BaseLoad!L49&gt;BaseLoad!$G49,F$8*PPA!$I$5*BaseLoad!$AM$9,0))</f>
        <v>3.5816908344663809</v>
      </c>
      <c r="G50" s="243">
        <f>IF($A$1="Peak","-",IF(BaseLoad!M49&gt;BaseLoad!$G49,G$8*PPA!$I$5*BaseLoad!$AM$9,0))</f>
        <v>7.1633816689327618</v>
      </c>
      <c r="H50" s="243">
        <f>IF($A$1="Peak","-",IF(BaseLoad!N49&gt;BaseLoad!$G49,H$8*PPA!$I$5*BaseLoad!$AM$9,0))</f>
        <v>7.1633816689327618</v>
      </c>
      <c r="I50" s="243">
        <f>IF($A$1="Peak","-",IF(BaseLoad!O49&gt;BaseLoad!$G49,I$8*PPA!$I$5*BaseLoad!$AM$9,0))</f>
        <v>7.1633816689327618</v>
      </c>
      <c r="J50" s="243">
        <f>IF($A$1="Peak","-",IF(BaseLoad!P49&gt;BaseLoad!$G49,J$8*PPA!$I$5*BaseLoad!$AM$9,0))</f>
        <v>7.1633816689327618</v>
      </c>
      <c r="K50" s="243">
        <f>IF($A$1="Peak","-",IF(BaseLoad!Q49&gt;BaseLoad!$G49,K$8*PPA!$I$5*BaseLoad!$AM$9,0))</f>
        <v>7.1633816689327618</v>
      </c>
      <c r="L50" s="243">
        <f>IF($A$1="Peak","-",IF(BaseLoad!R49&gt;BaseLoad!$G49,L$8*PPA!$I$5*BaseLoad!$AM$9,0))</f>
        <v>7.1633816689327618</v>
      </c>
      <c r="M50" s="243">
        <f>IF($A$1="Peak","-",IF(BaseLoad!S49&gt;BaseLoad!$G49,M$8*PPA!$I$5*BaseLoad!$AM$9,0))</f>
        <v>7.1633816689327618</v>
      </c>
      <c r="N50" s="243">
        <f>IF($A$1="Peak","-",IF(BaseLoad!T49&gt;BaseLoad!$G49,N$8*PPA!$I$5*BaseLoad!$AM$9,0))</f>
        <v>7.1633816689327618</v>
      </c>
      <c r="O50" s="243">
        <f>IF($A$1="Peak","-",IF(BaseLoad!U49&gt;BaseLoad!$G49,O$8*PPA!$I$5*BaseLoad!$AM$9,0))</f>
        <v>7.1633816689327618</v>
      </c>
      <c r="P50" s="243">
        <f>IF($A$1="Peak","-",IF(BaseLoad!V49&gt;BaseLoad!$G49,P$8*PPA!$I$5*BaseLoad!$AM$9,0))</f>
        <v>7.1633816689327618</v>
      </c>
      <c r="Q50" s="243">
        <f>IF($A$1="Peak","-",IF(BaseLoad!W49&gt;BaseLoad!$G49,Q$8*PPA!$I$5*BaseLoad!$AM$9,0))</f>
        <v>7.1633816689327618</v>
      </c>
      <c r="R50" s="243">
        <f>IF($A$1="Peak","-",IF(BaseLoad!X49&gt;BaseLoad!$G49,R$8*PPA!$I$5*BaseLoad!$AM$9,0))</f>
        <v>7.1633816689327618</v>
      </c>
      <c r="S50" s="243">
        <f>IF($A$1="Peak","-",IF(BaseLoad!Y49&gt;BaseLoad!$G49,S$8*PPA!$I$5*BaseLoad!$AM$9,0))</f>
        <v>7.1633816689327618</v>
      </c>
      <c r="T50" s="243">
        <f>IF($A$1="Peak","-",IF(BaseLoad!Z49&gt;BaseLoad!$G49,T$8*PPA!$I$5*BaseLoad!$AM$9,0))</f>
        <v>7.1633816689327618</v>
      </c>
      <c r="U50" s="243">
        <f>IF($A$1="Peak","-",IF(BaseLoad!AA49&gt;BaseLoad!$G49,U$8*PPA!$I$5*BaseLoad!$AM$9,0))</f>
        <v>19.699299589565094</v>
      </c>
      <c r="V50" s="243">
        <f t="shared" si="0"/>
        <v>130.73171545802288</v>
      </c>
      <c r="W50" s="243">
        <f>IF($A$1="Peak","-",(730*PPA!$G$4*BaseLoad!$AP$9))</f>
        <v>421.0504308764738</v>
      </c>
      <c r="X50" s="243">
        <f t="shared" si="1"/>
        <v>551.7821463344967</v>
      </c>
      <c r="Y50" s="243"/>
    </row>
    <row r="51" spans="1:25" x14ac:dyDescent="0.2">
      <c r="A51" s="1">
        <f t="shared" si="2"/>
        <v>37787.097000000053</v>
      </c>
      <c r="B51" s="243">
        <f>IF($A$1="Peak","-",IF(BaseLoad!H50&gt;BaseLoad!$G50,B$8*PPA!$I$5*BaseLoad!$AM$9,0))</f>
        <v>0.89542270861659523</v>
      </c>
      <c r="C51" s="243">
        <f>IF($A$1="Peak","-",IF(BaseLoad!I50&gt;BaseLoad!$G50,C$8*PPA!$I$5*BaseLoad!$AM$9,0))</f>
        <v>0.89542270861659523</v>
      </c>
      <c r="D51" s="243">
        <f>IF($A$1="Peak","-",IF(BaseLoad!J50&gt;BaseLoad!$G50,D$8*PPA!$I$5*BaseLoad!$AM$9,0))</f>
        <v>1.7908454172331905</v>
      </c>
      <c r="E51" s="243">
        <f>IF($A$1="Peak","-",IF(BaseLoad!K50&gt;BaseLoad!$G50,E$8*PPA!$I$5*BaseLoad!$AM$9,0))</f>
        <v>3.5816908344663809</v>
      </c>
      <c r="F51" s="243">
        <f>IF($A$1="Peak","-",IF(BaseLoad!L50&gt;BaseLoad!$G50,F$8*PPA!$I$5*BaseLoad!$AM$9,0))</f>
        <v>3.5816908344663809</v>
      </c>
      <c r="G51" s="243">
        <f>IF($A$1="Peak","-",IF(BaseLoad!M50&gt;BaseLoad!$G50,G$8*PPA!$I$5*BaseLoad!$AM$9,0))</f>
        <v>7.1633816689327618</v>
      </c>
      <c r="H51" s="243">
        <f>IF($A$1="Peak","-",IF(BaseLoad!N50&gt;BaseLoad!$G50,H$8*PPA!$I$5*BaseLoad!$AM$9,0))</f>
        <v>7.1633816689327618</v>
      </c>
      <c r="I51" s="243">
        <f>IF($A$1="Peak","-",IF(BaseLoad!O50&gt;BaseLoad!$G50,I$8*PPA!$I$5*BaseLoad!$AM$9,0))</f>
        <v>7.1633816689327618</v>
      </c>
      <c r="J51" s="243">
        <f>IF($A$1="Peak","-",IF(BaseLoad!P50&gt;BaseLoad!$G50,J$8*PPA!$I$5*BaseLoad!$AM$9,0))</f>
        <v>7.1633816689327618</v>
      </c>
      <c r="K51" s="243">
        <f>IF($A$1="Peak","-",IF(BaseLoad!Q50&gt;BaseLoad!$G50,K$8*PPA!$I$5*BaseLoad!$AM$9,0))</f>
        <v>7.1633816689327618</v>
      </c>
      <c r="L51" s="243">
        <f>IF($A$1="Peak","-",IF(BaseLoad!R50&gt;BaseLoad!$G50,L$8*PPA!$I$5*BaseLoad!$AM$9,0))</f>
        <v>7.1633816689327618</v>
      </c>
      <c r="M51" s="243">
        <f>IF($A$1="Peak","-",IF(BaseLoad!S50&gt;BaseLoad!$G50,M$8*PPA!$I$5*BaseLoad!$AM$9,0))</f>
        <v>7.1633816689327618</v>
      </c>
      <c r="N51" s="243">
        <f>IF($A$1="Peak","-",IF(BaseLoad!T50&gt;BaseLoad!$G50,N$8*PPA!$I$5*BaseLoad!$AM$9,0))</f>
        <v>7.1633816689327618</v>
      </c>
      <c r="O51" s="243">
        <f>IF($A$1="Peak","-",IF(BaseLoad!U50&gt;BaseLoad!$G50,O$8*PPA!$I$5*BaseLoad!$AM$9,0))</f>
        <v>7.1633816689327618</v>
      </c>
      <c r="P51" s="243">
        <f>IF($A$1="Peak","-",IF(BaseLoad!V50&gt;BaseLoad!$G50,P$8*PPA!$I$5*BaseLoad!$AM$9,0))</f>
        <v>7.1633816689327618</v>
      </c>
      <c r="Q51" s="243">
        <f>IF($A$1="Peak","-",IF(BaseLoad!W50&gt;BaseLoad!$G50,Q$8*PPA!$I$5*BaseLoad!$AM$9,0))</f>
        <v>7.1633816689327618</v>
      </c>
      <c r="R51" s="243">
        <f>IF($A$1="Peak","-",IF(BaseLoad!X50&gt;BaseLoad!$G50,R$8*PPA!$I$5*BaseLoad!$AM$9,0))</f>
        <v>7.1633816689327618</v>
      </c>
      <c r="S51" s="243">
        <f>IF($A$1="Peak","-",IF(BaseLoad!Y50&gt;BaseLoad!$G50,S$8*PPA!$I$5*BaseLoad!$AM$9,0))</f>
        <v>7.1633816689327618</v>
      </c>
      <c r="T51" s="243">
        <f>IF($A$1="Peak","-",IF(BaseLoad!Z50&gt;BaseLoad!$G50,T$8*PPA!$I$5*BaseLoad!$AM$9,0))</f>
        <v>7.1633816689327618</v>
      </c>
      <c r="U51" s="243">
        <f>IF($A$1="Peak","-",IF(BaseLoad!AA50&gt;BaseLoad!$G50,U$8*PPA!$I$5*BaseLoad!$AM$9,0))</f>
        <v>19.699299589565094</v>
      </c>
      <c r="V51" s="243">
        <f t="shared" si="0"/>
        <v>130.73171545802288</v>
      </c>
      <c r="W51" s="243">
        <f>IF($A$1="Peak","-",(730*PPA!$G$4*BaseLoad!$AP$9))</f>
        <v>421.0504308764738</v>
      </c>
      <c r="X51" s="243">
        <f t="shared" si="1"/>
        <v>551.7821463344967</v>
      </c>
      <c r="Y51" s="243"/>
    </row>
    <row r="52" spans="1:25" x14ac:dyDescent="0.2">
      <c r="A52" s="1">
        <f t="shared" si="2"/>
        <v>37817.514000000054</v>
      </c>
      <c r="B52" s="243">
        <f>IF($A$1="Peak","-",IF(BaseLoad!H51&gt;BaseLoad!$G51,B$8*PPA!$I$5*BaseLoad!$AM$9,0))</f>
        <v>0.89542270861659523</v>
      </c>
      <c r="C52" s="243">
        <f>IF($A$1="Peak","-",IF(BaseLoad!I51&gt;BaseLoad!$G51,C$8*PPA!$I$5*BaseLoad!$AM$9,0))</f>
        <v>0.89542270861659523</v>
      </c>
      <c r="D52" s="243">
        <f>IF($A$1="Peak","-",IF(BaseLoad!J51&gt;BaseLoad!$G51,D$8*PPA!$I$5*BaseLoad!$AM$9,0))</f>
        <v>1.7908454172331905</v>
      </c>
      <c r="E52" s="243">
        <f>IF($A$1="Peak","-",IF(BaseLoad!K51&gt;BaseLoad!$G51,E$8*PPA!$I$5*BaseLoad!$AM$9,0))</f>
        <v>3.5816908344663809</v>
      </c>
      <c r="F52" s="243">
        <f>IF($A$1="Peak","-",IF(BaseLoad!L51&gt;BaseLoad!$G51,F$8*PPA!$I$5*BaseLoad!$AM$9,0))</f>
        <v>3.5816908344663809</v>
      </c>
      <c r="G52" s="243">
        <f>IF($A$1="Peak","-",IF(BaseLoad!M51&gt;BaseLoad!$G51,G$8*PPA!$I$5*BaseLoad!$AM$9,0))</f>
        <v>7.1633816689327618</v>
      </c>
      <c r="H52" s="243">
        <f>IF($A$1="Peak","-",IF(BaseLoad!N51&gt;BaseLoad!$G51,H$8*PPA!$I$5*BaseLoad!$AM$9,0))</f>
        <v>7.1633816689327618</v>
      </c>
      <c r="I52" s="243">
        <f>IF($A$1="Peak","-",IF(BaseLoad!O51&gt;BaseLoad!$G51,I$8*PPA!$I$5*BaseLoad!$AM$9,0))</f>
        <v>7.1633816689327618</v>
      </c>
      <c r="J52" s="243">
        <f>IF($A$1="Peak","-",IF(BaseLoad!P51&gt;BaseLoad!$G51,J$8*PPA!$I$5*BaseLoad!$AM$9,0))</f>
        <v>7.1633816689327618</v>
      </c>
      <c r="K52" s="243">
        <f>IF($A$1="Peak","-",IF(BaseLoad!Q51&gt;BaseLoad!$G51,K$8*PPA!$I$5*BaseLoad!$AM$9,0))</f>
        <v>7.1633816689327618</v>
      </c>
      <c r="L52" s="243">
        <f>IF($A$1="Peak","-",IF(BaseLoad!R51&gt;BaseLoad!$G51,L$8*PPA!$I$5*BaseLoad!$AM$9,0))</f>
        <v>7.1633816689327618</v>
      </c>
      <c r="M52" s="243">
        <f>IF($A$1="Peak","-",IF(BaseLoad!S51&gt;BaseLoad!$G51,M$8*PPA!$I$5*BaseLoad!$AM$9,0))</f>
        <v>7.1633816689327618</v>
      </c>
      <c r="N52" s="243">
        <f>IF($A$1="Peak","-",IF(BaseLoad!T51&gt;BaseLoad!$G51,N$8*PPA!$I$5*BaseLoad!$AM$9,0))</f>
        <v>7.1633816689327618</v>
      </c>
      <c r="O52" s="243">
        <f>IF($A$1="Peak","-",IF(BaseLoad!U51&gt;BaseLoad!$G51,O$8*PPA!$I$5*BaseLoad!$AM$9,0))</f>
        <v>7.1633816689327618</v>
      </c>
      <c r="P52" s="243">
        <f>IF($A$1="Peak","-",IF(BaseLoad!V51&gt;BaseLoad!$G51,P$8*PPA!$I$5*BaseLoad!$AM$9,0))</f>
        <v>7.1633816689327618</v>
      </c>
      <c r="Q52" s="243">
        <f>IF($A$1="Peak","-",IF(BaseLoad!W51&gt;BaseLoad!$G51,Q$8*PPA!$I$5*BaseLoad!$AM$9,0))</f>
        <v>7.1633816689327618</v>
      </c>
      <c r="R52" s="243">
        <f>IF($A$1="Peak","-",IF(BaseLoad!X51&gt;BaseLoad!$G51,R$8*PPA!$I$5*BaseLoad!$AM$9,0))</f>
        <v>7.1633816689327618</v>
      </c>
      <c r="S52" s="243">
        <f>IF($A$1="Peak","-",IF(BaseLoad!Y51&gt;BaseLoad!$G51,S$8*PPA!$I$5*BaseLoad!$AM$9,0))</f>
        <v>7.1633816689327618</v>
      </c>
      <c r="T52" s="243">
        <f>IF($A$1="Peak","-",IF(BaseLoad!Z51&gt;BaseLoad!$G51,T$8*PPA!$I$5*BaseLoad!$AM$9,0))</f>
        <v>7.1633816689327618</v>
      </c>
      <c r="U52" s="243">
        <f>IF($A$1="Peak","-",IF(BaseLoad!AA51&gt;BaseLoad!$G51,U$8*PPA!$I$5*BaseLoad!$AM$9,0))</f>
        <v>19.699299589565094</v>
      </c>
      <c r="V52" s="243">
        <f t="shared" si="0"/>
        <v>130.73171545802288</v>
      </c>
      <c r="W52" s="243">
        <f>IF($A$1="Peak","-",(730*PPA!$G$4*BaseLoad!$AP$9))</f>
        <v>421.0504308764738</v>
      </c>
      <c r="X52" s="243">
        <f t="shared" si="1"/>
        <v>551.7821463344967</v>
      </c>
      <c r="Y52" s="243"/>
    </row>
    <row r="53" spans="1:25" x14ac:dyDescent="0.2">
      <c r="A53" s="1">
        <f t="shared" si="2"/>
        <v>37847.931000000055</v>
      </c>
      <c r="B53" s="243">
        <f>IF($A$1="Peak","-",IF(BaseLoad!H52&gt;BaseLoad!$G52,B$8*PPA!$I$5*BaseLoad!$AM$9,0))</f>
        <v>0.89542270861659523</v>
      </c>
      <c r="C53" s="243">
        <f>IF($A$1="Peak","-",IF(BaseLoad!I52&gt;BaseLoad!$G52,C$8*PPA!$I$5*BaseLoad!$AM$9,0))</f>
        <v>0.89542270861659523</v>
      </c>
      <c r="D53" s="243">
        <f>IF($A$1="Peak","-",IF(BaseLoad!J52&gt;BaseLoad!$G52,D$8*PPA!$I$5*BaseLoad!$AM$9,0))</f>
        <v>1.7908454172331905</v>
      </c>
      <c r="E53" s="243">
        <f>IF($A$1="Peak","-",IF(BaseLoad!K52&gt;BaseLoad!$G52,E$8*PPA!$I$5*BaseLoad!$AM$9,0))</f>
        <v>3.5816908344663809</v>
      </c>
      <c r="F53" s="243">
        <f>IF($A$1="Peak","-",IF(BaseLoad!L52&gt;BaseLoad!$G52,F$8*PPA!$I$5*BaseLoad!$AM$9,0))</f>
        <v>3.5816908344663809</v>
      </c>
      <c r="G53" s="243">
        <f>IF($A$1="Peak","-",IF(BaseLoad!M52&gt;BaseLoad!$G52,G$8*PPA!$I$5*BaseLoad!$AM$9,0))</f>
        <v>7.1633816689327618</v>
      </c>
      <c r="H53" s="243">
        <f>IF($A$1="Peak","-",IF(BaseLoad!N52&gt;BaseLoad!$G52,H$8*PPA!$I$5*BaseLoad!$AM$9,0))</f>
        <v>7.1633816689327618</v>
      </c>
      <c r="I53" s="243">
        <f>IF($A$1="Peak","-",IF(BaseLoad!O52&gt;BaseLoad!$G52,I$8*PPA!$I$5*BaseLoad!$AM$9,0))</f>
        <v>7.1633816689327618</v>
      </c>
      <c r="J53" s="243">
        <f>IF($A$1="Peak","-",IF(BaseLoad!P52&gt;BaseLoad!$G52,J$8*PPA!$I$5*BaseLoad!$AM$9,0))</f>
        <v>7.1633816689327618</v>
      </c>
      <c r="K53" s="243">
        <f>IF($A$1="Peak","-",IF(BaseLoad!Q52&gt;BaseLoad!$G52,K$8*PPA!$I$5*BaseLoad!$AM$9,0))</f>
        <v>7.1633816689327618</v>
      </c>
      <c r="L53" s="243">
        <f>IF($A$1="Peak","-",IF(BaseLoad!R52&gt;BaseLoad!$G52,L$8*PPA!$I$5*BaseLoad!$AM$9,0))</f>
        <v>7.1633816689327618</v>
      </c>
      <c r="M53" s="243">
        <f>IF($A$1="Peak","-",IF(BaseLoad!S52&gt;BaseLoad!$G52,M$8*PPA!$I$5*BaseLoad!$AM$9,0))</f>
        <v>7.1633816689327618</v>
      </c>
      <c r="N53" s="243">
        <f>IF($A$1="Peak","-",IF(BaseLoad!T52&gt;BaseLoad!$G52,N$8*PPA!$I$5*BaseLoad!$AM$9,0))</f>
        <v>7.1633816689327618</v>
      </c>
      <c r="O53" s="243">
        <f>IF($A$1="Peak","-",IF(BaseLoad!U52&gt;BaseLoad!$G52,O$8*PPA!$I$5*BaseLoad!$AM$9,0))</f>
        <v>7.1633816689327618</v>
      </c>
      <c r="P53" s="243">
        <f>IF($A$1="Peak","-",IF(BaseLoad!V52&gt;BaseLoad!$G52,P$8*PPA!$I$5*BaseLoad!$AM$9,0))</f>
        <v>7.1633816689327618</v>
      </c>
      <c r="Q53" s="243">
        <f>IF($A$1="Peak","-",IF(BaseLoad!W52&gt;BaseLoad!$G52,Q$8*PPA!$I$5*BaseLoad!$AM$9,0))</f>
        <v>7.1633816689327618</v>
      </c>
      <c r="R53" s="243">
        <f>IF($A$1="Peak","-",IF(BaseLoad!X52&gt;BaseLoad!$G52,R$8*PPA!$I$5*BaseLoad!$AM$9,0))</f>
        <v>7.1633816689327618</v>
      </c>
      <c r="S53" s="243">
        <f>IF($A$1="Peak","-",IF(BaseLoad!Y52&gt;BaseLoad!$G52,S$8*PPA!$I$5*BaseLoad!$AM$9,0))</f>
        <v>7.1633816689327618</v>
      </c>
      <c r="T53" s="243">
        <f>IF($A$1="Peak","-",IF(BaseLoad!Z52&gt;BaseLoad!$G52,T$8*PPA!$I$5*BaseLoad!$AM$9,0))</f>
        <v>7.1633816689327618</v>
      </c>
      <c r="U53" s="243">
        <f>IF($A$1="Peak","-",IF(BaseLoad!AA52&gt;BaseLoad!$G52,U$8*PPA!$I$5*BaseLoad!$AM$9,0))</f>
        <v>19.699299589565094</v>
      </c>
      <c r="V53" s="243">
        <f t="shared" si="0"/>
        <v>130.73171545802288</v>
      </c>
      <c r="W53" s="243">
        <f>IF($A$1="Peak","-",(730*PPA!$G$4*BaseLoad!$AP$9))</f>
        <v>421.0504308764738</v>
      </c>
      <c r="X53" s="243">
        <f t="shared" si="1"/>
        <v>551.7821463344967</v>
      </c>
      <c r="Y53" s="243"/>
    </row>
    <row r="54" spans="1:25" x14ac:dyDescent="0.2">
      <c r="A54" s="1">
        <f t="shared" si="2"/>
        <v>37878.348000000056</v>
      </c>
      <c r="B54" s="243">
        <f>IF($A$1="Peak","-",IF(BaseLoad!H53&gt;BaseLoad!$G53,B$8*PPA!$I$5*BaseLoad!$AM$9,0))</f>
        <v>0.89542270861659523</v>
      </c>
      <c r="C54" s="243">
        <f>IF($A$1="Peak","-",IF(BaseLoad!I53&gt;BaseLoad!$G53,C$8*PPA!$I$5*BaseLoad!$AM$9,0))</f>
        <v>0.89542270861659523</v>
      </c>
      <c r="D54" s="243">
        <f>IF($A$1="Peak","-",IF(BaseLoad!J53&gt;BaseLoad!$G53,D$8*PPA!$I$5*BaseLoad!$AM$9,0))</f>
        <v>1.7908454172331905</v>
      </c>
      <c r="E54" s="243">
        <f>IF($A$1="Peak","-",IF(BaseLoad!K53&gt;BaseLoad!$G53,E$8*PPA!$I$5*BaseLoad!$AM$9,0))</f>
        <v>3.5816908344663809</v>
      </c>
      <c r="F54" s="243">
        <f>IF($A$1="Peak","-",IF(BaseLoad!L53&gt;BaseLoad!$G53,F$8*PPA!$I$5*BaseLoad!$AM$9,0))</f>
        <v>3.5816908344663809</v>
      </c>
      <c r="G54" s="243">
        <f>IF($A$1="Peak","-",IF(BaseLoad!M53&gt;BaseLoad!$G53,G$8*PPA!$I$5*BaseLoad!$AM$9,0))</f>
        <v>7.1633816689327618</v>
      </c>
      <c r="H54" s="243">
        <f>IF($A$1="Peak","-",IF(BaseLoad!N53&gt;BaseLoad!$G53,H$8*PPA!$I$5*BaseLoad!$AM$9,0))</f>
        <v>7.1633816689327618</v>
      </c>
      <c r="I54" s="243">
        <f>IF($A$1="Peak","-",IF(BaseLoad!O53&gt;BaseLoad!$G53,I$8*PPA!$I$5*BaseLoad!$AM$9,0))</f>
        <v>7.1633816689327618</v>
      </c>
      <c r="J54" s="243">
        <f>IF($A$1="Peak","-",IF(BaseLoad!P53&gt;BaseLoad!$G53,J$8*PPA!$I$5*BaseLoad!$AM$9,0))</f>
        <v>7.1633816689327618</v>
      </c>
      <c r="K54" s="243">
        <f>IF($A$1="Peak","-",IF(BaseLoad!Q53&gt;BaseLoad!$G53,K$8*PPA!$I$5*BaseLoad!$AM$9,0))</f>
        <v>7.1633816689327618</v>
      </c>
      <c r="L54" s="243">
        <f>IF($A$1="Peak","-",IF(BaseLoad!R53&gt;BaseLoad!$G53,L$8*PPA!$I$5*BaseLoad!$AM$9,0))</f>
        <v>7.1633816689327618</v>
      </c>
      <c r="M54" s="243">
        <f>IF($A$1="Peak","-",IF(BaseLoad!S53&gt;BaseLoad!$G53,M$8*PPA!$I$5*BaseLoad!$AM$9,0))</f>
        <v>7.1633816689327618</v>
      </c>
      <c r="N54" s="243">
        <f>IF($A$1="Peak","-",IF(BaseLoad!T53&gt;BaseLoad!$G53,N$8*PPA!$I$5*BaseLoad!$AM$9,0))</f>
        <v>7.1633816689327618</v>
      </c>
      <c r="O54" s="243">
        <f>IF($A$1="Peak","-",IF(BaseLoad!U53&gt;BaseLoad!$G53,O$8*PPA!$I$5*BaseLoad!$AM$9,0))</f>
        <v>7.1633816689327618</v>
      </c>
      <c r="P54" s="243">
        <f>IF($A$1="Peak","-",IF(BaseLoad!V53&gt;BaseLoad!$G53,P$8*PPA!$I$5*BaseLoad!$AM$9,0))</f>
        <v>7.1633816689327618</v>
      </c>
      <c r="Q54" s="243">
        <f>IF($A$1="Peak","-",IF(BaseLoad!W53&gt;BaseLoad!$G53,Q$8*PPA!$I$5*BaseLoad!$AM$9,0))</f>
        <v>7.1633816689327618</v>
      </c>
      <c r="R54" s="243">
        <f>IF($A$1="Peak","-",IF(BaseLoad!X53&gt;BaseLoad!$G53,R$8*PPA!$I$5*BaseLoad!$AM$9,0))</f>
        <v>7.1633816689327618</v>
      </c>
      <c r="S54" s="243">
        <f>IF($A$1="Peak","-",IF(BaseLoad!Y53&gt;BaseLoad!$G53,S$8*PPA!$I$5*BaseLoad!$AM$9,0))</f>
        <v>7.1633816689327618</v>
      </c>
      <c r="T54" s="243">
        <f>IF($A$1="Peak","-",IF(BaseLoad!Z53&gt;BaseLoad!$G53,T$8*PPA!$I$5*BaseLoad!$AM$9,0))</f>
        <v>7.1633816689327618</v>
      </c>
      <c r="U54" s="243">
        <f>IF($A$1="Peak","-",IF(BaseLoad!AA53&gt;BaseLoad!$G53,U$8*PPA!$I$5*BaseLoad!$AM$9,0))</f>
        <v>19.699299589565094</v>
      </c>
      <c r="V54" s="243">
        <f t="shared" si="0"/>
        <v>130.73171545802288</v>
      </c>
      <c r="W54" s="243">
        <f>IF($A$1="Peak","-",(730*PPA!$G$4*BaseLoad!$AP$9))</f>
        <v>421.0504308764738</v>
      </c>
      <c r="X54" s="243">
        <f t="shared" si="1"/>
        <v>551.7821463344967</v>
      </c>
      <c r="Y54" s="243"/>
    </row>
    <row r="55" spans="1:25" x14ac:dyDescent="0.2">
      <c r="A55" s="1">
        <f t="shared" si="2"/>
        <v>37908.765000000058</v>
      </c>
      <c r="B55" s="243">
        <f>IF($A$1="Peak","-",IF(BaseLoad!H54&gt;BaseLoad!$G54,B$8*PPA!$I$5*BaseLoad!$AM$9,0))</f>
        <v>0.89542270861659523</v>
      </c>
      <c r="C55" s="243">
        <f>IF($A$1="Peak","-",IF(BaseLoad!I54&gt;BaseLoad!$G54,C$8*PPA!$I$5*BaseLoad!$AM$9,0))</f>
        <v>0.89542270861659523</v>
      </c>
      <c r="D55" s="243">
        <f>IF($A$1="Peak","-",IF(BaseLoad!J54&gt;BaseLoad!$G54,D$8*PPA!$I$5*BaseLoad!$AM$9,0))</f>
        <v>1.7908454172331905</v>
      </c>
      <c r="E55" s="243">
        <f>IF($A$1="Peak","-",IF(BaseLoad!K54&gt;BaseLoad!$G54,E$8*PPA!$I$5*BaseLoad!$AM$9,0))</f>
        <v>3.5816908344663809</v>
      </c>
      <c r="F55" s="243">
        <f>IF($A$1="Peak","-",IF(BaseLoad!L54&gt;BaseLoad!$G54,F$8*PPA!$I$5*BaseLoad!$AM$9,0))</f>
        <v>3.5816908344663809</v>
      </c>
      <c r="G55" s="243">
        <f>IF($A$1="Peak","-",IF(BaseLoad!M54&gt;BaseLoad!$G54,G$8*PPA!$I$5*BaseLoad!$AM$9,0))</f>
        <v>7.1633816689327618</v>
      </c>
      <c r="H55" s="243">
        <f>IF($A$1="Peak","-",IF(BaseLoad!N54&gt;BaseLoad!$G54,H$8*PPA!$I$5*BaseLoad!$AM$9,0))</f>
        <v>7.1633816689327618</v>
      </c>
      <c r="I55" s="243">
        <f>IF($A$1="Peak","-",IF(BaseLoad!O54&gt;BaseLoad!$G54,I$8*PPA!$I$5*BaseLoad!$AM$9,0))</f>
        <v>7.1633816689327618</v>
      </c>
      <c r="J55" s="243">
        <f>IF($A$1="Peak","-",IF(BaseLoad!P54&gt;BaseLoad!$G54,J$8*PPA!$I$5*BaseLoad!$AM$9,0))</f>
        <v>7.1633816689327618</v>
      </c>
      <c r="K55" s="243">
        <f>IF($A$1="Peak","-",IF(BaseLoad!Q54&gt;BaseLoad!$G54,K$8*PPA!$I$5*BaseLoad!$AM$9,0))</f>
        <v>7.1633816689327618</v>
      </c>
      <c r="L55" s="243">
        <f>IF($A$1="Peak","-",IF(BaseLoad!R54&gt;BaseLoad!$G54,L$8*PPA!$I$5*BaseLoad!$AM$9,0))</f>
        <v>7.1633816689327618</v>
      </c>
      <c r="M55" s="243">
        <f>IF($A$1="Peak","-",IF(BaseLoad!S54&gt;BaseLoad!$G54,M$8*PPA!$I$5*BaseLoad!$AM$9,0))</f>
        <v>7.1633816689327618</v>
      </c>
      <c r="N55" s="243">
        <f>IF($A$1="Peak","-",IF(BaseLoad!T54&gt;BaseLoad!$G54,N$8*PPA!$I$5*BaseLoad!$AM$9,0))</f>
        <v>7.1633816689327618</v>
      </c>
      <c r="O55" s="243">
        <f>IF($A$1="Peak","-",IF(BaseLoad!U54&gt;BaseLoad!$G54,O$8*PPA!$I$5*BaseLoad!$AM$9,0))</f>
        <v>7.1633816689327618</v>
      </c>
      <c r="P55" s="243">
        <f>IF($A$1="Peak","-",IF(BaseLoad!V54&gt;BaseLoad!$G54,P$8*PPA!$I$5*BaseLoad!$AM$9,0))</f>
        <v>7.1633816689327618</v>
      </c>
      <c r="Q55" s="243">
        <f>IF($A$1="Peak","-",IF(BaseLoad!W54&gt;BaseLoad!$G54,Q$8*PPA!$I$5*BaseLoad!$AM$9,0))</f>
        <v>7.1633816689327618</v>
      </c>
      <c r="R55" s="243">
        <f>IF($A$1="Peak","-",IF(BaseLoad!X54&gt;BaseLoad!$G54,R$8*PPA!$I$5*BaseLoad!$AM$9,0))</f>
        <v>7.1633816689327618</v>
      </c>
      <c r="S55" s="243">
        <f>IF($A$1="Peak","-",IF(BaseLoad!Y54&gt;BaseLoad!$G54,S$8*PPA!$I$5*BaseLoad!$AM$9,0))</f>
        <v>7.1633816689327618</v>
      </c>
      <c r="T55" s="243">
        <f>IF($A$1="Peak","-",IF(BaseLoad!Z54&gt;BaseLoad!$G54,T$8*PPA!$I$5*BaseLoad!$AM$9,0))</f>
        <v>7.1633816689327618</v>
      </c>
      <c r="U55" s="243">
        <f>IF($A$1="Peak","-",IF(BaseLoad!AA54&gt;BaseLoad!$G54,U$8*PPA!$I$5*BaseLoad!$AM$9,0))</f>
        <v>19.699299589565094</v>
      </c>
      <c r="V55" s="243">
        <f t="shared" si="0"/>
        <v>130.73171545802288</v>
      </c>
      <c r="W55" s="243">
        <f>IF($A$1="Peak","-",(730*PPA!$G$4*BaseLoad!$AP$9))</f>
        <v>421.0504308764738</v>
      </c>
      <c r="X55" s="243">
        <f t="shared" si="1"/>
        <v>551.7821463344967</v>
      </c>
      <c r="Y55" s="243"/>
    </row>
    <row r="56" spans="1:25" x14ac:dyDescent="0.2">
      <c r="A56" s="1">
        <f t="shared" si="2"/>
        <v>37939.182000000059</v>
      </c>
      <c r="B56" s="243">
        <f>IF($A$1="Peak","-",IF(BaseLoad!H55&gt;BaseLoad!$G55,B$8*PPA!$I$5*BaseLoad!$AM$9,0))</f>
        <v>0.89542270861659523</v>
      </c>
      <c r="C56" s="243">
        <f>IF($A$1="Peak","-",IF(BaseLoad!I55&gt;BaseLoad!$G55,C$8*PPA!$I$5*BaseLoad!$AM$9,0))</f>
        <v>0.89542270861659523</v>
      </c>
      <c r="D56" s="243">
        <f>IF($A$1="Peak","-",IF(BaseLoad!J55&gt;BaseLoad!$G55,D$8*PPA!$I$5*BaseLoad!$AM$9,0))</f>
        <v>1.7908454172331905</v>
      </c>
      <c r="E56" s="243">
        <f>IF($A$1="Peak","-",IF(BaseLoad!K55&gt;BaseLoad!$G55,E$8*PPA!$I$5*BaseLoad!$AM$9,0))</f>
        <v>3.5816908344663809</v>
      </c>
      <c r="F56" s="243">
        <f>IF($A$1="Peak","-",IF(BaseLoad!L55&gt;BaseLoad!$G55,F$8*PPA!$I$5*BaseLoad!$AM$9,0))</f>
        <v>3.5816908344663809</v>
      </c>
      <c r="G56" s="243">
        <f>IF($A$1="Peak","-",IF(BaseLoad!M55&gt;BaseLoad!$G55,G$8*PPA!$I$5*BaseLoad!$AM$9,0))</f>
        <v>7.1633816689327618</v>
      </c>
      <c r="H56" s="243">
        <f>IF($A$1="Peak","-",IF(BaseLoad!N55&gt;BaseLoad!$G55,H$8*PPA!$I$5*BaseLoad!$AM$9,0))</f>
        <v>7.1633816689327618</v>
      </c>
      <c r="I56" s="243">
        <f>IF($A$1="Peak","-",IF(BaseLoad!O55&gt;BaseLoad!$G55,I$8*PPA!$I$5*BaseLoad!$AM$9,0))</f>
        <v>7.1633816689327618</v>
      </c>
      <c r="J56" s="243">
        <f>IF($A$1="Peak","-",IF(BaseLoad!P55&gt;BaseLoad!$G55,J$8*PPA!$I$5*BaseLoad!$AM$9,0))</f>
        <v>7.1633816689327618</v>
      </c>
      <c r="K56" s="243">
        <f>IF($A$1="Peak","-",IF(BaseLoad!Q55&gt;BaseLoad!$G55,K$8*PPA!$I$5*BaseLoad!$AM$9,0))</f>
        <v>7.1633816689327618</v>
      </c>
      <c r="L56" s="243">
        <f>IF($A$1="Peak","-",IF(BaseLoad!R55&gt;BaseLoad!$G55,L$8*PPA!$I$5*BaseLoad!$AM$9,0))</f>
        <v>7.1633816689327618</v>
      </c>
      <c r="M56" s="243">
        <f>IF($A$1="Peak","-",IF(BaseLoad!S55&gt;BaseLoad!$G55,M$8*PPA!$I$5*BaseLoad!$AM$9,0))</f>
        <v>7.1633816689327618</v>
      </c>
      <c r="N56" s="243">
        <f>IF($A$1="Peak","-",IF(BaseLoad!T55&gt;BaseLoad!$G55,N$8*PPA!$I$5*BaseLoad!$AM$9,0))</f>
        <v>7.1633816689327618</v>
      </c>
      <c r="O56" s="243">
        <f>IF($A$1="Peak","-",IF(BaseLoad!U55&gt;BaseLoad!$G55,O$8*PPA!$I$5*BaseLoad!$AM$9,0))</f>
        <v>7.1633816689327618</v>
      </c>
      <c r="P56" s="243">
        <f>IF($A$1="Peak","-",IF(BaseLoad!V55&gt;BaseLoad!$G55,P$8*PPA!$I$5*BaseLoad!$AM$9,0))</f>
        <v>7.1633816689327618</v>
      </c>
      <c r="Q56" s="243">
        <f>IF($A$1="Peak","-",IF(BaseLoad!W55&gt;BaseLoad!$G55,Q$8*PPA!$I$5*BaseLoad!$AM$9,0))</f>
        <v>7.1633816689327618</v>
      </c>
      <c r="R56" s="243">
        <f>IF($A$1="Peak","-",IF(BaseLoad!X55&gt;BaseLoad!$G55,R$8*PPA!$I$5*BaseLoad!$AM$9,0))</f>
        <v>7.1633816689327618</v>
      </c>
      <c r="S56" s="243">
        <f>IF($A$1="Peak","-",IF(BaseLoad!Y55&gt;BaseLoad!$G55,S$8*PPA!$I$5*BaseLoad!$AM$9,0))</f>
        <v>7.1633816689327618</v>
      </c>
      <c r="T56" s="243">
        <f>IF($A$1="Peak","-",IF(BaseLoad!Z55&gt;BaseLoad!$G55,T$8*PPA!$I$5*BaseLoad!$AM$9,0))</f>
        <v>7.1633816689327618</v>
      </c>
      <c r="U56" s="243">
        <f>IF($A$1="Peak","-",IF(BaseLoad!AA55&gt;BaseLoad!$G55,U$8*PPA!$I$5*BaseLoad!$AM$9,0))</f>
        <v>19.699299589565094</v>
      </c>
      <c r="V56" s="243">
        <f t="shared" si="0"/>
        <v>130.73171545802288</v>
      </c>
      <c r="W56" s="243">
        <f>IF($A$1="Peak","-",(730*PPA!$G$4*BaseLoad!$AP$9))</f>
        <v>421.0504308764738</v>
      </c>
      <c r="X56" s="243">
        <f t="shared" si="1"/>
        <v>551.7821463344967</v>
      </c>
      <c r="Y56" s="243"/>
    </row>
    <row r="57" spans="1:25" x14ac:dyDescent="0.2">
      <c r="A57" s="1">
        <f t="shared" si="2"/>
        <v>37969.59900000006</v>
      </c>
      <c r="B57" s="243">
        <f>IF($A$1="Peak","-",IF(BaseLoad!H56&gt;BaseLoad!$G56,B$8*PPA!$I$5*BaseLoad!$AM$9,0))</f>
        <v>0.89542270861659523</v>
      </c>
      <c r="C57" s="243">
        <f>IF($A$1="Peak","-",IF(BaseLoad!I56&gt;BaseLoad!$G56,C$8*PPA!$I$5*BaseLoad!$AM$9,0))</f>
        <v>0.89542270861659523</v>
      </c>
      <c r="D57" s="243">
        <f>IF($A$1="Peak","-",IF(BaseLoad!J56&gt;BaseLoad!$G56,D$8*PPA!$I$5*BaseLoad!$AM$9,0))</f>
        <v>1.7908454172331905</v>
      </c>
      <c r="E57" s="243">
        <f>IF($A$1="Peak","-",IF(BaseLoad!K56&gt;BaseLoad!$G56,E$8*PPA!$I$5*BaseLoad!$AM$9,0))</f>
        <v>3.5816908344663809</v>
      </c>
      <c r="F57" s="243">
        <f>IF($A$1="Peak","-",IF(BaseLoad!L56&gt;BaseLoad!$G56,F$8*PPA!$I$5*BaseLoad!$AM$9,0))</f>
        <v>3.5816908344663809</v>
      </c>
      <c r="G57" s="243">
        <f>IF($A$1="Peak","-",IF(BaseLoad!M56&gt;BaseLoad!$G56,G$8*PPA!$I$5*BaseLoad!$AM$9,0))</f>
        <v>7.1633816689327618</v>
      </c>
      <c r="H57" s="243">
        <f>IF($A$1="Peak","-",IF(BaseLoad!N56&gt;BaseLoad!$G56,H$8*PPA!$I$5*BaseLoad!$AM$9,0))</f>
        <v>7.1633816689327618</v>
      </c>
      <c r="I57" s="243">
        <f>IF($A$1="Peak","-",IF(BaseLoad!O56&gt;BaseLoad!$G56,I$8*PPA!$I$5*BaseLoad!$AM$9,0))</f>
        <v>7.1633816689327618</v>
      </c>
      <c r="J57" s="243">
        <f>IF($A$1="Peak","-",IF(BaseLoad!P56&gt;BaseLoad!$G56,J$8*PPA!$I$5*BaseLoad!$AM$9,0))</f>
        <v>7.1633816689327618</v>
      </c>
      <c r="K57" s="243">
        <f>IF($A$1="Peak","-",IF(BaseLoad!Q56&gt;BaseLoad!$G56,K$8*PPA!$I$5*BaseLoad!$AM$9,0))</f>
        <v>7.1633816689327618</v>
      </c>
      <c r="L57" s="243">
        <f>IF($A$1="Peak","-",IF(BaseLoad!R56&gt;BaseLoad!$G56,L$8*PPA!$I$5*BaseLoad!$AM$9,0))</f>
        <v>7.1633816689327618</v>
      </c>
      <c r="M57" s="243">
        <f>IF($A$1="Peak","-",IF(BaseLoad!S56&gt;BaseLoad!$G56,M$8*PPA!$I$5*BaseLoad!$AM$9,0))</f>
        <v>7.1633816689327618</v>
      </c>
      <c r="N57" s="243">
        <f>IF($A$1="Peak","-",IF(BaseLoad!T56&gt;BaseLoad!$G56,N$8*PPA!$I$5*BaseLoad!$AM$9,0))</f>
        <v>7.1633816689327618</v>
      </c>
      <c r="O57" s="243">
        <f>IF($A$1="Peak","-",IF(BaseLoad!U56&gt;BaseLoad!$G56,O$8*PPA!$I$5*BaseLoad!$AM$9,0))</f>
        <v>7.1633816689327618</v>
      </c>
      <c r="P57" s="243">
        <f>IF($A$1="Peak","-",IF(BaseLoad!V56&gt;BaseLoad!$G56,P$8*PPA!$I$5*BaseLoad!$AM$9,0))</f>
        <v>7.1633816689327618</v>
      </c>
      <c r="Q57" s="243">
        <f>IF($A$1="Peak","-",IF(BaseLoad!W56&gt;BaseLoad!$G56,Q$8*PPA!$I$5*BaseLoad!$AM$9,0))</f>
        <v>7.1633816689327618</v>
      </c>
      <c r="R57" s="243">
        <f>IF($A$1="Peak","-",IF(BaseLoad!X56&gt;BaseLoad!$G56,R$8*PPA!$I$5*BaseLoad!$AM$9,0))</f>
        <v>7.1633816689327618</v>
      </c>
      <c r="S57" s="243">
        <f>IF($A$1="Peak","-",IF(BaseLoad!Y56&gt;BaseLoad!$G56,S$8*PPA!$I$5*BaseLoad!$AM$9,0))</f>
        <v>7.1633816689327618</v>
      </c>
      <c r="T57" s="243">
        <f>IF($A$1="Peak","-",IF(BaseLoad!Z56&gt;BaseLoad!$G56,T$8*PPA!$I$5*BaseLoad!$AM$9,0))</f>
        <v>7.1633816689327618</v>
      </c>
      <c r="U57" s="243">
        <f>IF($A$1="Peak","-",IF(BaseLoad!AA56&gt;BaseLoad!$G56,U$8*PPA!$I$5*BaseLoad!$AM$9,0))</f>
        <v>19.699299589565094</v>
      </c>
      <c r="V57" s="243">
        <f t="shared" si="0"/>
        <v>130.73171545802288</v>
      </c>
      <c r="W57" s="243">
        <f>IF($A$1="Peak","-",(730*PPA!$G$4*BaseLoad!$AP$9))</f>
        <v>421.0504308764738</v>
      </c>
      <c r="X57" s="243">
        <f t="shared" si="1"/>
        <v>551.7821463344967</v>
      </c>
      <c r="Y57" s="243">
        <f>SUM(X46:X57)</f>
        <v>6621.3857560139622</v>
      </c>
    </row>
    <row r="58" spans="1:25" x14ac:dyDescent="0.2">
      <c r="A58" s="1">
        <f t="shared" si="2"/>
        <v>38000.016000000061</v>
      </c>
      <c r="B58" s="243">
        <f>IF($A$1="Peak","-",IF(BaseLoad!H57&gt;BaseLoad!$G57,B$8*PPA!$J$5*BaseLoad!$AM$9,0))</f>
        <v>0.84064652954278829</v>
      </c>
      <c r="C58" s="243">
        <f>IF($A$1="Peak","-",IF(BaseLoad!I57&gt;BaseLoad!$G57,C$8*PPA!$J$5*BaseLoad!$AM$9,0))</f>
        <v>0.84064652954278829</v>
      </c>
      <c r="D58" s="243">
        <f>IF($A$1="Peak","-",IF(BaseLoad!J57&gt;BaseLoad!$G57,D$8*PPA!$J$5*BaseLoad!$AM$9,0))</f>
        <v>1.6812930590855766</v>
      </c>
      <c r="E58" s="243">
        <f>IF($A$1="Peak","-",IF(BaseLoad!K57&gt;BaseLoad!$G57,E$8*PPA!$J$5*BaseLoad!$AM$9,0))</f>
        <v>3.3625861181711532</v>
      </c>
      <c r="F58" s="243">
        <f>IF($A$1="Peak","-",IF(BaseLoad!L57&gt;BaseLoad!$G57,F$8*PPA!$J$5*BaseLoad!$AM$9,0))</f>
        <v>3.3625861181711532</v>
      </c>
      <c r="G58" s="243">
        <f>IF($A$1="Peak","-",IF(BaseLoad!M57&gt;BaseLoad!$G57,G$8*PPA!$J$5*BaseLoad!$AM$9,0))</f>
        <v>6.7251722363423063</v>
      </c>
      <c r="H58" s="243">
        <f>IF($A$1="Peak","-",IF(BaseLoad!N57&gt;BaseLoad!$G57,H$8*PPA!$J$5*BaseLoad!$AM$9,0))</f>
        <v>6.7251722363423063</v>
      </c>
      <c r="I58" s="243">
        <f>IF($A$1="Peak","-",IF(BaseLoad!O57&gt;BaseLoad!$G57,I$8*PPA!$J$5*BaseLoad!$AM$9,0))</f>
        <v>6.7251722363423063</v>
      </c>
      <c r="J58" s="243">
        <f>IF($A$1="Peak","-",IF(BaseLoad!P57&gt;BaseLoad!$G57,J$8*PPA!$J$5*BaseLoad!$AM$9,0))</f>
        <v>6.7251722363423063</v>
      </c>
      <c r="K58" s="243">
        <f>IF($A$1="Peak","-",IF(BaseLoad!Q57&gt;BaseLoad!$G57,K$8*PPA!$J$5*BaseLoad!$AM$9,0))</f>
        <v>6.7251722363423063</v>
      </c>
      <c r="L58" s="243">
        <f>IF($A$1="Peak","-",IF(BaseLoad!R57&gt;BaseLoad!$G57,L$8*PPA!$J$5*BaseLoad!$AM$9,0))</f>
        <v>6.7251722363423063</v>
      </c>
      <c r="M58" s="243">
        <f>IF($A$1="Peak","-",IF(BaseLoad!S57&gt;BaseLoad!$G57,M$8*PPA!$J$5*BaseLoad!$AM$9,0))</f>
        <v>6.7251722363423063</v>
      </c>
      <c r="N58" s="243">
        <f>IF($A$1="Peak","-",IF(BaseLoad!T57&gt;BaseLoad!$G57,N$8*PPA!$J$5*BaseLoad!$AM$9,0))</f>
        <v>6.7251722363423063</v>
      </c>
      <c r="O58" s="243">
        <f>IF($A$1="Peak","-",IF(BaseLoad!U57&gt;BaseLoad!$G57,O$8*PPA!$J$5*BaseLoad!$AM$9,0))</f>
        <v>6.7251722363423063</v>
      </c>
      <c r="P58" s="243">
        <f>IF($A$1="Peak","-",IF(BaseLoad!V57&gt;BaseLoad!$G57,P$8*PPA!$J$5*BaseLoad!$AM$9,0))</f>
        <v>6.7251722363423063</v>
      </c>
      <c r="Q58" s="243">
        <f>IF($A$1="Peak","-",IF(BaseLoad!W57&gt;BaseLoad!$G57,Q$8*PPA!$J$5*BaseLoad!$AM$9,0))</f>
        <v>6.7251722363423063</v>
      </c>
      <c r="R58" s="243">
        <f>IF($A$1="Peak","-",IF(BaseLoad!X57&gt;BaseLoad!$G57,R$8*PPA!$J$5*BaseLoad!$AM$9,0))</f>
        <v>6.7251722363423063</v>
      </c>
      <c r="S58" s="243">
        <f>IF($A$1="Peak","-",IF(BaseLoad!Y57&gt;BaseLoad!$G57,S$8*PPA!$J$5*BaseLoad!$AM$9,0))</f>
        <v>6.7251722363423063</v>
      </c>
      <c r="T58" s="243">
        <f>IF($A$1="Peak","-",IF(BaseLoad!Z57&gt;BaseLoad!$G57,T$8*PPA!$J$5*BaseLoad!$AM$9,0))</f>
        <v>6.7251722363423063</v>
      </c>
      <c r="U58" s="243">
        <f>IF($A$1="Peak","-",IF(BaseLoad!AA57&gt;BaseLoad!$G57,U$8*PPA!$J$5*BaseLoad!$AM$9,0))</f>
        <v>18.49422364994134</v>
      </c>
      <c r="V58" s="243">
        <f t="shared" si="0"/>
        <v>122.73439331324704</v>
      </c>
      <c r="W58" s="243">
        <f>IF($A$1="Peak","-",(730*PPA!$G$4*BaseLoad!$AP$9))</f>
        <v>421.0504308764738</v>
      </c>
      <c r="X58" s="243">
        <f t="shared" si="1"/>
        <v>543.78482418972089</v>
      </c>
      <c r="Y58" s="243"/>
    </row>
    <row r="59" spans="1:25" x14ac:dyDescent="0.2">
      <c r="A59" s="1">
        <f t="shared" si="2"/>
        <v>38030.433000000063</v>
      </c>
      <c r="B59" s="243">
        <f>IF($A$1="Peak","-",IF(BaseLoad!H58&gt;BaseLoad!$G58,B$8*PPA!$J$5*BaseLoad!$AM$9,0))</f>
        <v>0.84064652954278829</v>
      </c>
      <c r="C59" s="243">
        <f>IF($A$1="Peak","-",IF(BaseLoad!I58&gt;BaseLoad!$G58,C$8*PPA!$J$5*BaseLoad!$AM$9,0))</f>
        <v>0.84064652954278829</v>
      </c>
      <c r="D59" s="243">
        <f>IF($A$1="Peak","-",IF(BaseLoad!J58&gt;BaseLoad!$G58,D$8*PPA!$J$5*BaseLoad!$AM$9,0))</f>
        <v>1.6812930590855766</v>
      </c>
      <c r="E59" s="243">
        <f>IF($A$1="Peak","-",IF(BaseLoad!K58&gt;BaseLoad!$G58,E$8*PPA!$J$5*BaseLoad!$AM$9,0))</f>
        <v>3.3625861181711532</v>
      </c>
      <c r="F59" s="243">
        <f>IF($A$1="Peak","-",IF(BaseLoad!L58&gt;BaseLoad!$G58,F$8*PPA!$J$5*BaseLoad!$AM$9,0))</f>
        <v>3.3625861181711532</v>
      </c>
      <c r="G59" s="243">
        <f>IF($A$1="Peak","-",IF(BaseLoad!M58&gt;BaseLoad!$G58,G$8*PPA!$J$5*BaseLoad!$AM$9,0))</f>
        <v>6.7251722363423063</v>
      </c>
      <c r="H59" s="243">
        <f>IF($A$1="Peak","-",IF(BaseLoad!N58&gt;BaseLoad!$G58,H$8*PPA!$J$5*BaseLoad!$AM$9,0))</f>
        <v>6.7251722363423063</v>
      </c>
      <c r="I59" s="243">
        <f>IF($A$1="Peak","-",IF(BaseLoad!O58&gt;BaseLoad!$G58,I$8*PPA!$J$5*BaseLoad!$AM$9,0))</f>
        <v>6.7251722363423063</v>
      </c>
      <c r="J59" s="243">
        <f>IF($A$1="Peak","-",IF(BaseLoad!P58&gt;BaseLoad!$G58,J$8*PPA!$J$5*BaseLoad!$AM$9,0))</f>
        <v>6.7251722363423063</v>
      </c>
      <c r="K59" s="243">
        <f>IF($A$1="Peak","-",IF(BaseLoad!Q58&gt;BaseLoad!$G58,K$8*PPA!$J$5*BaseLoad!$AM$9,0))</f>
        <v>6.7251722363423063</v>
      </c>
      <c r="L59" s="243">
        <f>IF($A$1="Peak","-",IF(BaseLoad!R58&gt;BaseLoad!$G58,L$8*PPA!$J$5*BaseLoad!$AM$9,0))</f>
        <v>6.7251722363423063</v>
      </c>
      <c r="M59" s="243">
        <f>IF($A$1="Peak","-",IF(BaseLoad!S58&gt;BaseLoad!$G58,M$8*PPA!$J$5*BaseLoad!$AM$9,0))</f>
        <v>6.7251722363423063</v>
      </c>
      <c r="N59" s="243">
        <f>IF($A$1="Peak","-",IF(BaseLoad!T58&gt;BaseLoad!$G58,N$8*PPA!$J$5*BaseLoad!$AM$9,0))</f>
        <v>6.7251722363423063</v>
      </c>
      <c r="O59" s="243">
        <f>IF($A$1="Peak","-",IF(BaseLoad!U58&gt;BaseLoad!$G58,O$8*PPA!$J$5*BaseLoad!$AM$9,0))</f>
        <v>6.7251722363423063</v>
      </c>
      <c r="P59" s="243">
        <f>IF($A$1="Peak","-",IF(BaseLoad!V58&gt;BaseLoad!$G58,P$8*PPA!$J$5*BaseLoad!$AM$9,0))</f>
        <v>6.7251722363423063</v>
      </c>
      <c r="Q59" s="243">
        <f>IF($A$1="Peak","-",IF(BaseLoad!W58&gt;BaseLoad!$G58,Q$8*PPA!$J$5*BaseLoad!$AM$9,0))</f>
        <v>6.7251722363423063</v>
      </c>
      <c r="R59" s="243">
        <f>IF($A$1="Peak","-",IF(BaseLoad!X58&gt;BaseLoad!$G58,R$8*PPA!$J$5*BaseLoad!$AM$9,0))</f>
        <v>6.7251722363423063</v>
      </c>
      <c r="S59" s="243">
        <f>IF($A$1="Peak","-",IF(BaseLoad!Y58&gt;BaseLoad!$G58,S$8*PPA!$J$5*BaseLoad!$AM$9,0))</f>
        <v>6.7251722363423063</v>
      </c>
      <c r="T59" s="243">
        <f>IF($A$1="Peak","-",IF(BaseLoad!Z58&gt;BaseLoad!$G58,T$8*PPA!$J$5*BaseLoad!$AM$9,0))</f>
        <v>6.7251722363423063</v>
      </c>
      <c r="U59" s="243">
        <f>IF($A$1="Peak","-",IF(BaseLoad!AA58&gt;BaseLoad!$G58,U$8*PPA!$J$5*BaseLoad!$AM$9,0))</f>
        <v>18.49422364994134</v>
      </c>
      <c r="V59" s="243">
        <f t="shared" si="0"/>
        <v>122.73439331324704</v>
      </c>
      <c r="W59" s="243">
        <f>IF($A$1="Peak","-",(730*PPA!$G$4*BaseLoad!$AP$9))</f>
        <v>421.0504308764738</v>
      </c>
      <c r="X59" s="243">
        <f t="shared" si="1"/>
        <v>543.78482418972089</v>
      </c>
      <c r="Y59" s="243"/>
    </row>
    <row r="60" spans="1:25" x14ac:dyDescent="0.2">
      <c r="A60" s="1">
        <f t="shared" si="2"/>
        <v>38060.850000000064</v>
      </c>
      <c r="B60" s="243">
        <f>IF($A$1="Peak","-",IF(BaseLoad!H59&gt;BaseLoad!$G59,B$8*PPA!$J$5*BaseLoad!$AM$9,0))</f>
        <v>0.84064652954278829</v>
      </c>
      <c r="C60" s="243">
        <f>IF($A$1="Peak","-",IF(BaseLoad!I59&gt;BaseLoad!$G59,C$8*PPA!$J$5*BaseLoad!$AM$9,0))</f>
        <v>0.84064652954278829</v>
      </c>
      <c r="D60" s="243">
        <f>IF($A$1="Peak","-",IF(BaseLoad!J59&gt;BaseLoad!$G59,D$8*PPA!$J$5*BaseLoad!$AM$9,0))</f>
        <v>1.6812930590855766</v>
      </c>
      <c r="E60" s="243">
        <f>IF($A$1="Peak","-",IF(BaseLoad!K59&gt;BaseLoad!$G59,E$8*PPA!$J$5*BaseLoad!$AM$9,0))</f>
        <v>3.3625861181711532</v>
      </c>
      <c r="F60" s="243">
        <f>IF($A$1="Peak","-",IF(BaseLoad!L59&gt;BaseLoad!$G59,F$8*PPA!$J$5*BaseLoad!$AM$9,0))</f>
        <v>3.3625861181711532</v>
      </c>
      <c r="G60" s="243">
        <f>IF($A$1="Peak","-",IF(BaseLoad!M59&gt;BaseLoad!$G59,G$8*PPA!$J$5*BaseLoad!$AM$9,0))</f>
        <v>6.7251722363423063</v>
      </c>
      <c r="H60" s="243">
        <f>IF($A$1="Peak","-",IF(BaseLoad!N59&gt;BaseLoad!$G59,H$8*PPA!$J$5*BaseLoad!$AM$9,0))</f>
        <v>6.7251722363423063</v>
      </c>
      <c r="I60" s="243">
        <f>IF($A$1="Peak","-",IF(BaseLoad!O59&gt;BaseLoad!$G59,I$8*PPA!$J$5*BaseLoad!$AM$9,0))</f>
        <v>6.7251722363423063</v>
      </c>
      <c r="J60" s="243">
        <f>IF($A$1="Peak","-",IF(BaseLoad!P59&gt;BaseLoad!$G59,J$8*PPA!$J$5*BaseLoad!$AM$9,0))</f>
        <v>6.7251722363423063</v>
      </c>
      <c r="K60" s="243">
        <f>IF($A$1="Peak","-",IF(BaseLoad!Q59&gt;BaseLoad!$G59,K$8*PPA!$J$5*BaseLoad!$AM$9,0))</f>
        <v>6.7251722363423063</v>
      </c>
      <c r="L60" s="243">
        <f>IF($A$1="Peak","-",IF(BaseLoad!R59&gt;BaseLoad!$G59,L$8*PPA!$J$5*BaseLoad!$AM$9,0))</f>
        <v>6.7251722363423063</v>
      </c>
      <c r="M60" s="243">
        <f>IF($A$1="Peak","-",IF(BaseLoad!S59&gt;BaseLoad!$G59,M$8*PPA!$J$5*BaseLoad!$AM$9,0))</f>
        <v>6.7251722363423063</v>
      </c>
      <c r="N60" s="243">
        <f>IF($A$1="Peak","-",IF(BaseLoad!T59&gt;BaseLoad!$G59,N$8*PPA!$J$5*BaseLoad!$AM$9,0))</f>
        <v>6.7251722363423063</v>
      </c>
      <c r="O60" s="243">
        <f>IF($A$1="Peak","-",IF(BaseLoad!U59&gt;BaseLoad!$G59,O$8*PPA!$J$5*BaseLoad!$AM$9,0))</f>
        <v>6.7251722363423063</v>
      </c>
      <c r="P60" s="243">
        <f>IF($A$1="Peak","-",IF(BaseLoad!V59&gt;BaseLoad!$G59,P$8*PPA!$J$5*BaseLoad!$AM$9,0))</f>
        <v>6.7251722363423063</v>
      </c>
      <c r="Q60" s="243">
        <f>IF($A$1="Peak","-",IF(BaseLoad!W59&gt;BaseLoad!$G59,Q$8*PPA!$J$5*BaseLoad!$AM$9,0))</f>
        <v>6.7251722363423063</v>
      </c>
      <c r="R60" s="243">
        <f>IF($A$1="Peak","-",IF(BaseLoad!X59&gt;BaseLoad!$G59,R$8*PPA!$J$5*BaseLoad!$AM$9,0))</f>
        <v>6.7251722363423063</v>
      </c>
      <c r="S60" s="243">
        <f>IF($A$1="Peak","-",IF(BaseLoad!Y59&gt;BaseLoad!$G59,S$8*PPA!$J$5*BaseLoad!$AM$9,0))</f>
        <v>6.7251722363423063</v>
      </c>
      <c r="T60" s="243">
        <f>IF($A$1="Peak","-",IF(BaseLoad!Z59&gt;BaseLoad!$G59,T$8*PPA!$J$5*BaseLoad!$AM$9,0))</f>
        <v>6.7251722363423063</v>
      </c>
      <c r="U60" s="243">
        <f>IF($A$1="Peak","-",IF(BaseLoad!AA59&gt;BaseLoad!$G59,U$8*PPA!$J$5*BaseLoad!$AM$9,0))</f>
        <v>18.49422364994134</v>
      </c>
      <c r="V60" s="243">
        <f t="shared" si="0"/>
        <v>122.73439331324704</v>
      </c>
      <c r="W60" s="243">
        <f>IF($A$1="Peak","-",(730*PPA!$G$4*BaseLoad!$AP$9))</f>
        <v>421.0504308764738</v>
      </c>
      <c r="X60" s="243">
        <f t="shared" si="1"/>
        <v>543.78482418972089</v>
      </c>
      <c r="Y60" s="243"/>
    </row>
    <row r="61" spans="1:25" x14ac:dyDescent="0.2">
      <c r="A61" s="1">
        <f t="shared" si="2"/>
        <v>38091.267000000065</v>
      </c>
      <c r="B61" s="243">
        <f>IF($A$1="Peak","-",IF(BaseLoad!H60&gt;BaseLoad!$G60,B$8*PPA!$J$5*BaseLoad!$AM$9,0))</f>
        <v>0.84064652954278829</v>
      </c>
      <c r="C61" s="243">
        <f>IF($A$1="Peak","-",IF(BaseLoad!I60&gt;BaseLoad!$G60,C$8*PPA!$J$5*BaseLoad!$AM$9,0))</f>
        <v>0.84064652954278829</v>
      </c>
      <c r="D61" s="243">
        <f>IF($A$1="Peak","-",IF(BaseLoad!J60&gt;BaseLoad!$G60,D$8*PPA!$J$5*BaseLoad!$AM$9,0))</f>
        <v>1.6812930590855766</v>
      </c>
      <c r="E61" s="243">
        <f>IF($A$1="Peak","-",IF(BaseLoad!K60&gt;BaseLoad!$G60,E$8*PPA!$J$5*BaseLoad!$AM$9,0))</f>
        <v>3.3625861181711532</v>
      </c>
      <c r="F61" s="243">
        <f>IF($A$1="Peak","-",IF(BaseLoad!L60&gt;BaseLoad!$G60,F$8*PPA!$J$5*BaseLoad!$AM$9,0))</f>
        <v>3.3625861181711532</v>
      </c>
      <c r="G61" s="243">
        <f>IF($A$1="Peak","-",IF(BaseLoad!M60&gt;BaseLoad!$G60,G$8*PPA!$J$5*BaseLoad!$AM$9,0))</f>
        <v>6.7251722363423063</v>
      </c>
      <c r="H61" s="243">
        <f>IF($A$1="Peak","-",IF(BaseLoad!N60&gt;BaseLoad!$G60,H$8*PPA!$J$5*BaseLoad!$AM$9,0))</f>
        <v>6.7251722363423063</v>
      </c>
      <c r="I61" s="243">
        <f>IF($A$1="Peak","-",IF(BaseLoad!O60&gt;BaseLoad!$G60,I$8*PPA!$J$5*BaseLoad!$AM$9,0))</f>
        <v>6.7251722363423063</v>
      </c>
      <c r="J61" s="243">
        <f>IF($A$1="Peak","-",IF(BaseLoad!P60&gt;BaseLoad!$G60,J$8*PPA!$J$5*BaseLoad!$AM$9,0))</f>
        <v>6.7251722363423063</v>
      </c>
      <c r="K61" s="243">
        <f>IF($A$1="Peak","-",IF(BaseLoad!Q60&gt;BaseLoad!$G60,K$8*PPA!$J$5*BaseLoad!$AM$9,0))</f>
        <v>6.7251722363423063</v>
      </c>
      <c r="L61" s="243">
        <f>IF($A$1="Peak","-",IF(BaseLoad!R60&gt;BaseLoad!$G60,L$8*PPA!$J$5*BaseLoad!$AM$9,0))</f>
        <v>6.7251722363423063</v>
      </c>
      <c r="M61" s="243">
        <f>IF($A$1="Peak","-",IF(BaseLoad!S60&gt;BaseLoad!$G60,M$8*PPA!$J$5*BaseLoad!$AM$9,0))</f>
        <v>6.7251722363423063</v>
      </c>
      <c r="N61" s="243">
        <f>IF($A$1="Peak","-",IF(BaseLoad!T60&gt;BaseLoad!$G60,N$8*PPA!$J$5*BaseLoad!$AM$9,0))</f>
        <v>6.7251722363423063</v>
      </c>
      <c r="O61" s="243">
        <f>IF($A$1="Peak","-",IF(BaseLoad!U60&gt;BaseLoad!$G60,O$8*PPA!$J$5*BaseLoad!$AM$9,0))</f>
        <v>6.7251722363423063</v>
      </c>
      <c r="P61" s="243">
        <f>IF($A$1="Peak","-",IF(BaseLoad!V60&gt;BaseLoad!$G60,P$8*PPA!$J$5*BaseLoad!$AM$9,0))</f>
        <v>6.7251722363423063</v>
      </c>
      <c r="Q61" s="243">
        <f>IF($A$1="Peak","-",IF(BaseLoad!W60&gt;BaseLoad!$G60,Q$8*PPA!$J$5*BaseLoad!$AM$9,0))</f>
        <v>6.7251722363423063</v>
      </c>
      <c r="R61" s="243">
        <f>IF($A$1="Peak","-",IF(BaseLoad!X60&gt;BaseLoad!$G60,R$8*PPA!$J$5*BaseLoad!$AM$9,0))</f>
        <v>6.7251722363423063</v>
      </c>
      <c r="S61" s="243">
        <f>IF($A$1="Peak","-",IF(BaseLoad!Y60&gt;BaseLoad!$G60,S$8*PPA!$J$5*BaseLoad!$AM$9,0))</f>
        <v>6.7251722363423063</v>
      </c>
      <c r="T61" s="243">
        <f>IF($A$1="Peak","-",IF(BaseLoad!Z60&gt;BaseLoad!$G60,T$8*PPA!$J$5*BaseLoad!$AM$9,0))</f>
        <v>6.7251722363423063</v>
      </c>
      <c r="U61" s="243">
        <f>IF($A$1="Peak","-",IF(BaseLoad!AA60&gt;BaseLoad!$G60,U$8*PPA!$J$5*BaseLoad!$AM$9,0))</f>
        <v>18.49422364994134</v>
      </c>
      <c r="V61" s="243">
        <f t="shared" si="0"/>
        <v>122.73439331324704</v>
      </c>
      <c r="W61" s="243">
        <f>IF($A$1="Peak","-",(730*PPA!$G$4*BaseLoad!$AP$9))</f>
        <v>421.0504308764738</v>
      </c>
      <c r="X61" s="243">
        <f t="shared" si="1"/>
        <v>543.78482418972089</v>
      </c>
      <c r="Y61" s="243"/>
    </row>
    <row r="62" spans="1:25" x14ac:dyDescent="0.2">
      <c r="A62" s="1">
        <f t="shared" si="2"/>
        <v>38121.684000000067</v>
      </c>
      <c r="B62" s="243">
        <f>IF($A$1="Peak","-",IF(BaseLoad!H61&gt;BaseLoad!$G61,B$8*PPA!$J$5*BaseLoad!$AM$9,0))</f>
        <v>0.84064652954278829</v>
      </c>
      <c r="C62" s="243">
        <f>IF($A$1="Peak","-",IF(BaseLoad!I61&gt;BaseLoad!$G61,C$8*PPA!$J$5*BaseLoad!$AM$9,0))</f>
        <v>0.84064652954278829</v>
      </c>
      <c r="D62" s="243">
        <f>IF($A$1="Peak","-",IF(BaseLoad!J61&gt;BaseLoad!$G61,D$8*PPA!$J$5*BaseLoad!$AM$9,0))</f>
        <v>1.6812930590855766</v>
      </c>
      <c r="E62" s="243">
        <f>IF($A$1="Peak","-",IF(BaseLoad!K61&gt;BaseLoad!$G61,E$8*PPA!$J$5*BaseLoad!$AM$9,0))</f>
        <v>3.3625861181711532</v>
      </c>
      <c r="F62" s="243">
        <f>IF($A$1="Peak","-",IF(BaseLoad!L61&gt;BaseLoad!$G61,F$8*PPA!$J$5*BaseLoad!$AM$9,0))</f>
        <v>3.3625861181711532</v>
      </c>
      <c r="G62" s="243">
        <f>IF($A$1="Peak","-",IF(BaseLoad!M61&gt;BaseLoad!$G61,G$8*PPA!$J$5*BaseLoad!$AM$9,0))</f>
        <v>6.7251722363423063</v>
      </c>
      <c r="H62" s="243">
        <f>IF($A$1="Peak","-",IF(BaseLoad!N61&gt;BaseLoad!$G61,H$8*PPA!$J$5*BaseLoad!$AM$9,0))</f>
        <v>6.7251722363423063</v>
      </c>
      <c r="I62" s="243">
        <f>IF($A$1="Peak","-",IF(BaseLoad!O61&gt;BaseLoad!$G61,I$8*PPA!$J$5*BaseLoad!$AM$9,0))</f>
        <v>6.7251722363423063</v>
      </c>
      <c r="J62" s="243">
        <f>IF($A$1="Peak","-",IF(BaseLoad!P61&gt;BaseLoad!$G61,J$8*PPA!$J$5*BaseLoad!$AM$9,0))</f>
        <v>6.7251722363423063</v>
      </c>
      <c r="K62" s="243">
        <f>IF($A$1="Peak","-",IF(BaseLoad!Q61&gt;BaseLoad!$G61,K$8*PPA!$J$5*BaseLoad!$AM$9,0))</f>
        <v>6.7251722363423063</v>
      </c>
      <c r="L62" s="243">
        <f>IF($A$1="Peak","-",IF(BaseLoad!R61&gt;BaseLoad!$G61,L$8*PPA!$J$5*BaseLoad!$AM$9,0))</f>
        <v>6.7251722363423063</v>
      </c>
      <c r="M62" s="243">
        <f>IF($A$1="Peak","-",IF(BaseLoad!S61&gt;BaseLoad!$G61,M$8*PPA!$J$5*BaseLoad!$AM$9,0))</f>
        <v>6.7251722363423063</v>
      </c>
      <c r="N62" s="243">
        <f>IF($A$1="Peak","-",IF(BaseLoad!T61&gt;BaseLoad!$G61,N$8*PPA!$J$5*BaseLoad!$AM$9,0))</f>
        <v>6.7251722363423063</v>
      </c>
      <c r="O62" s="243">
        <f>IF($A$1="Peak","-",IF(BaseLoad!U61&gt;BaseLoad!$G61,O$8*PPA!$J$5*BaseLoad!$AM$9,0))</f>
        <v>6.7251722363423063</v>
      </c>
      <c r="P62" s="243">
        <f>IF($A$1="Peak","-",IF(BaseLoad!V61&gt;BaseLoad!$G61,P$8*PPA!$J$5*BaseLoad!$AM$9,0))</f>
        <v>6.7251722363423063</v>
      </c>
      <c r="Q62" s="243">
        <f>IF($A$1="Peak","-",IF(BaseLoad!W61&gt;BaseLoad!$G61,Q$8*PPA!$J$5*BaseLoad!$AM$9,0))</f>
        <v>6.7251722363423063</v>
      </c>
      <c r="R62" s="243">
        <f>IF($A$1="Peak","-",IF(BaseLoad!X61&gt;BaseLoad!$G61,R$8*PPA!$J$5*BaseLoad!$AM$9,0))</f>
        <v>6.7251722363423063</v>
      </c>
      <c r="S62" s="243">
        <f>IF($A$1="Peak","-",IF(BaseLoad!Y61&gt;BaseLoad!$G61,S$8*PPA!$J$5*BaseLoad!$AM$9,0))</f>
        <v>6.7251722363423063</v>
      </c>
      <c r="T62" s="243">
        <f>IF($A$1="Peak","-",IF(BaseLoad!Z61&gt;BaseLoad!$G61,T$8*PPA!$J$5*BaseLoad!$AM$9,0))</f>
        <v>6.7251722363423063</v>
      </c>
      <c r="U62" s="243">
        <f>IF($A$1="Peak","-",IF(BaseLoad!AA61&gt;BaseLoad!$G61,U$8*PPA!$J$5*BaseLoad!$AM$9,0))</f>
        <v>18.49422364994134</v>
      </c>
      <c r="V62" s="243">
        <f t="shared" si="0"/>
        <v>122.73439331324704</v>
      </c>
      <c r="W62" s="243">
        <f>IF($A$1="Peak","-",(730*PPA!$G$4*BaseLoad!$AP$9))</f>
        <v>421.0504308764738</v>
      </c>
      <c r="X62" s="243">
        <f t="shared" si="1"/>
        <v>543.78482418972089</v>
      </c>
      <c r="Y62" s="243"/>
    </row>
    <row r="63" spans="1:25" x14ac:dyDescent="0.2">
      <c r="A63" s="1">
        <f t="shared" si="2"/>
        <v>38152.101000000068</v>
      </c>
      <c r="B63" s="243">
        <f>IF($A$1="Peak","-",IF(BaseLoad!H62&gt;BaseLoad!$G62,B$8*PPA!$J$5*BaseLoad!$AM$9,0))</f>
        <v>0.84064652954278829</v>
      </c>
      <c r="C63" s="243">
        <f>IF($A$1="Peak","-",IF(BaseLoad!I62&gt;BaseLoad!$G62,C$8*PPA!$J$5*BaseLoad!$AM$9,0))</f>
        <v>0.84064652954278829</v>
      </c>
      <c r="D63" s="243">
        <f>IF($A$1="Peak","-",IF(BaseLoad!J62&gt;BaseLoad!$G62,D$8*PPA!$J$5*BaseLoad!$AM$9,0))</f>
        <v>1.6812930590855766</v>
      </c>
      <c r="E63" s="243">
        <f>IF($A$1="Peak","-",IF(BaseLoad!K62&gt;BaseLoad!$G62,E$8*PPA!$J$5*BaseLoad!$AM$9,0))</f>
        <v>3.3625861181711532</v>
      </c>
      <c r="F63" s="243">
        <f>IF($A$1="Peak","-",IF(BaseLoad!L62&gt;BaseLoad!$G62,F$8*PPA!$J$5*BaseLoad!$AM$9,0))</f>
        <v>3.3625861181711532</v>
      </c>
      <c r="G63" s="243">
        <f>IF($A$1="Peak","-",IF(BaseLoad!M62&gt;BaseLoad!$G62,G$8*PPA!$J$5*BaseLoad!$AM$9,0))</f>
        <v>6.7251722363423063</v>
      </c>
      <c r="H63" s="243">
        <f>IF($A$1="Peak","-",IF(BaseLoad!N62&gt;BaseLoad!$G62,H$8*PPA!$J$5*BaseLoad!$AM$9,0))</f>
        <v>6.7251722363423063</v>
      </c>
      <c r="I63" s="243">
        <f>IF($A$1="Peak","-",IF(BaseLoad!O62&gt;BaseLoad!$G62,I$8*PPA!$J$5*BaseLoad!$AM$9,0))</f>
        <v>6.7251722363423063</v>
      </c>
      <c r="J63" s="243">
        <f>IF($A$1="Peak","-",IF(BaseLoad!P62&gt;BaseLoad!$G62,J$8*PPA!$J$5*BaseLoad!$AM$9,0))</f>
        <v>6.7251722363423063</v>
      </c>
      <c r="K63" s="243">
        <f>IF($A$1="Peak","-",IF(BaseLoad!Q62&gt;BaseLoad!$G62,K$8*PPA!$J$5*BaseLoad!$AM$9,0))</f>
        <v>6.7251722363423063</v>
      </c>
      <c r="L63" s="243">
        <f>IF($A$1="Peak","-",IF(BaseLoad!R62&gt;BaseLoad!$G62,L$8*PPA!$J$5*BaseLoad!$AM$9,0))</f>
        <v>6.7251722363423063</v>
      </c>
      <c r="M63" s="243">
        <f>IF($A$1="Peak","-",IF(BaseLoad!S62&gt;BaseLoad!$G62,M$8*PPA!$J$5*BaseLoad!$AM$9,0))</f>
        <v>6.7251722363423063</v>
      </c>
      <c r="N63" s="243">
        <f>IF($A$1="Peak","-",IF(BaseLoad!T62&gt;BaseLoad!$G62,N$8*PPA!$J$5*BaseLoad!$AM$9,0))</f>
        <v>6.7251722363423063</v>
      </c>
      <c r="O63" s="243">
        <f>IF($A$1="Peak","-",IF(BaseLoad!U62&gt;BaseLoad!$G62,O$8*PPA!$J$5*BaseLoad!$AM$9,0))</f>
        <v>6.7251722363423063</v>
      </c>
      <c r="P63" s="243">
        <f>IF($A$1="Peak","-",IF(BaseLoad!V62&gt;BaseLoad!$G62,P$8*PPA!$J$5*BaseLoad!$AM$9,0))</f>
        <v>6.7251722363423063</v>
      </c>
      <c r="Q63" s="243">
        <f>IF($A$1="Peak","-",IF(BaseLoad!W62&gt;BaseLoad!$G62,Q$8*PPA!$J$5*BaseLoad!$AM$9,0))</f>
        <v>6.7251722363423063</v>
      </c>
      <c r="R63" s="243">
        <f>IF($A$1="Peak","-",IF(BaseLoad!X62&gt;BaseLoad!$G62,R$8*PPA!$J$5*BaseLoad!$AM$9,0))</f>
        <v>6.7251722363423063</v>
      </c>
      <c r="S63" s="243">
        <f>IF($A$1="Peak","-",IF(BaseLoad!Y62&gt;BaseLoad!$G62,S$8*PPA!$J$5*BaseLoad!$AM$9,0))</f>
        <v>6.7251722363423063</v>
      </c>
      <c r="T63" s="243">
        <f>IF($A$1="Peak","-",IF(BaseLoad!Z62&gt;BaseLoad!$G62,T$8*PPA!$J$5*BaseLoad!$AM$9,0))</f>
        <v>6.7251722363423063</v>
      </c>
      <c r="U63" s="243">
        <f>IF($A$1="Peak","-",IF(BaseLoad!AA62&gt;BaseLoad!$G62,U$8*PPA!$J$5*BaseLoad!$AM$9,0))</f>
        <v>18.49422364994134</v>
      </c>
      <c r="V63" s="243">
        <f t="shared" si="0"/>
        <v>122.73439331324704</v>
      </c>
      <c r="W63" s="243">
        <f>IF($A$1="Peak","-",(730*PPA!$G$4*BaseLoad!$AP$9))</f>
        <v>421.0504308764738</v>
      </c>
      <c r="X63" s="243">
        <f t="shared" si="1"/>
        <v>543.78482418972089</v>
      </c>
      <c r="Y63" s="243"/>
    </row>
    <row r="64" spans="1:25" x14ac:dyDescent="0.2">
      <c r="A64" s="1">
        <f t="shared" si="2"/>
        <v>38182.518000000069</v>
      </c>
      <c r="B64" s="243">
        <f>IF($A$1="Peak","-",IF(BaseLoad!H63&gt;BaseLoad!$G63,B$8*PPA!$J$5*BaseLoad!$AM$9,0))</f>
        <v>0.84064652954278829</v>
      </c>
      <c r="C64" s="243">
        <f>IF($A$1="Peak","-",IF(BaseLoad!I63&gt;BaseLoad!$G63,C$8*PPA!$J$5*BaseLoad!$AM$9,0))</f>
        <v>0.84064652954278829</v>
      </c>
      <c r="D64" s="243">
        <f>IF($A$1="Peak","-",IF(BaseLoad!J63&gt;BaseLoad!$G63,D$8*PPA!$J$5*BaseLoad!$AM$9,0))</f>
        <v>1.6812930590855766</v>
      </c>
      <c r="E64" s="243">
        <f>IF($A$1="Peak","-",IF(BaseLoad!K63&gt;BaseLoad!$G63,E$8*PPA!$J$5*BaseLoad!$AM$9,0))</f>
        <v>3.3625861181711532</v>
      </c>
      <c r="F64" s="243">
        <f>IF($A$1="Peak","-",IF(BaseLoad!L63&gt;BaseLoad!$G63,F$8*PPA!$J$5*BaseLoad!$AM$9,0))</f>
        <v>3.3625861181711532</v>
      </c>
      <c r="G64" s="243">
        <f>IF($A$1="Peak","-",IF(BaseLoad!M63&gt;BaseLoad!$G63,G$8*PPA!$J$5*BaseLoad!$AM$9,0))</f>
        <v>6.7251722363423063</v>
      </c>
      <c r="H64" s="243">
        <f>IF($A$1="Peak","-",IF(BaseLoad!N63&gt;BaseLoad!$G63,H$8*PPA!$J$5*BaseLoad!$AM$9,0))</f>
        <v>6.7251722363423063</v>
      </c>
      <c r="I64" s="243">
        <f>IF($A$1="Peak","-",IF(BaseLoad!O63&gt;BaseLoad!$G63,I$8*PPA!$J$5*BaseLoad!$AM$9,0))</f>
        <v>6.7251722363423063</v>
      </c>
      <c r="J64" s="243">
        <f>IF($A$1="Peak","-",IF(BaseLoad!P63&gt;BaseLoad!$G63,J$8*PPA!$J$5*BaseLoad!$AM$9,0))</f>
        <v>6.7251722363423063</v>
      </c>
      <c r="K64" s="243">
        <f>IF($A$1="Peak","-",IF(BaseLoad!Q63&gt;BaseLoad!$G63,K$8*PPA!$J$5*BaseLoad!$AM$9,0))</f>
        <v>6.7251722363423063</v>
      </c>
      <c r="L64" s="243">
        <f>IF($A$1="Peak","-",IF(BaseLoad!R63&gt;BaseLoad!$G63,L$8*PPA!$J$5*BaseLoad!$AM$9,0))</f>
        <v>6.7251722363423063</v>
      </c>
      <c r="M64" s="243">
        <f>IF($A$1="Peak","-",IF(BaseLoad!S63&gt;BaseLoad!$G63,M$8*PPA!$J$5*BaseLoad!$AM$9,0))</f>
        <v>6.7251722363423063</v>
      </c>
      <c r="N64" s="243">
        <f>IF($A$1="Peak","-",IF(BaseLoad!T63&gt;BaseLoad!$G63,N$8*PPA!$J$5*BaseLoad!$AM$9,0))</f>
        <v>6.7251722363423063</v>
      </c>
      <c r="O64" s="243">
        <f>IF($A$1="Peak","-",IF(BaseLoad!U63&gt;BaseLoad!$G63,O$8*PPA!$J$5*BaseLoad!$AM$9,0))</f>
        <v>6.7251722363423063</v>
      </c>
      <c r="P64" s="243">
        <f>IF($A$1="Peak","-",IF(BaseLoad!V63&gt;BaseLoad!$G63,P$8*PPA!$J$5*BaseLoad!$AM$9,0))</f>
        <v>6.7251722363423063</v>
      </c>
      <c r="Q64" s="243">
        <f>IF($A$1="Peak","-",IF(BaseLoad!W63&gt;BaseLoad!$G63,Q$8*PPA!$J$5*BaseLoad!$AM$9,0))</f>
        <v>6.7251722363423063</v>
      </c>
      <c r="R64" s="243">
        <f>IF($A$1="Peak","-",IF(BaseLoad!X63&gt;BaseLoad!$G63,R$8*PPA!$J$5*BaseLoad!$AM$9,0))</f>
        <v>6.7251722363423063</v>
      </c>
      <c r="S64" s="243">
        <f>IF($A$1="Peak","-",IF(BaseLoad!Y63&gt;BaseLoad!$G63,S$8*PPA!$J$5*BaseLoad!$AM$9,0))</f>
        <v>6.7251722363423063</v>
      </c>
      <c r="T64" s="243">
        <f>IF($A$1="Peak","-",IF(BaseLoad!Z63&gt;BaseLoad!$G63,T$8*PPA!$J$5*BaseLoad!$AM$9,0))</f>
        <v>6.7251722363423063</v>
      </c>
      <c r="U64" s="243">
        <f>IF($A$1="Peak","-",IF(BaseLoad!AA63&gt;BaseLoad!$G63,U$8*PPA!$J$5*BaseLoad!$AM$9,0))</f>
        <v>18.49422364994134</v>
      </c>
      <c r="V64" s="243">
        <f t="shared" si="0"/>
        <v>122.73439331324704</v>
      </c>
      <c r="W64" s="243">
        <f>IF($A$1="Peak","-",(730*PPA!$G$4*BaseLoad!$AP$9))</f>
        <v>421.0504308764738</v>
      </c>
      <c r="X64" s="243">
        <f t="shared" si="1"/>
        <v>543.78482418972089</v>
      </c>
      <c r="Y64" s="243"/>
    </row>
    <row r="65" spans="1:25" x14ac:dyDescent="0.2">
      <c r="A65" s="1">
        <f t="shared" si="2"/>
        <v>38212.93500000007</v>
      </c>
      <c r="B65" s="243">
        <f>IF($A$1="Peak","-",IF(BaseLoad!H64&gt;BaseLoad!$G64,B$8*PPA!$J$5*BaseLoad!$AM$9,0))</f>
        <v>0.84064652954278829</v>
      </c>
      <c r="C65" s="243">
        <f>IF($A$1="Peak","-",IF(BaseLoad!I64&gt;BaseLoad!$G64,C$8*PPA!$J$5*BaseLoad!$AM$9,0))</f>
        <v>0.84064652954278829</v>
      </c>
      <c r="D65" s="243">
        <f>IF($A$1="Peak","-",IF(BaseLoad!J64&gt;BaseLoad!$G64,D$8*PPA!$J$5*BaseLoad!$AM$9,0))</f>
        <v>1.6812930590855766</v>
      </c>
      <c r="E65" s="243">
        <f>IF($A$1="Peak","-",IF(BaseLoad!K64&gt;BaseLoad!$G64,E$8*PPA!$J$5*BaseLoad!$AM$9,0))</f>
        <v>3.3625861181711532</v>
      </c>
      <c r="F65" s="243">
        <f>IF($A$1="Peak","-",IF(BaseLoad!L64&gt;BaseLoad!$G64,F$8*PPA!$J$5*BaseLoad!$AM$9,0))</f>
        <v>3.3625861181711532</v>
      </c>
      <c r="G65" s="243">
        <f>IF($A$1="Peak","-",IF(BaseLoad!M64&gt;BaseLoad!$G64,G$8*PPA!$J$5*BaseLoad!$AM$9,0))</f>
        <v>6.7251722363423063</v>
      </c>
      <c r="H65" s="243">
        <f>IF($A$1="Peak","-",IF(BaseLoad!N64&gt;BaseLoad!$G64,H$8*PPA!$J$5*BaseLoad!$AM$9,0))</f>
        <v>6.7251722363423063</v>
      </c>
      <c r="I65" s="243">
        <f>IF($A$1="Peak","-",IF(BaseLoad!O64&gt;BaseLoad!$G64,I$8*PPA!$J$5*BaseLoad!$AM$9,0))</f>
        <v>6.7251722363423063</v>
      </c>
      <c r="J65" s="243">
        <f>IF($A$1="Peak","-",IF(BaseLoad!P64&gt;BaseLoad!$G64,J$8*PPA!$J$5*BaseLoad!$AM$9,0))</f>
        <v>6.7251722363423063</v>
      </c>
      <c r="K65" s="243">
        <f>IF($A$1="Peak","-",IF(BaseLoad!Q64&gt;BaseLoad!$G64,K$8*PPA!$J$5*BaseLoad!$AM$9,0))</f>
        <v>6.7251722363423063</v>
      </c>
      <c r="L65" s="243">
        <f>IF($A$1="Peak","-",IF(BaseLoad!R64&gt;BaseLoad!$G64,L$8*PPA!$J$5*BaseLoad!$AM$9,0))</f>
        <v>6.7251722363423063</v>
      </c>
      <c r="M65" s="243">
        <f>IF($A$1="Peak","-",IF(BaseLoad!S64&gt;BaseLoad!$G64,M$8*PPA!$J$5*BaseLoad!$AM$9,0))</f>
        <v>6.7251722363423063</v>
      </c>
      <c r="N65" s="243">
        <f>IF($A$1="Peak","-",IF(BaseLoad!T64&gt;BaseLoad!$G64,N$8*PPA!$J$5*BaseLoad!$AM$9,0))</f>
        <v>6.7251722363423063</v>
      </c>
      <c r="O65" s="243">
        <f>IF($A$1="Peak","-",IF(BaseLoad!U64&gt;BaseLoad!$G64,O$8*PPA!$J$5*BaseLoad!$AM$9,0))</f>
        <v>6.7251722363423063</v>
      </c>
      <c r="P65" s="243">
        <f>IF($A$1="Peak","-",IF(BaseLoad!V64&gt;BaseLoad!$G64,P$8*PPA!$J$5*BaseLoad!$AM$9,0))</f>
        <v>6.7251722363423063</v>
      </c>
      <c r="Q65" s="243">
        <f>IF($A$1="Peak","-",IF(BaseLoad!W64&gt;BaseLoad!$G64,Q$8*PPA!$J$5*BaseLoad!$AM$9,0))</f>
        <v>6.7251722363423063</v>
      </c>
      <c r="R65" s="243">
        <f>IF($A$1="Peak","-",IF(BaseLoad!X64&gt;BaseLoad!$G64,R$8*PPA!$J$5*BaseLoad!$AM$9,0))</f>
        <v>6.7251722363423063</v>
      </c>
      <c r="S65" s="243">
        <f>IF($A$1="Peak","-",IF(BaseLoad!Y64&gt;BaseLoad!$G64,S$8*PPA!$J$5*BaseLoad!$AM$9,0))</f>
        <v>6.7251722363423063</v>
      </c>
      <c r="T65" s="243">
        <f>IF($A$1="Peak","-",IF(BaseLoad!Z64&gt;BaseLoad!$G64,T$8*PPA!$J$5*BaseLoad!$AM$9,0))</f>
        <v>6.7251722363423063</v>
      </c>
      <c r="U65" s="243">
        <f>IF($A$1="Peak","-",IF(BaseLoad!AA64&gt;BaseLoad!$G64,U$8*PPA!$J$5*BaseLoad!$AM$9,0))</f>
        <v>18.49422364994134</v>
      </c>
      <c r="V65" s="243">
        <f t="shared" si="0"/>
        <v>122.73439331324704</v>
      </c>
      <c r="W65" s="243">
        <f>IF($A$1="Peak","-",(730*PPA!$G$4*BaseLoad!$AP$9))</f>
        <v>421.0504308764738</v>
      </c>
      <c r="X65" s="243">
        <f t="shared" si="1"/>
        <v>543.78482418972089</v>
      </c>
      <c r="Y65" s="243"/>
    </row>
    <row r="66" spans="1:25" x14ac:dyDescent="0.2">
      <c r="A66" s="1">
        <f t="shared" si="2"/>
        <v>38243.352000000072</v>
      </c>
      <c r="B66" s="243">
        <f>IF($A$1="Peak","-",IF(BaseLoad!H65&gt;BaseLoad!$G65,B$8*PPA!$J$5*BaseLoad!$AM$9,0))</f>
        <v>0.84064652954278829</v>
      </c>
      <c r="C66" s="243">
        <f>IF($A$1="Peak","-",IF(BaseLoad!I65&gt;BaseLoad!$G65,C$8*PPA!$J$5*BaseLoad!$AM$9,0))</f>
        <v>0.84064652954278829</v>
      </c>
      <c r="D66" s="243">
        <f>IF($A$1="Peak","-",IF(BaseLoad!J65&gt;BaseLoad!$G65,D$8*PPA!$J$5*BaseLoad!$AM$9,0))</f>
        <v>1.6812930590855766</v>
      </c>
      <c r="E66" s="243">
        <f>IF($A$1="Peak","-",IF(BaseLoad!K65&gt;BaseLoad!$G65,E$8*PPA!$J$5*BaseLoad!$AM$9,0))</f>
        <v>3.3625861181711532</v>
      </c>
      <c r="F66" s="243">
        <f>IF($A$1="Peak","-",IF(BaseLoad!L65&gt;BaseLoad!$G65,F$8*PPA!$J$5*BaseLoad!$AM$9,0))</f>
        <v>3.3625861181711532</v>
      </c>
      <c r="G66" s="243">
        <f>IF($A$1="Peak","-",IF(BaseLoad!M65&gt;BaseLoad!$G65,G$8*PPA!$J$5*BaseLoad!$AM$9,0))</f>
        <v>6.7251722363423063</v>
      </c>
      <c r="H66" s="243">
        <f>IF($A$1="Peak","-",IF(BaseLoad!N65&gt;BaseLoad!$G65,H$8*PPA!$J$5*BaseLoad!$AM$9,0))</f>
        <v>6.7251722363423063</v>
      </c>
      <c r="I66" s="243">
        <f>IF($A$1="Peak","-",IF(BaseLoad!O65&gt;BaseLoad!$G65,I$8*PPA!$J$5*BaseLoad!$AM$9,0))</f>
        <v>6.7251722363423063</v>
      </c>
      <c r="J66" s="243">
        <f>IF($A$1="Peak","-",IF(BaseLoad!P65&gt;BaseLoad!$G65,J$8*PPA!$J$5*BaseLoad!$AM$9,0))</f>
        <v>6.7251722363423063</v>
      </c>
      <c r="K66" s="243">
        <f>IF($A$1="Peak","-",IF(BaseLoad!Q65&gt;BaseLoad!$G65,K$8*PPA!$J$5*BaseLoad!$AM$9,0))</f>
        <v>6.7251722363423063</v>
      </c>
      <c r="L66" s="243">
        <f>IF($A$1="Peak","-",IF(BaseLoad!R65&gt;BaseLoad!$G65,L$8*PPA!$J$5*BaseLoad!$AM$9,0))</f>
        <v>6.7251722363423063</v>
      </c>
      <c r="M66" s="243">
        <f>IF($A$1="Peak","-",IF(BaseLoad!S65&gt;BaseLoad!$G65,M$8*PPA!$J$5*BaseLoad!$AM$9,0))</f>
        <v>6.7251722363423063</v>
      </c>
      <c r="N66" s="243">
        <f>IF($A$1="Peak","-",IF(BaseLoad!T65&gt;BaseLoad!$G65,N$8*PPA!$J$5*BaseLoad!$AM$9,0))</f>
        <v>6.7251722363423063</v>
      </c>
      <c r="O66" s="243">
        <f>IF($A$1="Peak","-",IF(BaseLoad!U65&gt;BaseLoad!$G65,O$8*PPA!$J$5*BaseLoad!$AM$9,0))</f>
        <v>6.7251722363423063</v>
      </c>
      <c r="P66" s="243">
        <f>IF($A$1="Peak","-",IF(BaseLoad!V65&gt;BaseLoad!$G65,P$8*PPA!$J$5*BaseLoad!$AM$9,0))</f>
        <v>6.7251722363423063</v>
      </c>
      <c r="Q66" s="243">
        <f>IF($A$1="Peak","-",IF(BaseLoad!W65&gt;BaseLoad!$G65,Q$8*PPA!$J$5*BaseLoad!$AM$9,0))</f>
        <v>6.7251722363423063</v>
      </c>
      <c r="R66" s="243">
        <f>IF($A$1="Peak","-",IF(BaseLoad!X65&gt;BaseLoad!$G65,R$8*PPA!$J$5*BaseLoad!$AM$9,0))</f>
        <v>6.7251722363423063</v>
      </c>
      <c r="S66" s="243">
        <f>IF($A$1="Peak","-",IF(BaseLoad!Y65&gt;BaseLoad!$G65,S$8*PPA!$J$5*BaseLoad!$AM$9,0))</f>
        <v>6.7251722363423063</v>
      </c>
      <c r="T66" s="243">
        <f>IF($A$1="Peak","-",IF(BaseLoad!Z65&gt;BaseLoad!$G65,T$8*PPA!$J$5*BaseLoad!$AM$9,0))</f>
        <v>6.7251722363423063</v>
      </c>
      <c r="U66" s="243">
        <f>IF($A$1="Peak","-",IF(BaseLoad!AA65&gt;BaseLoad!$G65,U$8*PPA!$J$5*BaseLoad!$AM$9,0))</f>
        <v>18.49422364994134</v>
      </c>
      <c r="V66" s="243">
        <f t="shared" si="0"/>
        <v>122.73439331324704</v>
      </c>
      <c r="W66" s="243">
        <f>IF($A$1="Peak","-",(730*PPA!$G$4*BaseLoad!$AP$9))</f>
        <v>421.0504308764738</v>
      </c>
      <c r="X66" s="243">
        <f t="shared" si="1"/>
        <v>543.78482418972089</v>
      </c>
      <c r="Y66" s="243"/>
    </row>
    <row r="67" spans="1:25" x14ac:dyDescent="0.2">
      <c r="A67" s="1">
        <f t="shared" si="2"/>
        <v>38273.769000000073</v>
      </c>
      <c r="B67" s="243">
        <f>IF($A$1="Peak","-",IF(BaseLoad!H66&gt;BaseLoad!$G66,B$8*PPA!$J$5*BaseLoad!$AM$9,0))</f>
        <v>0.84064652954278829</v>
      </c>
      <c r="C67" s="243">
        <f>IF($A$1="Peak","-",IF(BaseLoad!I66&gt;BaseLoad!$G66,C$8*PPA!$J$5*BaseLoad!$AM$9,0))</f>
        <v>0.84064652954278829</v>
      </c>
      <c r="D67" s="243">
        <f>IF($A$1="Peak","-",IF(BaseLoad!J66&gt;BaseLoad!$G66,D$8*PPA!$J$5*BaseLoad!$AM$9,0))</f>
        <v>1.6812930590855766</v>
      </c>
      <c r="E67" s="243">
        <f>IF($A$1="Peak","-",IF(BaseLoad!K66&gt;BaseLoad!$G66,E$8*PPA!$J$5*BaseLoad!$AM$9,0))</f>
        <v>3.3625861181711532</v>
      </c>
      <c r="F67" s="243">
        <f>IF($A$1="Peak","-",IF(BaseLoad!L66&gt;BaseLoad!$G66,F$8*PPA!$J$5*BaseLoad!$AM$9,0))</f>
        <v>3.3625861181711532</v>
      </c>
      <c r="G67" s="243">
        <f>IF($A$1="Peak","-",IF(BaseLoad!M66&gt;BaseLoad!$G66,G$8*PPA!$J$5*BaseLoad!$AM$9,0))</f>
        <v>6.7251722363423063</v>
      </c>
      <c r="H67" s="243">
        <f>IF($A$1="Peak","-",IF(BaseLoad!N66&gt;BaseLoad!$G66,H$8*PPA!$J$5*BaseLoad!$AM$9,0))</f>
        <v>6.7251722363423063</v>
      </c>
      <c r="I67" s="243">
        <f>IF($A$1="Peak","-",IF(BaseLoad!O66&gt;BaseLoad!$G66,I$8*PPA!$J$5*BaseLoad!$AM$9,0))</f>
        <v>6.7251722363423063</v>
      </c>
      <c r="J67" s="243">
        <f>IF($A$1="Peak","-",IF(BaseLoad!P66&gt;BaseLoad!$G66,J$8*PPA!$J$5*BaseLoad!$AM$9,0))</f>
        <v>6.7251722363423063</v>
      </c>
      <c r="K67" s="243">
        <f>IF($A$1="Peak","-",IF(BaseLoad!Q66&gt;BaseLoad!$G66,K$8*PPA!$J$5*BaseLoad!$AM$9,0))</f>
        <v>6.7251722363423063</v>
      </c>
      <c r="L67" s="243">
        <f>IF($A$1="Peak","-",IF(BaseLoad!R66&gt;BaseLoad!$G66,L$8*PPA!$J$5*BaseLoad!$AM$9,0))</f>
        <v>6.7251722363423063</v>
      </c>
      <c r="M67" s="243">
        <f>IF($A$1="Peak","-",IF(BaseLoad!S66&gt;BaseLoad!$G66,M$8*PPA!$J$5*BaseLoad!$AM$9,0))</f>
        <v>6.7251722363423063</v>
      </c>
      <c r="N67" s="243">
        <f>IF($A$1="Peak","-",IF(BaseLoad!T66&gt;BaseLoad!$G66,N$8*PPA!$J$5*BaseLoad!$AM$9,0))</f>
        <v>6.7251722363423063</v>
      </c>
      <c r="O67" s="243">
        <f>IF($A$1="Peak","-",IF(BaseLoad!U66&gt;BaseLoad!$G66,O$8*PPA!$J$5*BaseLoad!$AM$9,0))</f>
        <v>6.7251722363423063</v>
      </c>
      <c r="P67" s="243">
        <f>IF($A$1="Peak","-",IF(BaseLoad!V66&gt;BaseLoad!$G66,P$8*PPA!$J$5*BaseLoad!$AM$9,0))</f>
        <v>6.7251722363423063</v>
      </c>
      <c r="Q67" s="243">
        <f>IF($A$1="Peak","-",IF(BaseLoad!W66&gt;BaseLoad!$G66,Q$8*PPA!$J$5*BaseLoad!$AM$9,0))</f>
        <v>6.7251722363423063</v>
      </c>
      <c r="R67" s="243">
        <f>IF($A$1="Peak","-",IF(BaseLoad!X66&gt;BaseLoad!$G66,R$8*PPA!$J$5*BaseLoad!$AM$9,0))</f>
        <v>6.7251722363423063</v>
      </c>
      <c r="S67" s="243">
        <f>IF($A$1="Peak","-",IF(BaseLoad!Y66&gt;BaseLoad!$G66,S$8*PPA!$J$5*BaseLoad!$AM$9,0))</f>
        <v>6.7251722363423063</v>
      </c>
      <c r="T67" s="243">
        <f>IF($A$1="Peak","-",IF(BaseLoad!Z66&gt;BaseLoad!$G66,T$8*PPA!$J$5*BaseLoad!$AM$9,0))</f>
        <v>6.7251722363423063</v>
      </c>
      <c r="U67" s="243">
        <f>IF($A$1="Peak","-",IF(BaseLoad!AA66&gt;BaseLoad!$G66,U$8*PPA!$J$5*BaseLoad!$AM$9,0))</f>
        <v>18.49422364994134</v>
      </c>
      <c r="V67" s="243">
        <f t="shared" si="0"/>
        <v>122.73439331324704</v>
      </c>
      <c r="W67" s="243">
        <f>IF($A$1="Peak","-",(730*PPA!$G$4*BaseLoad!$AP$9))</f>
        <v>421.0504308764738</v>
      </c>
      <c r="X67" s="243">
        <f t="shared" si="1"/>
        <v>543.78482418972089</v>
      </c>
      <c r="Y67" s="243"/>
    </row>
    <row r="68" spans="1:25" x14ac:dyDescent="0.2">
      <c r="A68" s="1">
        <f t="shared" si="2"/>
        <v>38304.186000000074</v>
      </c>
      <c r="B68" s="243">
        <f>IF($A$1="Peak","-",IF(BaseLoad!H67&gt;BaseLoad!$G67,B$8*PPA!$J$5*BaseLoad!$AM$9,0))</f>
        <v>0.84064652954278829</v>
      </c>
      <c r="C68" s="243">
        <f>IF($A$1="Peak","-",IF(BaseLoad!I67&gt;BaseLoad!$G67,C$8*PPA!$J$5*BaseLoad!$AM$9,0))</f>
        <v>0.84064652954278829</v>
      </c>
      <c r="D68" s="243">
        <f>IF($A$1="Peak","-",IF(BaseLoad!J67&gt;BaseLoad!$G67,D$8*PPA!$J$5*BaseLoad!$AM$9,0))</f>
        <v>1.6812930590855766</v>
      </c>
      <c r="E68" s="243">
        <f>IF($A$1="Peak","-",IF(BaseLoad!K67&gt;BaseLoad!$G67,E$8*PPA!$J$5*BaseLoad!$AM$9,0))</f>
        <v>3.3625861181711532</v>
      </c>
      <c r="F68" s="243">
        <f>IF($A$1="Peak","-",IF(BaseLoad!L67&gt;BaseLoad!$G67,F$8*PPA!$J$5*BaseLoad!$AM$9,0))</f>
        <v>3.3625861181711532</v>
      </c>
      <c r="G68" s="243">
        <f>IF($A$1="Peak","-",IF(BaseLoad!M67&gt;BaseLoad!$G67,G$8*PPA!$J$5*BaseLoad!$AM$9,0))</f>
        <v>6.7251722363423063</v>
      </c>
      <c r="H68" s="243">
        <f>IF($A$1="Peak","-",IF(BaseLoad!N67&gt;BaseLoad!$G67,H$8*PPA!$J$5*BaseLoad!$AM$9,0))</f>
        <v>6.7251722363423063</v>
      </c>
      <c r="I68" s="243">
        <f>IF($A$1="Peak","-",IF(BaseLoad!O67&gt;BaseLoad!$G67,I$8*PPA!$J$5*BaseLoad!$AM$9,0))</f>
        <v>6.7251722363423063</v>
      </c>
      <c r="J68" s="243">
        <f>IF($A$1="Peak","-",IF(BaseLoad!P67&gt;BaseLoad!$G67,J$8*PPA!$J$5*BaseLoad!$AM$9,0))</f>
        <v>6.7251722363423063</v>
      </c>
      <c r="K68" s="243">
        <f>IF($A$1="Peak","-",IF(BaseLoad!Q67&gt;BaseLoad!$G67,K$8*PPA!$J$5*BaseLoad!$AM$9,0))</f>
        <v>6.7251722363423063</v>
      </c>
      <c r="L68" s="243">
        <f>IF($A$1="Peak","-",IF(BaseLoad!R67&gt;BaseLoad!$G67,L$8*PPA!$J$5*BaseLoad!$AM$9,0))</f>
        <v>6.7251722363423063</v>
      </c>
      <c r="M68" s="243">
        <f>IF($A$1="Peak","-",IF(BaseLoad!S67&gt;BaseLoad!$G67,M$8*PPA!$J$5*BaseLoad!$AM$9,0))</f>
        <v>6.7251722363423063</v>
      </c>
      <c r="N68" s="243">
        <f>IF($A$1="Peak","-",IF(BaseLoad!T67&gt;BaseLoad!$G67,N$8*PPA!$J$5*BaseLoad!$AM$9,0))</f>
        <v>6.7251722363423063</v>
      </c>
      <c r="O68" s="243">
        <f>IF($A$1="Peak","-",IF(BaseLoad!U67&gt;BaseLoad!$G67,O$8*PPA!$J$5*BaseLoad!$AM$9,0))</f>
        <v>6.7251722363423063</v>
      </c>
      <c r="P68" s="243">
        <f>IF($A$1="Peak","-",IF(BaseLoad!V67&gt;BaseLoad!$G67,P$8*PPA!$J$5*BaseLoad!$AM$9,0))</f>
        <v>6.7251722363423063</v>
      </c>
      <c r="Q68" s="243">
        <f>IF($A$1="Peak","-",IF(BaseLoad!W67&gt;BaseLoad!$G67,Q$8*PPA!$J$5*BaseLoad!$AM$9,0))</f>
        <v>6.7251722363423063</v>
      </c>
      <c r="R68" s="243">
        <f>IF($A$1="Peak","-",IF(BaseLoad!X67&gt;BaseLoad!$G67,R$8*PPA!$J$5*BaseLoad!$AM$9,0))</f>
        <v>6.7251722363423063</v>
      </c>
      <c r="S68" s="243">
        <f>IF($A$1="Peak","-",IF(BaseLoad!Y67&gt;BaseLoad!$G67,S$8*PPA!$J$5*BaseLoad!$AM$9,0))</f>
        <v>6.7251722363423063</v>
      </c>
      <c r="T68" s="243">
        <f>IF($A$1="Peak","-",IF(BaseLoad!Z67&gt;BaseLoad!$G67,T$8*PPA!$J$5*BaseLoad!$AM$9,0))</f>
        <v>6.7251722363423063</v>
      </c>
      <c r="U68" s="243">
        <f>IF($A$1="Peak","-",IF(BaseLoad!AA67&gt;BaseLoad!$G67,U$8*PPA!$J$5*BaseLoad!$AM$9,0))</f>
        <v>18.49422364994134</v>
      </c>
      <c r="V68" s="243">
        <f t="shared" si="0"/>
        <v>122.73439331324704</v>
      </c>
      <c r="W68" s="243">
        <f>IF($A$1="Peak","-",(730*PPA!$G$4*BaseLoad!$AP$9))</f>
        <v>421.0504308764738</v>
      </c>
      <c r="X68" s="243">
        <f t="shared" si="1"/>
        <v>543.78482418972089</v>
      </c>
      <c r="Y68" s="243"/>
    </row>
    <row r="69" spans="1:25" x14ac:dyDescent="0.2">
      <c r="A69" s="1">
        <f t="shared" si="2"/>
        <v>38334.603000000076</v>
      </c>
      <c r="B69" s="243">
        <f>IF($A$1="Peak","-",IF(BaseLoad!H68&gt;BaseLoad!$G68,B$8*PPA!$J$5*BaseLoad!$AM$9,0))</f>
        <v>0.84064652954278829</v>
      </c>
      <c r="C69" s="243">
        <f>IF($A$1="Peak","-",IF(BaseLoad!I68&gt;BaseLoad!$G68,C$8*PPA!$J$5*BaseLoad!$AM$9,0))</f>
        <v>0.84064652954278829</v>
      </c>
      <c r="D69" s="243">
        <f>IF($A$1="Peak","-",IF(BaseLoad!J68&gt;BaseLoad!$G68,D$8*PPA!$J$5*BaseLoad!$AM$9,0))</f>
        <v>1.6812930590855766</v>
      </c>
      <c r="E69" s="243">
        <f>IF($A$1="Peak","-",IF(BaseLoad!K68&gt;BaseLoad!$G68,E$8*PPA!$J$5*BaseLoad!$AM$9,0))</f>
        <v>3.3625861181711532</v>
      </c>
      <c r="F69" s="243">
        <f>IF($A$1="Peak","-",IF(BaseLoad!L68&gt;BaseLoad!$G68,F$8*PPA!$J$5*BaseLoad!$AM$9,0))</f>
        <v>3.3625861181711532</v>
      </c>
      <c r="G69" s="243">
        <f>IF($A$1="Peak","-",IF(BaseLoad!M68&gt;BaseLoad!$G68,G$8*PPA!$J$5*BaseLoad!$AM$9,0))</f>
        <v>6.7251722363423063</v>
      </c>
      <c r="H69" s="243">
        <f>IF($A$1="Peak","-",IF(BaseLoad!N68&gt;BaseLoad!$G68,H$8*PPA!$J$5*BaseLoad!$AM$9,0))</f>
        <v>6.7251722363423063</v>
      </c>
      <c r="I69" s="243">
        <f>IF($A$1="Peak","-",IF(BaseLoad!O68&gt;BaseLoad!$G68,I$8*PPA!$J$5*BaseLoad!$AM$9,0))</f>
        <v>6.7251722363423063</v>
      </c>
      <c r="J69" s="243">
        <f>IF($A$1="Peak","-",IF(BaseLoad!P68&gt;BaseLoad!$G68,J$8*PPA!$J$5*BaseLoad!$AM$9,0))</f>
        <v>6.7251722363423063</v>
      </c>
      <c r="K69" s="243">
        <f>IF($A$1="Peak","-",IF(BaseLoad!Q68&gt;BaseLoad!$G68,K$8*PPA!$J$5*BaseLoad!$AM$9,0))</f>
        <v>6.7251722363423063</v>
      </c>
      <c r="L69" s="243">
        <f>IF($A$1="Peak","-",IF(BaseLoad!R68&gt;BaseLoad!$G68,L$8*PPA!$J$5*BaseLoad!$AM$9,0))</f>
        <v>6.7251722363423063</v>
      </c>
      <c r="M69" s="243">
        <f>IF($A$1="Peak","-",IF(BaseLoad!S68&gt;BaseLoad!$G68,M$8*PPA!$J$5*BaseLoad!$AM$9,0))</f>
        <v>6.7251722363423063</v>
      </c>
      <c r="N69" s="243">
        <f>IF($A$1="Peak","-",IF(BaseLoad!T68&gt;BaseLoad!$G68,N$8*PPA!$J$5*BaseLoad!$AM$9,0))</f>
        <v>6.7251722363423063</v>
      </c>
      <c r="O69" s="243">
        <f>IF($A$1="Peak","-",IF(BaseLoad!U68&gt;BaseLoad!$G68,O$8*PPA!$J$5*BaseLoad!$AM$9,0))</f>
        <v>6.7251722363423063</v>
      </c>
      <c r="P69" s="243">
        <f>IF($A$1="Peak","-",IF(BaseLoad!V68&gt;BaseLoad!$G68,P$8*PPA!$J$5*BaseLoad!$AM$9,0))</f>
        <v>6.7251722363423063</v>
      </c>
      <c r="Q69" s="243">
        <f>IF($A$1="Peak","-",IF(BaseLoad!W68&gt;BaseLoad!$G68,Q$8*PPA!$J$5*BaseLoad!$AM$9,0))</f>
        <v>6.7251722363423063</v>
      </c>
      <c r="R69" s="243">
        <f>IF($A$1="Peak","-",IF(BaseLoad!X68&gt;BaseLoad!$G68,R$8*PPA!$J$5*BaseLoad!$AM$9,0))</f>
        <v>6.7251722363423063</v>
      </c>
      <c r="S69" s="243">
        <f>IF($A$1="Peak","-",IF(BaseLoad!Y68&gt;BaseLoad!$G68,S$8*PPA!$J$5*BaseLoad!$AM$9,0))</f>
        <v>6.7251722363423063</v>
      </c>
      <c r="T69" s="243">
        <f>IF($A$1="Peak","-",IF(BaseLoad!Z68&gt;BaseLoad!$G68,T$8*PPA!$J$5*BaseLoad!$AM$9,0))</f>
        <v>6.7251722363423063</v>
      </c>
      <c r="U69" s="243">
        <f>IF($A$1="Peak","-",IF(BaseLoad!AA68&gt;BaseLoad!$G68,U$8*PPA!$J$5*BaseLoad!$AM$9,0))</f>
        <v>18.49422364994134</v>
      </c>
      <c r="V69" s="243">
        <f t="shared" si="0"/>
        <v>122.73439331324704</v>
      </c>
      <c r="W69" s="243">
        <f>IF($A$1="Peak","-",(730*PPA!$G$4*BaseLoad!$AP$9))</f>
        <v>421.0504308764738</v>
      </c>
      <c r="X69" s="243">
        <f t="shared" si="1"/>
        <v>543.78482418972089</v>
      </c>
      <c r="Y69" s="243">
        <f>SUM(X58:X69)</f>
        <v>6525.4178902766507</v>
      </c>
    </row>
    <row r="70" spans="1:25" x14ac:dyDescent="0.2">
      <c r="A70" s="1">
        <f t="shared" si="2"/>
        <v>38365.020000000077</v>
      </c>
      <c r="B70" s="243">
        <f>IF($A$1="Peak","-",IF(BaseLoad!H69&gt;BaseLoad!$G69,B$8*PPA!$K$5*BaseLoad!$AM$9,0))</f>
        <v>0.78477482688750466</v>
      </c>
      <c r="C70" s="243">
        <f>IF($A$1="Peak","-",IF(BaseLoad!I69&gt;BaseLoad!$G69,C$8*PPA!$K$5*BaseLoad!$AM$9,0))</f>
        <v>0.78477482688750466</v>
      </c>
      <c r="D70" s="243">
        <f>IF($A$1="Peak","-",IF(BaseLoad!J69&gt;BaseLoad!$G69,D$8*PPA!$K$5*BaseLoad!$AM$9,0))</f>
        <v>1.5695496537750093</v>
      </c>
      <c r="E70" s="243">
        <f>IF($A$1="Peak","-",IF(BaseLoad!K69&gt;BaseLoad!$G69,E$8*PPA!$K$5*BaseLoad!$AM$9,0))</f>
        <v>3.1390993075500186</v>
      </c>
      <c r="F70" s="243">
        <f>IF($A$1="Peak","-",IF(BaseLoad!L69&gt;BaseLoad!$G69,F$8*PPA!$K$5*BaseLoad!$AM$9,0))</f>
        <v>3.1390993075500186</v>
      </c>
      <c r="G70" s="243">
        <f>IF($A$1="Peak","-",IF(BaseLoad!M69&gt;BaseLoad!$G69,G$8*PPA!$K$5*BaseLoad!$AM$9,0))</f>
        <v>6.2781986151000373</v>
      </c>
      <c r="H70" s="243">
        <f>IF($A$1="Peak","-",IF(BaseLoad!N69&gt;BaseLoad!$G69,H$8*PPA!$K$5*BaseLoad!$AM$9,0))</f>
        <v>6.2781986151000373</v>
      </c>
      <c r="I70" s="243">
        <f>IF($A$1="Peak","-",IF(BaseLoad!O69&gt;BaseLoad!$G69,I$8*PPA!$K$5*BaseLoad!$AM$9,0))</f>
        <v>6.2781986151000373</v>
      </c>
      <c r="J70" s="243">
        <f>IF($A$1="Peak","-",IF(BaseLoad!P69&gt;BaseLoad!$G69,J$8*PPA!$K$5*BaseLoad!$AM$9,0))</f>
        <v>6.2781986151000373</v>
      </c>
      <c r="K70" s="243">
        <f>IF($A$1="Peak","-",IF(BaseLoad!Q69&gt;BaseLoad!$G69,K$8*PPA!$K$5*BaseLoad!$AM$9,0))</f>
        <v>6.2781986151000373</v>
      </c>
      <c r="L70" s="243">
        <f>IF($A$1="Peak","-",IF(BaseLoad!R69&gt;BaseLoad!$G69,L$8*PPA!$K$5*BaseLoad!$AM$9,0))</f>
        <v>6.2781986151000373</v>
      </c>
      <c r="M70" s="243">
        <f>IF($A$1="Peak","-",IF(BaseLoad!S69&gt;BaseLoad!$G69,M$8*PPA!$K$5*BaseLoad!$AM$9,0))</f>
        <v>6.2781986151000373</v>
      </c>
      <c r="N70" s="243">
        <f>IF($A$1="Peak","-",IF(BaseLoad!T69&gt;BaseLoad!$G69,N$8*PPA!$K$5*BaseLoad!$AM$9,0))</f>
        <v>6.2781986151000373</v>
      </c>
      <c r="O70" s="243">
        <f>IF($A$1="Peak","-",IF(BaseLoad!U69&gt;BaseLoad!$G69,O$8*PPA!$K$5*BaseLoad!$AM$9,0))</f>
        <v>6.2781986151000373</v>
      </c>
      <c r="P70" s="243">
        <f>IF($A$1="Peak","-",IF(BaseLoad!V69&gt;BaseLoad!$G69,P$8*PPA!$K$5*BaseLoad!$AM$9,0))</f>
        <v>6.2781986151000373</v>
      </c>
      <c r="Q70" s="243">
        <f>IF($A$1="Peak","-",IF(BaseLoad!W69&gt;BaseLoad!$G69,Q$8*PPA!$K$5*BaseLoad!$AM$9,0))</f>
        <v>6.2781986151000373</v>
      </c>
      <c r="R70" s="243">
        <f>IF($A$1="Peak","-",IF(BaseLoad!X69&gt;BaseLoad!$G69,R$8*PPA!$K$5*BaseLoad!$AM$9,0))</f>
        <v>6.2781986151000373</v>
      </c>
      <c r="S70" s="243">
        <f>IF($A$1="Peak","-",IF(BaseLoad!Y69&gt;BaseLoad!$G69,S$8*PPA!$K$5*BaseLoad!$AM$9,0))</f>
        <v>6.2781986151000373</v>
      </c>
      <c r="T70" s="243">
        <f>IF($A$1="Peak","-",IF(BaseLoad!Z69&gt;BaseLoad!$G69,T$8*PPA!$K$5*BaseLoad!$AM$9,0))</f>
        <v>6.2781986151000373</v>
      </c>
      <c r="U70" s="243">
        <f>IF($A$1="Peak","-",IF(BaseLoad!AA69&gt;BaseLoad!$G69,U$8*PPA!$K$5*BaseLoad!$AM$9,0))</f>
        <v>17.265046191525105</v>
      </c>
      <c r="V70" s="243">
        <f t="shared" si="0"/>
        <v>114.57712472557569</v>
      </c>
      <c r="W70" s="243">
        <f>IF($A$1="Peak","-",(730*PPA!$G$4*BaseLoad!$AP$9))</f>
        <v>421.0504308764738</v>
      </c>
      <c r="X70" s="243">
        <f t="shared" si="1"/>
        <v>535.62755560204948</v>
      </c>
      <c r="Y70" s="243"/>
    </row>
    <row r="71" spans="1:25" x14ac:dyDescent="0.2">
      <c r="A71" s="1">
        <f t="shared" si="2"/>
        <v>38395.437000000078</v>
      </c>
      <c r="B71" s="243">
        <f>IF($A$1="Peak","-",IF(BaseLoad!H70&gt;BaseLoad!$G70,B$8*PPA!$K$5*BaseLoad!$AM$9,0))</f>
        <v>0.78477482688750466</v>
      </c>
      <c r="C71" s="243">
        <f>IF($A$1="Peak","-",IF(BaseLoad!I70&gt;BaseLoad!$G70,C$8*PPA!$K$5*BaseLoad!$AM$9,0))</f>
        <v>0.78477482688750466</v>
      </c>
      <c r="D71" s="243">
        <f>IF($A$1="Peak","-",IF(BaseLoad!J70&gt;BaseLoad!$G70,D$8*PPA!$K$5*BaseLoad!$AM$9,0))</f>
        <v>1.5695496537750093</v>
      </c>
      <c r="E71" s="243">
        <f>IF($A$1="Peak","-",IF(BaseLoad!K70&gt;BaseLoad!$G70,E$8*PPA!$K$5*BaseLoad!$AM$9,0))</f>
        <v>3.1390993075500186</v>
      </c>
      <c r="F71" s="243">
        <f>IF($A$1="Peak","-",IF(BaseLoad!L70&gt;BaseLoad!$G70,F$8*PPA!$K$5*BaseLoad!$AM$9,0))</f>
        <v>3.1390993075500186</v>
      </c>
      <c r="G71" s="243">
        <f>IF($A$1="Peak","-",IF(BaseLoad!M70&gt;BaseLoad!$G70,G$8*PPA!$K$5*BaseLoad!$AM$9,0))</f>
        <v>6.2781986151000373</v>
      </c>
      <c r="H71" s="243">
        <f>IF($A$1="Peak","-",IF(BaseLoad!N70&gt;BaseLoad!$G70,H$8*PPA!$K$5*BaseLoad!$AM$9,0))</f>
        <v>6.2781986151000373</v>
      </c>
      <c r="I71" s="243">
        <f>IF($A$1="Peak","-",IF(BaseLoad!O70&gt;BaseLoad!$G70,I$8*PPA!$K$5*BaseLoad!$AM$9,0))</f>
        <v>6.2781986151000373</v>
      </c>
      <c r="J71" s="243">
        <f>IF($A$1="Peak","-",IF(BaseLoad!P70&gt;BaseLoad!$G70,J$8*PPA!$K$5*BaseLoad!$AM$9,0))</f>
        <v>6.2781986151000373</v>
      </c>
      <c r="K71" s="243">
        <f>IF($A$1="Peak","-",IF(BaseLoad!Q70&gt;BaseLoad!$G70,K$8*PPA!$K$5*BaseLoad!$AM$9,0))</f>
        <v>6.2781986151000373</v>
      </c>
      <c r="L71" s="243">
        <f>IF($A$1="Peak","-",IF(BaseLoad!R70&gt;BaseLoad!$G70,L$8*PPA!$K$5*BaseLoad!$AM$9,0))</f>
        <v>6.2781986151000373</v>
      </c>
      <c r="M71" s="243">
        <f>IF($A$1="Peak","-",IF(BaseLoad!S70&gt;BaseLoad!$G70,M$8*PPA!$K$5*BaseLoad!$AM$9,0))</f>
        <v>6.2781986151000373</v>
      </c>
      <c r="N71" s="243">
        <f>IF($A$1="Peak","-",IF(BaseLoad!T70&gt;BaseLoad!$G70,N$8*PPA!$K$5*BaseLoad!$AM$9,0))</f>
        <v>6.2781986151000373</v>
      </c>
      <c r="O71" s="243">
        <f>IF($A$1="Peak","-",IF(BaseLoad!U70&gt;BaseLoad!$G70,O$8*PPA!$K$5*BaseLoad!$AM$9,0))</f>
        <v>6.2781986151000373</v>
      </c>
      <c r="P71" s="243">
        <f>IF($A$1="Peak","-",IF(BaseLoad!V70&gt;BaseLoad!$G70,P$8*PPA!$K$5*BaseLoad!$AM$9,0))</f>
        <v>6.2781986151000373</v>
      </c>
      <c r="Q71" s="243">
        <f>IF($A$1="Peak","-",IF(BaseLoad!W70&gt;BaseLoad!$G70,Q$8*PPA!$K$5*BaseLoad!$AM$9,0))</f>
        <v>6.2781986151000373</v>
      </c>
      <c r="R71" s="243">
        <f>IF($A$1="Peak","-",IF(BaseLoad!X70&gt;BaseLoad!$G70,R$8*PPA!$K$5*BaseLoad!$AM$9,0))</f>
        <v>6.2781986151000373</v>
      </c>
      <c r="S71" s="243">
        <f>IF($A$1="Peak","-",IF(BaseLoad!Y70&gt;BaseLoad!$G70,S$8*PPA!$K$5*BaseLoad!$AM$9,0))</f>
        <v>6.2781986151000373</v>
      </c>
      <c r="T71" s="243">
        <f>IF($A$1="Peak","-",IF(BaseLoad!Z70&gt;BaseLoad!$G70,T$8*PPA!$K$5*BaseLoad!$AM$9,0))</f>
        <v>6.2781986151000373</v>
      </c>
      <c r="U71" s="243">
        <f>IF($A$1="Peak","-",IF(BaseLoad!AA70&gt;BaseLoad!$G70,U$8*PPA!$K$5*BaseLoad!$AM$9,0))</f>
        <v>17.265046191525105</v>
      </c>
      <c r="V71" s="243">
        <f t="shared" si="0"/>
        <v>114.57712472557569</v>
      </c>
      <c r="W71" s="243">
        <f>IF($A$1="Peak","-",(730*PPA!$G$4*BaseLoad!$AP$9))</f>
        <v>421.0504308764738</v>
      </c>
      <c r="X71" s="243">
        <f t="shared" si="1"/>
        <v>535.62755560204948</v>
      </c>
      <c r="Y71" s="243"/>
    </row>
    <row r="72" spans="1:25" x14ac:dyDescent="0.2">
      <c r="A72" s="1">
        <f t="shared" si="2"/>
        <v>38425.854000000079</v>
      </c>
      <c r="B72" s="243">
        <f>IF($A$1="Peak","-",IF(BaseLoad!H71&gt;BaseLoad!$G71,B$8*PPA!$K$5*BaseLoad!$AM$9,0))</f>
        <v>0.78477482688750466</v>
      </c>
      <c r="C72" s="243">
        <f>IF($A$1="Peak","-",IF(BaseLoad!I71&gt;BaseLoad!$G71,C$8*PPA!$K$5*BaseLoad!$AM$9,0))</f>
        <v>0.78477482688750466</v>
      </c>
      <c r="D72" s="243">
        <f>IF($A$1="Peak","-",IF(BaseLoad!J71&gt;BaseLoad!$G71,D$8*PPA!$K$5*BaseLoad!$AM$9,0))</f>
        <v>1.5695496537750093</v>
      </c>
      <c r="E72" s="243">
        <f>IF($A$1="Peak","-",IF(BaseLoad!K71&gt;BaseLoad!$G71,E$8*PPA!$K$5*BaseLoad!$AM$9,0))</f>
        <v>3.1390993075500186</v>
      </c>
      <c r="F72" s="243">
        <f>IF($A$1="Peak","-",IF(BaseLoad!L71&gt;BaseLoad!$G71,F$8*PPA!$K$5*BaseLoad!$AM$9,0))</f>
        <v>3.1390993075500186</v>
      </c>
      <c r="G72" s="243">
        <f>IF($A$1="Peak","-",IF(BaseLoad!M71&gt;BaseLoad!$G71,G$8*PPA!$K$5*BaseLoad!$AM$9,0))</f>
        <v>6.2781986151000373</v>
      </c>
      <c r="H72" s="243">
        <f>IF($A$1="Peak","-",IF(BaseLoad!N71&gt;BaseLoad!$G71,H$8*PPA!$K$5*BaseLoad!$AM$9,0))</f>
        <v>6.2781986151000373</v>
      </c>
      <c r="I72" s="243">
        <f>IF($A$1="Peak","-",IF(BaseLoad!O71&gt;BaseLoad!$G71,I$8*PPA!$K$5*BaseLoad!$AM$9,0))</f>
        <v>6.2781986151000373</v>
      </c>
      <c r="J72" s="243">
        <f>IF($A$1="Peak","-",IF(BaseLoad!P71&gt;BaseLoad!$G71,J$8*PPA!$K$5*BaseLoad!$AM$9,0))</f>
        <v>6.2781986151000373</v>
      </c>
      <c r="K72" s="243">
        <f>IF($A$1="Peak","-",IF(BaseLoad!Q71&gt;BaseLoad!$G71,K$8*PPA!$K$5*BaseLoad!$AM$9,0))</f>
        <v>6.2781986151000373</v>
      </c>
      <c r="L72" s="243">
        <f>IF($A$1="Peak","-",IF(BaseLoad!R71&gt;BaseLoad!$G71,L$8*PPA!$K$5*BaseLoad!$AM$9,0))</f>
        <v>6.2781986151000373</v>
      </c>
      <c r="M72" s="243">
        <f>IF($A$1="Peak","-",IF(BaseLoad!S71&gt;BaseLoad!$G71,M$8*PPA!$K$5*BaseLoad!$AM$9,0))</f>
        <v>6.2781986151000373</v>
      </c>
      <c r="N72" s="243">
        <f>IF($A$1="Peak","-",IF(BaseLoad!T71&gt;BaseLoad!$G71,N$8*PPA!$K$5*BaseLoad!$AM$9,0))</f>
        <v>6.2781986151000373</v>
      </c>
      <c r="O72" s="243">
        <f>IF($A$1="Peak","-",IF(BaseLoad!U71&gt;BaseLoad!$G71,O$8*PPA!$K$5*BaseLoad!$AM$9,0))</f>
        <v>6.2781986151000373</v>
      </c>
      <c r="P72" s="243">
        <f>IF($A$1="Peak","-",IF(BaseLoad!V71&gt;BaseLoad!$G71,P$8*PPA!$K$5*BaseLoad!$AM$9,0))</f>
        <v>6.2781986151000373</v>
      </c>
      <c r="Q72" s="243">
        <f>IF($A$1="Peak","-",IF(BaseLoad!W71&gt;BaseLoad!$G71,Q$8*PPA!$K$5*BaseLoad!$AM$9,0))</f>
        <v>6.2781986151000373</v>
      </c>
      <c r="R72" s="243">
        <f>IF($A$1="Peak","-",IF(BaseLoad!X71&gt;BaseLoad!$G71,R$8*PPA!$K$5*BaseLoad!$AM$9,0))</f>
        <v>6.2781986151000373</v>
      </c>
      <c r="S72" s="243">
        <f>IF($A$1="Peak","-",IF(BaseLoad!Y71&gt;BaseLoad!$G71,S$8*PPA!$K$5*BaseLoad!$AM$9,0))</f>
        <v>6.2781986151000373</v>
      </c>
      <c r="T72" s="243">
        <f>IF($A$1="Peak","-",IF(BaseLoad!Z71&gt;BaseLoad!$G71,T$8*PPA!$K$5*BaseLoad!$AM$9,0))</f>
        <v>6.2781986151000373</v>
      </c>
      <c r="U72" s="243">
        <f>IF($A$1="Peak","-",IF(BaseLoad!AA71&gt;BaseLoad!$G71,U$8*PPA!$K$5*BaseLoad!$AM$9,0))</f>
        <v>17.265046191525105</v>
      </c>
      <c r="V72" s="243">
        <f t="shared" si="0"/>
        <v>114.57712472557569</v>
      </c>
      <c r="W72" s="243">
        <f>IF($A$1="Peak","-",(730*PPA!$G$4*BaseLoad!$AP$9))</f>
        <v>421.0504308764738</v>
      </c>
      <c r="X72" s="243">
        <f t="shared" si="1"/>
        <v>535.62755560204948</v>
      </c>
      <c r="Y72" s="243"/>
    </row>
    <row r="73" spans="1:25" x14ac:dyDescent="0.2">
      <c r="A73" s="1">
        <f t="shared" si="2"/>
        <v>38456.271000000081</v>
      </c>
      <c r="B73" s="243">
        <f>IF($A$1="Peak","-",IF(BaseLoad!H72&gt;BaseLoad!$G72,B$8*PPA!$K$5*BaseLoad!$AM$9,0))</f>
        <v>0.78477482688750466</v>
      </c>
      <c r="C73" s="243">
        <f>IF($A$1="Peak","-",IF(BaseLoad!I72&gt;BaseLoad!$G72,C$8*PPA!$K$5*BaseLoad!$AM$9,0))</f>
        <v>0.78477482688750466</v>
      </c>
      <c r="D73" s="243">
        <f>IF($A$1="Peak","-",IF(BaseLoad!J72&gt;BaseLoad!$G72,D$8*PPA!$K$5*BaseLoad!$AM$9,0))</f>
        <v>1.5695496537750093</v>
      </c>
      <c r="E73" s="243">
        <f>IF($A$1="Peak","-",IF(BaseLoad!K72&gt;BaseLoad!$G72,E$8*PPA!$K$5*BaseLoad!$AM$9,0))</f>
        <v>3.1390993075500186</v>
      </c>
      <c r="F73" s="243">
        <f>IF($A$1="Peak","-",IF(BaseLoad!L72&gt;BaseLoad!$G72,F$8*PPA!$K$5*BaseLoad!$AM$9,0))</f>
        <v>3.1390993075500186</v>
      </c>
      <c r="G73" s="243">
        <f>IF($A$1="Peak","-",IF(BaseLoad!M72&gt;BaseLoad!$G72,G$8*PPA!$K$5*BaseLoad!$AM$9,0))</f>
        <v>6.2781986151000373</v>
      </c>
      <c r="H73" s="243">
        <f>IF($A$1="Peak","-",IF(BaseLoad!N72&gt;BaseLoad!$G72,H$8*PPA!$K$5*BaseLoad!$AM$9,0))</f>
        <v>6.2781986151000373</v>
      </c>
      <c r="I73" s="243">
        <f>IF($A$1="Peak","-",IF(BaseLoad!O72&gt;BaseLoad!$G72,I$8*PPA!$K$5*BaseLoad!$AM$9,0))</f>
        <v>6.2781986151000373</v>
      </c>
      <c r="J73" s="243">
        <f>IF($A$1="Peak","-",IF(BaseLoad!P72&gt;BaseLoad!$G72,J$8*PPA!$K$5*BaseLoad!$AM$9,0))</f>
        <v>6.2781986151000373</v>
      </c>
      <c r="K73" s="243">
        <f>IF($A$1="Peak","-",IF(BaseLoad!Q72&gt;BaseLoad!$G72,K$8*PPA!$K$5*BaseLoad!$AM$9,0))</f>
        <v>6.2781986151000373</v>
      </c>
      <c r="L73" s="243">
        <f>IF($A$1="Peak","-",IF(BaseLoad!R72&gt;BaseLoad!$G72,L$8*PPA!$K$5*BaseLoad!$AM$9,0))</f>
        <v>6.2781986151000373</v>
      </c>
      <c r="M73" s="243">
        <f>IF($A$1="Peak","-",IF(BaseLoad!S72&gt;BaseLoad!$G72,M$8*PPA!$K$5*BaseLoad!$AM$9,0))</f>
        <v>6.2781986151000373</v>
      </c>
      <c r="N73" s="243">
        <f>IF($A$1="Peak","-",IF(BaseLoad!T72&gt;BaseLoad!$G72,N$8*PPA!$K$5*BaseLoad!$AM$9,0))</f>
        <v>6.2781986151000373</v>
      </c>
      <c r="O73" s="243">
        <f>IF($A$1="Peak","-",IF(BaseLoad!U72&gt;BaseLoad!$G72,O$8*PPA!$K$5*BaseLoad!$AM$9,0))</f>
        <v>6.2781986151000373</v>
      </c>
      <c r="P73" s="243">
        <f>IF($A$1="Peak","-",IF(BaseLoad!V72&gt;BaseLoad!$G72,P$8*PPA!$K$5*BaseLoad!$AM$9,0))</f>
        <v>6.2781986151000373</v>
      </c>
      <c r="Q73" s="243">
        <f>IF($A$1="Peak","-",IF(BaseLoad!W72&gt;BaseLoad!$G72,Q$8*PPA!$K$5*BaseLoad!$AM$9,0))</f>
        <v>6.2781986151000373</v>
      </c>
      <c r="R73" s="243">
        <f>IF($A$1="Peak","-",IF(BaseLoad!X72&gt;BaseLoad!$G72,R$8*PPA!$K$5*BaseLoad!$AM$9,0))</f>
        <v>6.2781986151000373</v>
      </c>
      <c r="S73" s="243">
        <f>IF($A$1="Peak","-",IF(BaseLoad!Y72&gt;BaseLoad!$G72,S$8*PPA!$K$5*BaseLoad!$AM$9,0))</f>
        <v>6.2781986151000373</v>
      </c>
      <c r="T73" s="243">
        <f>IF($A$1="Peak","-",IF(BaseLoad!Z72&gt;BaseLoad!$G72,T$8*PPA!$K$5*BaseLoad!$AM$9,0))</f>
        <v>6.2781986151000373</v>
      </c>
      <c r="U73" s="243">
        <f>IF($A$1="Peak","-",IF(BaseLoad!AA72&gt;BaseLoad!$G72,U$8*PPA!$K$5*BaseLoad!$AM$9,0))</f>
        <v>17.265046191525105</v>
      </c>
      <c r="V73" s="243">
        <f t="shared" si="0"/>
        <v>114.57712472557569</v>
      </c>
      <c r="W73" s="243">
        <f>IF($A$1="Peak","-",(730*PPA!$G$4*BaseLoad!$AP$9))</f>
        <v>421.0504308764738</v>
      </c>
      <c r="X73" s="243">
        <f t="shared" si="1"/>
        <v>535.62755560204948</v>
      </c>
      <c r="Y73" s="243"/>
    </row>
    <row r="74" spans="1:25" x14ac:dyDescent="0.2">
      <c r="A74" s="1">
        <f t="shared" si="2"/>
        <v>38486.688000000082</v>
      </c>
      <c r="B74" s="243">
        <f>IF($A$1="Peak","-",IF(BaseLoad!H73&gt;BaseLoad!$G73,B$8*PPA!$K$5*BaseLoad!$AM$9,0))</f>
        <v>0.78477482688750466</v>
      </c>
      <c r="C74" s="243">
        <f>IF($A$1="Peak","-",IF(BaseLoad!I73&gt;BaseLoad!$G73,C$8*PPA!$K$5*BaseLoad!$AM$9,0))</f>
        <v>0.78477482688750466</v>
      </c>
      <c r="D74" s="243">
        <f>IF($A$1="Peak","-",IF(BaseLoad!J73&gt;BaseLoad!$G73,D$8*PPA!$K$5*BaseLoad!$AM$9,0))</f>
        <v>1.5695496537750093</v>
      </c>
      <c r="E74" s="243">
        <f>IF($A$1="Peak","-",IF(BaseLoad!K73&gt;BaseLoad!$G73,E$8*PPA!$K$5*BaseLoad!$AM$9,0))</f>
        <v>3.1390993075500186</v>
      </c>
      <c r="F74" s="243">
        <f>IF($A$1="Peak","-",IF(BaseLoad!L73&gt;BaseLoad!$G73,F$8*PPA!$K$5*BaseLoad!$AM$9,0))</f>
        <v>3.1390993075500186</v>
      </c>
      <c r="G74" s="243">
        <f>IF($A$1="Peak","-",IF(BaseLoad!M73&gt;BaseLoad!$G73,G$8*PPA!$K$5*BaseLoad!$AM$9,0))</f>
        <v>6.2781986151000373</v>
      </c>
      <c r="H74" s="243">
        <f>IF($A$1="Peak","-",IF(BaseLoad!N73&gt;BaseLoad!$G73,H$8*PPA!$K$5*BaseLoad!$AM$9,0))</f>
        <v>6.2781986151000373</v>
      </c>
      <c r="I74" s="243">
        <f>IF($A$1="Peak","-",IF(BaseLoad!O73&gt;BaseLoad!$G73,I$8*PPA!$K$5*BaseLoad!$AM$9,0))</f>
        <v>6.2781986151000373</v>
      </c>
      <c r="J74" s="243">
        <f>IF($A$1="Peak","-",IF(BaseLoad!P73&gt;BaseLoad!$G73,J$8*PPA!$K$5*BaseLoad!$AM$9,0))</f>
        <v>6.2781986151000373</v>
      </c>
      <c r="K74" s="243">
        <f>IF($A$1="Peak","-",IF(BaseLoad!Q73&gt;BaseLoad!$G73,K$8*PPA!$K$5*BaseLoad!$AM$9,0))</f>
        <v>6.2781986151000373</v>
      </c>
      <c r="L74" s="243">
        <f>IF($A$1="Peak","-",IF(BaseLoad!R73&gt;BaseLoad!$G73,L$8*PPA!$K$5*BaseLoad!$AM$9,0))</f>
        <v>6.2781986151000373</v>
      </c>
      <c r="M74" s="243">
        <f>IF($A$1="Peak","-",IF(BaseLoad!S73&gt;BaseLoad!$G73,M$8*PPA!$K$5*BaseLoad!$AM$9,0))</f>
        <v>6.2781986151000373</v>
      </c>
      <c r="N74" s="243">
        <f>IF($A$1="Peak","-",IF(BaseLoad!T73&gt;BaseLoad!$G73,N$8*PPA!$K$5*BaseLoad!$AM$9,0))</f>
        <v>6.2781986151000373</v>
      </c>
      <c r="O74" s="243">
        <f>IF($A$1="Peak","-",IF(BaseLoad!U73&gt;BaseLoad!$G73,O$8*PPA!$K$5*BaseLoad!$AM$9,0))</f>
        <v>6.2781986151000373</v>
      </c>
      <c r="P74" s="243">
        <f>IF($A$1="Peak","-",IF(BaseLoad!V73&gt;BaseLoad!$G73,P$8*PPA!$K$5*BaseLoad!$AM$9,0))</f>
        <v>6.2781986151000373</v>
      </c>
      <c r="Q74" s="243">
        <f>IF($A$1="Peak","-",IF(BaseLoad!W73&gt;BaseLoad!$G73,Q$8*PPA!$K$5*BaseLoad!$AM$9,0))</f>
        <v>6.2781986151000373</v>
      </c>
      <c r="R74" s="243">
        <f>IF($A$1="Peak","-",IF(BaseLoad!X73&gt;BaseLoad!$G73,R$8*PPA!$K$5*BaseLoad!$AM$9,0))</f>
        <v>6.2781986151000373</v>
      </c>
      <c r="S74" s="243">
        <f>IF($A$1="Peak","-",IF(BaseLoad!Y73&gt;BaseLoad!$G73,S$8*PPA!$K$5*BaseLoad!$AM$9,0))</f>
        <v>6.2781986151000373</v>
      </c>
      <c r="T74" s="243">
        <f>IF($A$1="Peak","-",IF(BaseLoad!Z73&gt;BaseLoad!$G73,T$8*PPA!$K$5*BaseLoad!$AM$9,0))</f>
        <v>6.2781986151000373</v>
      </c>
      <c r="U74" s="243">
        <f>IF($A$1="Peak","-",IF(BaseLoad!AA73&gt;BaseLoad!$G73,U$8*PPA!$K$5*BaseLoad!$AM$9,0))</f>
        <v>17.265046191525105</v>
      </c>
      <c r="V74" s="243">
        <f t="shared" si="0"/>
        <v>114.57712472557569</v>
      </c>
      <c r="W74" s="243">
        <f>IF($A$1="Peak","-",(730*PPA!$G$4*BaseLoad!$AP$9))</f>
        <v>421.0504308764738</v>
      </c>
      <c r="X74" s="243">
        <f t="shared" si="1"/>
        <v>535.62755560204948</v>
      </c>
      <c r="Y74" s="243"/>
    </row>
    <row r="75" spans="1:25" x14ac:dyDescent="0.2">
      <c r="A75" s="1">
        <f t="shared" si="2"/>
        <v>38517.105000000083</v>
      </c>
      <c r="B75" s="243">
        <f>IF($A$1="Peak","-",IF(BaseLoad!H74&gt;BaseLoad!$G74,B$8*PPA!$K$5*BaseLoad!$AM$9,0))</f>
        <v>0.78477482688750466</v>
      </c>
      <c r="C75" s="243">
        <f>IF($A$1="Peak","-",IF(BaseLoad!I74&gt;BaseLoad!$G74,C$8*PPA!$K$5*BaseLoad!$AM$9,0))</f>
        <v>0.78477482688750466</v>
      </c>
      <c r="D75" s="243">
        <f>IF($A$1="Peak","-",IF(BaseLoad!J74&gt;BaseLoad!$G74,D$8*PPA!$K$5*BaseLoad!$AM$9,0))</f>
        <v>1.5695496537750093</v>
      </c>
      <c r="E75" s="243">
        <f>IF($A$1="Peak","-",IF(BaseLoad!K74&gt;BaseLoad!$G74,E$8*PPA!$K$5*BaseLoad!$AM$9,0))</f>
        <v>3.1390993075500186</v>
      </c>
      <c r="F75" s="243">
        <f>IF($A$1="Peak","-",IF(BaseLoad!L74&gt;BaseLoad!$G74,F$8*PPA!$K$5*BaseLoad!$AM$9,0))</f>
        <v>3.1390993075500186</v>
      </c>
      <c r="G75" s="243">
        <f>IF($A$1="Peak","-",IF(BaseLoad!M74&gt;BaseLoad!$G74,G$8*PPA!$K$5*BaseLoad!$AM$9,0))</f>
        <v>6.2781986151000373</v>
      </c>
      <c r="H75" s="243">
        <f>IF($A$1="Peak","-",IF(BaseLoad!N74&gt;BaseLoad!$G74,H$8*PPA!$K$5*BaseLoad!$AM$9,0))</f>
        <v>6.2781986151000373</v>
      </c>
      <c r="I75" s="243">
        <f>IF($A$1="Peak","-",IF(BaseLoad!O74&gt;BaseLoad!$G74,I$8*PPA!$K$5*BaseLoad!$AM$9,0))</f>
        <v>6.2781986151000373</v>
      </c>
      <c r="J75" s="243">
        <f>IF($A$1="Peak","-",IF(BaseLoad!P74&gt;BaseLoad!$G74,J$8*PPA!$K$5*BaseLoad!$AM$9,0))</f>
        <v>6.2781986151000373</v>
      </c>
      <c r="K75" s="243">
        <f>IF($A$1="Peak","-",IF(BaseLoad!Q74&gt;BaseLoad!$G74,K$8*PPA!$K$5*BaseLoad!$AM$9,0))</f>
        <v>6.2781986151000373</v>
      </c>
      <c r="L75" s="243">
        <f>IF($A$1="Peak","-",IF(BaseLoad!R74&gt;BaseLoad!$G74,L$8*PPA!$K$5*BaseLoad!$AM$9,0))</f>
        <v>6.2781986151000373</v>
      </c>
      <c r="M75" s="243">
        <f>IF($A$1="Peak","-",IF(BaseLoad!S74&gt;BaseLoad!$G74,M$8*PPA!$K$5*BaseLoad!$AM$9,0))</f>
        <v>6.2781986151000373</v>
      </c>
      <c r="N75" s="243">
        <f>IF($A$1="Peak","-",IF(BaseLoad!T74&gt;BaseLoad!$G74,N$8*PPA!$K$5*BaseLoad!$AM$9,0))</f>
        <v>6.2781986151000373</v>
      </c>
      <c r="O75" s="243">
        <f>IF($A$1="Peak","-",IF(BaseLoad!U74&gt;BaseLoad!$G74,O$8*PPA!$K$5*BaseLoad!$AM$9,0))</f>
        <v>6.2781986151000373</v>
      </c>
      <c r="P75" s="243">
        <f>IF($A$1="Peak","-",IF(BaseLoad!V74&gt;BaseLoad!$G74,P$8*PPA!$K$5*BaseLoad!$AM$9,0))</f>
        <v>6.2781986151000373</v>
      </c>
      <c r="Q75" s="243">
        <f>IF($A$1="Peak","-",IF(BaseLoad!W74&gt;BaseLoad!$G74,Q$8*PPA!$K$5*BaseLoad!$AM$9,0))</f>
        <v>6.2781986151000373</v>
      </c>
      <c r="R75" s="243">
        <f>IF($A$1="Peak","-",IF(BaseLoad!X74&gt;BaseLoad!$G74,R$8*PPA!$K$5*BaseLoad!$AM$9,0))</f>
        <v>6.2781986151000373</v>
      </c>
      <c r="S75" s="243">
        <f>IF($A$1="Peak","-",IF(BaseLoad!Y74&gt;BaseLoad!$G74,S$8*PPA!$K$5*BaseLoad!$AM$9,0))</f>
        <v>6.2781986151000373</v>
      </c>
      <c r="T75" s="243">
        <f>IF($A$1="Peak","-",IF(BaseLoad!Z74&gt;BaseLoad!$G74,T$8*PPA!$K$5*BaseLoad!$AM$9,0))</f>
        <v>6.2781986151000373</v>
      </c>
      <c r="U75" s="243">
        <f>IF($A$1="Peak","-",IF(BaseLoad!AA74&gt;BaseLoad!$G74,U$8*PPA!$K$5*BaseLoad!$AM$9,0))</f>
        <v>17.265046191525105</v>
      </c>
      <c r="V75" s="243">
        <f t="shared" ref="V75:V138" si="3">SUM(B75:U75)</f>
        <v>114.57712472557569</v>
      </c>
      <c r="W75" s="243">
        <f>IF($A$1="Peak","-",(730*PPA!$G$4*BaseLoad!$AP$9))</f>
        <v>421.0504308764738</v>
      </c>
      <c r="X75" s="243">
        <f t="shared" ref="X75:X81" si="4">SUM(V75:W75)</f>
        <v>535.62755560204948</v>
      </c>
      <c r="Y75" s="243"/>
    </row>
    <row r="76" spans="1:25" x14ac:dyDescent="0.2">
      <c r="A76" s="1">
        <f t="shared" ref="A76:A139" si="5">A75+30.417</f>
        <v>38547.522000000085</v>
      </c>
      <c r="B76" s="243">
        <f>IF($A$1="Peak","-",IF(BaseLoad!H75&gt;BaseLoad!$G75,B$8*PPA!$K$5*BaseLoad!$AM$9,0))</f>
        <v>0.78477482688750466</v>
      </c>
      <c r="C76" s="243">
        <f>IF($A$1="Peak","-",IF(BaseLoad!I75&gt;BaseLoad!$G75,C$8*PPA!$K$5*BaseLoad!$AM$9,0))</f>
        <v>0.78477482688750466</v>
      </c>
      <c r="D76" s="243">
        <f>IF($A$1="Peak","-",IF(BaseLoad!J75&gt;BaseLoad!$G75,D$8*PPA!$K$5*BaseLoad!$AM$9,0))</f>
        <v>1.5695496537750093</v>
      </c>
      <c r="E76" s="243">
        <f>IF($A$1="Peak","-",IF(BaseLoad!K75&gt;BaseLoad!$G75,E$8*PPA!$K$5*BaseLoad!$AM$9,0))</f>
        <v>3.1390993075500186</v>
      </c>
      <c r="F76" s="243">
        <f>IF($A$1="Peak","-",IF(BaseLoad!L75&gt;BaseLoad!$G75,F$8*PPA!$K$5*BaseLoad!$AM$9,0))</f>
        <v>3.1390993075500186</v>
      </c>
      <c r="G76" s="243">
        <f>IF($A$1="Peak","-",IF(BaseLoad!M75&gt;BaseLoad!$G75,G$8*PPA!$K$5*BaseLoad!$AM$9,0))</f>
        <v>6.2781986151000373</v>
      </c>
      <c r="H76" s="243">
        <f>IF($A$1="Peak","-",IF(BaseLoad!N75&gt;BaseLoad!$G75,H$8*PPA!$K$5*BaseLoad!$AM$9,0))</f>
        <v>6.2781986151000373</v>
      </c>
      <c r="I76" s="243">
        <f>IF($A$1="Peak","-",IF(BaseLoad!O75&gt;BaseLoad!$G75,I$8*PPA!$K$5*BaseLoad!$AM$9,0))</f>
        <v>6.2781986151000373</v>
      </c>
      <c r="J76" s="243">
        <f>IF($A$1="Peak","-",IF(BaseLoad!P75&gt;BaseLoad!$G75,J$8*PPA!$K$5*BaseLoad!$AM$9,0))</f>
        <v>6.2781986151000373</v>
      </c>
      <c r="K76" s="243">
        <f>IF($A$1="Peak","-",IF(BaseLoad!Q75&gt;BaseLoad!$G75,K$8*PPA!$K$5*BaseLoad!$AM$9,0))</f>
        <v>6.2781986151000373</v>
      </c>
      <c r="L76" s="243">
        <f>IF($A$1="Peak","-",IF(BaseLoad!R75&gt;BaseLoad!$G75,L$8*PPA!$K$5*BaseLoad!$AM$9,0))</f>
        <v>6.2781986151000373</v>
      </c>
      <c r="M76" s="243">
        <f>IF($A$1="Peak","-",IF(BaseLoad!S75&gt;BaseLoad!$G75,M$8*PPA!$K$5*BaseLoad!$AM$9,0))</f>
        <v>6.2781986151000373</v>
      </c>
      <c r="N76" s="243">
        <f>IF($A$1="Peak","-",IF(BaseLoad!T75&gt;BaseLoad!$G75,N$8*PPA!$K$5*BaseLoad!$AM$9,0))</f>
        <v>6.2781986151000373</v>
      </c>
      <c r="O76" s="243">
        <f>IF($A$1="Peak","-",IF(BaseLoad!U75&gt;BaseLoad!$G75,O$8*PPA!$K$5*BaseLoad!$AM$9,0))</f>
        <v>6.2781986151000373</v>
      </c>
      <c r="P76" s="243">
        <f>IF($A$1="Peak","-",IF(BaseLoad!V75&gt;BaseLoad!$G75,P$8*PPA!$K$5*BaseLoad!$AM$9,0))</f>
        <v>6.2781986151000373</v>
      </c>
      <c r="Q76" s="243">
        <f>IF($A$1="Peak","-",IF(BaseLoad!W75&gt;BaseLoad!$G75,Q$8*PPA!$K$5*BaseLoad!$AM$9,0))</f>
        <v>6.2781986151000373</v>
      </c>
      <c r="R76" s="243">
        <f>IF($A$1="Peak","-",IF(BaseLoad!X75&gt;BaseLoad!$G75,R$8*PPA!$K$5*BaseLoad!$AM$9,0))</f>
        <v>6.2781986151000373</v>
      </c>
      <c r="S76" s="243">
        <f>IF($A$1="Peak","-",IF(BaseLoad!Y75&gt;BaseLoad!$G75,S$8*PPA!$K$5*BaseLoad!$AM$9,0))</f>
        <v>6.2781986151000373</v>
      </c>
      <c r="T76" s="243">
        <f>IF($A$1="Peak","-",IF(BaseLoad!Z75&gt;BaseLoad!$G75,T$8*PPA!$K$5*BaseLoad!$AM$9,0))</f>
        <v>6.2781986151000373</v>
      </c>
      <c r="U76" s="243">
        <f>IF($A$1="Peak","-",IF(BaseLoad!AA75&gt;BaseLoad!$G75,U$8*PPA!$K$5*BaseLoad!$AM$9,0))</f>
        <v>17.265046191525105</v>
      </c>
      <c r="V76" s="243">
        <f t="shared" si="3"/>
        <v>114.57712472557569</v>
      </c>
      <c r="W76" s="243">
        <f>IF($A$1="Peak","-",(730*PPA!$G$4*BaseLoad!$AP$9))</f>
        <v>421.0504308764738</v>
      </c>
      <c r="X76" s="243">
        <f t="shared" si="4"/>
        <v>535.62755560204948</v>
      </c>
      <c r="Y76" s="243"/>
    </row>
    <row r="77" spans="1:25" x14ac:dyDescent="0.2">
      <c r="A77" s="1">
        <f t="shared" si="5"/>
        <v>38577.939000000086</v>
      </c>
      <c r="B77" s="243">
        <f>IF($A$1="Peak","-",IF(BaseLoad!H76&gt;BaseLoad!$G76,B$8*PPA!$K$5*BaseLoad!$AM$9,0))</f>
        <v>0.78477482688750466</v>
      </c>
      <c r="C77" s="243">
        <f>IF($A$1="Peak","-",IF(BaseLoad!I76&gt;BaseLoad!$G76,C$8*PPA!$K$5*BaseLoad!$AM$9,0))</f>
        <v>0.78477482688750466</v>
      </c>
      <c r="D77" s="243">
        <f>IF($A$1="Peak","-",IF(BaseLoad!J76&gt;BaseLoad!$G76,D$8*PPA!$K$5*BaseLoad!$AM$9,0))</f>
        <v>1.5695496537750093</v>
      </c>
      <c r="E77" s="243">
        <f>IF($A$1="Peak","-",IF(BaseLoad!K76&gt;BaseLoad!$G76,E$8*PPA!$K$5*BaseLoad!$AM$9,0))</f>
        <v>3.1390993075500186</v>
      </c>
      <c r="F77" s="243">
        <f>IF($A$1="Peak","-",IF(BaseLoad!L76&gt;BaseLoad!$G76,F$8*PPA!$K$5*BaseLoad!$AM$9,0))</f>
        <v>3.1390993075500186</v>
      </c>
      <c r="G77" s="243">
        <f>IF($A$1="Peak","-",IF(BaseLoad!M76&gt;BaseLoad!$G76,G$8*PPA!$K$5*BaseLoad!$AM$9,0))</f>
        <v>6.2781986151000373</v>
      </c>
      <c r="H77" s="243">
        <f>IF($A$1="Peak","-",IF(BaseLoad!N76&gt;BaseLoad!$G76,H$8*PPA!$K$5*BaseLoad!$AM$9,0))</f>
        <v>6.2781986151000373</v>
      </c>
      <c r="I77" s="243">
        <f>IF($A$1="Peak","-",IF(BaseLoad!O76&gt;BaseLoad!$G76,I$8*PPA!$K$5*BaseLoad!$AM$9,0))</f>
        <v>6.2781986151000373</v>
      </c>
      <c r="J77" s="243">
        <f>IF($A$1="Peak","-",IF(BaseLoad!P76&gt;BaseLoad!$G76,J$8*PPA!$K$5*BaseLoad!$AM$9,0))</f>
        <v>6.2781986151000373</v>
      </c>
      <c r="K77" s="243">
        <f>IF($A$1="Peak","-",IF(BaseLoad!Q76&gt;BaseLoad!$G76,K$8*PPA!$K$5*BaseLoad!$AM$9,0))</f>
        <v>6.2781986151000373</v>
      </c>
      <c r="L77" s="243">
        <f>IF($A$1="Peak","-",IF(BaseLoad!R76&gt;BaseLoad!$G76,L$8*PPA!$K$5*BaseLoad!$AM$9,0))</f>
        <v>6.2781986151000373</v>
      </c>
      <c r="M77" s="243">
        <f>IF($A$1="Peak","-",IF(BaseLoad!S76&gt;BaseLoad!$G76,M$8*PPA!$K$5*BaseLoad!$AM$9,0))</f>
        <v>6.2781986151000373</v>
      </c>
      <c r="N77" s="243">
        <f>IF($A$1="Peak","-",IF(BaseLoad!T76&gt;BaseLoad!$G76,N$8*PPA!$K$5*BaseLoad!$AM$9,0))</f>
        <v>6.2781986151000373</v>
      </c>
      <c r="O77" s="243">
        <f>IF($A$1="Peak","-",IF(BaseLoad!U76&gt;BaseLoad!$G76,O$8*PPA!$K$5*BaseLoad!$AM$9,0))</f>
        <v>6.2781986151000373</v>
      </c>
      <c r="P77" s="243">
        <f>IF($A$1="Peak","-",IF(BaseLoad!V76&gt;BaseLoad!$G76,P$8*PPA!$K$5*BaseLoad!$AM$9,0))</f>
        <v>6.2781986151000373</v>
      </c>
      <c r="Q77" s="243">
        <f>IF($A$1="Peak","-",IF(BaseLoad!W76&gt;BaseLoad!$G76,Q$8*PPA!$K$5*BaseLoad!$AM$9,0))</f>
        <v>6.2781986151000373</v>
      </c>
      <c r="R77" s="243">
        <f>IF($A$1="Peak","-",IF(BaseLoad!X76&gt;BaseLoad!$G76,R$8*PPA!$K$5*BaseLoad!$AM$9,0))</f>
        <v>6.2781986151000373</v>
      </c>
      <c r="S77" s="243">
        <f>IF($A$1="Peak","-",IF(BaseLoad!Y76&gt;BaseLoad!$G76,S$8*PPA!$K$5*BaseLoad!$AM$9,0))</f>
        <v>6.2781986151000373</v>
      </c>
      <c r="T77" s="243">
        <f>IF($A$1="Peak","-",IF(BaseLoad!Z76&gt;BaseLoad!$G76,T$8*PPA!$K$5*BaseLoad!$AM$9,0))</f>
        <v>6.2781986151000373</v>
      </c>
      <c r="U77" s="243">
        <f>IF($A$1="Peak","-",IF(BaseLoad!AA76&gt;BaseLoad!$G76,U$8*PPA!$K$5*BaseLoad!$AM$9,0))</f>
        <v>17.265046191525105</v>
      </c>
      <c r="V77" s="243">
        <f t="shared" si="3"/>
        <v>114.57712472557569</v>
      </c>
      <c r="W77" s="243">
        <f>IF($A$1="Peak","-",(730*PPA!$G$4*BaseLoad!$AP$9))</f>
        <v>421.0504308764738</v>
      </c>
      <c r="X77" s="243">
        <f t="shared" si="4"/>
        <v>535.62755560204948</v>
      </c>
      <c r="Y77" s="243"/>
    </row>
    <row r="78" spans="1:25" x14ac:dyDescent="0.2">
      <c r="A78" s="1">
        <f t="shared" si="5"/>
        <v>38608.356000000087</v>
      </c>
      <c r="B78" s="243">
        <f>IF($A$1="Peak","-",IF(BaseLoad!H77&gt;BaseLoad!$G77,B$8*PPA!$K$5*BaseLoad!$AM$9,0))</f>
        <v>0.78477482688750466</v>
      </c>
      <c r="C78" s="243">
        <f>IF($A$1="Peak","-",IF(BaseLoad!I77&gt;BaseLoad!$G77,C$8*PPA!$K$5*BaseLoad!$AM$9,0))</f>
        <v>0.78477482688750466</v>
      </c>
      <c r="D78" s="243">
        <f>IF($A$1="Peak","-",IF(BaseLoad!J77&gt;BaseLoad!$G77,D$8*PPA!$K$5*BaseLoad!$AM$9,0))</f>
        <v>1.5695496537750093</v>
      </c>
      <c r="E78" s="243">
        <f>IF($A$1="Peak","-",IF(BaseLoad!K77&gt;BaseLoad!$G77,E$8*PPA!$K$5*BaseLoad!$AM$9,0))</f>
        <v>3.1390993075500186</v>
      </c>
      <c r="F78" s="243">
        <f>IF($A$1="Peak","-",IF(BaseLoad!L77&gt;BaseLoad!$G77,F$8*PPA!$K$5*BaseLoad!$AM$9,0))</f>
        <v>3.1390993075500186</v>
      </c>
      <c r="G78" s="243">
        <f>IF($A$1="Peak","-",IF(BaseLoad!M77&gt;BaseLoad!$G77,G$8*PPA!$K$5*BaseLoad!$AM$9,0))</f>
        <v>6.2781986151000373</v>
      </c>
      <c r="H78" s="243">
        <f>IF($A$1="Peak","-",IF(BaseLoad!N77&gt;BaseLoad!$G77,H$8*PPA!$K$5*BaseLoad!$AM$9,0))</f>
        <v>6.2781986151000373</v>
      </c>
      <c r="I78" s="243">
        <f>IF($A$1="Peak","-",IF(BaseLoad!O77&gt;BaseLoad!$G77,I$8*PPA!$K$5*BaseLoad!$AM$9,0))</f>
        <v>6.2781986151000373</v>
      </c>
      <c r="J78" s="243">
        <f>IF($A$1="Peak","-",IF(BaseLoad!P77&gt;BaseLoad!$G77,J$8*PPA!$K$5*BaseLoad!$AM$9,0))</f>
        <v>6.2781986151000373</v>
      </c>
      <c r="K78" s="243">
        <f>IF($A$1="Peak","-",IF(BaseLoad!Q77&gt;BaseLoad!$G77,K$8*PPA!$K$5*BaseLoad!$AM$9,0))</f>
        <v>6.2781986151000373</v>
      </c>
      <c r="L78" s="243">
        <f>IF($A$1="Peak","-",IF(BaseLoad!R77&gt;BaseLoad!$G77,L$8*PPA!$K$5*BaseLoad!$AM$9,0))</f>
        <v>6.2781986151000373</v>
      </c>
      <c r="M78" s="243">
        <f>IF($A$1="Peak","-",IF(BaseLoad!S77&gt;BaseLoad!$G77,M$8*PPA!$K$5*BaseLoad!$AM$9,0))</f>
        <v>6.2781986151000373</v>
      </c>
      <c r="N78" s="243">
        <f>IF($A$1="Peak","-",IF(BaseLoad!T77&gt;BaseLoad!$G77,N$8*PPA!$K$5*BaseLoad!$AM$9,0))</f>
        <v>6.2781986151000373</v>
      </c>
      <c r="O78" s="243">
        <f>IF($A$1="Peak","-",IF(BaseLoad!U77&gt;BaseLoad!$G77,O$8*PPA!$K$5*BaseLoad!$AM$9,0))</f>
        <v>6.2781986151000373</v>
      </c>
      <c r="P78" s="243">
        <f>IF($A$1="Peak","-",IF(BaseLoad!V77&gt;BaseLoad!$G77,P$8*PPA!$K$5*BaseLoad!$AM$9,0))</f>
        <v>6.2781986151000373</v>
      </c>
      <c r="Q78" s="243">
        <f>IF($A$1="Peak","-",IF(BaseLoad!W77&gt;BaseLoad!$G77,Q$8*PPA!$K$5*BaseLoad!$AM$9,0))</f>
        <v>6.2781986151000373</v>
      </c>
      <c r="R78" s="243">
        <f>IF($A$1="Peak","-",IF(BaseLoad!X77&gt;BaseLoad!$G77,R$8*PPA!$K$5*BaseLoad!$AM$9,0))</f>
        <v>6.2781986151000373</v>
      </c>
      <c r="S78" s="243">
        <f>IF($A$1="Peak","-",IF(BaseLoad!Y77&gt;BaseLoad!$G77,S$8*PPA!$K$5*BaseLoad!$AM$9,0))</f>
        <v>6.2781986151000373</v>
      </c>
      <c r="T78" s="243">
        <f>IF($A$1="Peak","-",IF(BaseLoad!Z77&gt;BaseLoad!$G77,T$8*PPA!$K$5*BaseLoad!$AM$9,0))</f>
        <v>6.2781986151000373</v>
      </c>
      <c r="U78" s="243">
        <f>IF($A$1="Peak","-",IF(BaseLoad!AA77&gt;BaseLoad!$G77,U$8*PPA!$K$5*BaseLoad!$AM$9,0))</f>
        <v>17.265046191525105</v>
      </c>
      <c r="V78" s="243">
        <f t="shared" si="3"/>
        <v>114.57712472557569</v>
      </c>
      <c r="W78" s="243">
        <f>IF($A$1="Peak","-",(730*PPA!$G$4*BaseLoad!$AP$9))</f>
        <v>421.0504308764738</v>
      </c>
      <c r="X78" s="243">
        <f t="shared" si="4"/>
        <v>535.62755560204948</v>
      </c>
      <c r="Y78" s="243"/>
    </row>
    <row r="79" spans="1:25" x14ac:dyDescent="0.2">
      <c r="A79" s="1">
        <f t="shared" si="5"/>
        <v>38638.773000000088</v>
      </c>
      <c r="B79" s="243">
        <f>IF($A$1="Peak","-",IF(BaseLoad!H78&gt;BaseLoad!$G78,B$8*PPA!$K$5*BaseLoad!$AM$9,0))</f>
        <v>0.78477482688750466</v>
      </c>
      <c r="C79" s="243">
        <f>IF($A$1="Peak","-",IF(BaseLoad!I78&gt;BaseLoad!$G78,C$8*PPA!$K$5*BaseLoad!$AM$9,0))</f>
        <v>0.78477482688750466</v>
      </c>
      <c r="D79" s="243">
        <f>IF($A$1="Peak","-",IF(BaseLoad!J78&gt;BaseLoad!$G78,D$8*PPA!$K$5*BaseLoad!$AM$9,0))</f>
        <v>1.5695496537750093</v>
      </c>
      <c r="E79" s="243">
        <f>IF($A$1="Peak","-",IF(BaseLoad!K78&gt;BaseLoad!$G78,E$8*PPA!$K$5*BaseLoad!$AM$9,0))</f>
        <v>3.1390993075500186</v>
      </c>
      <c r="F79" s="243">
        <f>IF($A$1="Peak","-",IF(BaseLoad!L78&gt;BaseLoad!$G78,F$8*PPA!$K$5*BaseLoad!$AM$9,0))</f>
        <v>3.1390993075500186</v>
      </c>
      <c r="G79" s="243">
        <f>IF($A$1="Peak","-",IF(BaseLoad!M78&gt;BaseLoad!$G78,G$8*PPA!$K$5*BaseLoad!$AM$9,0))</f>
        <v>6.2781986151000373</v>
      </c>
      <c r="H79" s="243">
        <f>IF($A$1="Peak","-",IF(BaseLoad!N78&gt;BaseLoad!$G78,H$8*PPA!$K$5*BaseLoad!$AM$9,0))</f>
        <v>6.2781986151000373</v>
      </c>
      <c r="I79" s="243">
        <f>IF($A$1="Peak","-",IF(BaseLoad!O78&gt;BaseLoad!$G78,I$8*PPA!$K$5*BaseLoad!$AM$9,0))</f>
        <v>6.2781986151000373</v>
      </c>
      <c r="J79" s="243">
        <f>IF($A$1="Peak","-",IF(BaseLoad!P78&gt;BaseLoad!$G78,J$8*PPA!$K$5*BaseLoad!$AM$9,0))</f>
        <v>6.2781986151000373</v>
      </c>
      <c r="K79" s="243">
        <f>IF($A$1="Peak","-",IF(BaseLoad!Q78&gt;BaseLoad!$G78,K$8*PPA!$K$5*BaseLoad!$AM$9,0))</f>
        <v>6.2781986151000373</v>
      </c>
      <c r="L79" s="243">
        <f>IF($A$1="Peak","-",IF(BaseLoad!R78&gt;BaseLoad!$G78,L$8*PPA!$K$5*BaseLoad!$AM$9,0))</f>
        <v>6.2781986151000373</v>
      </c>
      <c r="M79" s="243">
        <f>IF($A$1="Peak","-",IF(BaseLoad!S78&gt;BaseLoad!$G78,M$8*PPA!$K$5*BaseLoad!$AM$9,0))</f>
        <v>6.2781986151000373</v>
      </c>
      <c r="N79" s="243">
        <f>IF($A$1="Peak","-",IF(BaseLoad!T78&gt;BaseLoad!$G78,N$8*PPA!$K$5*BaseLoad!$AM$9,0))</f>
        <v>6.2781986151000373</v>
      </c>
      <c r="O79" s="243">
        <f>IF($A$1="Peak","-",IF(BaseLoad!U78&gt;BaseLoad!$G78,O$8*PPA!$K$5*BaseLoad!$AM$9,0))</f>
        <v>6.2781986151000373</v>
      </c>
      <c r="P79" s="243">
        <f>IF($A$1="Peak","-",IF(BaseLoad!V78&gt;BaseLoad!$G78,P$8*PPA!$K$5*BaseLoad!$AM$9,0))</f>
        <v>6.2781986151000373</v>
      </c>
      <c r="Q79" s="243">
        <f>IF($A$1="Peak","-",IF(BaseLoad!W78&gt;BaseLoad!$G78,Q$8*PPA!$K$5*BaseLoad!$AM$9,0))</f>
        <v>6.2781986151000373</v>
      </c>
      <c r="R79" s="243">
        <f>IF($A$1="Peak","-",IF(BaseLoad!X78&gt;BaseLoad!$G78,R$8*PPA!$K$5*BaseLoad!$AM$9,0))</f>
        <v>6.2781986151000373</v>
      </c>
      <c r="S79" s="243">
        <f>IF($A$1="Peak","-",IF(BaseLoad!Y78&gt;BaseLoad!$G78,S$8*PPA!$K$5*BaseLoad!$AM$9,0))</f>
        <v>6.2781986151000373</v>
      </c>
      <c r="T79" s="243">
        <f>IF($A$1="Peak","-",IF(BaseLoad!Z78&gt;BaseLoad!$G78,T$8*PPA!$K$5*BaseLoad!$AM$9,0))</f>
        <v>6.2781986151000373</v>
      </c>
      <c r="U79" s="243">
        <f>IF($A$1="Peak","-",IF(BaseLoad!AA78&gt;BaseLoad!$G78,U$8*PPA!$K$5*BaseLoad!$AM$9,0))</f>
        <v>17.265046191525105</v>
      </c>
      <c r="V79" s="243">
        <f t="shared" si="3"/>
        <v>114.57712472557569</v>
      </c>
      <c r="W79" s="243">
        <f>IF($A$1="Peak","-",(730*PPA!$G$4*BaseLoad!$AP$9))</f>
        <v>421.0504308764738</v>
      </c>
      <c r="X79" s="243">
        <f t="shared" si="4"/>
        <v>535.62755560204948</v>
      </c>
      <c r="Y79" s="243"/>
    </row>
    <row r="80" spans="1:25" x14ac:dyDescent="0.2">
      <c r="A80" s="1">
        <f t="shared" si="5"/>
        <v>38669.19000000009</v>
      </c>
      <c r="B80" s="243">
        <f>IF($A$1="Peak","-",IF(BaseLoad!H79&gt;BaseLoad!$G79,B$8*PPA!$K$5*BaseLoad!$AM$9,0))</f>
        <v>0.78477482688750466</v>
      </c>
      <c r="C80" s="243">
        <f>IF($A$1="Peak","-",IF(BaseLoad!I79&gt;BaseLoad!$G79,C$8*PPA!$K$5*BaseLoad!$AM$9,0))</f>
        <v>0.78477482688750466</v>
      </c>
      <c r="D80" s="243">
        <f>IF($A$1="Peak","-",IF(BaseLoad!J79&gt;BaseLoad!$G79,D$8*PPA!$K$5*BaseLoad!$AM$9,0))</f>
        <v>1.5695496537750093</v>
      </c>
      <c r="E80" s="243">
        <f>IF($A$1="Peak","-",IF(BaseLoad!K79&gt;BaseLoad!$G79,E$8*PPA!$K$5*BaseLoad!$AM$9,0))</f>
        <v>3.1390993075500186</v>
      </c>
      <c r="F80" s="243">
        <f>IF($A$1="Peak","-",IF(BaseLoad!L79&gt;BaseLoad!$G79,F$8*PPA!$K$5*BaseLoad!$AM$9,0))</f>
        <v>3.1390993075500186</v>
      </c>
      <c r="G80" s="243">
        <f>IF($A$1="Peak","-",IF(BaseLoad!M79&gt;BaseLoad!$G79,G$8*PPA!$K$5*BaseLoad!$AM$9,0))</f>
        <v>6.2781986151000373</v>
      </c>
      <c r="H80" s="243">
        <f>IF($A$1="Peak","-",IF(BaseLoad!N79&gt;BaseLoad!$G79,H$8*PPA!$K$5*BaseLoad!$AM$9,0))</f>
        <v>6.2781986151000373</v>
      </c>
      <c r="I80" s="243">
        <f>IF($A$1="Peak","-",IF(BaseLoad!O79&gt;BaseLoad!$G79,I$8*PPA!$K$5*BaseLoad!$AM$9,0))</f>
        <v>6.2781986151000373</v>
      </c>
      <c r="J80" s="243">
        <f>IF($A$1="Peak","-",IF(BaseLoad!P79&gt;BaseLoad!$G79,J$8*PPA!$K$5*BaseLoad!$AM$9,0))</f>
        <v>6.2781986151000373</v>
      </c>
      <c r="K80" s="243">
        <f>IF($A$1="Peak","-",IF(BaseLoad!Q79&gt;BaseLoad!$G79,K$8*PPA!$K$5*BaseLoad!$AM$9,0))</f>
        <v>6.2781986151000373</v>
      </c>
      <c r="L80" s="243">
        <f>IF($A$1="Peak","-",IF(BaseLoad!R79&gt;BaseLoad!$G79,L$8*PPA!$K$5*BaseLoad!$AM$9,0))</f>
        <v>6.2781986151000373</v>
      </c>
      <c r="M80" s="243">
        <f>IF($A$1="Peak","-",IF(BaseLoad!S79&gt;BaseLoad!$G79,M$8*PPA!$K$5*BaseLoad!$AM$9,0))</f>
        <v>6.2781986151000373</v>
      </c>
      <c r="N80" s="243">
        <f>IF($A$1="Peak","-",IF(BaseLoad!T79&gt;BaseLoad!$G79,N$8*PPA!$K$5*BaseLoad!$AM$9,0))</f>
        <v>6.2781986151000373</v>
      </c>
      <c r="O80" s="243">
        <f>IF($A$1="Peak","-",IF(BaseLoad!U79&gt;BaseLoad!$G79,O$8*PPA!$K$5*BaseLoad!$AM$9,0))</f>
        <v>6.2781986151000373</v>
      </c>
      <c r="P80" s="243">
        <f>IF($A$1="Peak","-",IF(BaseLoad!V79&gt;BaseLoad!$G79,P$8*PPA!$K$5*BaseLoad!$AM$9,0))</f>
        <v>6.2781986151000373</v>
      </c>
      <c r="Q80" s="243">
        <f>IF($A$1="Peak","-",IF(BaseLoad!W79&gt;BaseLoad!$G79,Q$8*PPA!$K$5*BaseLoad!$AM$9,0))</f>
        <v>6.2781986151000373</v>
      </c>
      <c r="R80" s="243">
        <f>IF($A$1="Peak","-",IF(BaseLoad!X79&gt;BaseLoad!$G79,R$8*PPA!$K$5*BaseLoad!$AM$9,0))</f>
        <v>6.2781986151000373</v>
      </c>
      <c r="S80" s="243">
        <f>IF($A$1="Peak","-",IF(BaseLoad!Y79&gt;BaseLoad!$G79,S$8*PPA!$K$5*BaseLoad!$AM$9,0))</f>
        <v>6.2781986151000373</v>
      </c>
      <c r="T80" s="243">
        <f>IF($A$1="Peak","-",IF(BaseLoad!Z79&gt;BaseLoad!$G79,T$8*PPA!$K$5*BaseLoad!$AM$9,0))</f>
        <v>6.2781986151000373</v>
      </c>
      <c r="U80" s="243">
        <f>IF($A$1="Peak","-",IF(BaseLoad!AA79&gt;BaseLoad!$G79,U$8*PPA!$K$5*BaseLoad!$AM$9,0))</f>
        <v>17.265046191525105</v>
      </c>
      <c r="V80" s="243">
        <f t="shared" si="3"/>
        <v>114.57712472557569</v>
      </c>
      <c r="W80" s="243">
        <f>IF($A$1="Peak","-",(730*PPA!$G$4*BaseLoad!$AP$9))</f>
        <v>421.0504308764738</v>
      </c>
      <c r="X80" s="243">
        <f t="shared" si="4"/>
        <v>535.62755560204948</v>
      </c>
      <c r="Y80" s="243"/>
    </row>
    <row r="81" spans="1:25" x14ac:dyDescent="0.2">
      <c r="A81" s="1">
        <f t="shared" si="5"/>
        <v>38699.607000000091</v>
      </c>
      <c r="B81" s="243">
        <f>IF($A$1="Peak","-",IF(BaseLoad!H80&gt;BaseLoad!$G80,B$8*PPA!$K$5*BaseLoad!$AM$9,0))</f>
        <v>0.78477482688750466</v>
      </c>
      <c r="C81" s="243">
        <f>IF($A$1="Peak","-",IF(BaseLoad!I80&gt;BaseLoad!$G80,C$8*PPA!$K$5*BaseLoad!$AM$9,0))</f>
        <v>0.78477482688750466</v>
      </c>
      <c r="D81" s="243">
        <f>IF($A$1="Peak","-",IF(BaseLoad!J80&gt;BaseLoad!$G80,D$8*PPA!$K$5*BaseLoad!$AM$9,0))</f>
        <v>1.5695496537750093</v>
      </c>
      <c r="E81" s="243">
        <f>IF($A$1="Peak","-",IF(BaseLoad!K80&gt;BaseLoad!$G80,E$8*PPA!$K$5*BaseLoad!$AM$9,0))</f>
        <v>3.1390993075500186</v>
      </c>
      <c r="F81" s="243">
        <f>IF($A$1="Peak","-",IF(BaseLoad!L80&gt;BaseLoad!$G80,F$8*PPA!$K$5*BaseLoad!$AM$9,0))</f>
        <v>3.1390993075500186</v>
      </c>
      <c r="G81" s="243">
        <f>IF($A$1="Peak","-",IF(BaseLoad!M80&gt;BaseLoad!$G80,G$8*PPA!$K$5*BaseLoad!$AM$9,0))</f>
        <v>6.2781986151000373</v>
      </c>
      <c r="H81" s="243">
        <f>IF($A$1="Peak","-",IF(BaseLoad!N80&gt;BaseLoad!$G80,H$8*PPA!$K$5*BaseLoad!$AM$9,0))</f>
        <v>6.2781986151000373</v>
      </c>
      <c r="I81" s="243">
        <f>IF($A$1="Peak","-",IF(BaseLoad!O80&gt;BaseLoad!$G80,I$8*PPA!$K$5*BaseLoad!$AM$9,0))</f>
        <v>6.2781986151000373</v>
      </c>
      <c r="J81" s="243">
        <f>IF($A$1="Peak","-",IF(BaseLoad!P80&gt;BaseLoad!$G80,J$8*PPA!$K$5*BaseLoad!$AM$9,0))</f>
        <v>6.2781986151000373</v>
      </c>
      <c r="K81" s="243">
        <f>IF($A$1="Peak","-",IF(BaseLoad!Q80&gt;BaseLoad!$G80,K$8*PPA!$K$5*BaseLoad!$AM$9,0))</f>
        <v>6.2781986151000373</v>
      </c>
      <c r="L81" s="243">
        <f>IF($A$1="Peak","-",IF(BaseLoad!R80&gt;BaseLoad!$G80,L$8*PPA!$K$5*BaseLoad!$AM$9,0))</f>
        <v>6.2781986151000373</v>
      </c>
      <c r="M81" s="243">
        <f>IF($A$1="Peak","-",IF(BaseLoad!S80&gt;BaseLoad!$G80,M$8*PPA!$K$5*BaseLoad!$AM$9,0))</f>
        <v>6.2781986151000373</v>
      </c>
      <c r="N81" s="243">
        <f>IF($A$1="Peak","-",IF(BaseLoad!T80&gt;BaseLoad!$G80,N$8*PPA!$K$5*BaseLoad!$AM$9,0))</f>
        <v>6.2781986151000373</v>
      </c>
      <c r="O81" s="243">
        <f>IF($A$1="Peak","-",IF(BaseLoad!U80&gt;BaseLoad!$G80,O$8*PPA!$K$5*BaseLoad!$AM$9,0))</f>
        <v>6.2781986151000373</v>
      </c>
      <c r="P81" s="243">
        <f>IF($A$1="Peak","-",IF(BaseLoad!V80&gt;BaseLoad!$G80,P$8*PPA!$K$5*BaseLoad!$AM$9,0))</f>
        <v>6.2781986151000373</v>
      </c>
      <c r="Q81" s="243">
        <f>IF($A$1="Peak","-",IF(BaseLoad!W80&gt;BaseLoad!$G80,Q$8*PPA!$K$5*BaseLoad!$AM$9,0))</f>
        <v>6.2781986151000373</v>
      </c>
      <c r="R81" s="243">
        <f>IF($A$1="Peak","-",IF(BaseLoad!X80&gt;BaseLoad!$G80,R$8*PPA!$K$5*BaseLoad!$AM$9,0))</f>
        <v>6.2781986151000373</v>
      </c>
      <c r="S81" s="243">
        <f>IF($A$1="Peak","-",IF(BaseLoad!Y80&gt;BaseLoad!$G80,S$8*PPA!$K$5*BaseLoad!$AM$9,0))</f>
        <v>6.2781986151000373</v>
      </c>
      <c r="T81" s="243">
        <f>IF($A$1="Peak","-",IF(BaseLoad!Z80&gt;BaseLoad!$G80,T$8*PPA!$K$5*BaseLoad!$AM$9,0))</f>
        <v>6.2781986151000373</v>
      </c>
      <c r="U81" s="243">
        <f>IF($A$1="Peak","-",IF(BaseLoad!AA80&gt;BaseLoad!$G80,U$8*PPA!$K$5*BaseLoad!$AM$9,0))</f>
        <v>17.265046191525105</v>
      </c>
      <c r="V81" s="243">
        <f t="shared" si="3"/>
        <v>114.57712472557569</v>
      </c>
      <c r="W81" s="243">
        <f>IF($A$1="Peak","-",(730*PPA!$G$4*BaseLoad!$AP$9))</f>
        <v>421.0504308764738</v>
      </c>
      <c r="X81" s="243">
        <f t="shared" si="4"/>
        <v>535.62755560204948</v>
      </c>
      <c r="Y81" s="243">
        <f>SUM(X70:X81)</f>
        <v>6427.5306672245924</v>
      </c>
    </row>
    <row r="82" spans="1:25" x14ac:dyDescent="0.2">
      <c r="A82" s="1">
        <f t="shared" si="5"/>
        <v>38730.024000000092</v>
      </c>
      <c r="B82" s="173">
        <f>IF($A$1="Peak","-",IF(BaseLoad!H81&gt;BaseLoad!$G81,B$8*BaseLoad!$AM$9,0))</f>
        <v>3.634231662306957</v>
      </c>
      <c r="C82" s="173">
        <f>IF($A$1="Peak","-",IF(BaseLoad!I81&gt;BaseLoad!$G81,C$8*BaseLoad!$AM$9,0))</f>
        <v>3.634231662306957</v>
      </c>
      <c r="D82" s="173">
        <f>IF($A$1="Peak","-",IF(BaseLoad!J81&gt;BaseLoad!$G81,D$8*BaseLoad!$AM$9,0))</f>
        <v>7.2684633246139141</v>
      </c>
      <c r="E82" s="173">
        <f>IF($A$1="Peak","-",IF(BaseLoad!K81&gt;BaseLoad!$G81,E$8*BaseLoad!$AM$9,0))</f>
        <v>14.536926649227828</v>
      </c>
      <c r="F82" s="173">
        <f>IF($A$1="Peak","-",IF(BaseLoad!L81&gt;BaseLoad!$G81,F$8*BaseLoad!$AM$9,0))</f>
        <v>14.536926649227828</v>
      </c>
      <c r="G82" s="173">
        <f>IF($A$1="Peak","-",IF(BaseLoad!M81&gt;BaseLoad!$G81,G$8*BaseLoad!$AM$9,0))</f>
        <v>29.073853298455656</v>
      </c>
      <c r="H82" s="173">
        <f>IF($A$1="Peak","-",IF(BaseLoad!N81&gt;BaseLoad!$G81,H$8*BaseLoad!$AM$9,0))</f>
        <v>29.073853298455656</v>
      </c>
      <c r="I82" s="173">
        <f>IF($A$1="Peak","-",IF(BaseLoad!O81&gt;BaseLoad!$G81,I$8*BaseLoad!$AM$9,0))</f>
        <v>29.073853298455656</v>
      </c>
      <c r="J82" s="173">
        <f>IF($A$1="Peak","-",IF(BaseLoad!P81&gt;BaseLoad!$G81,J$8*BaseLoad!$AM$9,0))</f>
        <v>29.073853298455656</v>
      </c>
      <c r="K82" s="173">
        <f>IF($A$1="Peak","-",IF(BaseLoad!Q81&gt;BaseLoad!$G81,K$8*BaseLoad!$AM$9,0))</f>
        <v>29.073853298455656</v>
      </c>
      <c r="L82" s="173">
        <f>IF($A$1="Peak","-",IF(BaseLoad!R81&gt;BaseLoad!$G81,L$8*BaseLoad!$AM$9,0))</f>
        <v>29.073853298455656</v>
      </c>
      <c r="M82" s="173">
        <f>IF($A$1="Peak","-",IF(BaseLoad!S81&gt;BaseLoad!$G81,M$8*BaseLoad!$AM$9,0))</f>
        <v>29.073853298455656</v>
      </c>
      <c r="N82" s="173">
        <f>IF($A$1="Peak","-",IF(BaseLoad!T81&gt;BaseLoad!$G81,N$8*BaseLoad!$AM$9,0))</f>
        <v>29.073853298455656</v>
      </c>
      <c r="O82" s="173">
        <f>IF($A$1="Peak","-",IF(BaseLoad!U81&gt;BaseLoad!$G81,O$8*BaseLoad!$AM$9,0))</f>
        <v>29.073853298455656</v>
      </c>
      <c r="P82" s="173">
        <f>IF($A$1="Peak","-",IF(BaseLoad!V81&gt;BaseLoad!$G81,P$8*BaseLoad!$AM$9,0))</f>
        <v>29.073853298455656</v>
      </c>
      <c r="Q82" s="173">
        <f>IF($A$1="Peak","-",IF(BaseLoad!W81&gt;BaseLoad!$G81,Q$8*BaseLoad!$AM$9,0))</f>
        <v>29.073853298455656</v>
      </c>
      <c r="R82" s="173">
        <f>IF($A$1="Peak","-",IF(BaseLoad!X81&gt;BaseLoad!$G81,R$8*BaseLoad!$AM$9,0))</f>
        <v>29.073853298455656</v>
      </c>
      <c r="S82" s="173">
        <f>IF($A$1="Peak","-",IF(BaseLoad!Y81&gt;BaseLoad!$G81,S$8*BaseLoad!$AM$9,0))</f>
        <v>29.073853298455656</v>
      </c>
      <c r="T82" s="173">
        <f>IF($A$1="Peak","-",IF(BaseLoad!Z81&gt;BaseLoad!$G81,T$8*BaseLoad!$AM$9,0))</f>
        <v>29.073853298455656</v>
      </c>
      <c r="U82" s="173">
        <f>IF($A$1="Peak","-",IF(BaseLoad!AA81&gt;BaseLoad!$G81,U$8*BaseLoad!$AM$9,0))</f>
        <v>79.953096570753061</v>
      </c>
      <c r="V82" s="173">
        <f t="shared" si="3"/>
        <v>530.5978226968158</v>
      </c>
      <c r="W82" s="173"/>
      <c r="X82" s="173"/>
      <c r="Y82" s="173"/>
    </row>
    <row r="83" spans="1:25" x14ac:dyDescent="0.2">
      <c r="A83" s="1">
        <f t="shared" si="5"/>
        <v>38760.441000000093</v>
      </c>
      <c r="B83" s="173">
        <f>IF($A$1="Peak","-",IF(BaseLoad!H82&gt;BaseLoad!$G82,B$8*BaseLoad!$AM$9,0))</f>
        <v>3.634231662306957</v>
      </c>
      <c r="C83" s="173">
        <f>IF($A$1="Peak","-",IF(BaseLoad!I82&gt;BaseLoad!$G82,C$8*BaseLoad!$AM$9,0))</f>
        <v>3.634231662306957</v>
      </c>
      <c r="D83" s="173">
        <f>IF($A$1="Peak","-",IF(BaseLoad!J82&gt;BaseLoad!$G82,D$8*BaseLoad!$AM$9,0))</f>
        <v>7.2684633246139141</v>
      </c>
      <c r="E83" s="173">
        <f>IF($A$1="Peak","-",IF(BaseLoad!K82&gt;BaseLoad!$G82,E$8*BaseLoad!$AM$9,0))</f>
        <v>14.536926649227828</v>
      </c>
      <c r="F83" s="173">
        <f>IF($A$1="Peak","-",IF(BaseLoad!L82&gt;BaseLoad!$G82,F$8*BaseLoad!$AM$9,0))</f>
        <v>14.536926649227828</v>
      </c>
      <c r="G83" s="173">
        <f>IF($A$1="Peak","-",IF(BaseLoad!M82&gt;BaseLoad!$G82,G$8*BaseLoad!$AM$9,0))</f>
        <v>29.073853298455656</v>
      </c>
      <c r="H83" s="173">
        <f>IF($A$1="Peak","-",IF(BaseLoad!N82&gt;BaseLoad!$G82,H$8*BaseLoad!$AM$9,0))</f>
        <v>29.073853298455656</v>
      </c>
      <c r="I83" s="173">
        <f>IF($A$1="Peak","-",IF(BaseLoad!O82&gt;BaseLoad!$G82,I$8*BaseLoad!$AM$9,0))</f>
        <v>29.073853298455656</v>
      </c>
      <c r="J83" s="173">
        <f>IF($A$1="Peak","-",IF(BaseLoad!P82&gt;BaseLoad!$G82,J$8*BaseLoad!$AM$9,0))</f>
        <v>29.073853298455656</v>
      </c>
      <c r="K83" s="173">
        <f>IF($A$1="Peak","-",IF(BaseLoad!Q82&gt;BaseLoad!$G82,K$8*BaseLoad!$AM$9,0))</f>
        <v>29.073853298455656</v>
      </c>
      <c r="L83" s="173">
        <f>IF($A$1="Peak","-",IF(BaseLoad!R82&gt;BaseLoad!$G82,L$8*BaseLoad!$AM$9,0))</f>
        <v>29.073853298455656</v>
      </c>
      <c r="M83" s="173">
        <f>IF($A$1="Peak","-",IF(BaseLoad!S82&gt;BaseLoad!$G82,M$8*BaseLoad!$AM$9,0))</f>
        <v>29.073853298455656</v>
      </c>
      <c r="N83" s="173">
        <f>IF($A$1="Peak","-",IF(BaseLoad!T82&gt;BaseLoad!$G82,N$8*BaseLoad!$AM$9,0))</f>
        <v>29.073853298455656</v>
      </c>
      <c r="O83" s="173">
        <f>IF($A$1="Peak","-",IF(BaseLoad!U82&gt;BaseLoad!$G82,O$8*BaseLoad!$AM$9,0))</f>
        <v>29.073853298455656</v>
      </c>
      <c r="P83" s="173">
        <f>IF($A$1="Peak","-",IF(BaseLoad!V82&gt;BaseLoad!$G82,P$8*BaseLoad!$AM$9,0))</f>
        <v>29.073853298455656</v>
      </c>
      <c r="Q83" s="173">
        <f>IF($A$1="Peak","-",IF(BaseLoad!W82&gt;BaseLoad!$G82,Q$8*BaseLoad!$AM$9,0))</f>
        <v>29.073853298455656</v>
      </c>
      <c r="R83" s="173">
        <f>IF($A$1="Peak","-",IF(BaseLoad!X82&gt;BaseLoad!$G82,R$8*BaseLoad!$AM$9,0))</f>
        <v>29.073853298455656</v>
      </c>
      <c r="S83" s="173">
        <f>IF($A$1="Peak","-",IF(BaseLoad!Y82&gt;BaseLoad!$G82,S$8*BaseLoad!$AM$9,0))</f>
        <v>29.073853298455656</v>
      </c>
      <c r="T83" s="173">
        <f>IF($A$1="Peak","-",IF(BaseLoad!Z82&gt;BaseLoad!$G82,T$8*BaseLoad!$AM$9,0))</f>
        <v>29.073853298455656</v>
      </c>
      <c r="U83" s="173">
        <f>IF($A$1="Peak","-",IF(BaseLoad!AA82&gt;BaseLoad!$G82,U$8*BaseLoad!$AM$9,0))</f>
        <v>79.953096570753061</v>
      </c>
      <c r="V83" s="173">
        <f t="shared" si="3"/>
        <v>530.5978226968158</v>
      </c>
      <c r="W83" s="173"/>
      <c r="X83" s="173"/>
      <c r="Y83" s="173"/>
    </row>
    <row r="84" spans="1:25" x14ac:dyDescent="0.2">
      <c r="A84" s="1">
        <f t="shared" si="5"/>
        <v>38790.858000000095</v>
      </c>
      <c r="B84" s="173">
        <f>IF($A$1="Peak","-",IF(BaseLoad!H83&gt;BaseLoad!$G83,B$8*BaseLoad!$AM$9,0))</f>
        <v>3.634231662306957</v>
      </c>
      <c r="C84" s="173">
        <f>IF($A$1="Peak","-",IF(BaseLoad!I83&gt;BaseLoad!$G83,C$8*BaseLoad!$AM$9,0))</f>
        <v>3.634231662306957</v>
      </c>
      <c r="D84" s="173">
        <f>IF($A$1="Peak","-",IF(BaseLoad!J83&gt;BaseLoad!$G83,D$8*BaseLoad!$AM$9,0))</f>
        <v>7.2684633246139141</v>
      </c>
      <c r="E84" s="173">
        <f>IF($A$1="Peak","-",IF(BaseLoad!K83&gt;BaseLoad!$G83,E$8*BaseLoad!$AM$9,0))</f>
        <v>14.536926649227828</v>
      </c>
      <c r="F84" s="173">
        <f>IF($A$1="Peak","-",IF(BaseLoad!L83&gt;BaseLoad!$G83,F$8*BaseLoad!$AM$9,0))</f>
        <v>14.536926649227828</v>
      </c>
      <c r="G84" s="173">
        <f>IF($A$1="Peak","-",IF(BaseLoad!M83&gt;BaseLoad!$G83,G$8*BaseLoad!$AM$9,0))</f>
        <v>29.073853298455656</v>
      </c>
      <c r="H84" s="173">
        <f>IF($A$1="Peak","-",IF(BaseLoad!N83&gt;BaseLoad!$G83,H$8*BaseLoad!$AM$9,0))</f>
        <v>29.073853298455656</v>
      </c>
      <c r="I84" s="173">
        <f>IF($A$1="Peak","-",IF(BaseLoad!O83&gt;BaseLoad!$G83,I$8*BaseLoad!$AM$9,0))</f>
        <v>29.073853298455656</v>
      </c>
      <c r="J84" s="173">
        <f>IF($A$1="Peak","-",IF(BaseLoad!P83&gt;BaseLoad!$G83,J$8*BaseLoad!$AM$9,0))</f>
        <v>29.073853298455656</v>
      </c>
      <c r="K84" s="173">
        <f>IF($A$1="Peak","-",IF(BaseLoad!Q83&gt;BaseLoad!$G83,K$8*BaseLoad!$AM$9,0))</f>
        <v>29.073853298455656</v>
      </c>
      <c r="L84" s="173">
        <f>IF($A$1="Peak","-",IF(BaseLoad!R83&gt;BaseLoad!$G83,L$8*BaseLoad!$AM$9,0))</f>
        <v>29.073853298455656</v>
      </c>
      <c r="M84" s="173">
        <f>IF($A$1="Peak","-",IF(BaseLoad!S83&gt;BaseLoad!$G83,M$8*BaseLoad!$AM$9,0))</f>
        <v>29.073853298455656</v>
      </c>
      <c r="N84" s="173">
        <f>IF($A$1="Peak","-",IF(BaseLoad!T83&gt;BaseLoad!$G83,N$8*BaseLoad!$AM$9,0))</f>
        <v>29.073853298455656</v>
      </c>
      <c r="O84" s="173">
        <f>IF($A$1="Peak","-",IF(BaseLoad!U83&gt;BaseLoad!$G83,O$8*BaseLoad!$AM$9,0))</f>
        <v>29.073853298455656</v>
      </c>
      <c r="P84" s="173">
        <f>IF($A$1="Peak","-",IF(BaseLoad!V83&gt;BaseLoad!$G83,P$8*BaseLoad!$AM$9,0))</f>
        <v>29.073853298455656</v>
      </c>
      <c r="Q84" s="173">
        <f>IF($A$1="Peak","-",IF(BaseLoad!W83&gt;BaseLoad!$G83,Q$8*BaseLoad!$AM$9,0))</f>
        <v>29.073853298455656</v>
      </c>
      <c r="R84" s="173">
        <f>IF($A$1="Peak","-",IF(BaseLoad!X83&gt;BaseLoad!$G83,R$8*BaseLoad!$AM$9,0))</f>
        <v>29.073853298455656</v>
      </c>
      <c r="S84" s="173">
        <f>IF($A$1="Peak","-",IF(BaseLoad!Y83&gt;BaseLoad!$G83,S$8*BaseLoad!$AM$9,0))</f>
        <v>29.073853298455656</v>
      </c>
      <c r="T84" s="173">
        <f>IF($A$1="Peak","-",IF(BaseLoad!Z83&gt;BaseLoad!$G83,T$8*BaseLoad!$AM$9,0))</f>
        <v>29.073853298455656</v>
      </c>
      <c r="U84" s="173">
        <f>IF($A$1="Peak","-",IF(BaseLoad!AA83&gt;BaseLoad!$G83,U$8*BaseLoad!$AM$9,0))</f>
        <v>79.953096570753061</v>
      </c>
      <c r="V84" s="173">
        <f t="shared" si="3"/>
        <v>530.5978226968158</v>
      </c>
      <c r="W84" s="173"/>
      <c r="X84" s="173"/>
      <c r="Y84" s="173"/>
    </row>
    <row r="85" spans="1:25" x14ac:dyDescent="0.2">
      <c r="A85" s="1">
        <f t="shared" si="5"/>
        <v>38821.275000000096</v>
      </c>
      <c r="B85" s="173">
        <f>IF($A$1="Peak","-",IF(BaseLoad!H84&gt;BaseLoad!$G84,B$8*BaseLoad!$AM$9,0))</f>
        <v>3.634231662306957</v>
      </c>
      <c r="C85" s="173">
        <f>IF($A$1="Peak","-",IF(BaseLoad!I84&gt;BaseLoad!$G84,C$8*BaseLoad!$AM$9,0))</f>
        <v>3.634231662306957</v>
      </c>
      <c r="D85" s="173">
        <f>IF($A$1="Peak","-",IF(BaseLoad!J84&gt;BaseLoad!$G84,D$8*BaseLoad!$AM$9,0))</f>
        <v>7.2684633246139141</v>
      </c>
      <c r="E85" s="173">
        <f>IF($A$1="Peak","-",IF(BaseLoad!K84&gt;BaseLoad!$G84,E$8*BaseLoad!$AM$9,0))</f>
        <v>14.536926649227828</v>
      </c>
      <c r="F85" s="173">
        <f>IF($A$1="Peak","-",IF(BaseLoad!L84&gt;BaseLoad!$G84,F$8*BaseLoad!$AM$9,0))</f>
        <v>14.536926649227828</v>
      </c>
      <c r="G85" s="173">
        <f>IF($A$1="Peak","-",IF(BaseLoad!M84&gt;BaseLoad!$G84,G$8*BaseLoad!$AM$9,0))</f>
        <v>29.073853298455656</v>
      </c>
      <c r="H85" s="173">
        <f>IF($A$1="Peak","-",IF(BaseLoad!N84&gt;BaseLoad!$G84,H$8*BaseLoad!$AM$9,0))</f>
        <v>29.073853298455656</v>
      </c>
      <c r="I85" s="173">
        <f>IF($A$1="Peak","-",IF(BaseLoad!O84&gt;BaseLoad!$G84,I$8*BaseLoad!$AM$9,0))</f>
        <v>29.073853298455656</v>
      </c>
      <c r="J85" s="173">
        <f>IF($A$1="Peak","-",IF(BaseLoad!P84&gt;BaseLoad!$G84,J$8*BaseLoad!$AM$9,0))</f>
        <v>29.073853298455656</v>
      </c>
      <c r="K85" s="173">
        <f>IF($A$1="Peak","-",IF(BaseLoad!Q84&gt;BaseLoad!$G84,K$8*BaseLoad!$AM$9,0))</f>
        <v>29.073853298455656</v>
      </c>
      <c r="L85" s="173">
        <f>IF($A$1="Peak","-",IF(BaseLoad!R84&gt;BaseLoad!$G84,L$8*BaseLoad!$AM$9,0))</f>
        <v>29.073853298455656</v>
      </c>
      <c r="M85" s="173">
        <f>IF($A$1="Peak","-",IF(BaseLoad!S84&gt;BaseLoad!$G84,M$8*BaseLoad!$AM$9,0))</f>
        <v>29.073853298455656</v>
      </c>
      <c r="N85" s="173">
        <f>IF($A$1="Peak","-",IF(BaseLoad!T84&gt;BaseLoad!$G84,N$8*BaseLoad!$AM$9,0))</f>
        <v>29.073853298455656</v>
      </c>
      <c r="O85" s="173">
        <f>IF($A$1="Peak","-",IF(BaseLoad!U84&gt;BaseLoad!$G84,O$8*BaseLoad!$AM$9,0))</f>
        <v>29.073853298455656</v>
      </c>
      <c r="P85" s="173">
        <f>IF($A$1="Peak","-",IF(BaseLoad!V84&gt;BaseLoad!$G84,P$8*BaseLoad!$AM$9,0))</f>
        <v>29.073853298455656</v>
      </c>
      <c r="Q85" s="173">
        <f>IF($A$1="Peak","-",IF(BaseLoad!W84&gt;BaseLoad!$G84,Q$8*BaseLoad!$AM$9,0))</f>
        <v>29.073853298455656</v>
      </c>
      <c r="R85" s="173">
        <f>IF($A$1="Peak","-",IF(BaseLoad!X84&gt;BaseLoad!$G84,R$8*BaseLoad!$AM$9,0))</f>
        <v>29.073853298455656</v>
      </c>
      <c r="S85" s="173">
        <f>IF($A$1="Peak","-",IF(BaseLoad!Y84&gt;BaseLoad!$G84,S$8*BaseLoad!$AM$9,0))</f>
        <v>29.073853298455656</v>
      </c>
      <c r="T85" s="173">
        <f>IF($A$1="Peak","-",IF(BaseLoad!Z84&gt;BaseLoad!$G84,T$8*BaseLoad!$AM$9,0))</f>
        <v>29.073853298455656</v>
      </c>
      <c r="U85" s="173">
        <f>IF($A$1="Peak","-",IF(BaseLoad!AA84&gt;BaseLoad!$G84,U$8*BaseLoad!$AM$9,0))</f>
        <v>79.953096570753061</v>
      </c>
      <c r="V85" s="173">
        <f t="shared" si="3"/>
        <v>530.5978226968158</v>
      </c>
      <c r="W85" s="173"/>
      <c r="X85" s="173"/>
      <c r="Y85" s="173"/>
    </row>
    <row r="86" spans="1:25" x14ac:dyDescent="0.2">
      <c r="A86" s="1">
        <f t="shared" si="5"/>
        <v>38851.692000000097</v>
      </c>
      <c r="B86" s="173">
        <f>IF($A$1="Peak","-",IF(BaseLoad!H85&gt;BaseLoad!$G85,B$8*BaseLoad!$AM$9,0))</f>
        <v>3.634231662306957</v>
      </c>
      <c r="C86" s="173">
        <f>IF($A$1="Peak","-",IF(BaseLoad!I85&gt;BaseLoad!$G85,C$8*BaseLoad!$AM$9,0))</f>
        <v>3.634231662306957</v>
      </c>
      <c r="D86" s="173">
        <f>IF($A$1="Peak","-",IF(BaseLoad!J85&gt;BaseLoad!$G85,D$8*BaseLoad!$AM$9,0))</f>
        <v>7.2684633246139141</v>
      </c>
      <c r="E86" s="173">
        <f>IF($A$1="Peak","-",IF(BaseLoad!K85&gt;BaseLoad!$G85,E$8*BaseLoad!$AM$9,0))</f>
        <v>14.536926649227828</v>
      </c>
      <c r="F86" s="173">
        <f>IF($A$1="Peak","-",IF(BaseLoad!L85&gt;BaseLoad!$G85,F$8*BaseLoad!$AM$9,0))</f>
        <v>14.536926649227828</v>
      </c>
      <c r="G86" s="173">
        <f>IF($A$1="Peak","-",IF(BaseLoad!M85&gt;BaseLoad!$G85,G$8*BaseLoad!$AM$9,0))</f>
        <v>29.073853298455656</v>
      </c>
      <c r="H86" s="173">
        <f>IF($A$1="Peak","-",IF(BaseLoad!N85&gt;BaseLoad!$G85,H$8*BaseLoad!$AM$9,0))</f>
        <v>29.073853298455656</v>
      </c>
      <c r="I86" s="173">
        <f>IF($A$1="Peak","-",IF(BaseLoad!O85&gt;BaseLoad!$G85,I$8*BaseLoad!$AM$9,0))</f>
        <v>29.073853298455656</v>
      </c>
      <c r="J86" s="173">
        <f>IF($A$1="Peak","-",IF(BaseLoad!P85&gt;BaseLoad!$G85,J$8*BaseLoad!$AM$9,0))</f>
        <v>29.073853298455656</v>
      </c>
      <c r="K86" s="173">
        <f>IF($A$1="Peak","-",IF(BaseLoad!Q85&gt;BaseLoad!$G85,K$8*BaseLoad!$AM$9,0))</f>
        <v>29.073853298455656</v>
      </c>
      <c r="L86" s="173">
        <f>IF($A$1="Peak","-",IF(BaseLoad!R85&gt;BaseLoad!$G85,L$8*BaseLoad!$AM$9,0))</f>
        <v>29.073853298455656</v>
      </c>
      <c r="M86" s="173">
        <f>IF($A$1="Peak","-",IF(BaseLoad!S85&gt;BaseLoad!$G85,M$8*BaseLoad!$AM$9,0))</f>
        <v>29.073853298455656</v>
      </c>
      <c r="N86" s="173">
        <f>IF($A$1="Peak","-",IF(BaseLoad!T85&gt;BaseLoad!$G85,N$8*BaseLoad!$AM$9,0))</f>
        <v>29.073853298455656</v>
      </c>
      <c r="O86" s="173">
        <f>IF($A$1="Peak","-",IF(BaseLoad!U85&gt;BaseLoad!$G85,O$8*BaseLoad!$AM$9,0))</f>
        <v>29.073853298455656</v>
      </c>
      <c r="P86" s="173">
        <f>IF($A$1="Peak","-",IF(BaseLoad!V85&gt;BaseLoad!$G85,P$8*BaseLoad!$AM$9,0))</f>
        <v>29.073853298455656</v>
      </c>
      <c r="Q86" s="173">
        <f>IF($A$1="Peak","-",IF(BaseLoad!W85&gt;BaseLoad!$G85,Q$8*BaseLoad!$AM$9,0))</f>
        <v>29.073853298455656</v>
      </c>
      <c r="R86" s="173">
        <f>IF($A$1="Peak","-",IF(BaseLoad!X85&gt;BaseLoad!$G85,R$8*BaseLoad!$AM$9,0))</f>
        <v>29.073853298455656</v>
      </c>
      <c r="S86" s="173">
        <f>IF($A$1="Peak","-",IF(BaseLoad!Y85&gt;BaseLoad!$G85,S$8*BaseLoad!$AM$9,0))</f>
        <v>29.073853298455656</v>
      </c>
      <c r="T86" s="173">
        <f>IF($A$1="Peak","-",IF(BaseLoad!Z85&gt;BaseLoad!$G85,T$8*BaseLoad!$AM$9,0))</f>
        <v>29.073853298455656</v>
      </c>
      <c r="U86" s="173">
        <f>IF($A$1="Peak","-",IF(BaseLoad!AA85&gt;BaseLoad!$G85,U$8*BaseLoad!$AM$9,0))</f>
        <v>79.953096570753061</v>
      </c>
      <c r="V86" s="173">
        <f t="shared" si="3"/>
        <v>530.5978226968158</v>
      </c>
      <c r="W86" s="173"/>
      <c r="X86" s="173"/>
      <c r="Y86" s="173"/>
    </row>
    <row r="87" spans="1:25" x14ac:dyDescent="0.2">
      <c r="A87" s="1">
        <f t="shared" si="5"/>
        <v>38882.109000000099</v>
      </c>
      <c r="B87" s="173">
        <f>IF($A$1="Peak","-",IF(BaseLoad!H86&gt;BaseLoad!$G86,B$8*BaseLoad!$AM$9,0))</f>
        <v>3.634231662306957</v>
      </c>
      <c r="C87" s="173">
        <f>IF($A$1="Peak","-",IF(BaseLoad!I86&gt;BaseLoad!$G86,C$8*BaseLoad!$AM$9,0))</f>
        <v>3.634231662306957</v>
      </c>
      <c r="D87" s="173">
        <f>IF($A$1="Peak","-",IF(BaseLoad!J86&gt;BaseLoad!$G86,D$8*BaseLoad!$AM$9,0))</f>
        <v>7.2684633246139141</v>
      </c>
      <c r="E87" s="173">
        <f>IF($A$1="Peak","-",IF(BaseLoad!K86&gt;BaseLoad!$G86,E$8*BaseLoad!$AM$9,0))</f>
        <v>14.536926649227828</v>
      </c>
      <c r="F87" s="173">
        <f>IF($A$1="Peak","-",IF(BaseLoad!L86&gt;BaseLoad!$G86,F$8*BaseLoad!$AM$9,0))</f>
        <v>14.536926649227828</v>
      </c>
      <c r="G87" s="173">
        <f>IF($A$1="Peak","-",IF(BaseLoad!M86&gt;BaseLoad!$G86,G$8*BaseLoad!$AM$9,0))</f>
        <v>29.073853298455656</v>
      </c>
      <c r="H87" s="173">
        <f>IF($A$1="Peak","-",IF(BaseLoad!N86&gt;BaseLoad!$G86,H$8*BaseLoad!$AM$9,0))</f>
        <v>29.073853298455656</v>
      </c>
      <c r="I87" s="173">
        <f>IF($A$1="Peak","-",IF(BaseLoad!O86&gt;BaseLoad!$G86,I$8*BaseLoad!$AM$9,0))</f>
        <v>29.073853298455656</v>
      </c>
      <c r="J87" s="173">
        <f>IF($A$1="Peak","-",IF(BaseLoad!P86&gt;BaseLoad!$G86,J$8*BaseLoad!$AM$9,0))</f>
        <v>29.073853298455656</v>
      </c>
      <c r="K87" s="173">
        <f>IF($A$1="Peak","-",IF(BaseLoad!Q86&gt;BaseLoad!$G86,K$8*BaseLoad!$AM$9,0))</f>
        <v>29.073853298455656</v>
      </c>
      <c r="L87" s="173">
        <f>IF($A$1="Peak","-",IF(BaseLoad!R86&gt;BaseLoad!$G86,L$8*BaseLoad!$AM$9,0))</f>
        <v>29.073853298455656</v>
      </c>
      <c r="M87" s="173">
        <f>IF($A$1="Peak","-",IF(BaseLoad!S86&gt;BaseLoad!$G86,M$8*BaseLoad!$AM$9,0))</f>
        <v>29.073853298455656</v>
      </c>
      <c r="N87" s="173">
        <f>IF($A$1="Peak","-",IF(BaseLoad!T86&gt;BaseLoad!$G86,N$8*BaseLoad!$AM$9,0))</f>
        <v>29.073853298455656</v>
      </c>
      <c r="O87" s="173">
        <f>IF($A$1="Peak","-",IF(BaseLoad!U86&gt;BaseLoad!$G86,O$8*BaseLoad!$AM$9,0))</f>
        <v>29.073853298455656</v>
      </c>
      <c r="P87" s="173">
        <f>IF($A$1="Peak","-",IF(BaseLoad!V86&gt;BaseLoad!$G86,P$8*BaseLoad!$AM$9,0))</f>
        <v>29.073853298455656</v>
      </c>
      <c r="Q87" s="173">
        <f>IF($A$1="Peak","-",IF(BaseLoad!W86&gt;BaseLoad!$G86,Q$8*BaseLoad!$AM$9,0))</f>
        <v>29.073853298455656</v>
      </c>
      <c r="R87" s="173">
        <f>IF($A$1="Peak","-",IF(BaseLoad!X86&gt;BaseLoad!$G86,R$8*BaseLoad!$AM$9,0))</f>
        <v>29.073853298455656</v>
      </c>
      <c r="S87" s="173">
        <f>IF($A$1="Peak","-",IF(BaseLoad!Y86&gt;BaseLoad!$G86,S$8*BaseLoad!$AM$9,0))</f>
        <v>29.073853298455656</v>
      </c>
      <c r="T87" s="173">
        <f>IF($A$1="Peak","-",IF(BaseLoad!Z86&gt;BaseLoad!$G86,T$8*BaseLoad!$AM$9,0))</f>
        <v>29.073853298455656</v>
      </c>
      <c r="U87" s="173">
        <f>IF($A$1="Peak","-",IF(BaseLoad!AA86&gt;BaseLoad!$G86,U$8*BaseLoad!$AM$9,0))</f>
        <v>79.953096570753061</v>
      </c>
      <c r="V87" s="173">
        <f t="shared" si="3"/>
        <v>530.5978226968158</v>
      </c>
      <c r="W87" s="173"/>
      <c r="X87" s="173"/>
      <c r="Y87" s="173"/>
    </row>
    <row r="88" spans="1:25" x14ac:dyDescent="0.2">
      <c r="A88" s="1">
        <f t="shared" si="5"/>
        <v>38912.5260000001</v>
      </c>
      <c r="B88" s="173">
        <f>IF($A$1="Peak","-",IF(BaseLoad!H87&gt;BaseLoad!$G87,B$8*BaseLoad!$AM$9,0))</f>
        <v>3.634231662306957</v>
      </c>
      <c r="C88" s="173">
        <f>IF($A$1="Peak","-",IF(BaseLoad!I87&gt;BaseLoad!$G87,C$8*BaseLoad!$AM$9,0))</f>
        <v>3.634231662306957</v>
      </c>
      <c r="D88" s="173">
        <f>IF($A$1="Peak","-",IF(BaseLoad!J87&gt;BaseLoad!$G87,D$8*BaseLoad!$AM$9,0))</f>
        <v>7.2684633246139141</v>
      </c>
      <c r="E88" s="173">
        <f>IF($A$1="Peak","-",IF(BaseLoad!K87&gt;BaseLoad!$G87,E$8*BaseLoad!$AM$9,0))</f>
        <v>14.536926649227828</v>
      </c>
      <c r="F88" s="173">
        <f>IF($A$1="Peak","-",IF(BaseLoad!L87&gt;BaseLoad!$G87,F$8*BaseLoad!$AM$9,0))</f>
        <v>14.536926649227828</v>
      </c>
      <c r="G88" s="173">
        <f>IF($A$1="Peak","-",IF(BaseLoad!M87&gt;BaseLoad!$G87,G$8*BaseLoad!$AM$9,0))</f>
        <v>29.073853298455656</v>
      </c>
      <c r="H88" s="173">
        <f>IF($A$1="Peak","-",IF(BaseLoad!N87&gt;BaseLoad!$G87,H$8*BaseLoad!$AM$9,0))</f>
        <v>29.073853298455656</v>
      </c>
      <c r="I88" s="173">
        <f>IF($A$1="Peak","-",IF(BaseLoad!O87&gt;BaseLoad!$G87,I$8*BaseLoad!$AM$9,0))</f>
        <v>29.073853298455656</v>
      </c>
      <c r="J88" s="173">
        <f>IF($A$1="Peak","-",IF(BaseLoad!P87&gt;BaseLoad!$G87,J$8*BaseLoad!$AM$9,0))</f>
        <v>29.073853298455656</v>
      </c>
      <c r="K88" s="173">
        <f>IF($A$1="Peak","-",IF(BaseLoad!Q87&gt;BaseLoad!$G87,K$8*BaseLoad!$AM$9,0))</f>
        <v>29.073853298455656</v>
      </c>
      <c r="L88" s="173">
        <f>IF($A$1="Peak","-",IF(BaseLoad!R87&gt;BaseLoad!$G87,L$8*BaseLoad!$AM$9,0))</f>
        <v>29.073853298455656</v>
      </c>
      <c r="M88" s="173">
        <f>IF($A$1="Peak","-",IF(BaseLoad!S87&gt;BaseLoad!$G87,M$8*BaseLoad!$AM$9,0))</f>
        <v>29.073853298455656</v>
      </c>
      <c r="N88" s="173">
        <f>IF($A$1="Peak","-",IF(BaseLoad!T87&gt;BaseLoad!$G87,N$8*BaseLoad!$AM$9,0))</f>
        <v>29.073853298455656</v>
      </c>
      <c r="O88" s="173">
        <f>IF($A$1="Peak","-",IF(BaseLoad!U87&gt;BaseLoad!$G87,O$8*BaseLoad!$AM$9,0))</f>
        <v>29.073853298455656</v>
      </c>
      <c r="P88" s="173">
        <f>IF($A$1="Peak","-",IF(BaseLoad!V87&gt;BaseLoad!$G87,P$8*BaseLoad!$AM$9,0))</f>
        <v>29.073853298455656</v>
      </c>
      <c r="Q88" s="173">
        <f>IF($A$1="Peak","-",IF(BaseLoad!W87&gt;BaseLoad!$G87,Q$8*BaseLoad!$AM$9,0))</f>
        <v>29.073853298455656</v>
      </c>
      <c r="R88" s="173">
        <f>IF($A$1="Peak","-",IF(BaseLoad!X87&gt;BaseLoad!$G87,R$8*BaseLoad!$AM$9,0))</f>
        <v>29.073853298455656</v>
      </c>
      <c r="S88" s="173">
        <f>IF($A$1="Peak","-",IF(BaseLoad!Y87&gt;BaseLoad!$G87,S$8*BaseLoad!$AM$9,0))</f>
        <v>29.073853298455656</v>
      </c>
      <c r="T88" s="173">
        <f>IF($A$1="Peak","-",IF(BaseLoad!Z87&gt;BaseLoad!$G87,T$8*BaseLoad!$AM$9,0))</f>
        <v>29.073853298455656</v>
      </c>
      <c r="U88" s="173">
        <f>IF($A$1="Peak","-",IF(BaseLoad!AA87&gt;BaseLoad!$G87,U$8*BaseLoad!$AM$9,0))</f>
        <v>79.953096570753061</v>
      </c>
      <c r="V88" s="173">
        <f t="shared" si="3"/>
        <v>530.5978226968158</v>
      </c>
      <c r="W88" s="173"/>
      <c r="X88" s="173"/>
      <c r="Y88" s="173"/>
    </row>
    <row r="89" spans="1:25" x14ac:dyDescent="0.2">
      <c r="A89" s="1">
        <f t="shared" si="5"/>
        <v>38942.943000000101</v>
      </c>
      <c r="B89" s="173">
        <f>IF($A$1="Peak","-",IF(BaseLoad!H88&gt;BaseLoad!$G88,B$8*BaseLoad!$AM$9,0))</f>
        <v>3.634231662306957</v>
      </c>
      <c r="C89" s="173">
        <f>IF($A$1="Peak","-",IF(BaseLoad!I88&gt;BaseLoad!$G88,C$8*BaseLoad!$AM$9,0))</f>
        <v>3.634231662306957</v>
      </c>
      <c r="D89" s="173">
        <f>IF($A$1="Peak","-",IF(BaseLoad!J88&gt;BaseLoad!$G88,D$8*BaseLoad!$AM$9,0))</f>
        <v>7.2684633246139141</v>
      </c>
      <c r="E89" s="173">
        <f>IF($A$1="Peak","-",IF(BaseLoad!K88&gt;BaseLoad!$G88,E$8*BaseLoad!$AM$9,0))</f>
        <v>14.536926649227828</v>
      </c>
      <c r="F89" s="173">
        <f>IF($A$1="Peak","-",IF(BaseLoad!L88&gt;BaseLoad!$G88,F$8*BaseLoad!$AM$9,0))</f>
        <v>14.536926649227828</v>
      </c>
      <c r="G89" s="173">
        <f>IF($A$1="Peak","-",IF(BaseLoad!M88&gt;BaseLoad!$G88,G$8*BaseLoad!$AM$9,0))</f>
        <v>29.073853298455656</v>
      </c>
      <c r="H89" s="173">
        <f>IF($A$1="Peak","-",IF(BaseLoad!N88&gt;BaseLoad!$G88,H$8*BaseLoad!$AM$9,0))</f>
        <v>29.073853298455656</v>
      </c>
      <c r="I89" s="173">
        <f>IF($A$1="Peak","-",IF(BaseLoad!O88&gt;BaseLoad!$G88,I$8*BaseLoad!$AM$9,0))</f>
        <v>29.073853298455656</v>
      </c>
      <c r="J89" s="173">
        <f>IF($A$1="Peak","-",IF(BaseLoad!P88&gt;BaseLoad!$G88,J$8*BaseLoad!$AM$9,0))</f>
        <v>29.073853298455656</v>
      </c>
      <c r="K89" s="173">
        <f>IF($A$1="Peak","-",IF(BaseLoad!Q88&gt;BaseLoad!$G88,K$8*BaseLoad!$AM$9,0))</f>
        <v>29.073853298455656</v>
      </c>
      <c r="L89" s="173">
        <f>IF($A$1="Peak","-",IF(BaseLoad!R88&gt;BaseLoad!$G88,L$8*BaseLoad!$AM$9,0))</f>
        <v>29.073853298455656</v>
      </c>
      <c r="M89" s="173">
        <f>IF($A$1="Peak","-",IF(BaseLoad!S88&gt;BaseLoad!$G88,M$8*BaseLoad!$AM$9,0))</f>
        <v>29.073853298455656</v>
      </c>
      <c r="N89" s="173">
        <f>IF($A$1="Peak","-",IF(BaseLoad!T88&gt;BaseLoad!$G88,N$8*BaseLoad!$AM$9,0))</f>
        <v>29.073853298455656</v>
      </c>
      <c r="O89" s="173">
        <f>IF($A$1="Peak","-",IF(BaseLoad!U88&gt;BaseLoad!$G88,O$8*BaseLoad!$AM$9,0))</f>
        <v>29.073853298455656</v>
      </c>
      <c r="P89" s="173">
        <f>IF($A$1="Peak","-",IF(BaseLoad!V88&gt;BaseLoad!$G88,P$8*BaseLoad!$AM$9,0))</f>
        <v>29.073853298455656</v>
      </c>
      <c r="Q89" s="173">
        <f>IF($A$1="Peak","-",IF(BaseLoad!W88&gt;BaseLoad!$G88,Q$8*BaseLoad!$AM$9,0))</f>
        <v>29.073853298455656</v>
      </c>
      <c r="R89" s="173">
        <f>IF($A$1="Peak","-",IF(BaseLoad!X88&gt;BaseLoad!$G88,R$8*BaseLoad!$AM$9,0))</f>
        <v>29.073853298455656</v>
      </c>
      <c r="S89" s="173">
        <f>IF($A$1="Peak","-",IF(BaseLoad!Y88&gt;BaseLoad!$G88,S$8*BaseLoad!$AM$9,0))</f>
        <v>29.073853298455656</v>
      </c>
      <c r="T89" s="173">
        <f>IF($A$1="Peak","-",IF(BaseLoad!Z88&gt;BaseLoad!$G88,T$8*BaseLoad!$AM$9,0))</f>
        <v>29.073853298455656</v>
      </c>
      <c r="U89" s="173">
        <f>IF($A$1="Peak","-",IF(BaseLoad!AA88&gt;BaseLoad!$G88,U$8*BaseLoad!$AM$9,0))</f>
        <v>79.953096570753061</v>
      </c>
      <c r="V89" s="173">
        <f t="shared" si="3"/>
        <v>530.5978226968158</v>
      </c>
      <c r="W89" s="173"/>
      <c r="X89" s="173"/>
      <c r="Y89" s="173"/>
    </row>
    <row r="90" spans="1:25" x14ac:dyDescent="0.2">
      <c r="A90" s="1">
        <f t="shared" si="5"/>
        <v>38973.360000000102</v>
      </c>
      <c r="B90" s="173">
        <f>IF($A$1="Peak","-",IF(BaseLoad!H89&gt;BaseLoad!$G89,B$8*BaseLoad!$AM$9,0))</f>
        <v>3.634231662306957</v>
      </c>
      <c r="C90" s="173">
        <f>IF($A$1="Peak","-",IF(BaseLoad!I89&gt;BaseLoad!$G89,C$8*BaseLoad!$AM$9,0))</f>
        <v>3.634231662306957</v>
      </c>
      <c r="D90" s="173">
        <f>IF($A$1="Peak","-",IF(BaseLoad!J89&gt;BaseLoad!$G89,D$8*BaseLoad!$AM$9,0))</f>
        <v>7.2684633246139141</v>
      </c>
      <c r="E90" s="173">
        <f>IF($A$1="Peak","-",IF(BaseLoad!K89&gt;BaseLoad!$G89,E$8*BaseLoad!$AM$9,0))</f>
        <v>14.536926649227828</v>
      </c>
      <c r="F90" s="173">
        <f>IF($A$1="Peak","-",IF(BaseLoad!L89&gt;BaseLoad!$G89,F$8*BaseLoad!$AM$9,0))</f>
        <v>14.536926649227828</v>
      </c>
      <c r="G90" s="173">
        <f>IF($A$1="Peak","-",IF(BaseLoad!M89&gt;BaseLoad!$G89,G$8*BaseLoad!$AM$9,0))</f>
        <v>29.073853298455656</v>
      </c>
      <c r="H90" s="173">
        <f>IF($A$1="Peak","-",IF(BaseLoad!N89&gt;BaseLoad!$G89,H$8*BaseLoad!$AM$9,0))</f>
        <v>29.073853298455656</v>
      </c>
      <c r="I90" s="173">
        <f>IF($A$1="Peak","-",IF(BaseLoad!O89&gt;BaseLoad!$G89,I$8*BaseLoad!$AM$9,0))</f>
        <v>29.073853298455656</v>
      </c>
      <c r="J90" s="173">
        <f>IF($A$1="Peak","-",IF(BaseLoad!P89&gt;BaseLoad!$G89,J$8*BaseLoad!$AM$9,0))</f>
        <v>29.073853298455656</v>
      </c>
      <c r="K90" s="173">
        <f>IF($A$1="Peak","-",IF(BaseLoad!Q89&gt;BaseLoad!$G89,K$8*BaseLoad!$AM$9,0))</f>
        <v>29.073853298455656</v>
      </c>
      <c r="L90" s="173">
        <f>IF($A$1="Peak","-",IF(BaseLoad!R89&gt;BaseLoad!$G89,L$8*BaseLoad!$AM$9,0))</f>
        <v>29.073853298455656</v>
      </c>
      <c r="M90" s="173">
        <f>IF($A$1="Peak","-",IF(BaseLoad!S89&gt;BaseLoad!$G89,M$8*BaseLoad!$AM$9,0))</f>
        <v>29.073853298455656</v>
      </c>
      <c r="N90" s="173">
        <f>IF($A$1="Peak","-",IF(BaseLoad!T89&gt;BaseLoad!$G89,N$8*BaseLoad!$AM$9,0))</f>
        <v>29.073853298455656</v>
      </c>
      <c r="O90" s="173">
        <f>IF($A$1="Peak","-",IF(BaseLoad!U89&gt;BaseLoad!$G89,O$8*BaseLoad!$AM$9,0))</f>
        <v>29.073853298455656</v>
      </c>
      <c r="P90" s="173">
        <f>IF($A$1="Peak","-",IF(BaseLoad!V89&gt;BaseLoad!$G89,P$8*BaseLoad!$AM$9,0))</f>
        <v>29.073853298455656</v>
      </c>
      <c r="Q90" s="173">
        <f>IF($A$1="Peak","-",IF(BaseLoad!W89&gt;BaseLoad!$G89,Q$8*BaseLoad!$AM$9,0))</f>
        <v>29.073853298455656</v>
      </c>
      <c r="R90" s="173">
        <f>IF($A$1="Peak","-",IF(BaseLoad!X89&gt;BaseLoad!$G89,R$8*BaseLoad!$AM$9,0))</f>
        <v>29.073853298455656</v>
      </c>
      <c r="S90" s="173">
        <f>IF($A$1="Peak","-",IF(BaseLoad!Y89&gt;BaseLoad!$G89,S$8*BaseLoad!$AM$9,0))</f>
        <v>29.073853298455656</v>
      </c>
      <c r="T90" s="173">
        <f>IF($A$1="Peak","-",IF(BaseLoad!Z89&gt;BaseLoad!$G89,T$8*BaseLoad!$AM$9,0))</f>
        <v>29.073853298455656</v>
      </c>
      <c r="U90" s="173">
        <f>IF($A$1="Peak","-",IF(BaseLoad!AA89&gt;BaseLoad!$G89,U$8*BaseLoad!$AM$9,0))</f>
        <v>79.953096570753061</v>
      </c>
      <c r="V90" s="173">
        <f t="shared" si="3"/>
        <v>530.5978226968158</v>
      </c>
      <c r="W90" s="173"/>
      <c r="X90" s="173"/>
      <c r="Y90" s="173"/>
    </row>
    <row r="91" spans="1:25" x14ac:dyDescent="0.2">
      <c r="A91" s="1">
        <f t="shared" si="5"/>
        <v>39003.777000000104</v>
      </c>
      <c r="B91" s="173">
        <f>IF($A$1="Peak","-",IF(BaseLoad!H90&gt;BaseLoad!$G90,B$8*BaseLoad!$AM$9,0))</f>
        <v>3.634231662306957</v>
      </c>
      <c r="C91" s="173">
        <f>IF($A$1="Peak","-",IF(BaseLoad!I90&gt;BaseLoad!$G90,C$8*BaseLoad!$AM$9,0))</f>
        <v>3.634231662306957</v>
      </c>
      <c r="D91" s="173">
        <f>IF($A$1="Peak","-",IF(BaseLoad!J90&gt;BaseLoad!$G90,D$8*BaseLoad!$AM$9,0))</f>
        <v>7.2684633246139141</v>
      </c>
      <c r="E91" s="173">
        <f>IF($A$1="Peak","-",IF(BaseLoad!K90&gt;BaseLoad!$G90,E$8*BaseLoad!$AM$9,0))</f>
        <v>14.536926649227828</v>
      </c>
      <c r="F91" s="173">
        <f>IF($A$1="Peak","-",IF(BaseLoad!L90&gt;BaseLoad!$G90,F$8*BaseLoad!$AM$9,0))</f>
        <v>14.536926649227828</v>
      </c>
      <c r="G91" s="173">
        <f>IF($A$1="Peak","-",IF(BaseLoad!M90&gt;BaseLoad!$G90,G$8*BaseLoad!$AM$9,0))</f>
        <v>29.073853298455656</v>
      </c>
      <c r="H91" s="173">
        <f>IF($A$1="Peak","-",IF(BaseLoad!N90&gt;BaseLoad!$G90,H$8*BaseLoad!$AM$9,0))</f>
        <v>29.073853298455656</v>
      </c>
      <c r="I91" s="173">
        <f>IF($A$1="Peak","-",IF(BaseLoad!O90&gt;BaseLoad!$G90,I$8*BaseLoad!$AM$9,0))</f>
        <v>29.073853298455656</v>
      </c>
      <c r="J91" s="173">
        <f>IF($A$1="Peak","-",IF(BaseLoad!P90&gt;BaseLoad!$G90,J$8*BaseLoad!$AM$9,0))</f>
        <v>29.073853298455656</v>
      </c>
      <c r="K91" s="173">
        <f>IF($A$1="Peak","-",IF(BaseLoad!Q90&gt;BaseLoad!$G90,K$8*BaseLoad!$AM$9,0))</f>
        <v>29.073853298455656</v>
      </c>
      <c r="L91" s="173">
        <f>IF($A$1="Peak","-",IF(BaseLoad!R90&gt;BaseLoad!$G90,L$8*BaseLoad!$AM$9,0))</f>
        <v>29.073853298455656</v>
      </c>
      <c r="M91" s="173">
        <f>IF($A$1="Peak","-",IF(BaseLoad!S90&gt;BaseLoad!$G90,M$8*BaseLoad!$AM$9,0))</f>
        <v>29.073853298455656</v>
      </c>
      <c r="N91" s="173">
        <f>IF($A$1="Peak","-",IF(BaseLoad!T90&gt;BaseLoad!$G90,N$8*BaseLoad!$AM$9,0))</f>
        <v>29.073853298455656</v>
      </c>
      <c r="O91" s="173">
        <f>IF($A$1="Peak","-",IF(BaseLoad!U90&gt;BaseLoad!$G90,O$8*BaseLoad!$AM$9,0))</f>
        <v>29.073853298455656</v>
      </c>
      <c r="P91" s="173">
        <f>IF($A$1="Peak","-",IF(BaseLoad!V90&gt;BaseLoad!$G90,P$8*BaseLoad!$AM$9,0))</f>
        <v>29.073853298455656</v>
      </c>
      <c r="Q91" s="173">
        <f>IF($A$1="Peak","-",IF(BaseLoad!W90&gt;BaseLoad!$G90,Q$8*BaseLoad!$AM$9,0))</f>
        <v>29.073853298455656</v>
      </c>
      <c r="R91" s="173">
        <f>IF($A$1="Peak","-",IF(BaseLoad!X90&gt;BaseLoad!$G90,R$8*BaseLoad!$AM$9,0))</f>
        <v>29.073853298455656</v>
      </c>
      <c r="S91" s="173">
        <f>IF($A$1="Peak","-",IF(BaseLoad!Y90&gt;BaseLoad!$G90,S$8*BaseLoad!$AM$9,0))</f>
        <v>29.073853298455656</v>
      </c>
      <c r="T91" s="173">
        <f>IF($A$1="Peak","-",IF(BaseLoad!Z90&gt;BaseLoad!$G90,T$8*BaseLoad!$AM$9,0))</f>
        <v>29.073853298455656</v>
      </c>
      <c r="U91" s="173">
        <f>IF($A$1="Peak","-",IF(BaseLoad!AA90&gt;BaseLoad!$G90,U$8*BaseLoad!$AM$9,0))</f>
        <v>79.953096570753061</v>
      </c>
      <c r="V91" s="173">
        <f t="shared" si="3"/>
        <v>530.5978226968158</v>
      </c>
      <c r="W91" s="173"/>
      <c r="X91" s="173"/>
      <c r="Y91" s="173"/>
    </row>
    <row r="92" spans="1:25" x14ac:dyDescent="0.2">
      <c r="A92" s="1">
        <f t="shared" si="5"/>
        <v>39034.194000000105</v>
      </c>
      <c r="B92" s="173">
        <f>IF($A$1="Peak","-",IF(BaseLoad!H91&gt;BaseLoad!$G91,B$8*BaseLoad!$AM$9,0))</f>
        <v>3.634231662306957</v>
      </c>
      <c r="C92" s="173">
        <f>IF($A$1="Peak","-",IF(BaseLoad!I91&gt;BaseLoad!$G91,C$8*BaseLoad!$AM$9,0))</f>
        <v>3.634231662306957</v>
      </c>
      <c r="D92" s="173">
        <f>IF($A$1="Peak","-",IF(BaseLoad!J91&gt;BaseLoad!$G91,D$8*BaseLoad!$AM$9,0))</f>
        <v>7.2684633246139141</v>
      </c>
      <c r="E92" s="173">
        <f>IF($A$1="Peak","-",IF(BaseLoad!K91&gt;BaseLoad!$G91,E$8*BaseLoad!$AM$9,0))</f>
        <v>14.536926649227828</v>
      </c>
      <c r="F92" s="173">
        <f>IF($A$1="Peak","-",IF(BaseLoad!L91&gt;BaseLoad!$G91,F$8*BaseLoad!$AM$9,0))</f>
        <v>14.536926649227828</v>
      </c>
      <c r="G92" s="173">
        <f>IF($A$1="Peak","-",IF(BaseLoad!M91&gt;BaseLoad!$G91,G$8*BaseLoad!$AM$9,0))</f>
        <v>29.073853298455656</v>
      </c>
      <c r="H92" s="173">
        <f>IF($A$1="Peak","-",IF(BaseLoad!N91&gt;BaseLoad!$G91,H$8*BaseLoad!$AM$9,0))</f>
        <v>29.073853298455656</v>
      </c>
      <c r="I92" s="173">
        <f>IF($A$1="Peak","-",IF(BaseLoad!O91&gt;BaseLoad!$G91,I$8*BaseLoad!$AM$9,0))</f>
        <v>29.073853298455656</v>
      </c>
      <c r="J92" s="173">
        <f>IF($A$1="Peak","-",IF(BaseLoad!P91&gt;BaseLoad!$G91,J$8*BaseLoad!$AM$9,0))</f>
        <v>29.073853298455656</v>
      </c>
      <c r="K92" s="173">
        <f>IF($A$1="Peak","-",IF(BaseLoad!Q91&gt;BaseLoad!$G91,K$8*BaseLoad!$AM$9,0))</f>
        <v>29.073853298455656</v>
      </c>
      <c r="L92" s="173">
        <f>IF($A$1="Peak","-",IF(BaseLoad!R91&gt;BaseLoad!$G91,L$8*BaseLoad!$AM$9,0))</f>
        <v>29.073853298455656</v>
      </c>
      <c r="M92" s="173">
        <f>IF($A$1="Peak","-",IF(BaseLoad!S91&gt;BaseLoad!$G91,M$8*BaseLoad!$AM$9,0))</f>
        <v>29.073853298455656</v>
      </c>
      <c r="N92" s="173">
        <f>IF($A$1="Peak","-",IF(BaseLoad!T91&gt;BaseLoad!$G91,N$8*BaseLoad!$AM$9,0))</f>
        <v>29.073853298455656</v>
      </c>
      <c r="O92" s="173">
        <f>IF($A$1="Peak","-",IF(BaseLoad!U91&gt;BaseLoad!$G91,O$8*BaseLoad!$AM$9,0))</f>
        <v>29.073853298455656</v>
      </c>
      <c r="P92" s="173">
        <f>IF($A$1="Peak","-",IF(BaseLoad!V91&gt;BaseLoad!$G91,P$8*BaseLoad!$AM$9,0))</f>
        <v>29.073853298455656</v>
      </c>
      <c r="Q92" s="173">
        <f>IF($A$1="Peak","-",IF(BaseLoad!W91&gt;BaseLoad!$G91,Q$8*BaseLoad!$AM$9,0))</f>
        <v>29.073853298455656</v>
      </c>
      <c r="R92" s="173">
        <f>IF($A$1="Peak","-",IF(BaseLoad!X91&gt;BaseLoad!$G91,R$8*BaseLoad!$AM$9,0))</f>
        <v>29.073853298455656</v>
      </c>
      <c r="S92" s="173">
        <f>IF($A$1="Peak","-",IF(BaseLoad!Y91&gt;BaseLoad!$G91,S$8*BaseLoad!$AM$9,0))</f>
        <v>29.073853298455656</v>
      </c>
      <c r="T92" s="173">
        <f>IF($A$1="Peak","-",IF(BaseLoad!Z91&gt;BaseLoad!$G91,T$8*BaseLoad!$AM$9,0))</f>
        <v>29.073853298455656</v>
      </c>
      <c r="U92" s="173">
        <f>IF($A$1="Peak","-",IF(BaseLoad!AA91&gt;BaseLoad!$G91,U$8*BaseLoad!$AM$9,0))</f>
        <v>79.953096570753061</v>
      </c>
      <c r="V92" s="173">
        <f t="shared" si="3"/>
        <v>530.5978226968158</v>
      </c>
      <c r="W92" s="173"/>
      <c r="X92" s="173"/>
      <c r="Y92" s="173"/>
    </row>
    <row r="93" spans="1:25" x14ac:dyDescent="0.2">
      <c r="A93" s="1">
        <f t="shared" si="5"/>
        <v>39064.611000000106</v>
      </c>
      <c r="B93" s="173">
        <f>IF($A$1="Peak","-",IF(BaseLoad!H92&gt;BaseLoad!$G92,B$8*BaseLoad!$AM$9,0))</f>
        <v>3.634231662306957</v>
      </c>
      <c r="C93" s="173">
        <f>IF($A$1="Peak","-",IF(BaseLoad!I92&gt;BaseLoad!$G92,C$8*BaseLoad!$AM$9,0))</f>
        <v>3.634231662306957</v>
      </c>
      <c r="D93" s="173">
        <f>IF($A$1="Peak","-",IF(BaseLoad!J92&gt;BaseLoad!$G92,D$8*BaseLoad!$AM$9,0))</f>
        <v>7.2684633246139141</v>
      </c>
      <c r="E93" s="173">
        <f>IF($A$1="Peak","-",IF(BaseLoad!K92&gt;BaseLoad!$G92,E$8*BaseLoad!$AM$9,0))</f>
        <v>14.536926649227828</v>
      </c>
      <c r="F93" s="173">
        <f>IF($A$1="Peak","-",IF(BaseLoad!L92&gt;BaseLoad!$G92,F$8*BaseLoad!$AM$9,0))</f>
        <v>14.536926649227828</v>
      </c>
      <c r="G93" s="173">
        <f>IF($A$1="Peak","-",IF(BaseLoad!M92&gt;BaseLoad!$G92,G$8*BaseLoad!$AM$9,0))</f>
        <v>29.073853298455656</v>
      </c>
      <c r="H93" s="173">
        <f>IF($A$1="Peak","-",IF(BaseLoad!N92&gt;BaseLoad!$G92,H$8*BaseLoad!$AM$9,0))</f>
        <v>29.073853298455656</v>
      </c>
      <c r="I93" s="173">
        <f>IF($A$1="Peak","-",IF(BaseLoad!O92&gt;BaseLoad!$G92,I$8*BaseLoad!$AM$9,0))</f>
        <v>29.073853298455656</v>
      </c>
      <c r="J93" s="173">
        <f>IF($A$1="Peak","-",IF(BaseLoad!P92&gt;BaseLoad!$G92,J$8*BaseLoad!$AM$9,0))</f>
        <v>29.073853298455656</v>
      </c>
      <c r="K93" s="173">
        <f>IF($A$1="Peak","-",IF(BaseLoad!Q92&gt;BaseLoad!$G92,K$8*BaseLoad!$AM$9,0))</f>
        <v>29.073853298455656</v>
      </c>
      <c r="L93" s="173">
        <f>IF($A$1="Peak","-",IF(BaseLoad!R92&gt;BaseLoad!$G92,L$8*BaseLoad!$AM$9,0))</f>
        <v>29.073853298455656</v>
      </c>
      <c r="M93" s="173">
        <f>IF($A$1="Peak","-",IF(BaseLoad!S92&gt;BaseLoad!$G92,M$8*BaseLoad!$AM$9,0))</f>
        <v>29.073853298455656</v>
      </c>
      <c r="N93" s="173">
        <f>IF($A$1="Peak","-",IF(BaseLoad!T92&gt;BaseLoad!$G92,N$8*BaseLoad!$AM$9,0))</f>
        <v>29.073853298455656</v>
      </c>
      <c r="O93" s="173">
        <f>IF($A$1="Peak","-",IF(BaseLoad!U92&gt;BaseLoad!$G92,O$8*BaseLoad!$AM$9,0))</f>
        <v>29.073853298455656</v>
      </c>
      <c r="P93" s="173">
        <f>IF($A$1="Peak","-",IF(BaseLoad!V92&gt;BaseLoad!$G92,P$8*BaseLoad!$AM$9,0))</f>
        <v>29.073853298455656</v>
      </c>
      <c r="Q93" s="173">
        <f>IF($A$1="Peak","-",IF(BaseLoad!W92&gt;BaseLoad!$G92,Q$8*BaseLoad!$AM$9,0))</f>
        <v>29.073853298455656</v>
      </c>
      <c r="R93" s="173">
        <f>IF($A$1="Peak","-",IF(BaseLoad!X92&gt;BaseLoad!$G92,R$8*BaseLoad!$AM$9,0))</f>
        <v>29.073853298455656</v>
      </c>
      <c r="S93" s="173">
        <f>IF($A$1="Peak","-",IF(BaseLoad!Y92&gt;BaseLoad!$G92,S$8*BaseLoad!$AM$9,0))</f>
        <v>29.073853298455656</v>
      </c>
      <c r="T93" s="173">
        <f>IF($A$1="Peak","-",IF(BaseLoad!Z92&gt;BaseLoad!$G92,T$8*BaseLoad!$AM$9,0))</f>
        <v>29.073853298455656</v>
      </c>
      <c r="U93" s="173">
        <f>IF($A$1="Peak","-",IF(BaseLoad!AA92&gt;BaseLoad!$G92,U$8*BaseLoad!$AM$9,0))</f>
        <v>79.953096570753061</v>
      </c>
      <c r="V93" s="173">
        <f t="shared" si="3"/>
        <v>530.5978226968158</v>
      </c>
      <c r="W93" s="173"/>
      <c r="X93" s="173"/>
      <c r="Y93" s="173">
        <f>SUM(V82:V93)</f>
        <v>6367.1738723617882</v>
      </c>
    </row>
    <row r="94" spans="1:25" x14ac:dyDescent="0.2">
      <c r="A94" s="1">
        <f t="shared" si="5"/>
        <v>39095.028000000108</v>
      </c>
      <c r="B94" s="173">
        <f>IF($A$1="Peak","-",IF(BaseLoad!H93&gt;BaseLoad!$G93,B$8*BaseLoad!$AM$9,0))</f>
        <v>3.634231662306957</v>
      </c>
      <c r="C94" s="173">
        <f>IF($A$1="Peak","-",IF(BaseLoad!I93&gt;BaseLoad!$G93,C$8*BaseLoad!$AM$9,0))</f>
        <v>3.634231662306957</v>
      </c>
      <c r="D94" s="173">
        <f>IF($A$1="Peak","-",IF(BaseLoad!J93&gt;BaseLoad!$G93,D$8*BaseLoad!$AM$9,0))</f>
        <v>7.2684633246139141</v>
      </c>
      <c r="E94" s="173">
        <f>IF($A$1="Peak","-",IF(BaseLoad!K93&gt;BaseLoad!$G93,E$8*BaseLoad!$AM$9,0))</f>
        <v>14.536926649227828</v>
      </c>
      <c r="F94" s="173">
        <f>IF($A$1="Peak","-",IF(BaseLoad!L93&gt;BaseLoad!$G93,F$8*BaseLoad!$AM$9,0))</f>
        <v>14.536926649227828</v>
      </c>
      <c r="G94" s="173">
        <f>IF($A$1="Peak","-",IF(BaseLoad!M93&gt;BaseLoad!$G93,G$8*BaseLoad!$AM$9,0))</f>
        <v>29.073853298455656</v>
      </c>
      <c r="H94" s="173">
        <f>IF($A$1="Peak","-",IF(BaseLoad!N93&gt;BaseLoad!$G93,H$8*BaseLoad!$AM$9,0))</f>
        <v>29.073853298455656</v>
      </c>
      <c r="I94" s="173">
        <f>IF($A$1="Peak","-",IF(BaseLoad!O93&gt;BaseLoad!$G93,I$8*BaseLoad!$AM$9,0))</f>
        <v>29.073853298455656</v>
      </c>
      <c r="J94" s="173">
        <f>IF($A$1="Peak","-",IF(BaseLoad!P93&gt;BaseLoad!$G93,J$8*BaseLoad!$AM$9,0))</f>
        <v>29.073853298455656</v>
      </c>
      <c r="K94" s="173">
        <f>IF($A$1="Peak","-",IF(BaseLoad!Q93&gt;BaseLoad!$G93,K$8*BaseLoad!$AM$9,0))</f>
        <v>29.073853298455656</v>
      </c>
      <c r="L94" s="173">
        <f>IF($A$1="Peak","-",IF(BaseLoad!R93&gt;BaseLoad!$G93,L$8*BaseLoad!$AM$9,0))</f>
        <v>29.073853298455656</v>
      </c>
      <c r="M94" s="173">
        <f>IF($A$1="Peak","-",IF(BaseLoad!S93&gt;BaseLoad!$G93,M$8*BaseLoad!$AM$9,0))</f>
        <v>29.073853298455656</v>
      </c>
      <c r="N94" s="173">
        <f>IF($A$1="Peak","-",IF(BaseLoad!T93&gt;BaseLoad!$G93,N$8*BaseLoad!$AM$9,0))</f>
        <v>29.073853298455656</v>
      </c>
      <c r="O94" s="173">
        <f>IF($A$1="Peak","-",IF(BaseLoad!U93&gt;BaseLoad!$G93,O$8*BaseLoad!$AM$9,0))</f>
        <v>29.073853298455656</v>
      </c>
      <c r="P94" s="173">
        <f>IF($A$1="Peak","-",IF(BaseLoad!V93&gt;BaseLoad!$G93,P$8*BaseLoad!$AM$9,0))</f>
        <v>29.073853298455656</v>
      </c>
      <c r="Q94" s="173">
        <f>IF($A$1="Peak","-",IF(BaseLoad!W93&gt;BaseLoad!$G93,Q$8*BaseLoad!$AM$9,0))</f>
        <v>29.073853298455656</v>
      </c>
      <c r="R94" s="173">
        <f>IF($A$1="Peak","-",IF(BaseLoad!X93&gt;BaseLoad!$G93,R$8*BaseLoad!$AM$9,0))</f>
        <v>29.073853298455656</v>
      </c>
      <c r="S94" s="173">
        <f>IF($A$1="Peak","-",IF(BaseLoad!Y93&gt;BaseLoad!$G93,S$8*BaseLoad!$AM$9,0))</f>
        <v>29.073853298455656</v>
      </c>
      <c r="T94" s="173">
        <f>IF($A$1="Peak","-",IF(BaseLoad!Z93&gt;BaseLoad!$G93,T$8*BaseLoad!$AM$9,0))</f>
        <v>29.073853298455656</v>
      </c>
      <c r="U94" s="173">
        <f>IF($A$1="Peak","-",IF(BaseLoad!AA93&gt;BaseLoad!$G93,U$8*BaseLoad!$AM$9,0))</f>
        <v>79.953096570753061</v>
      </c>
      <c r="V94" s="173">
        <f t="shared" si="3"/>
        <v>530.5978226968158</v>
      </c>
      <c r="W94" s="173"/>
      <c r="X94" s="173"/>
      <c r="Y94" s="173"/>
    </row>
    <row r="95" spans="1:25" x14ac:dyDescent="0.2">
      <c r="A95" s="1">
        <f t="shared" si="5"/>
        <v>39125.445000000109</v>
      </c>
      <c r="B95" s="173">
        <f>IF($A$1="Peak","-",IF(BaseLoad!H94&gt;BaseLoad!$G94,B$8*BaseLoad!$AM$9,0))</f>
        <v>3.634231662306957</v>
      </c>
      <c r="C95" s="173">
        <f>IF($A$1="Peak","-",IF(BaseLoad!I94&gt;BaseLoad!$G94,C$8*BaseLoad!$AM$9,0))</f>
        <v>3.634231662306957</v>
      </c>
      <c r="D95" s="173">
        <f>IF($A$1="Peak","-",IF(BaseLoad!J94&gt;BaseLoad!$G94,D$8*BaseLoad!$AM$9,0))</f>
        <v>7.2684633246139141</v>
      </c>
      <c r="E95" s="173">
        <f>IF($A$1="Peak","-",IF(BaseLoad!K94&gt;BaseLoad!$G94,E$8*BaseLoad!$AM$9,0))</f>
        <v>14.536926649227828</v>
      </c>
      <c r="F95" s="173">
        <f>IF($A$1="Peak","-",IF(BaseLoad!L94&gt;BaseLoad!$G94,F$8*BaseLoad!$AM$9,0))</f>
        <v>14.536926649227828</v>
      </c>
      <c r="G95" s="173">
        <f>IF($A$1="Peak","-",IF(BaseLoad!M94&gt;BaseLoad!$G94,G$8*BaseLoad!$AM$9,0))</f>
        <v>29.073853298455656</v>
      </c>
      <c r="H95" s="173">
        <f>IF($A$1="Peak","-",IF(BaseLoad!N94&gt;BaseLoad!$G94,H$8*BaseLoad!$AM$9,0))</f>
        <v>29.073853298455656</v>
      </c>
      <c r="I95" s="173">
        <f>IF($A$1="Peak","-",IF(BaseLoad!O94&gt;BaseLoad!$G94,I$8*BaseLoad!$AM$9,0))</f>
        <v>29.073853298455656</v>
      </c>
      <c r="J95" s="173">
        <f>IF($A$1="Peak","-",IF(BaseLoad!P94&gt;BaseLoad!$G94,J$8*BaseLoad!$AM$9,0))</f>
        <v>29.073853298455656</v>
      </c>
      <c r="K95" s="173">
        <f>IF($A$1="Peak","-",IF(BaseLoad!Q94&gt;BaseLoad!$G94,K$8*BaseLoad!$AM$9,0))</f>
        <v>29.073853298455656</v>
      </c>
      <c r="L95" s="173">
        <f>IF($A$1="Peak","-",IF(BaseLoad!R94&gt;BaseLoad!$G94,L$8*BaseLoad!$AM$9,0))</f>
        <v>29.073853298455656</v>
      </c>
      <c r="M95" s="173">
        <f>IF($A$1="Peak","-",IF(BaseLoad!S94&gt;BaseLoad!$G94,M$8*BaseLoad!$AM$9,0))</f>
        <v>29.073853298455656</v>
      </c>
      <c r="N95" s="173">
        <f>IF($A$1="Peak","-",IF(BaseLoad!T94&gt;BaseLoad!$G94,N$8*BaseLoad!$AM$9,0))</f>
        <v>29.073853298455656</v>
      </c>
      <c r="O95" s="173">
        <f>IF($A$1="Peak","-",IF(BaseLoad!U94&gt;BaseLoad!$G94,O$8*BaseLoad!$AM$9,0))</f>
        <v>29.073853298455656</v>
      </c>
      <c r="P95" s="173">
        <f>IF($A$1="Peak","-",IF(BaseLoad!V94&gt;BaseLoad!$G94,P$8*BaseLoad!$AM$9,0))</f>
        <v>29.073853298455656</v>
      </c>
      <c r="Q95" s="173">
        <f>IF($A$1="Peak","-",IF(BaseLoad!W94&gt;BaseLoad!$G94,Q$8*BaseLoad!$AM$9,0))</f>
        <v>29.073853298455656</v>
      </c>
      <c r="R95" s="173">
        <f>IF($A$1="Peak","-",IF(BaseLoad!X94&gt;BaseLoad!$G94,R$8*BaseLoad!$AM$9,0))</f>
        <v>29.073853298455656</v>
      </c>
      <c r="S95" s="173">
        <f>IF($A$1="Peak","-",IF(BaseLoad!Y94&gt;BaseLoad!$G94,S$8*BaseLoad!$AM$9,0))</f>
        <v>29.073853298455656</v>
      </c>
      <c r="T95" s="173">
        <f>IF($A$1="Peak","-",IF(BaseLoad!Z94&gt;BaseLoad!$G94,T$8*BaseLoad!$AM$9,0))</f>
        <v>29.073853298455656</v>
      </c>
      <c r="U95" s="173">
        <f>IF($A$1="Peak","-",IF(BaseLoad!AA94&gt;BaseLoad!$G94,U$8*BaseLoad!$AM$9,0))</f>
        <v>79.953096570753061</v>
      </c>
      <c r="V95" s="173">
        <f t="shared" si="3"/>
        <v>530.5978226968158</v>
      </c>
      <c r="W95" s="173"/>
      <c r="X95" s="173"/>
      <c r="Y95" s="173"/>
    </row>
    <row r="96" spans="1:25" x14ac:dyDescent="0.2">
      <c r="A96" s="1">
        <f t="shared" si="5"/>
        <v>39155.86200000011</v>
      </c>
      <c r="B96" s="173">
        <f>IF($A$1="Peak","-",IF(BaseLoad!H95&gt;BaseLoad!$G95,B$8*BaseLoad!$AM$9,0))</f>
        <v>3.634231662306957</v>
      </c>
      <c r="C96" s="173">
        <f>IF($A$1="Peak","-",IF(BaseLoad!I95&gt;BaseLoad!$G95,C$8*BaseLoad!$AM$9,0))</f>
        <v>3.634231662306957</v>
      </c>
      <c r="D96" s="173">
        <f>IF($A$1="Peak","-",IF(BaseLoad!J95&gt;BaseLoad!$G95,D$8*BaseLoad!$AM$9,0))</f>
        <v>7.2684633246139141</v>
      </c>
      <c r="E96" s="173">
        <f>IF($A$1="Peak","-",IF(BaseLoad!K95&gt;BaseLoad!$G95,E$8*BaseLoad!$AM$9,0))</f>
        <v>14.536926649227828</v>
      </c>
      <c r="F96" s="173">
        <f>IF($A$1="Peak","-",IF(BaseLoad!L95&gt;BaseLoad!$G95,F$8*BaseLoad!$AM$9,0))</f>
        <v>14.536926649227828</v>
      </c>
      <c r="G96" s="173">
        <f>IF($A$1="Peak","-",IF(BaseLoad!M95&gt;BaseLoad!$G95,G$8*BaseLoad!$AM$9,0))</f>
        <v>29.073853298455656</v>
      </c>
      <c r="H96" s="173">
        <f>IF($A$1="Peak","-",IF(BaseLoad!N95&gt;BaseLoad!$G95,H$8*BaseLoad!$AM$9,0))</f>
        <v>29.073853298455656</v>
      </c>
      <c r="I96" s="173">
        <f>IF($A$1="Peak","-",IF(BaseLoad!O95&gt;BaseLoad!$G95,I$8*BaseLoad!$AM$9,0))</f>
        <v>29.073853298455656</v>
      </c>
      <c r="J96" s="173">
        <f>IF($A$1="Peak","-",IF(BaseLoad!P95&gt;BaseLoad!$G95,J$8*BaseLoad!$AM$9,0))</f>
        <v>29.073853298455656</v>
      </c>
      <c r="K96" s="173">
        <f>IF($A$1="Peak","-",IF(BaseLoad!Q95&gt;BaseLoad!$G95,K$8*BaseLoad!$AM$9,0))</f>
        <v>29.073853298455656</v>
      </c>
      <c r="L96" s="173">
        <f>IF($A$1="Peak","-",IF(BaseLoad!R95&gt;BaseLoad!$G95,L$8*BaseLoad!$AM$9,0))</f>
        <v>29.073853298455656</v>
      </c>
      <c r="M96" s="173">
        <f>IF($A$1="Peak","-",IF(BaseLoad!S95&gt;BaseLoad!$G95,M$8*BaseLoad!$AM$9,0))</f>
        <v>29.073853298455656</v>
      </c>
      <c r="N96" s="173">
        <f>IF($A$1="Peak","-",IF(BaseLoad!T95&gt;BaseLoad!$G95,N$8*BaseLoad!$AM$9,0))</f>
        <v>29.073853298455656</v>
      </c>
      <c r="O96" s="173">
        <f>IF($A$1="Peak","-",IF(BaseLoad!U95&gt;BaseLoad!$G95,O$8*BaseLoad!$AM$9,0))</f>
        <v>29.073853298455656</v>
      </c>
      <c r="P96" s="173">
        <f>IF($A$1="Peak","-",IF(BaseLoad!V95&gt;BaseLoad!$G95,P$8*BaseLoad!$AM$9,0))</f>
        <v>29.073853298455656</v>
      </c>
      <c r="Q96" s="173">
        <f>IF($A$1="Peak","-",IF(BaseLoad!W95&gt;BaseLoad!$G95,Q$8*BaseLoad!$AM$9,0))</f>
        <v>29.073853298455656</v>
      </c>
      <c r="R96" s="173">
        <f>IF($A$1="Peak","-",IF(BaseLoad!X95&gt;BaseLoad!$G95,R$8*BaseLoad!$AM$9,0))</f>
        <v>29.073853298455656</v>
      </c>
      <c r="S96" s="173">
        <f>IF($A$1="Peak","-",IF(BaseLoad!Y95&gt;BaseLoad!$G95,S$8*BaseLoad!$AM$9,0))</f>
        <v>29.073853298455656</v>
      </c>
      <c r="T96" s="173">
        <f>IF($A$1="Peak","-",IF(BaseLoad!Z95&gt;BaseLoad!$G95,T$8*BaseLoad!$AM$9,0))</f>
        <v>29.073853298455656</v>
      </c>
      <c r="U96" s="173">
        <f>IF($A$1="Peak","-",IF(BaseLoad!AA95&gt;BaseLoad!$G95,U$8*BaseLoad!$AM$9,0))</f>
        <v>79.953096570753061</v>
      </c>
      <c r="V96" s="173">
        <f t="shared" si="3"/>
        <v>530.5978226968158</v>
      </c>
      <c r="W96" s="173"/>
      <c r="X96" s="173"/>
      <c r="Y96" s="173"/>
    </row>
    <row r="97" spans="1:25" x14ac:dyDescent="0.2">
      <c r="A97" s="1">
        <f t="shared" si="5"/>
        <v>39186.279000000111</v>
      </c>
      <c r="B97" s="173">
        <f>IF($A$1="Peak","-",IF(BaseLoad!H96&gt;BaseLoad!$G96,B$8*BaseLoad!$AM$9,0))</f>
        <v>3.634231662306957</v>
      </c>
      <c r="C97" s="173">
        <f>IF($A$1="Peak","-",IF(BaseLoad!I96&gt;BaseLoad!$G96,C$8*BaseLoad!$AM$9,0))</f>
        <v>3.634231662306957</v>
      </c>
      <c r="D97" s="173">
        <f>IF($A$1="Peak","-",IF(BaseLoad!J96&gt;BaseLoad!$G96,D$8*BaseLoad!$AM$9,0))</f>
        <v>7.2684633246139141</v>
      </c>
      <c r="E97" s="173">
        <f>IF($A$1="Peak","-",IF(BaseLoad!K96&gt;BaseLoad!$G96,E$8*BaseLoad!$AM$9,0))</f>
        <v>14.536926649227828</v>
      </c>
      <c r="F97" s="173">
        <f>IF($A$1="Peak","-",IF(BaseLoad!L96&gt;BaseLoad!$G96,F$8*BaseLoad!$AM$9,0))</f>
        <v>14.536926649227828</v>
      </c>
      <c r="G97" s="173">
        <f>IF($A$1="Peak","-",IF(BaseLoad!M96&gt;BaseLoad!$G96,G$8*BaseLoad!$AM$9,0))</f>
        <v>29.073853298455656</v>
      </c>
      <c r="H97" s="173">
        <f>IF($A$1="Peak","-",IF(BaseLoad!N96&gt;BaseLoad!$G96,H$8*BaseLoad!$AM$9,0))</f>
        <v>29.073853298455656</v>
      </c>
      <c r="I97" s="173">
        <f>IF($A$1="Peak","-",IF(BaseLoad!O96&gt;BaseLoad!$G96,I$8*BaseLoad!$AM$9,0))</f>
        <v>29.073853298455656</v>
      </c>
      <c r="J97" s="173">
        <f>IF($A$1="Peak","-",IF(BaseLoad!P96&gt;BaseLoad!$G96,J$8*BaseLoad!$AM$9,0))</f>
        <v>29.073853298455656</v>
      </c>
      <c r="K97" s="173">
        <f>IF($A$1="Peak","-",IF(BaseLoad!Q96&gt;BaseLoad!$G96,K$8*BaseLoad!$AM$9,0))</f>
        <v>29.073853298455656</v>
      </c>
      <c r="L97" s="173">
        <f>IF($A$1="Peak","-",IF(BaseLoad!R96&gt;BaseLoad!$G96,L$8*BaseLoad!$AM$9,0))</f>
        <v>29.073853298455656</v>
      </c>
      <c r="M97" s="173">
        <f>IF($A$1="Peak","-",IF(BaseLoad!S96&gt;BaseLoad!$G96,M$8*BaseLoad!$AM$9,0))</f>
        <v>29.073853298455656</v>
      </c>
      <c r="N97" s="173">
        <f>IF($A$1="Peak","-",IF(BaseLoad!T96&gt;BaseLoad!$G96,N$8*BaseLoad!$AM$9,0))</f>
        <v>29.073853298455656</v>
      </c>
      <c r="O97" s="173">
        <f>IF($A$1="Peak","-",IF(BaseLoad!U96&gt;BaseLoad!$G96,O$8*BaseLoad!$AM$9,0))</f>
        <v>29.073853298455656</v>
      </c>
      <c r="P97" s="173">
        <f>IF($A$1="Peak","-",IF(BaseLoad!V96&gt;BaseLoad!$G96,P$8*BaseLoad!$AM$9,0))</f>
        <v>29.073853298455656</v>
      </c>
      <c r="Q97" s="173">
        <f>IF($A$1="Peak","-",IF(BaseLoad!W96&gt;BaseLoad!$G96,Q$8*BaseLoad!$AM$9,0))</f>
        <v>29.073853298455656</v>
      </c>
      <c r="R97" s="173">
        <f>IF($A$1="Peak","-",IF(BaseLoad!X96&gt;BaseLoad!$G96,R$8*BaseLoad!$AM$9,0))</f>
        <v>29.073853298455656</v>
      </c>
      <c r="S97" s="173">
        <f>IF($A$1="Peak","-",IF(BaseLoad!Y96&gt;BaseLoad!$G96,S$8*BaseLoad!$AM$9,0))</f>
        <v>29.073853298455656</v>
      </c>
      <c r="T97" s="173">
        <f>IF($A$1="Peak","-",IF(BaseLoad!Z96&gt;BaseLoad!$G96,T$8*BaseLoad!$AM$9,0))</f>
        <v>29.073853298455656</v>
      </c>
      <c r="U97" s="173">
        <f>IF($A$1="Peak","-",IF(BaseLoad!AA96&gt;BaseLoad!$G96,U$8*BaseLoad!$AM$9,0))</f>
        <v>79.953096570753061</v>
      </c>
      <c r="V97" s="173">
        <f t="shared" si="3"/>
        <v>530.5978226968158</v>
      </c>
      <c r="W97" s="173"/>
      <c r="X97" s="173"/>
      <c r="Y97" s="173"/>
    </row>
    <row r="98" spans="1:25" x14ac:dyDescent="0.2">
      <c r="A98" s="1">
        <f t="shared" si="5"/>
        <v>39216.696000000113</v>
      </c>
      <c r="B98" s="173">
        <f>IF($A$1="Peak","-",IF(BaseLoad!H97&gt;BaseLoad!$G97,B$8*BaseLoad!$AM$9,0))</f>
        <v>3.634231662306957</v>
      </c>
      <c r="C98" s="173">
        <f>IF($A$1="Peak","-",IF(BaseLoad!I97&gt;BaseLoad!$G97,C$8*BaseLoad!$AM$9,0))</f>
        <v>3.634231662306957</v>
      </c>
      <c r="D98" s="173">
        <f>IF($A$1="Peak","-",IF(BaseLoad!J97&gt;BaseLoad!$G97,D$8*BaseLoad!$AM$9,0))</f>
        <v>7.2684633246139141</v>
      </c>
      <c r="E98" s="173">
        <f>IF($A$1="Peak","-",IF(BaseLoad!K97&gt;BaseLoad!$G97,E$8*BaseLoad!$AM$9,0))</f>
        <v>14.536926649227828</v>
      </c>
      <c r="F98" s="173">
        <f>IF($A$1="Peak","-",IF(BaseLoad!L97&gt;BaseLoad!$G97,F$8*BaseLoad!$AM$9,0))</f>
        <v>14.536926649227828</v>
      </c>
      <c r="G98" s="173">
        <f>IF($A$1="Peak","-",IF(BaseLoad!M97&gt;BaseLoad!$G97,G$8*BaseLoad!$AM$9,0))</f>
        <v>29.073853298455656</v>
      </c>
      <c r="H98" s="173">
        <f>IF($A$1="Peak","-",IF(BaseLoad!N97&gt;BaseLoad!$G97,H$8*BaseLoad!$AM$9,0))</f>
        <v>29.073853298455656</v>
      </c>
      <c r="I98" s="173">
        <f>IF($A$1="Peak","-",IF(BaseLoad!O97&gt;BaseLoad!$G97,I$8*BaseLoad!$AM$9,0))</f>
        <v>29.073853298455656</v>
      </c>
      <c r="J98" s="173">
        <f>IF($A$1="Peak","-",IF(BaseLoad!P97&gt;BaseLoad!$G97,J$8*BaseLoad!$AM$9,0))</f>
        <v>29.073853298455656</v>
      </c>
      <c r="K98" s="173">
        <f>IF($A$1="Peak","-",IF(BaseLoad!Q97&gt;BaseLoad!$G97,K$8*BaseLoad!$AM$9,0))</f>
        <v>29.073853298455656</v>
      </c>
      <c r="L98" s="173">
        <f>IF($A$1="Peak","-",IF(BaseLoad!R97&gt;BaseLoad!$G97,L$8*BaseLoad!$AM$9,0))</f>
        <v>29.073853298455656</v>
      </c>
      <c r="M98" s="173">
        <f>IF($A$1="Peak","-",IF(BaseLoad!S97&gt;BaseLoad!$G97,M$8*BaseLoad!$AM$9,0))</f>
        <v>29.073853298455656</v>
      </c>
      <c r="N98" s="173">
        <f>IF($A$1="Peak","-",IF(BaseLoad!T97&gt;BaseLoad!$G97,N$8*BaseLoad!$AM$9,0))</f>
        <v>29.073853298455656</v>
      </c>
      <c r="O98" s="173">
        <f>IF($A$1="Peak","-",IF(BaseLoad!U97&gt;BaseLoad!$G97,O$8*BaseLoad!$AM$9,0))</f>
        <v>29.073853298455656</v>
      </c>
      <c r="P98" s="173">
        <f>IF($A$1="Peak","-",IF(BaseLoad!V97&gt;BaseLoad!$G97,P$8*BaseLoad!$AM$9,0))</f>
        <v>29.073853298455656</v>
      </c>
      <c r="Q98" s="173">
        <f>IF($A$1="Peak","-",IF(BaseLoad!W97&gt;BaseLoad!$G97,Q$8*BaseLoad!$AM$9,0))</f>
        <v>29.073853298455656</v>
      </c>
      <c r="R98" s="173">
        <f>IF($A$1="Peak","-",IF(BaseLoad!X97&gt;BaseLoad!$G97,R$8*BaseLoad!$AM$9,0))</f>
        <v>29.073853298455656</v>
      </c>
      <c r="S98" s="173">
        <f>IF($A$1="Peak","-",IF(BaseLoad!Y97&gt;BaseLoad!$G97,S$8*BaseLoad!$AM$9,0))</f>
        <v>29.073853298455656</v>
      </c>
      <c r="T98" s="173">
        <f>IF($A$1="Peak","-",IF(BaseLoad!Z97&gt;BaseLoad!$G97,T$8*BaseLoad!$AM$9,0))</f>
        <v>29.073853298455656</v>
      </c>
      <c r="U98" s="173">
        <f>IF($A$1="Peak","-",IF(BaseLoad!AA97&gt;BaseLoad!$G97,U$8*BaseLoad!$AM$9,0))</f>
        <v>79.953096570753061</v>
      </c>
      <c r="V98" s="173">
        <f t="shared" si="3"/>
        <v>530.5978226968158</v>
      </c>
      <c r="W98" s="173"/>
      <c r="X98" s="173"/>
      <c r="Y98" s="173"/>
    </row>
    <row r="99" spans="1:25" x14ac:dyDescent="0.2">
      <c r="A99" s="1">
        <f t="shared" si="5"/>
        <v>39247.113000000114</v>
      </c>
      <c r="B99" s="173">
        <f>IF($A$1="Peak","-",IF(BaseLoad!H98&gt;BaseLoad!$G98,B$8*BaseLoad!$AM$9,0))</f>
        <v>3.634231662306957</v>
      </c>
      <c r="C99" s="173">
        <f>IF($A$1="Peak","-",IF(BaseLoad!I98&gt;BaseLoad!$G98,C$8*BaseLoad!$AM$9,0))</f>
        <v>3.634231662306957</v>
      </c>
      <c r="D99" s="173">
        <f>IF($A$1="Peak","-",IF(BaseLoad!J98&gt;BaseLoad!$G98,D$8*BaseLoad!$AM$9,0))</f>
        <v>7.2684633246139141</v>
      </c>
      <c r="E99" s="173">
        <f>IF($A$1="Peak","-",IF(BaseLoad!K98&gt;BaseLoad!$G98,E$8*BaseLoad!$AM$9,0))</f>
        <v>14.536926649227828</v>
      </c>
      <c r="F99" s="173">
        <f>IF($A$1="Peak","-",IF(BaseLoad!L98&gt;BaseLoad!$G98,F$8*BaseLoad!$AM$9,0))</f>
        <v>14.536926649227828</v>
      </c>
      <c r="G99" s="173">
        <f>IF($A$1="Peak","-",IF(BaseLoad!M98&gt;BaseLoad!$G98,G$8*BaseLoad!$AM$9,0))</f>
        <v>29.073853298455656</v>
      </c>
      <c r="H99" s="173">
        <f>IF($A$1="Peak","-",IF(BaseLoad!N98&gt;BaseLoad!$G98,H$8*BaseLoad!$AM$9,0))</f>
        <v>29.073853298455656</v>
      </c>
      <c r="I99" s="173">
        <f>IF($A$1="Peak","-",IF(BaseLoad!O98&gt;BaseLoad!$G98,I$8*BaseLoad!$AM$9,0))</f>
        <v>29.073853298455656</v>
      </c>
      <c r="J99" s="173">
        <f>IF($A$1="Peak","-",IF(BaseLoad!P98&gt;BaseLoad!$G98,J$8*BaseLoad!$AM$9,0))</f>
        <v>29.073853298455656</v>
      </c>
      <c r="K99" s="173">
        <f>IF($A$1="Peak","-",IF(BaseLoad!Q98&gt;BaseLoad!$G98,K$8*BaseLoad!$AM$9,0))</f>
        <v>29.073853298455656</v>
      </c>
      <c r="L99" s="173">
        <f>IF($A$1="Peak","-",IF(BaseLoad!R98&gt;BaseLoad!$G98,L$8*BaseLoad!$AM$9,0))</f>
        <v>29.073853298455656</v>
      </c>
      <c r="M99" s="173">
        <f>IF($A$1="Peak","-",IF(BaseLoad!S98&gt;BaseLoad!$G98,M$8*BaseLoad!$AM$9,0))</f>
        <v>29.073853298455656</v>
      </c>
      <c r="N99" s="173">
        <f>IF($A$1="Peak","-",IF(BaseLoad!T98&gt;BaseLoad!$G98,N$8*BaseLoad!$AM$9,0))</f>
        <v>29.073853298455656</v>
      </c>
      <c r="O99" s="173">
        <f>IF($A$1="Peak","-",IF(BaseLoad!U98&gt;BaseLoad!$G98,O$8*BaseLoad!$AM$9,0))</f>
        <v>29.073853298455656</v>
      </c>
      <c r="P99" s="173">
        <f>IF($A$1="Peak","-",IF(BaseLoad!V98&gt;BaseLoad!$G98,P$8*BaseLoad!$AM$9,0))</f>
        <v>29.073853298455656</v>
      </c>
      <c r="Q99" s="173">
        <f>IF($A$1="Peak","-",IF(BaseLoad!W98&gt;BaseLoad!$G98,Q$8*BaseLoad!$AM$9,0))</f>
        <v>29.073853298455656</v>
      </c>
      <c r="R99" s="173">
        <f>IF($A$1="Peak","-",IF(BaseLoad!X98&gt;BaseLoad!$G98,R$8*BaseLoad!$AM$9,0))</f>
        <v>29.073853298455656</v>
      </c>
      <c r="S99" s="173">
        <f>IF($A$1="Peak","-",IF(BaseLoad!Y98&gt;BaseLoad!$G98,S$8*BaseLoad!$AM$9,0))</f>
        <v>29.073853298455656</v>
      </c>
      <c r="T99" s="173">
        <f>IF($A$1="Peak","-",IF(BaseLoad!Z98&gt;BaseLoad!$G98,T$8*BaseLoad!$AM$9,0))</f>
        <v>29.073853298455656</v>
      </c>
      <c r="U99" s="173">
        <f>IF($A$1="Peak","-",IF(BaseLoad!AA98&gt;BaseLoad!$G98,U$8*BaseLoad!$AM$9,0))</f>
        <v>79.953096570753061</v>
      </c>
      <c r="V99" s="173">
        <f t="shared" si="3"/>
        <v>530.5978226968158</v>
      </c>
      <c r="W99" s="173"/>
      <c r="X99" s="173"/>
      <c r="Y99" s="173"/>
    </row>
    <row r="100" spans="1:25" x14ac:dyDescent="0.2">
      <c r="A100" s="1">
        <f t="shared" si="5"/>
        <v>39277.530000000115</v>
      </c>
      <c r="B100" s="173">
        <f>IF($A$1="Peak","-",IF(BaseLoad!H99&gt;BaseLoad!$G99,B$8*BaseLoad!$AM$9,0))</f>
        <v>3.634231662306957</v>
      </c>
      <c r="C100" s="173">
        <f>IF($A$1="Peak","-",IF(BaseLoad!I99&gt;BaseLoad!$G99,C$8*BaseLoad!$AM$9,0))</f>
        <v>3.634231662306957</v>
      </c>
      <c r="D100" s="173">
        <f>IF($A$1="Peak","-",IF(BaseLoad!J99&gt;BaseLoad!$G99,D$8*BaseLoad!$AM$9,0))</f>
        <v>7.2684633246139141</v>
      </c>
      <c r="E100" s="173">
        <f>IF($A$1="Peak","-",IF(BaseLoad!K99&gt;BaseLoad!$G99,E$8*BaseLoad!$AM$9,0))</f>
        <v>14.536926649227828</v>
      </c>
      <c r="F100" s="173">
        <f>IF($A$1="Peak","-",IF(BaseLoad!L99&gt;BaseLoad!$G99,F$8*BaseLoad!$AM$9,0))</f>
        <v>14.536926649227828</v>
      </c>
      <c r="G100" s="173">
        <f>IF($A$1="Peak","-",IF(BaseLoad!M99&gt;BaseLoad!$G99,G$8*BaseLoad!$AM$9,0))</f>
        <v>29.073853298455656</v>
      </c>
      <c r="H100" s="173">
        <f>IF($A$1="Peak","-",IF(BaseLoad!N99&gt;BaseLoad!$G99,H$8*BaseLoad!$AM$9,0))</f>
        <v>29.073853298455656</v>
      </c>
      <c r="I100" s="173">
        <f>IF($A$1="Peak","-",IF(BaseLoad!O99&gt;BaseLoad!$G99,I$8*BaseLoad!$AM$9,0))</f>
        <v>29.073853298455656</v>
      </c>
      <c r="J100" s="173">
        <f>IF($A$1="Peak","-",IF(BaseLoad!P99&gt;BaseLoad!$G99,J$8*BaseLoad!$AM$9,0))</f>
        <v>29.073853298455656</v>
      </c>
      <c r="K100" s="173">
        <f>IF($A$1="Peak","-",IF(BaseLoad!Q99&gt;BaseLoad!$G99,K$8*BaseLoad!$AM$9,0))</f>
        <v>29.073853298455656</v>
      </c>
      <c r="L100" s="173">
        <f>IF($A$1="Peak","-",IF(BaseLoad!R99&gt;BaseLoad!$G99,L$8*BaseLoad!$AM$9,0))</f>
        <v>29.073853298455656</v>
      </c>
      <c r="M100" s="173">
        <f>IF($A$1="Peak","-",IF(BaseLoad!S99&gt;BaseLoad!$G99,M$8*BaseLoad!$AM$9,0))</f>
        <v>29.073853298455656</v>
      </c>
      <c r="N100" s="173">
        <f>IF($A$1="Peak","-",IF(BaseLoad!T99&gt;BaseLoad!$G99,N$8*BaseLoad!$AM$9,0))</f>
        <v>29.073853298455656</v>
      </c>
      <c r="O100" s="173">
        <f>IF($A$1="Peak","-",IF(BaseLoad!U99&gt;BaseLoad!$G99,O$8*BaseLoad!$AM$9,0))</f>
        <v>29.073853298455656</v>
      </c>
      <c r="P100" s="173">
        <f>IF($A$1="Peak","-",IF(BaseLoad!V99&gt;BaseLoad!$G99,P$8*BaseLoad!$AM$9,0))</f>
        <v>29.073853298455656</v>
      </c>
      <c r="Q100" s="173">
        <f>IF($A$1="Peak","-",IF(BaseLoad!W99&gt;BaseLoad!$G99,Q$8*BaseLoad!$AM$9,0))</f>
        <v>29.073853298455656</v>
      </c>
      <c r="R100" s="173">
        <f>IF($A$1="Peak","-",IF(BaseLoad!X99&gt;BaseLoad!$G99,R$8*BaseLoad!$AM$9,0))</f>
        <v>29.073853298455656</v>
      </c>
      <c r="S100" s="173">
        <f>IF($A$1="Peak","-",IF(BaseLoad!Y99&gt;BaseLoad!$G99,S$8*BaseLoad!$AM$9,0))</f>
        <v>29.073853298455656</v>
      </c>
      <c r="T100" s="173">
        <f>IF($A$1="Peak","-",IF(BaseLoad!Z99&gt;BaseLoad!$G99,T$8*BaseLoad!$AM$9,0))</f>
        <v>29.073853298455656</v>
      </c>
      <c r="U100" s="173">
        <f>IF($A$1="Peak","-",IF(BaseLoad!AA99&gt;BaseLoad!$G99,U$8*BaseLoad!$AM$9,0))</f>
        <v>79.953096570753061</v>
      </c>
      <c r="V100" s="173">
        <f t="shared" si="3"/>
        <v>530.5978226968158</v>
      </c>
      <c r="W100" s="173"/>
      <c r="X100" s="173"/>
      <c r="Y100" s="173"/>
    </row>
    <row r="101" spans="1:25" x14ac:dyDescent="0.2">
      <c r="A101" s="1">
        <f t="shared" si="5"/>
        <v>39307.947000000117</v>
      </c>
      <c r="B101" s="173">
        <f>IF($A$1="Peak","-",IF(BaseLoad!H100&gt;BaseLoad!$G100,B$8*BaseLoad!$AM$9,0))</f>
        <v>3.634231662306957</v>
      </c>
      <c r="C101" s="173">
        <f>IF($A$1="Peak","-",IF(BaseLoad!I100&gt;BaseLoad!$G100,C$8*BaseLoad!$AM$9,0))</f>
        <v>3.634231662306957</v>
      </c>
      <c r="D101" s="173">
        <f>IF($A$1="Peak","-",IF(BaseLoad!J100&gt;BaseLoad!$G100,D$8*BaseLoad!$AM$9,0))</f>
        <v>7.2684633246139141</v>
      </c>
      <c r="E101" s="173">
        <f>IF($A$1="Peak","-",IF(BaseLoad!K100&gt;BaseLoad!$G100,E$8*BaseLoad!$AM$9,0))</f>
        <v>14.536926649227828</v>
      </c>
      <c r="F101" s="173">
        <f>IF($A$1="Peak","-",IF(BaseLoad!L100&gt;BaseLoad!$G100,F$8*BaseLoad!$AM$9,0))</f>
        <v>14.536926649227828</v>
      </c>
      <c r="G101" s="173">
        <f>IF($A$1="Peak","-",IF(BaseLoad!M100&gt;BaseLoad!$G100,G$8*BaseLoad!$AM$9,0))</f>
        <v>29.073853298455656</v>
      </c>
      <c r="H101" s="173">
        <f>IF($A$1="Peak","-",IF(BaseLoad!N100&gt;BaseLoad!$G100,H$8*BaseLoad!$AM$9,0))</f>
        <v>29.073853298455656</v>
      </c>
      <c r="I101" s="173">
        <f>IF($A$1="Peak","-",IF(BaseLoad!O100&gt;BaseLoad!$G100,I$8*BaseLoad!$AM$9,0))</f>
        <v>29.073853298455656</v>
      </c>
      <c r="J101" s="173">
        <f>IF($A$1="Peak","-",IF(BaseLoad!P100&gt;BaseLoad!$G100,J$8*BaseLoad!$AM$9,0))</f>
        <v>29.073853298455656</v>
      </c>
      <c r="K101" s="173">
        <f>IF($A$1="Peak","-",IF(BaseLoad!Q100&gt;BaseLoad!$G100,K$8*BaseLoad!$AM$9,0))</f>
        <v>29.073853298455656</v>
      </c>
      <c r="L101" s="173">
        <f>IF($A$1="Peak","-",IF(BaseLoad!R100&gt;BaseLoad!$G100,L$8*BaseLoad!$AM$9,0))</f>
        <v>29.073853298455656</v>
      </c>
      <c r="M101" s="173">
        <f>IF($A$1="Peak","-",IF(BaseLoad!S100&gt;BaseLoad!$G100,M$8*BaseLoad!$AM$9,0))</f>
        <v>29.073853298455656</v>
      </c>
      <c r="N101" s="173">
        <f>IF($A$1="Peak","-",IF(BaseLoad!T100&gt;BaseLoad!$G100,N$8*BaseLoad!$AM$9,0))</f>
        <v>29.073853298455656</v>
      </c>
      <c r="O101" s="173">
        <f>IF($A$1="Peak","-",IF(BaseLoad!U100&gt;BaseLoad!$G100,O$8*BaseLoad!$AM$9,0))</f>
        <v>29.073853298455656</v>
      </c>
      <c r="P101" s="173">
        <f>IF($A$1="Peak","-",IF(BaseLoad!V100&gt;BaseLoad!$G100,P$8*BaseLoad!$AM$9,0))</f>
        <v>29.073853298455656</v>
      </c>
      <c r="Q101" s="173">
        <f>IF($A$1="Peak","-",IF(BaseLoad!W100&gt;BaseLoad!$G100,Q$8*BaseLoad!$AM$9,0))</f>
        <v>29.073853298455656</v>
      </c>
      <c r="R101" s="173">
        <f>IF($A$1="Peak","-",IF(BaseLoad!X100&gt;BaseLoad!$G100,R$8*BaseLoad!$AM$9,0))</f>
        <v>29.073853298455656</v>
      </c>
      <c r="S101" s="173">
        <f>IF($A$1="Peak","-",IF(BaseLoad!Y100&gt;BaseLoad!$G100,S$8*BaseLoad!$AM$9,0))</f>
        <v>29.073853298455656</v>
      </c>
      <c r="T101" s="173">
        <f>IF($A$1="Peak","-",IF(BaseLoad!Z100&gt;BaseLoad!$G100,T$8*BaseLoad!$AM$9,0))</f>
        <v>29.073853298455656</v>
      </c>
      <c r="U101" s="173">
        <f>IF($A$1="Peak","-",IF(BaseLoad!AA100&gt;BaseLoad!$G100,U$8*BaseLoad!$AM$9,0))</f>
        <v>79.953096570753061</v>
      </c>
      <c r="V101" s="173">
        <f t="shared" si="3"/>
        <v>530.5978226968158</v>
      </c>
      <c r="W101" s="173"/>
      <c r="X101" s="173"/>
      <c r="Y101" s="173"/>
    </row>
    <row r="102" spans="1:25" x14ac:dyDescent="0.2">
      <c r="A102" s="1">
        <f t="shared" si="5"/>
        <v>39338.364000000118</v>
      </c>
      <c r="B102" s="173">
        <f>IF($A$1="Peak","-",IF(BaseLoad!H101&gt;BaseLoad!$G101,B$8*BaseLoad!$AM$9,0))</f>
        <v>3.634231662306957</v>
      </c>
      <c r="C102" s="173">
        <f>IF($A$1="Peak","-",IF(BaseLoad!I101&gt;BaseLoad!$G101,C$8*BaseLoad!$AM$9,0))</f>
        <v>3.634231662306957</v>
      </c>
      <c r="D102" s="173">
        <f>IF($A$1="Peak","-",IF(BaseLoad!J101&gt;BaseLoad!$G101,D$8*BaseLoad!$AM$9,0))</f>
        <v>7.2684633246139141</v>
      </c>
      <c r="E102" s="173">
        <f>IF($A$1="Peak","-",IF(BaseLoad!K101&gt;BaseLoad!$G101,E$8*BaseLoad!$AM$9,0))</f>
        <v>14.536926649227828</v>
      </c>
      <c r="F102" s="173">
        <f>IF($A$1="Peak","-",IF(BaseLoad!L101&gt;BaseLoad!$G101,F$8*BaseLoad!$AM$9,0))</f>
        <v>14.536926649227828</v>
      </c>
      <c r="G102" s="173">
        <f>IF($A$1="Peak","-",IF(BaseLoad!M101&gt;BaseLoad!$G101,G$8*BaseLoad!$AM$9,0))</f>
        <v>29.073853298455656</v>
      </c>
      <c r="H102" s="173">
        <f>IF($A$1="Peak","-",IF(BaseLoad!N101&gt;BaseLoad!$G101,H$8*BaseLoad!$AM$9,0))</f>
        <v>29.073853298455656</v>
      </c>
      <c r="I102" s="173">
        <f>IF($A$1="Peak","-",IF(BaseLoad!O101&gt;BaseLoad!$G101,I$8*BaseLoad!$AM$9,0))</f>
        <v>29.073853298455656</v>
      </c>
      <c r="J102" s="173">
        <f>IF($A$1="Peak","-",IF(BaseLoad!P101&gt;BaseLoad!$G101,J$8*BaseLoad!$AM$9,0))</f>
        <v>29.073853298455656</v>
      </c>
      <c r="K102" s="173">
        <f>IF($A$1="Peak","-",IF(BaseLoad!Q101&gt;BaseLoad!$G101,K$8*BaseLoad!$AM$9,0))</f>
        <v>29.073853298455656</v>
      </c>
      <c r="L102" s="173">
        <f>IF($A$1="Peak","-",IF(BaseLoad!R101&gt;BaseLoad!$G101,L$8*BaseLoad!$AM$9,0))</f>
        <v>29.073853298455656</v>
      </c>
      <c r="M102" s="173">
        <f>IF($A$1="Peak","-",IF(BaseLoad!S101&gt;BaseLoad!$G101,M$8*BaseLoad!$AM$9,0))</f>
        <v>29.073853298455656</v>
      </c>
      <c r="N102" s="173">
        <f>IF($A$1="Peak","-",IF(BaseLoad!T101&gt;BaseLoad!$G101,N$8*BaseLoad!$AM$9,0))</f>
        <v>29.073853298455656</v>
      </c>
      <c r="O102" s="173">
        <f>IF($A$1="Peak","-",IF(BaseLoad!U101&gt;BaseLoad!$G101,O$8*BaseLoad!$AM$9,0))</f>
        <v>29.073853298455656</v>
      </c>
      <c r="P102" s="173">
        <f>IF($A$1="Peak","-",IF(BaseLoad!V101&gt;BaseLoad!$G101,P$8*BaseLoad!$AM$9,0))</f>
        <v>29.073853298455656</v>
      </c>
      <c r="Q102" s="173">
        <f>IF($A$1="Peak","-",IF(BaseLoad!W101&gt;BaseLoad!$G101,Q$8*BaseLoad!$AM$9,0))</f>
        <v>29.073853298455656</v>
      </c>
      <c r="R102" s="173">
        <f>IF($A$1="Peak","-",IF(BaseLoad!X101&gt;BaseLoad!$G101,R$8*BaseLoad!$AM$9,0))</f>
        <v>29.073853298455656</v>
      </c>
      <c r="S102" s="173">
        <f>IF($A$1="Peak","-",IF(BaseLoad!Y101&gt;BaseLoad!$G101,S$8*BaseLoad!$AM$9,0))</f>
        <v>29.073853298455656</v>
      </c>
      <c r="T102" s="173">
        <f>IF($A$1="Peak","-",IF(BaseLoad!Z101&gt;BaseLoad!$G101,T$8*BaseLoad!$AM$9,0))</f>
        <v>29.073853298455656</v>
      </c>
      <c r="U102" s="173">
        <f>IF($A$1="Peak","-",IF(BaseLoad!AA101&gt;BaseLoad!$G101,U$8*BaseLoad!$AM$9,0))</f>
        <v>79.953096570753061</v>
      </c>
      <c r="V102" s="173">
        <f t="shared" si="3"/>
        <v>530.5978226968158</v>
      </c>
      <c r="W102" s="173"/>
      <c r="X102" s="173"/>
      <c r="Y102" s="173"/>
    </row>
    <row r="103" spans="1:25" x14ac:dyDescent="0.2">
      <c r="A103" s="1">
        <f t="shared" si="5"/>
        <v>39368.781000000119</v>
      </c>
      <c r="B103" s="173">
        <f>IF($A$1="Peak","-",IF(BaseLoad!H102&gt;BaseLoad!$G102,B$8*BaseLoad!$AM$9,0))</f>
        <v>3.634231662306957</v>
      </c>
      <c r="C103" s="173">
        <f>IF($A$1="Peak","-",IF(BaseLoad!I102&gt;BaseLoad!$G102,C$8*BaseLoad!$AM$9,0))</f>
        <v>3.634231662306957</v>
      </c>
      <c r="D103" s="173">
        <f>IF($A$1="Peak","-",IF(BaseLoad!J102&gt;BaseLoad!$G102,D$8*BaseLoad!$AM$9,0))</f>
        <v>7.2684633246139141</v>
      </c>
      <c r="E103" s="173">
        <f>IF($A$1="Peak","-",IF(BaseLoad!K102&gt;BaseLoad!$G102,E$8*BaseLoad!$AM$9,0))</f>
        <v>14.536926649227828</v>
      </c>
      <c r="F103" s="173">
        <f>IF($A$1="Peak","-",IF(BaseLoad!L102&gt;BaseLoad!$G102,F$8*BaseLoad!$AM$9,0))</f>
        <v>14.536926649227828</v>
      </c>
      <c r="G103" s="173">
        <f>IF($A$1="Peak","-",IF(BaseLoad!M102&gt;BaseLoad!$G102,G$8*BaseLoad!$AM$9,0))</f>
        <v>29.073853298455656</v>
      </c>
      <c r="H103" s="173">
        <f>IF($A$1="Peak","-",IF(BaseLoad!N102&gt;BaseLoad!$G102,H$8*BaseLoad!$AM$9,0))</f>
        <v>29.073853298455656</v>
      </c>
      <c r="I103" s="173">
        <f>IF($A$1="Peak","-",IF(BaseLoad!O102&gt;BaseLoad!$G102,I$8*BaseLoad!$AM$9,0))</f>
        <v>29.073853298455656</v>
      </c>
      <c r="J103" s="173">
        <f>IF($A$1="Peak","-",IF(BaseLoad!P102&gt;BaseLoad!$G102,J$8*BaseLoad!$AM$9,0))</f>
        <v>29.073853298455656</v>
      </c>
      <c r="K103" s="173">
        <f>IF($A$1="Peak","-",IF(BaseLoad!Q102&gt;BaseLoad!$G102,K$8*BaseLoad!$AM$9,0))</f>
        <v>29.073853298455656</v>
      </c>
      <c r="L103" s="173">
        <f>IF($A$1="Peak","-",IF(BaseLoad!R102&gt;BaseLoad!$G102,L$8*BaseLoad!$AM$9,0))</f>
        <v>29.073853298455656</v>
      </c>
      <c r="M103" s="173">
        <f>IF($A$1="Peak","-",IF(BaseLoad!S102&gt;BaseLoad!$G102,M$8*BaseLoad!$AM$9,0))</f>
        <v>29.073853298455656</v>
      </c>
      <c r="N103" s="173">
        <f>IF($A$1="Peak","-",IF(BaseLoad!T102&gt;BaseLoad!$G102,N$8*BaseLoad!$AM$9,0))</f>
        <v>29.073853298455656</v>
      </c>
      <c r="O103" s="173">
        <f>IF($A$1="Peak","-",IF(BaseLoad!U102&gt;BaseLoad!$G102,O$8*BaseLoad!$AM$9,0))</f>
        <v>29.073853298455656</v>
      </c>
      <c r="P103" s="173">
        <f>IF($A$1="Peak","-",IF(BaseLoad!V102&gt;BaseLoad!$G102,P$8*BaseLoad!$AM$9,0))</f>
        <v>29.073853298455656</v>
      </c>
      <c r="Q103" s="173">
        <f>IF($A$1="Peak","-",IF(BaseLoad!W102&gt;BaseLoad!$G102,Q$8*BaseLoad!$AM$9,0))</f>
        <v>29.073853298455656</v>
      </c>
      <c r="R103" s="173">
        <f>IF($A$1="Peak","-",IF(BaseLoad!X102&gt;BaseLoad!$G102,R$8*BaseLoad!$AM$9,0))</f>
        <v>29.073853298455656</v>
      </c>
      <c r="S103" s="173">
        <f>IF($A$1="Peak","-",IF(BaseLoad!Y102&gt;BaseLoad!$G102,S$8*BaseLoad!$AM$9,0))</f>
        <v>29.073853298455656</v>
      </c>
      <c r="T103" s="173">
        <f>IF($A$1="Peak","-",IF(BaseLoad!Z102&gt;BaseLoad!$G102,T$8*BaseLoad!$AM$9,0))</f>
        <v>29.073853298455656</v>
      </c>
      <c r="U103" s="173">
        <f>IF($A$1="Peak","-",IF(BaseLoad!AA102&gt;BaseLoad!$G102,U$8*BaseLoad!$AM$9,0))</f>
        <v>79.953096570753061</v>
      </c>
      <c r="V103" s="173">
        <f t="shared" si="3"/>
        <v>530.5978226968158</v>
      </c>
      <c r="W103" s="173"/>
      <c r="X103" s="173"/>
      <c r="Y103" s="173"/>
    </row>
    <row r="104" spans="1:25" x14ac:dyDescent="0.2">
      <c r="A104" s="1">
        <f t="shared" si="5"/>
        <v>39399.19800000012</v>
      </c>
      <c r="B104" s="173">
        <f>IF($A$1="Peak","-",IF(BaseLoad!H103&gt;BaseLoad!$G103,B$8*BaseLoad!$AM$9,0))</f>
        <v>3.634231662306957</v>
      </c>
      <c r="C104" s="173">
        <f>IF($A$1="Peak","-",IF(BaseLoad!I103&gt;BaseLoad!$G103,C$8*BaseLoad!$AM$9,0))</f>
        <v>3.634231662306957</v>
      </c>
      <c r="D104" s="173">
        <f>IF($A$1="Peak","-",IF(BaseLoad!J103&gt;BaseLoad!$G103,D$8*BaseLoad!$AM$9,0))</f>
        <v>7.2684633246139141</v>
      </c>
      <c r="E104" s="173">
        <f>IF($A$1="Peak","-",IF(BaseLoad!K103&gt;BaseLoad!$G103,E$8*BaseLoad!$AM$9,0))</f>
        <v>14.536926649227828</v>
      </c>
      <c r="F104" s="173">
        <f>IF($A$1="Peak","-",IF(BaseLoad!L103&gt;BaseLoad!$G103,F$8*BaseLoad!$AM$9,0))</f>
        <v>14.536926649227828</v>
      </c>
      <c r="G104" s="173">
        <f>IF($A$1="Peak","-",IF(BaseLoad!M103&gt;BaseLoad!$G103,G$8*BaseLoad!$AM$9,0))</f>
        <v>29.073853298455656</v>
      </c>
      <c r="H104" s="173">
        <f>IF($A$1="Peak","-",IF(BaseLoad!N103&gt;BaseLoad!$G103,H$8*BaseLoad!$AM$9,0))</f>
        <v>29.073853298455656</v>
      </c>
      <c r="I104" s="173">
        <f>IF($A$1="Peak","-",IF(BaseLoad!O103&gt;BaseLoad!$G103,I$8*BaseLoad!$AM$9,0))</f>
        <v>29.073853298455656</v>
      </c>
      <c r="J104" s="173">
        <f>IF($A$1="Peak","-",IF(BaseLoad!P103&gt;BaseLoad!$G103,J$8*BaseLoad!$AM$9,0))</f>
        <v>29.073853298455656</v>
      </c>
      <c r="K104" s="173">
        <f>IF($A$1="Peak","-",IF(BaseLoad!Q103&gt;BaseLoad!$G103,K$8*BaseLoad!$AM$9,0))</f>
        <v>29.073853298455656</v>
      </c>
      <c r="L104" s="173">
        <f>IF($A$1="Peak","-",IF(BaseLoad!R103&gt;BaseLoad!$G103,L$8*BaseLoad!$AM$9,0))</f>
        <v>29.073853298455656</v>
      </c>
      <c r="M104" s="173">
        <f>IF($A$1="Peak","-",IF(BaseLoad!S103&gt;BaseLoad!$G103,M$8*BaseLoad!$AM$9,0))</f>
        <v>29.073853298455656</v>
      </c>
      <c r="N104" s="173">
        <f>IF($A$1="Peak","-",IF(BaseLoad!T103&gt;BaseLoad!$G103,N$8*BaseLoad!$AM$9,0))</f>
        <v>29.073853298455656</v>
      </c>
      <c r="O104" s="173">
        <f>IF($A$1="Peak","-",IF(BaseLoad!U103&gt;BaseLoad!$G103,O$8*BaseLoad!$AM$9,0))</f>
        <v>29.073853298455656</v>
      </c>
      <c r="P104" s="173">
        <f>IF($A$1="Peak","-",IF(BaseLoad!V103&gt;BaseLoad!$G103,P$8*BaseLoad!$AM$9,0))</f>
        <v>29.073853298455656</v>
      </c>
      <c r="Q104" s="173">
        <f>IF($A$1="Peak","-",IF(BaseLoad!W103&gt;BaseLoad!$G103,Q$8*BaseLoad!$AM$9,0))</f>
        <v>29.073853298455656</v>
      </c>
      <c r="R104" s="173">
        <f>IF($A$1="Peak","-",IF(BaseLoad!X103&gt;BaseLoad!$G103,R$8*BaseLoad!$AM$9,0))</f>
        <v>29.073853298455656</v>
      </c>
      <c r="S104" s="173">
        <f>IF($A$1="Peak","-",IF(BaseLoad!Y103&gt;BaseLoad!$G103,S$8*BaseLoad!$AM$9,0))</f>
        <v>29.073853298455656</v>
      </c>
      <c r="T104" s="173">
        <f>IF($A$1="Peak","-",IF(BaseLoad!Z103&gt;BaseLoad!$G103,T$8*BaseLoad!$AM$9,0))</f>
        <v>29.073853298455656</v>
      </c>
      <c r="U104" s="173">
        <f>IF($A$1="Peak","-",IF(BaseLoad!AA103&gt;BaseLoad!$G103,U$8*BaseLoad!$AM$9,0))</f>
        <v>79.953096570753061</v>
      </c>
      <c r="V104" s="173">
        <f t="shared" si="3"/>
        <v>530.5978226968158</v>
      </c>
      <c r="W104" s="173"/>
      <c r="X104" s="173"/>
      <c r="Y104" s="173"/>
    </row>
    <row r="105" spans="1:25" x14ac:dyDescent="0.2">
      <c r="A105" s="1">
        <f t="shared" si="5"/>
        <v>39429.615000000122</v>
      </c>
      <c r="B105" s="173">
        <f>IF($A$1="Peak","-",IF(BaseLoad!H104&gt;BaseLoad!$G104,B$8*BaseLoad!$AM$9,0))</f>
        <v>3.634231662306957</v>
      </c>
      <c r="C105" s="173">
        <f>IF($A$1="Peak","-",IF(BaseLoad!I104&gt;BaseLoad!$G104,C$8*BaseLoad!$AM$9,0))</f>
        <v>3.634231662306957</v>
      </c>
      <c r="D105" s="173">
        <f>IF($A$1="Peak","-",IF(BaseLoad!J104&gt;BaseLoad!$G104,D$8*BaseLoad!$AM$9,0))</f>
        <v>7.2684633246139141</v>
      </c>
      <c r="E105" s="173">
        <f>IF($A$1="Peak","-",IF(BaseLoad!K104&gt;BaseLoad!$G104,E$8*BaseLoad!$AM$9,0))</f>
        <v>14.536926649227828</v>
      </c>
      <c r="F105" s="173">
        <f>IF($A$1="Peak","-",IF(BaseLoad!L104&gt;BaseLoad!$G104,F$8*BaseLoad!$AM$9,0))</f>
        <v>14.536926649227828</v>
      </c>
      <c r="G105" s="173">
        <f>IF($A$1="Peak","-",IF(BaseLoad!M104&gt;BaseLoad!$G104,G$8*BaseLoad!$AM$9,0))</f>
        <v>29.073853298455656</v>
      </c>
      <c r="H105" s="173">
        <f>IF($A$1="Peak","-",IF(BaseLoad!N104&gt;BaseLoad!$G104,H$8*BaseLoad!$AM$9,0))</f>
        <v>29.073853298455656</v>
      </c>
      <c r="I105" s="173">
        <f>IF($A$1="Peak","-",IF(BaseLoad!O104&gt;BaseLoad!$G104,I$8*BaseLoad!$AM$9,0))</f>
        <v>29.073853298455656</v>
      </c>
      <c r="J105" s="173">
        <f>IF($A$1="Peak","-",IF(BaseLoad!P104&gt;BaseLoad!$G104,J$8*BaseLoad!$AM$9,0))</f>
        <v>29.073853298455656</v>
      </c>
      <c r="K105" s="173">
        <f>IF($A$1="Peak","-",IF(BaseLoad!Q104&gt;BaseLoad!$G104,K$8*BaseLoad!$AM$9,0))</f>
        <v>29.073853298455656</v>
      </c>
      <c r="L105" s="173">
        <f>IF($A$1="Peak","-",IF(BaseLoad!R104&gt;BaseLoad!$G104,L$8*BaseLoad!$AM$9,0))</f>
        <v>29.073853298455656</v>
      </c>
      <c r="M105" s="173">
        <f>IF($A$1="Peak","-",IF(BaseLoad!S104&gt;BaseLoad!$G104,M$8*BaseLoad!$AM$9,0))</f>
        <v>29.073853298455656</v>
      </c>
      <c r="N105" s="173">
        <f>IF($A$1="Peak","-",IF(BaseLoad!T104&gt;BaseLoad!$G104,N$8*BaseLoad!$AM$9,0))</f>
        <v>29.073853298455656</v>
      </c>
      <c r="O105" s="173">
        <f>IF($A$1="Peak","-",IF(BaseLoad!U104&gt;BaseLoad!$G104,O$8*BaseLoad!$AM$9,0))</f>
        <v>29.073853298455656</v>
      </c>
      <c r="P105" s="173">
        <f>IF($A$1="Peak","-",IF(BaseLoad!V104&gt;BaseLoad!$G104,P$8*BaseLoad!$AM$9,0))</f>
        <v>29.073853298455656</v>
      </c>
      <c r="Q105" s="173">
        <f>IF($A$1="Peak","-",IF(BaseLoad!W104&gt;BaseLoad!$G104,Q$8*BaseLoad!$AM$9,0))</f>
        <v>29.073853298455656</v>
      </c>
      <c r="R105" s="173">
        <f>IF($A$1="Peak","-",IF(BaseLoad!X104&gt;BaseLoad!$G104,R$8*BaseLoad!$AM$9,0))</f>
        <v>29.073853298455656</v>
      </c>
      <c r="S105" s="173">
        <f>IF($A$1="Peak","-",IF(BaseLoad!Y104&gt;BaseLoad!$G104,S$8*BaseLoad!$AM$9,0))</f>
        <v>29.073853298455656</v>
      </c>
      <c r="T105" s="173">
        <f>IF($A$1="Peak","-",IF(BaseLoad!Z104&gt;BaseLoad!$G104,T$8*BaseLoad!$AM$9,0))</f>
        <v>29.073853298455656</v>
      </c>
      <c r="U105" s="173">
        <f>IF($A$1="Peak","-",IF(BaseLoad!AA104&gt;BaseLoad!$G104,U$8*BaseLoad!$AM$9,0))</f>
        <v>79.953096570753061</v>
      </c>
      <c r="V105" s="173">
        <f t="shared" si="3"/>
        <v>530.5978226968158</v>
      </c>
      <c r="W105" s="173"/>
      <c r="X105" s="173"/>
      <c r="Y105" s="173">
        <f>SUM(V94:V105)</f>
        <v>6367.1738723617882</v>
      </c>
    </row>
    <row r="106" spans="1:25" x14ac:dyDescent="0.2">
      <c r="A106" s="1">
        <f t="shared" si="5"/>
        <v>39460.032000000123</v>
      </c>
      <c r="B106" s="173">
        <f>IF($A$1="Peak","-",IF(BaseLoad!H105&gt;BaseLoad!$G105,B$8*BaseLoad!$AM$9,0))</f>
        <v>3.634231662306957</v>
      </c>
      <c r="C106" s="173">
        <f>IF($A$1="Peak","-",IF(BaseLoad!I105&gt;BaseLoad!$G105,C$8*BaseLoad!$AM$9,0))</f>
        <v>3.634231662306957</v>
      </c>
      <c r="D106" s="173">
        <f>IF($A$1="Peak","-",IF(BaseLoad!J105&gt;BaseLoad!$G105,D$8*BaseLoad!$AM$9,0))</f>
        <v>7.2684633246139141</v>
      </c>
      <c r="E106" s="173">
        <f>IF($A$1="Peak","-",IF(BaseLoad!K105&gt;BaseLoad!$G105,E$8*BaseLoad!$AM$9,0))</f>
        <v>14.536926649227828</v>
      </c>
      <c r="F106" s="173">
        <f>IF($A$1="Peak","-",IF(BaseLoad!L105&gt;BaseLoad!$G105,F$8*BaseLoad!$AM$9,0))</f>
        <v>14.536926649227828</v>
      </c>
      <c r="G106" s="173">
        <f>IF($A$1="Peak","-",IF(BaseLoad!M105&gt;BaseLoad!$G105,G$8*BaseLoad!$AM$9,0))</f>
        <v>29.073853298455656</v>
      </c>
      <c r="H106" s="173">
        <f>IF($A$1="Peak","-",IF(BaseLoad!N105&gt;BaseLoad!$G105,H$8*BaseLoad!$AM$9,0))</f>
        <v>29.073853298455656</v>
      </c>
      <c r="I106" s="173">
        <f>IF($A$1="Peak","-",IF(BaseLoad!O105&gt;BaseLoad!$G105,I$8*BaseLoad!$AM$9,0))</f>
        <v>29.073853298455656</v>
      </c>
      <c r="J106" s="173">
        <f>IF($A$1="Peak","-",IF(BaseLoad!P105&gt;BaseLoad!$G105,J$8*BaseLoad!$AM$9,0))</f>
        <v>29.073853298455656</v>
      </c>
      <c r="K106" s="173">
        <f>IF($A$1="Peak","-",IF(BaseLoad!Q105&gt;BaseLoad!$G105,K$8*BaseLoad!$AM$9,0))</f>
        <v>29.073853298455656</v>
      </c>
      <c r="L106" s="173">
        <f>IF($A$1="Peak","-",IF(BaseLoad!R105&gt;BaseLoad!$G105,L$8*BaseLoad!$AM$9,0))</f>
        <v>29.073853298455656</v>
      </c>
      <c r="M106" s="173">
        <f>IF($A$1="Peak","-",IF(BaseLoad!S105&gt;BaseLoad!$G105,M$8*BaseLoad!$AM$9,0))</f>
        <v>29.073853298455656</v>
      </c>
      <c r="N106" s="173">
        <f>IF($A$1="Peak","-",IF(BaseLoad!T105&gt;BaseLoad!$G105,N$8*BaseLoad!$AM$9,0))</f>
        <v>29.073853298455656</v>
      </c>
      <c r="O106" s="173">
        <f>IF($A$1="Peak","-",IF(BaseLoad!U105&gt;BaseLoad!$G105,O$8*BaseLoad!$AM$9,0))</f>
        <v>29.073853298455656</v>
      </c>
      <c r="P106" s="173">
        <f>IF($A$1="Peak","-",IF(BaseLoad!V105&gt;BaseLoad!$G105,P$8*BaseLoad!$AM$9,0))</f>
        <v>29.073853298455656</v>
      </c>
      <c r="Q106" s="173">
        <f>IF($A$1="Peak","-",IF(BaseLoad!W105&gt;BaseLoad!$G105,Q$8*BaseLoad!$AM$9,0))</f>
        <v>29.073853298455656</v>
      </c>
      <c r="R106" s="173">
        <f>IF($A$1="Peak","-",IF(BaseLoad!X105&gt;BaseLoad!$G105,R$8*BaseLoad!$AM$9,0))</f>
        <v>29.073853298455656</v>
      </c>
      <c r="S106" s="173">
        <f>IF($A$1="Peak","-",IF(BaseLoad!Y105&gt;BaseLoad!$G105,S$8*BaseLoad!$AM$9,0))</f>
        <v>29.073853298455656</v>
      </c>
      <c r="T106" s="173">
        <f>IF($A$1="Peak","-",IF(BaseLoad!Z105&gt;BaseLoad!$G105,T$8*BaseLoad!$AM$9,0))</f>
        <v>29.073853298455656</v>
      </c>
      <c r="U106" s="173">
        <f>IF($A$1="Peak","-",IF(BaseLoad!AA105&gt;BaseLoad!$G105,U$8*BaseLoad!$AM$9,0))</f>
        <v>79.953096570753061</v>
      </c>
      <c r="V106" s="173">
        <f t="shared" si="3"/>
        <v>530.5978226968158</v>
      </c>
      <c r="W106" s="173"/>
      <c r="X106" s="173"/>
      <c r="Y106" s="173"/>
    </row>
    <row r="107" spans="1:25" x14ac:dyDescent="0.2">
      <c r="A107" s="1">
        <f t="shared" si="5"/>
        <v>39490.449000000124</v>
      </c>
      <c r="B107" s="173">
        <f>IF($A$1="Peak","-",IF(BaseLoad!H106&gt;BaseLoad!$G106,B$8*BaseLoad!$AM$9,0))</f>
        <v>3.634231662306957</v>
      </c>
      <c r="C107" s="173">
        <f>IF($A$1="Peak","-",IF(BaseLoad!I106&gt;BaseLoad!$G106,C$8*BaseLoad!$AM$9,0))</f>
        <v>3.634231662306957</v>
      </c>
      <c r="D107" s="173">
        <f>IF($A$1="Peak","-",IF(BaseLoad!J106&gt;BaseLoad!$G106,D$8*BaseLoad!$AM$9,0))</f>
        <v>7.2684633246139141</v>
      </c>
      <c r="E107" s="173">
        <f>IF($A$1="Peak","-",IF(BaseLoad!K106&gt;BaseLoad!$G106,E$8*BaseLoad!$AM$9,0))</f>
        <v>14.536926649227828</v>
      </c>
      <c r="F107" s="173">
        <f>IF($A$1="Peak","-",IF(BaseLoad!L106&gt;BaseLoad!$G106,F$8*BaseLoad!$AM$9,0))</f>
        <v>14.536926649227828</v>
      </c>
      <c r="G107" s="173">
        <f>IF($A$1="Peak","-",IF(BaseLoad!M106&gt;BaseLoad!$G106,G$8*BaseLoad!$AM$9,0))</f>
        <v>29.073853298455656</v>
      </c>
      <c r="H107" s="173">
        <f>IF($A$1="Peak","-",IF(BaseLoad!N106&gt;BaseLoad!$G106,H$8*BaseLoad!$AM$9,0))</f>
        <v>29.073853298455656</v>
      </c>
      <c r="I107" s="173">
        <f>IF($A$1="Peak","-",IF(BaseLoad!O106&gt;BaseLoad!$G106,I$8*BaseLoad!$AM$9,0))</f>
        <v>29.073853298455656</v>
      </c>
      <c r="J107" s="173">
        <f>IF($A$1="Peak","-",IF(BaseLoad!P106&gt;BaseLoad!$G106,J$8*BaseLoad!$AM$9,0))</f>
        <v>29.073853298455656</v>
      </c>
      <c r="K107" s="173">
        <f>IF($A$1="Peak","-",IF(BaseLoad!Q106&gt;BaseLoad!$G106,K$8*BaseLoad!$AM$9,0))</f>
        <v>29.073853298455656</v>
      </c>
      <c r="L107" s="173">
        <f>IF($A$1="Peak","-",IF(BaseLoad!R106&gt;BaseLoad!$G106,L$8*BaseLoad!$AM$9,0))</f>
        <v>29.073853298455656</v>
      </c>
      <c r="M107" s="173">
        <f>IF($A$1="Peak","-",IF(BaseLoad!S106&gt;BaseLoad!$G106,M$8*BaseLoad!$AM$9,0))</f>
        <v>29.073853298455656</v>
      </c>
      <c r="N107" s="173">
        <f>IF($A$1="Peak","-",IF(BaseLoad!T106&gt;BaseLoad!$G106,N$8*BaseLoad!$AM$9,0))</f>
        <v>29.073853298455656</v>
      </c>
      <c r="O107" s="173">
        <f>IF($A$1="Peak","-",IF(BaseLoad!U106&gt;BaseLoad!$G106,O$8*BaseLoad!$AM$9,0))</f>
        <v>29.073853298455656</v>
      </c>
      <c r="P107" s="173">
        <f>IF($A$1="Peak","-",IF(BaseLoad!V106&gt;BaseLoad!$G106,P$8*BaseLoad!$AM$9,0))</f>
        <v>29.073853298455656</v>
      </c>
      <c r="Q107" s="173">
        <f>IF($A$1="Peak","-",IF(BaseLoad!W106&gt;BaseLoad!$G106,Q$8*BaseLoad!$AM$9,0))</f>
        <v>29.073853298455656</v>
      </c>
      <c r="R107" s="173">
        <f>IF($A$1="Peak","-",IF(BaseLoad!X106&gt;BaseLoad!$G106,R$8*BaseLoad!$AM$9,0))</f>
        <v>29.073853298455656</v>
      </c>
      <c r="S107" s="173">
        <f>IF($A$1="Peak","-",IF(BaseLoad!Y106&gt;BaseLoad!$G106,S$8*BaseLoad!$AM$9,0))</f>
        <v>29.073853298455656</v>
      </c>
      <c r="T107" s="173">
        <f>IF($A$1="Peak","-",IF(BaseLoad!Z106&gt;BaseLoad!$G106,T$8*BaseLoad!$AM$9,0))</f>
        <v>29.073853298455656</v>
      </c>
      <c r="U107" s="173">
        <f>IF($A$1="Peak","-",IF(BaseLoad!AA106&gt;BaseLoad!$G106,U$8*BaseLoad!$AM$9,0))</f>
        <v>79.953096570753061</v>
      </c>
      <c r="V107" s="173">
        <f t="shared" si="3"/>
        <v>530.5978226968158</v>
      </c>
      <c r="W107" s="173"/>
      <c r="X107" s="173"/>
      <c r="Y107" s="173"/>
    </row>
    <row r="108" spans="1:25" x14ac:dyDescent="0.2">
      <c r="A108" s="1">
        <f t="shared" si="5"/>
        <v>39520.866000000125</v>
      </c>
      <c r="B108" s="173">
        <f>IF($A$1="Peak","-",IF(BaseLoad!H107&gt;BaseLoad!$G107,B$8*BaseLoad!$AM$9,0))</f>
        <v>3.634231662306957</v>
      </c>
      <c r="C108" s="173">
        <f>IF($A$1="Peak","-",IF(BaseLoad!I107&gt;BaseLoad!$G107,C$8*BaseLoad!$AM$9,0))</f>
        <v>3.634231662306957</v>
      </c>
      <c r="D108" s="173">
        <f>IF($A$1="Peak","-",IF(BaseLoad!J107&gt;BaseLoad!$G107,D$8*BaseLoad!$AM$9,0))</f>
        <v>7.2684633246139141</v>
      </c>
      <c r="E108" s="173">
        <f>IF($A$1="Peak","-",IF(BaseLoad!K107&gt;BaseLoad!$G107,E$8*BaseLoad!$AM$9,0))</f>
        <v>14.536926649227828</v>
      </c>
      <c r="F108" s="173">
        <f>IF($A$1="Peak","-",IF(BaseLoad!L107&gt;BaseLoad!$G107,F$8*BaseLoad!$AM$9,0))</f>
        <v>14.536926649227828</v>
      </c>
      <c r="G108" s="173">
        <f>IF($A$1="Peak","-",IF(BaseLoad!M107&gt;BaseLoad!$G107,G$8*BaseLoad!$AM$9,0))</f>
        <v>29.073853298455656</v>
      </c>
      <c r="H108" s="173">
        <f>IF($A$1="Peak","-",IF(BaseLoad!N107&gt;BaseLoad!$G107,H$8*BaseLoad!$AM$9,0))</f>
        <v>29.073853298455656</v>
      </c>
      <c r="I108" s="173">
        <f>IF($A$1="Peak","-",IF(BaseLoad!O107&gt;BaseLoad!$G107,I$8*BaseLoad!$AM$9,0))</f>
        <v>29.073853298455656</v>
      </c>
      <c r="J108" s="173">
        <f>IF($A$1="Peak","-",IF(BaseLoad!P107&gt;BaseLoad!$G107,J$8*BaseLoad!$AM$9,0))</f>
        <v>29.073853298455656</v>
      </c>
      <c r="K108" s="173">
        <f>IF($A$1="Peak","-",IF(BaseLoad!Q107&gt;BaseLoad!$G107,K$8*BaseLoad!$AM$9,0))</f>
        <v>29.073853298455656</v>
      </c>
      <c r="L108" s="173">
        <f>IF($A$1="Peak","-",IF(BaseLoad!R107&gt;BaseLoad!$G107,L$8*BaseLoad!$AM$9,0))</f>
        <v>29.073853298455656</v>
      </c>
      <c r="M108" s="173">
        <f>IF($A$1="Peak","-",IF(BaseLoad!S107&gt;BaseLoad!$G107,M$8*BaseLoad!$AM$9,0))</f>
        <v>29.073853298455656</v>
      </c>
      <c r="N108" s="173">
        <f>IF($A$1="Peak","-",IF(BaseLoad!T107&gt;BaseLoad!$G107,N$8*BaseLoad!$AM$9,0))</f>
        <v>29.073853298455656</v>
      </c>
      <c r="O108" s="173">
        <f>IF($A$1="Peak","-",IF(BaseLoad!U107&gt;BaseLoad!$G107,O$8*BaseLoad!$AM$9,0))</f>
        <v>29.073853298455656</v>
      </c>
      <c r="P108" s="173">
        <f>IF($A$1="Peak","-",IF(BaseLoad!V107&gt;BaseLoad!$G107,P$8*BaseLoad!$AM$9,0))</f>
        <v>29.073853298455656</v>
      </c>
      <c r="Q108" s="173">
        <f>IF($A$1="Peak","-",IF(BaseLoad!W107&gt;BaseLoad!$G107,Q$8*BaseLoad!$AM$9,0))</f>
        <v>29.073853298455656</v>
      </c>
      <c r="R108" s="173">
        <f>IF($A$1="Peak","-",IF(BaseLoad!X107&gt;BaseLoad!$G107,R$8*BaseLoad!$AM$9,0))</f>
        <v>29.073853298455656</v>
      </c>
      <c r="S108" s="173">
        <f>IF($A$1="Peak","-",IF(BaseLoad!Y107&gt;BaseLoad!$G107,S$8*BaseLoad!$AM$9,0))</f>
        <v>29.073853298455656</v>
      </c>
      <c r="T108" s="173">
        <f>IF($A$1="Peak","-",IF(BaseLoad!Z107&gt;BaseLoad!$G107,T$8*BaseLoad!$AM$9,0))</f>
        <v>29.073853298455656</v>
      </c>
      <c r="U108" s="173">
        <f>IF($A$1="Peak","-",IF(BaseLoad!AA107&gt;BaseLoad!$G107,U$8*BaseLoad!$AM$9,0))</f>
        <v>79.953096570753061</v>
      </c>
      <c r="V108" s="173">
        <f t="shared" si="3"/>
        <v>530.5978226968158</v>
      </c>
      <c r="W108" s="173"/>
      <c r="X108" s="173"/>
      <c r="Y108" s="173"/>
    </row>
    <row r="109" spans="1:25" x14ac:dyDescent="0.2">
      <c r="A109" s="1">
        <f t="shared" si="5"/>
        <v>39551.283000000127</v>
      </c>
      <c r="B109" s="173">
        <f>IF($A$1="Peak","-",IF(BaseLoad!H108&gt;BaseLoad!$G108,B$8*BaseLoad!$AM$9,0))</f>
        <v>3.634231662306957</v>
      </c>
      <c r="C109" s="173">
        <f>IF($A$1="Peak","-",IF(BaseLoad!I108&gt;BaseLoad!$G108,C$8*BaseLoad!$AM$9,0))</f>
        <v>3.634231662306957</v>
      </c>
      <c r="D109" s="173">
        <f>IF($A$1="Peak","-",IF(BaseLoad!J108&gt;BaseLoad!$G108,D$8*BaseLoad!$AM$9,0))</f>
        <v>7.2684633246139141</v>
      </c>
      <c r="E109" s="173">
        <f>IF($A$1="Peak","-",IF(BaseLoad!K108&gt;BaseLoad!$G108,E$8*BaseLoad!$AM$9,0))</f>
        <v>14.536926649227828</v>
      </c>
      <c r="F109" s="173">
        <f>IF($A$1="Peak","-",IF(BaseLoad!L108&gt;BaseLoad!$G108,F$8*BaseLoad!$AM$9,0))</f>
        <v>14.536926649227828</v>
      </c>
      <c r="G109" s="173">
        <f>IF($A$1="Peak","-",IF(BaseLoad!M108&gt;BaseLoad!$G108,G$8*BaseLoad!$AM$9,0))</f>
        <v>29.073853298455656</v>
      </c>
      <c r="H109" s="173">
        <f>IF($A$1="Peak","-",IF(BaseLoad!N108&gt;BaseLoad!$G108,H$8*BaseLoad!$AM$9,0))</f>
        <v>29.073853298455656</v>
      </c>
      <c r="I109" s="173">
        <f>IF($A$1="Peak","-",IF(BaseLoad!O108&gt;BaseLoad!$G108,I$8*BaseLoad!$AM$9,0))</f>
        <v>29.073853298455656</v>
      </c>
      <c r="J109" s="173">
        <f>IF($A$1="Peak","-",IF(BaseLoad!P108&gt;BaseLoad!$G108,J$8*BaseLoad!$AM$9,0))</f>
        <v>29.073853298455656</v>
      </c>
      <c r="K109" s="173">
        <f>IF($A$1="Peak","-",IF(BaseLoad!Q108&gt;BaseLoad!$G108,K$8*BaseLoad!$AM$9,0))</f>
        <v>29.073853298455656</v>
      </c>
      <c r="L109" s="173">
        <f>IF($A$1="Peak","-",IF(BaseLoad!R108&gt;BaseLoad!$G108,L$8*BaseLoad!$AM$9,0))</f>
        <v>29.073853298455656</v>
      </c>
      <c r="M109" s="173">
        <f>IF($A$1="Peak","-",IF(BaseLoad!S108&gt;BaseLoad!$G108,M$8*BaseLoad!$AM$9,0))</f>
        <v>29.073853298455656</v>
      </c>
      <c r="N109" s="173">
        <f>IF($A$1="Peak","-",IF(BaseLoad!T108&gt;BaseLoad!$G108,N$8*BaseLoad!$AM$9,0))</f>
        <v>29.073853298455656</v>
      </c>
      <c r="O109" s="173">
        <f>IF($A$1="Peak","-",IF(BaseLoad!U108&gt;BaseLoad!$G108,O$8*BaseLoad!$AM$9,0))</f>
        <v>29.073853298455656</v>
      </c>
      <c r="P109" s="173">
        <f>IF($A$1="Peak","-",IF(BaseLoad!V108&gt;BaseLoad!$G108,P$8*BaseLoad!$AM$9,0))</f>
        <v>29.073853298455656</v>
      </c>
      <c r="Q109" s="173">
        <f>IF($A$1="Peak","-",IF(BaseLoad!W108&gt;BaseLoad!$G108,Q$8*BaseLoad!$AM$9,0))</f>
        <v>29.073853298455656</v>
      </c>
      <c r="R109" s="173">
        <f>IF($A$1="Peak","-",IF(BaseLoad!X108&gt;BaseLoad!$G108,R$8*BaseLoad!$AM$9,0))</f>
        <v>29.073853298455656</v>
      </c>
      <c r="S109" s="173">
        <f>IF($A$1="Peak","-",IF(BaseLoad!Y108&gt;BaseLoad!$G108,S$8*BaseLoad!$AM$9,0))</f>
        <v>29.073853298455656</v>
      </c>
      <c r="T109" s="173">
        <f>IF($A$1="Peak","-",IF(BaseLoad!Z108&gt;BaseLoad!$G108,T$8*BaseLoad!$AM$9,0))</f>
        <v>29.073853298455656</v>
      </c>
      <c r="U109" s="173">
        <f>IF($A$1="Peak","-",IF(BaseLoad!AA108&gt;BaseLoad!$G108,U$8*BaseLoad!$AM$9,0))</f>
        <v>79.953096570753061</v>
      </c>
      <c r="V109" s="173">
        <f t="shared" si="3"/>
        <v>530.5978226968158</v>
      </c>
      <c r="W109" s="173"/>
      <c r="X109" s="173"/>
      <c r="Y109" s="173"/>
    </row>
    <row r="110" spans="1:25" x14ac:dyDescent="0.2">
      <c r="A110" s="1">
        <f t="shared" si="5"/>
        <v>39581.700000000128</v>
      </c>
      <c r="B110" s="173">
        <f>IF($A$1="Peak","-",IF(BaseLoad!H109&gt;BaseLoad!$G109,B$8*BaseLoad!$AM$9,0))</f>
        <v>3.634231662306957</v>
      </c>
      <c r="C110" s="173">
        <f>IF($A$1="Peak","-",IF(BaseLoad!I109&gt;BaseLoad!$G109,C$8*BaseLoad!$AM$9,0))</f>
        <v>3.634231662306957</v>
      </c>
      <c r="D110" s="173">
        <f>IF($A$1="Peak","-",IF(BaseLoad!J109&gt;BaseLoad!$G109,D$8*BaseLoad!$AM$9,0))</f>
        <v>7.2684633246139141</v>
      </c>
      <c r="E110" s="173">
        <f>IF($A$1="Peak","-",IF(BaseLoad!K109&gt;BaseLoad!$G109,E$8*BaseLoad!$AM$9,0))</f>
        <v>14.536926649227828</v>
      </c>
      <c r="F110" s="173">
        <f>IF($A$1="Peak","-",IF(BaseLoad!L109&gt;BaseLoad!$G109,F$8*BaseLoad!$AM$9,0))</f>
        <v>14.536926649227828</v>
      </c>
      <c r="G110" s="173">
        <f>IF($A$1="Peak","-",IF(BaseLoad!M109&gt;BaseLoad!$G109,G$8*BaseLoad!$AM$9,0))</f>
        <v>29.073853298455656</v>
      </c>
      <c r="H110" s="173">
        <f>IF($A$1="Peak","-",IF(BaseLoad!N109&gt;BaseLoad!$G109,H$8*BaseLoad!$AM$9,0))</f>
        <v>29.073853298455656</v>
      </c>
      <c r="I110" s="173">
        <f>IF($A$1="Peak","-",IF(BaseLoad!O109&gt;BaseLoad!$G109,I$8*BaseLoad!$AM$9,0))</f>
        <v>29.073853298455656</v>
      </c>
      <c r="J110" s="173">
        <f>IF($A$1="Peak","-",IF(BaseLoad!P109&gt;BaseLoad!$G109,J$8*BaseLoad!$AM$9,0))</f>
        <v>29.073853298455656</v>
      </c>
      <c r="K110" s="173">
        <f>IF($A$1="Peak","-",IF(BaseLoad!Q109&gt;BaseLoad!$G109,K$8*BaseLoad!$AM$9,0))</f>
        <v>29.073853298455656</v>
      </c>
      <c r="L110" s="173">
        <f>IF($A$1="Peak","-",IF(BaseLoad!R109&gt;BaseLoad!$G109,L$8*BaseLoad!$AM$9,0))</f>
        <v>29.073853298455656</v>
      </c>
      <c r="M110" s="173">
        <f>IF($A$1="Peak","-",IF(BaseLoad!S109&gt;BaseLoad!$G109,M$8*BaseLoad!$AM$9,0))</f>
        <v>29.073853298455656</v>
      </c>
      <c r="N110" s="173">
        <f>IF($A$1="Peak","-",IF(BaseLoad!T109&gt;BaseLoad!$G109,N$8*BaseLoad!$AM$9,0))</f>
        <v>29.073853298455656</v>
      </c>
      <c r="O110" s="173">
        <f>IF($A$1="Peak","-",IF(BaseLoad!U109&gt;BaseLoad!$G109,O$8*BaseLoad!$AM$9,0))</f>
        <v>29.073853298455656</v>
      </c>
      <c r="P110" s="173">
        <f>IF($A$1="Peak","-",IF(BaseLoad!V109&gt;BaseLoad!$G109,P$8*BaseLoad!$AM$9,0))</f>
        <v>29.073853298455656</v>
      </c>
      <c r="Q110" s="173">
        <f>IF($A$1="Peak","-",IF(BaseLoad!W109&gt;BaseLoad!$G109,Q$8*BaseLoad!$AM$9,0))</f>
        <v>29.073853298455656</v>
      </c>
      <c r="R110" s="173">
        <f>IF($A$1="Peak","-",IF(BaseLoad!X109&gt;BaseLoad!$G109,R$8*BaseLoad!$AM$9,0))</f>
        <v>29.073853298455656</v>
      </c>
      <c r="S110" s="173">
        <f>IF($A$1="Peak","-",IF(BaseLoad!Y109&gt;BaseLoad!$G109,S$8*BaseLoad!$AM$9,0))</f>
        <v>29.073853298455656</v>
      </c>
      <c r="T110" s="173">
        <f>IF($A$1="Peak","-",IF(BaseLoad!Z109&gt;BaseLoad!$G109,T$8*BaseLoad!$AM$9,0))</f>
        <v>29.073853298455656</v>
      </c>
      <c r="U110" s="173">
        <f>IF($A$1="Peak","-",IF(BaseLoad!AA109&gt;BaseLoad!$G109,U$8*BaseLoad!$AM$9,0))</f>
        <v>79.953096570753061</v>
      </c>
      <c r="V110" s="173">
        <f t="shared" si="3"/>
        <v>530.5978226968158</v>
      </c>
      <c r="W110" s="173"/>
      <c r="X110" s="173"/>
      <c r="Y110" s="173"/>
    </row>
    <row r="111" spans="1:25" x14ac:dyDescent="0.2">
      <c r="A111" s="1">
        <f t="shared" si="5"/>
        <v>39612.117000000129</v>
      </c>
      <c r="B111" s="173">
        <f>IF($A$1="Peak","-",IF(BaseLoad!H110&gt;BaseLoad!$G110,B$8*BaseLoad!$AM$9,0))</f>
        <v>3.634231662306957</v>
      </c>
      <c r="C111" s="173">
        <f>IF($A$1="Peak","-",IF(BaseLoad!I110&gt;BaseLoad!$G110,C$8*BaseLoad!$AM$9,0))</f>
        <v>3.634231662306957</v>
      </c>
      <c r="D111" s="173">
        <f>IF($A$1="Peak","-",IF(BaseLoad!J110&gt;BaseLoad!$G110,D$8*BaseLoad!$AM$9,0))</f>
        <v>7.2684633246139141</v>
      </c>
      <c r="E111" s="173">
        <f>IF($A$1="Peak","-",IF(BaseLoad!K110&gt;BaseLoad!$G110,E$8*BaseLoad!$AM$9,0))</f>
        <v>14.536926649227828</v>
      </c>
      <c r="F111" s="173">
        <f>IF($A$1="Peak","-",IF(BaseLoad!L110&gt;BaseLoad!$G110,F$8*BaseLoad!$AM$9,0))</f>
        <v>14.536926649227828</v>
      </c>
      <c r="G111" s="173">
        <f>IF($A$1="Peak","-",IF(BaseLoad!M110&gt;BaseLoad!$G110,G$8*BaseLoad!$AM$9,0))</f>
        <v>29.073853298455656</v>
      </c>
      <c r="H111" s="173">
        <f>IF($A$1="Peak","-",IF(BaseLoad!N110&gt;BaseLoad!$G110,H$8*BaseLoad!$AM$9,0))</f>
        <v>29.073853298455656</v>
      </c>
      <c r="I111" s="173">
        <f>IF($A$1="Peak","-",IF(BaseLoad!O110&gt;BaseLoad!$G110,I$8*BaseLoad!$AM$9,0))</f>
        <v>29.073853298455656</v>
      </c>
      <c r="J111" s="173">
        <f>IF($A$1="Peak","-",IF(BaseLoad!P110&gt;BaseLoad!$G110,J$8*BaseLoad!$AM$9,0))</f>
        <v>29.073853298455656</v>
      </c>
      <c r="K111" s="173">
        <f>IF($A$1="Peak","-",IF(BaseLoad!Q110&gt;BaseLoad!$G110,K$8*BaseLoad!$AM$9,0))</f>
        <v>29.073853298455656</v>
      </c>
      <c r="L111" s="173">
        <f>IF($A$1="Peak","-",IF(BaseLoad!R110&gt;BaseLoad!$G110,L$8*BaseLoad!$AM$9,0))</f>
        <v>29.073853298455656</v>
      </c>
      <c r="M111" s="173">
        <f>IF($A$1="Peak","-",IF(BaseLoad!S110&gt;BaseLoad!$G110,M$8*BaseLoad!$AM$9,0))</f>
        <v>29.073853298455656</v>
      </c>
      <c r="N111" s="173">
        <f>IF($A$1="Peak","-",IF(BaseLoad!T110&gt;BaseLoad!$G110,N$8*BaseLoad!$AM$9,0))</f>
        <v>29.073853298455656</v>
      </c>
      <c r="O111" s="173">
        <f>IF($A$1="Peak","-",IF(BaseLoad!U110&gt;BaseLoad!$G110,O$8*BaseLoad!$AM$9,0))</f>
        <v>29.073853298455656</v>
      </c>
      <c r="P111" s="173">
        <f>IF($A$1="Peak","-",IF(BaseLoad!V110&gt;BaseLoad!$G110,P$8*BaseLoad!$AM$9,0))</f>
        <v>29.073853298455656</v>
      </c>
      <c r="Q111" s="173">
        <f>IF($A$1="Peak","-",IF(BaseLoad!W110&gt;BaseLoad!$G110,Q$8*BaseLoad!$AM$9,0))</f>
        <v>29.073853298455656</v>
      </c>
      <c r="R111" s="173">
        <f>IF($A$1="Peak","-",IF(BaseLoad!X110&gt;BaseLoad!$G110,R$8*BaseLoad!$AM$9,0))</f>
        <v>29.073853298455656</v>
      </c>
      <c r="S111" s="173">
        <f>IF($A$1="Peak","-",IF(BaseLoad!Y110&gt;BaseLoad!$G110,S$8*BaseLoad!$AM$9,0))</f>
        <v>29.073853298455656</v>
      </c>
      <c r="T111" s="173">
        <f>IF($A$1="Peak","-",IF(BaseLoad!Z110&gt;BaseLoad!$G110,T$8*BaseLoad!$AM$9,0))</f>
        <v>29.073853298455656</v>
      </c>
      <c r="U111" s="173">
        <f>IF($A$1="Peak","-",IF(BaseLoad!AA110&gt;BaseLoad!$G110,U$8*BaseLoad!$AM$9,0))</f>
        <v>79.953096570753061</v>
      </c>
      <c r="V111" s="173">
        <f t="shared" si="3"/>
        <v>530.5978226968158</v>
      </c>
      <c r="W111" s="173"/>
      <c r="X111" s="173"/>
      <c r="Y111" s="173"/>
    </row>
    <row r="112" spans="1:25" x14ac:dyDescent="0.2">
      <c r="A112" s="1">
        <f t="shared" si="5"/>
        <v>39642.534000000131</v>
      </c>
      <c r="B112" s="173">
        <f>IF($A$1="Peak","-",IF(BaseLoad!H111&gt;BaseLoad!$G111,B$8*BaseLoad!$AM$9,0))</f>
        <v>3.634231662306957</v>
      </c>
      <c r="C112" s="173">
        <f>IF($A$1="Peak","-",IF(BaseLoad!I111&gt;BaseLoad!$G111,C$8*BaseLoad!$AM$9,0))</f>
        <v>3.634231662306957</v>
      </c>
      <c r="D112" s="173">
        <f>IF($A$1="Peak","-",IF(BaseLoad!J111&gt;BaseLoad!$G111,D$8*BaseLoad!$AM$9,0))</f>
        <v>7.2684633246139141</v>
      </c>
      <c r="E112" s="173">
        <f>IF($A$1="Peak","-",IF(BaseLoad!K111&gt;BaseLoad!$G111,E$8*BaseLoad!$AM$9,0))</f>
        <v>14.536926649227828</v>
      </c>
      <c r="F112" s="173">
        <f>IF($A$1="Peak","-",IF(BaseLoad!L111&gt;BaseLoad!$G111,F$8*BaseLoad!$AM$9,0))</f>
        <v>14.536926649227828</v>
      </c>
      <c r="G112" s="173">
        <f>IF($A$1="Peak","-",IF(BaseLoad!M111&gt;BaseLoad!$G111,G$8*BaseLoad!$AM$9,0))</f>
        <v>29.073853298455656</v>
      </c>
      <c r="H112" s="173">
        <f>IF($A$1="Peak","-",IF(BaseLoad!N111&gt;BaseLoad!$G111,H$8*BaseLoad!$AM$9,0))</f>
        <v>29.073853298455656</v>
      </c>
      <c r="I112" s="173">
        <f>IF($A$1="Peak","-",IF(BaseLoad!O111&gt;BaseLoad!$G111,I$8*BaseLoad!$AM$9,0))</f>
        <v>29.073853298455656</v>
      </c>
      <c r="J112" s="173">
        <f>IF($A$1="Peak","-",IF(BaseLoad!P111&gt;BaseLoad!$G111,J$8*BaseLoad!$AM$9,0))</f>
        <v>29.073853298455656</v>
      </c>
      <c r="K112" s="173">
        <f>IF($A$1="Peak","-",IF(BaseLoad!Q111&gt;BaseLoad!$G111,K$8*BaseLoad!$AM$9,0))</f>
        <v>29.073853298455656</v>
      </c>
      <c r="L112" s="173">
        <f>IF($A$1="Peak","-",IF(BaseLoad!R111&gt;BaseLoad!$G111,L$8*BaseLoad!$AM$9,0))</f>
        <v>29.073853298455656</v>
      </c>
      <c r="M112" s="173">
        <f>IF($A$1="Peak","-",IF(BaseLoad!S111&gt;BaseLoad!$G111,M$8*BaseLoad!$AM$9,0))</f>
        <v>29.073853298455656</v>
      </c>
      <c r="N112" s="173">
        <f>IF($A$1="Peak","-",IF(BaseLoad!T111&gt;BaseLoad!$G111,N$8*BaseLoad!$AM$9,0))</f>
        <v>29.073853298455656</v>
      </c>
      <c r="O112" s="173">
        <f>IF($A$1="Peak","-",IF(BaseLoad!U111&gt;BaseLoad!$G111,O$8*BaseLoad!$AM$9,0))</f>
        <v>29.073853298455656</v>
      </c>
      <c r="P112" s="173">
        <f>IF($A$1="Peak","-",IF(BaseLoad!V111&gt;BaseLoad!$G111,P$8*BaseLoad!$AM$9,0))</f>
        <v>29.073853298455656</v>
      </c>
      <c r="Q112" s="173">
        <f>IF($A$1="Peak","-",IF(BaseLoad!W111&gt;BaseLoad!$G111,Q$8*BaseLoad!$AM$9,0))</f>
        <v>29.073853298455656</v>
      </c>
      <c r="R112" s="173">
        <f>IF($A$1="Peak","-",IF(BaseLoad!X111&gt;BaseLoad!$G111,R$8*BaseLoad!$AM$9,0))</f>
        <v>29.073853298455656</v>
      </c>
      <c r="S112" s="173">
        <f>IF($A$1="Peak","-",IF(BaseLoad!Y111&gt;BaseLoad!$G111,S$8*BaseLoad!$AM$9,0))</f>
        <v>29.073853298455656</v>
      </c>
      <c r="T112" s="173">
        <f>IF($A$1="Peak","-",IF(BaseLoad!Z111&gt;BaseLoad!$G111,T$8*BaseLoad!$AM$9,0))</f>
        <v>29.073853298455656</v>
      </c>
      <c r="U112" s="173">
        <f>IF($A$1="Peak","-",IF(BaseLoad!AA111&gt;BaseLoad!$G111,U$8*BaseLoad!$AM$9,0))</f>
        <v>79.953096570753061</v>
      </c>
      <c r="V112" s="173">
        <f t="shared" si="3"/>
        <v>530.5978226968158</v>
      </c>
      <c r="W112" s="173"/>
      <c r="X112" s="173"/>
      <c r="Y112" s="173"/>
    </row>
    <row r="113" spans="1:25" x14ac:dyDescent="0.2">
      <c r="A113" s="1">
        <f t="shared" si="5"/>
        <v>39672.951000000132</v>
      </c>
      <c r="B113" s="173">
        <f>IF($A$1="Peak","-",IF(BaseLoad!H112&gt;BaseLoad!$G112,B$8*BaseLoad!$AM$9,0))</f>
        <v>3.634231662306957</v>
      </c>
      <c r="C113" s="173">
        <f>IF($A$1="Peak","-",IF(BaseLoad!I112&gt;BaseLoad!$G112,C$8*BaseLoad!$AM$9,0))</f>
        <v>3.634231662306957</v>
      </c>
      <c r="D113" s="173">
        <f>IF($A$1="Peak","-",IF(BaseLoad!J112&gt;BaseLoad!$G112,D$8*BaseLoad!$AM$9,0))</f>
        <v>7.2684633246139141</v>
      </c>
      <c r="E113" s="173">
        <f>IF($A$1="Peak","-",IF(BaseLoad!K112&gt;BaseLoad!$G112,E$8*BaseLoad!$AM$9,0))</f>
        <v>14.536926649227828</v>
      </c>
      <c r="F113" s="173">
        <f>IF($A$1="Peak","-",IF(BaseLoad!L112&gt;BaseLoad!$G112,F$8*BaseLoad!$AM$9,0))</f>
        <v>14.536926649227828</v>
      </c>
      <c r="G113" s="173">
        <f>IF($A$1="Peak","-",IF(BaseLoad!M112&gt;BaseLoad!$G112,G$8*BaseLoad!$AM$9,0))</f>
        <v>29.073853298455656</v>
      </c>
      <c r="H113" s="173">
        <f>IF($A$1="Peak","-",IF(BaseLoad!N112&gt;BaseLoad!$G112,H$8*BaseLoad!$AM$9,0))</f>
        <v>29.073853298455656</v>
      </c>
      <c r="I113" s="173">
        <f>IF($A$1="Peak","-",IF(BaseLoad!O112&gt;BaseLoad!$G112,I$8*BaseLoad!$AM$9,0))</f>
        <v>29.073853298455656</v>
      </c>
      <c r="J113" s="173">
        <f>IF($A$1="Peak","-",IF(BaseLoad!P112&gt;BaseLoad!$G112,J$8*BaseLoad!$AM$9,0))</f>
        <v>29.073853298455656</v>
      </c>
      <c r="K113" s="173">
        <f>IF($A$1="Peak","-",IF(BaseLoad!Q112&gt;BaseLoad!$G112,K$8*BaseLoad!$AM$9,0))</f>
        <v>29.073853298455656</v>
      </c>
      <c r="L113" s="173">
        <f>IF($A$1="Peak","-",IF(BaseLoad!R112&gt;BaseLoad!$G112,L$8*BaseLoad!$AM$9,0))</f>
        <v>29.073853298455656</v>
      </c>
      <c r="M113" s="173">
        <f>IF($A$1="Peak","-",IF(BaseLoad!S112&gt;BaseLoad!$G112,M$8*BaseLoad!$AM$9,0))</f>
        <v>29.073853298455656</v>
      </c>
      <c r="N113" s="173">
        <f>IF($A$1="Peak","-",IF(BaseLoad!T112&gt;BaseLoad!$G112,N$8*BaseLoad!$AM$9,0))</f>
        <v>29.073853298455656</v>
      </c>
      <c r="O113" s="173">
        <f>IF($A$1="Peak","-",IF(BaseLoad!U112&gt;BaseLoad!$G112,O$8*BaseLoad!$AM$9,0))</f>
        <v>29.073853298455656</v>
      </c>
      <c r="P113" s="173">
        <f>IF($A$1="Peak","-",IF(BaseLoad!V112&gt;BaseLoad!$G112,P$8*BaseLoad!$AM$9,0))</f>
        <v>29.073853298455656</v>
      </c>
      <c r="Q113" s="173">
        <f>IF($A$1="Peak","-",IF(BaseLoad!W112&gt;BaseLoad!$G112,Q$8*BaseLoad!$AM$9,0))</f>
        <v>29.073853298455656</v>
      </c>
      <c r="R113" s="173">
        <f>IF($A$1="Peak","-",IF(BaseLoad!X112&gt;BaseLoad!$G112,R$8*BaseLoad!$AM$9,0))</f>
        <v>29.073853298455656</v>
      </c>
      <c r="S113" s="173">
        <f>IF($A$1="Peak","-",IF(BaseLoad!Y112&gt;BaseLoad!$G112,S$8*BaseLoad!$AM$9,0))</f>
        <v>29.073853298455656</v>
      </c>
      <c r="T113" s="173">
        <f>IF($A$1="Peak","-",IF(BaseLoad!Z112&gt;BaseLoad!$G112,T$8*BaseLoad!$AM$9,0))</f>
        <v>29.073853298455656</v>
      </c>
      <c r="U113" s="173">
        <f>IF($A$1="Peak","-",IF(BaseLoad!AA112&gt;BaseLoad!$G112,U$8*BaseLoad!$AM$9,0))</f>
        <v>79.953096570753061</v>
      </c>
      <c r="V113" s="173">
        <f t="shared" si="3"/>
        <v>530.5978226968158</v>
      </c>
      <c r="W113" s="173"/>
      <c r="X113" s="173"/>
      <c r="Y113" s="173"/>
    </row>
    <row r="114" spans="1:25" x14ac:dyDescent="0.2">
      <c r="A114" s="1">
        <f t="shared" si="5"/>
        <v>39703.368000000133</v>
      </c>
      <c r="B114" s="173">
        <f>IF($A$1="Peak","-",IF(BaseLoad!H113&gt;BaseLoad!$G113,B$8*BaseLoad!$AM$9,0))</f>
        <v>3.634231662306957</v>
      </c>
      <c r="C114" s="173">
        <f>IF($A$1="Peak","-",IF(BaseLoad!I113&gt;BaseLoad!$G113,C$8*BaseLoad!$AM$9,0))</f>
        <v>3.634231662306957</v>
      </c>
      <c r="D114" s="173">
        <f>IF($A$1="Peak","-",IF(BaseLoad!J113&gt;BaseLoad!$G113,D$8*BaseLoad!$AM$9,0))</f>
        <v>7.2684633246139141</v>
      </c>
      <c r="E114" s="173">
        <f>IF($A$1="Peak","-",IF(BaseLoad!K113&gt;BaseLoad!$G113,E$8*BaseLoad!$AM$9,0))</f>
        <v>14.536926649227828</v>
      </c>
      <c r="F114" s="173">
        <f>IF($A$1="Peak","-",IF(BaseLoad!L113&gt;BaseLoad!$G113,F$8*BaseLoad!$AM$9,0))</f>
        <v>14.536926649227828</v>
      </c>
      <c r="G114" s="173">
        <f>IF($A$1="Peak","-",IF(BaseLoad!M113&gt;BaseLoad!$G113,G$8*BaseLoad!$AM$9,0))</f>
        <v>29.073853298455656</v>
      </c>
      <c r="H114" s="173">
        <f>IF($A$1="Peak","-",IF(BaseLoad!N113&gt;BaseLoad!$G113,H$8*BaseLoad!$AM$9,0))</f>
        <v>29.073853298455656</v>
      </c>
      <c r="I114" s="173">
        <f>IF($A$1="Peak","-",IF(BaseLoad!O113&gt;BaseLoad!$G113,I$8*BaseLoad!$AM$9,0))</f>
        <v>29.073853298455656</v>
      </c>
      <c r="J114" s="173">
        <f>IF($A$1="Peak","-",IF(BaseLoad!P113&gt;BaseLoad!$G113,J$8*BaseLoad!$AM$9,0))</f>
        <v>29.073853298455656</v>
      </c>
      <c r="K114" s="173">
        <f>IF($A$1="Peak","-",IF(BaseLoad!Q113&gt;BaseLoad!$G113,K$8*BaseLoad!$AM$9,0))</f>
        <v>29.073853298455656</v>
      </c>
      <c r="L114" s="173">
        <f>IF($A$1="Peak","-",IF(BaseLoad!R113&gt;BaseLoad!$G113,L$8*BaseLoad!$AM$9,0))</f>
        <v>29.073853298455656</v>
      </c>
      <c r="M114" s="173">
        <f>IF($A$1="Peak","-",IF(BaseLoad!S113&gt;BaseLoad!$G113,M$8*BaseLoad!$AM$9,0))</f>
        <v>29.073853298455656</v>
      </c>
      <c r="N114" s="173">
        <f>IF($A$1="Peak","-",IF(BaseLoad!T113&gt;BaseLoad!$G113,N$8*BaseLoad!$AM$9,0))</f>
        <v>29.073853298455656</v>
      </c>
      <c r="O114" s="173">
        <f>IF($A$1="Peak","-",IF(BaseLoad!U113&gt;BaseLoad!$G113,O$8*BaseLoad!$AM$9,0))</f>
        <v>29.073853298455656</v>
      </c>
      <c r="P114" s="173">
        <f>IF($A$1="Peak","-",IF(BaseLoad!V113&gt;BaseLoad!$G113,P$8*BaseLoad!$AM$9,0))</f>
        <v>29.073853298455656</v>
      </c>
      <c r="Q114" s="173">
        <f>IF($A$1="Peak","-",IF(BaseLoad!W113&gt;BaseLoad!$G113,Q$8*BaseLoad!$AM$9,0))</f>
        <v>29.073853298455656</v>
      </c>
      <c r="R114" s="173">
        <f>IF($A$1="Peak","-",IF(BaseLoad!X113&gt;BaseLoad!$G113,R$8*BaseLoad!$AM$9,0))</f>
        <v>29.073853298455656</v>
      </c>
      <c r="S114" s="173">
        <f>IF($A$1="Peak","-",IF(BaseLoad!Y113&gt;BaseLoad!$G113,S$8*BaseLoad!$AM$9,0))</f>
        <v>29.073853298455656</v>
      </c>
      <c r="T114" s="173">
        <f>IF($A$1="Peak","-",IF(BaseLoad!Z113&gt;BaseLoad!$G113,T$8*BaseLoad!$AM$9,0))</f>
        <v>29.073853298455656</v>
      </c>
      <c r="U114" s="173">
        <f>IF($A$1="Peak","-",IF(BaseLoad!AA113&gt;BaseLoad!$G113,U$8*BaseLoad!$AM$9,0))</f>
        <v>79.953096570753061</v>
      </c>
      <c r="V114" s="173">
        <f t="shared" si="3"/>
        <v>530.5978226968158</v>
      </c>
      <c r="W114" s="173"/>
      <c r="X114" s="173"/>
      <c r="Y114" s="173"/>
    </row>
    <row r="115" spans="1:25" x14ac:dyDescent="0.2">
      <c r="A115" s="1">
        <f t="shared" si="5"/>
        <v>39733.785000000134</v>
      </c>
      <c r="B115" s="173">
        <f>IF($A$1="Peak","-",IF(BaseLoad!H114&gt;BaseLoad!$G114,B$8*BaseLoad!$AM$9,0))</f>
        <v>3.634231662306957</v>
      </c>
      <c r="C115" s="173">
        <f>IF($A$1="Peak","-",IF(BaseLoad!I114&gt;BaseLoad!$G114,C$8*BaseLoad!$AM$9,0))</f>
        <v>3.634231662306957</v>
      </c>
      <c r="D115" s="173">
        <f>IF($A$1="Peak","-",IF(BaseLoad!J114&gt;BaseLoad!$G114,D$8*BaseLoad!$AM$9,0))</f>
        <v>7.2684633246139141</v>
      </c>
      <c r="E115" s="173">
        <f>IF($A$1="Peak","-",IF(BaseLoad!K114&gt;BaseLoad!$G114,E$8*BaseLoad!$AM$9,0))</f>
        <v>14.536926649227828</v>
      </c>
      <c r="F115" s="173">
        <f>IF($A$1="Peak","-",IF(BaseLoad!L114&gt;BaseLoad!$G114,F$8*BaseLoad!$AM$9,0))</f>
        <v>14.536926649227828</v>
      </c>
      <c r="G115" s="173">
        <f>IF($A$1="Peak","-",IF(BaseLoad!M114&gt;BaseLoad!$G114,G$8*BaseLoad!$AM$9,0))</f>
        <v>29.073853298455656</v>
      </c>
      <c r="H115" s="173">
        <f>IF($A$1="Peak","-",IF(BaseLoad!N114&gt;BaseLoad!$G114,H$8*BaseLoad!$AM$9,0))</f>
        <v>29.073853298455656</v>
      </c>
      <c r="I115" s="173">
        <f>IF($A$1="Peak","-",IF(BaseLoad!O114&gt;BaseLoad!$G114,I$8*BaseLoad!$AM$9,0))</f>
        <v>29.073853298455656</v>
      </c>
      <c r="J115" s="173">
        <f>IF($A$1="Peak","-",IF(BaseLoad!P114&gt;BaseLoad!$G114,J$8*BaseLoad!$AM$9,0))</f>
        <v>29.073853298455656</v>
      </c>
      <c r="K115" s="173">
        <f>IF($A$1="Peak","-",IF(BaseLoad!Q114&gt;BaseLoad!$G114,K$8*BaseLoad!$AM$9,0))</f>
        <v>29.073853298455656</v>
      </c>
      <c r="L115" s="173">
        <f>IF($A$1="Peak","-",IF(BaseLoad!R114&gt;BaseLoad!$G114,L$8*BaseLoad!$AM$9,0))</f>
        <v>29.073853298455656</v>
      </c>
      <c r="M115" s="173">
        <f>IF($A$1="Peak","-",IF(BaseLoad!S114&gt;BaseLoad!$G114,M$8*BaseLoad!$AM$9,0))</f>
        <v>29.073853298455656</v>
      </c>
      <c r="N115" s="173">
        <f>IF($A$1="Peak","-",IF(BaseLoad!T114&gt;BaseLoad!$G114,N$8*BaseLoad!$AM$9,0))</f>
        <v>29.073853298455656</v>
      </c>
      <c r="O115" s="173">
        <f>IF($A$1="Peak","-",IF(BaseLoad!U114&gt;BaseLoad!$G114,O$8*BaseLoad!$AM$9,0))</f>
        <v>29.073853298455656</v>
      </c>
      <c r="P115" s="173">
        <f>IF($A$1="Peak","-",IF(BaseLoad!V114&gt;BaseLoad!$G114,P$8*BaseLoad!$AM$9,0))</f>
        <v>29.073853298455656</v>
      </c>
      <c r="Q115" s="173">
        <f>IF($A$1="Peak","-",IF(BaseLoad!W114&gt;BaseLoad!$G114,Q$8*BaseLoad!$AM$9,0))</f>
        <v>29.073853298455656</v>
      </c>
      <c r="R115" s="173">
        <f>IF($A$1="Peak","-",IF(BaseLoad!X114&gt;BaseLoad!$G114,R$8*BaseLoad!$AM$9,0))</f>
        <v>29.073853298455656</v>
      </c>
      <c r="S115" s="173">
        <f>IF($A$1="Peak","-",IF(BaseLoad!Y114&gt;BaseLoad!$G114,S$8*BaseLoad!$AM$9,0))</f>
        <v>29.073853298455656</v>
      </c>
      <c r="T115" s="173">
        <f>IF($A$1="Peak","-",IF(BaseLoad!Z114&gt;BaseLoad!$G114,T$8*BaseLoad!$AM$9,0))</f>
        <v>29.073853298455656</v>
      </c>
      <c r="U115" s="173">
        <f>IF($A$1="Peak","-",IF(BaseLoad!AA114&gt;BaseLoad!$G114,U$8*BaseLoad!$AM$9,0))</f>
        <v>79.953096570753061</v>
      </c>
      <c r="V115" s="173">
        <f t="shared" si="3"/>
        <v>530.5978226968158</v>
      </c>
      <c r="W115" s="173"/>
      <c r="X115" s="173"/>
      <c r="Y115" s="173"/>
    </row>
    <row r="116" spans="1:25" x14ac:dyDescent="0.2">
      <c r="A116" s="1">
        <f t="shared" si="5"/>
        <v>39764.202000000136</v>
      </c>
      <c r="B116" s="173">
        <f>IF($A$1="Peak","-",IF(BaseLoad!H115&gt;BaseLoad!$G115,B$8*BaseLoad!$AM$9,0))</f>
        <v>3.634231662306957</v>
      </c>
      <c r="C116" s="173">
        <f>IF($A$1="Peak","-",IF(BaseLoad!I115&gt;BaseLoad!$G115,C$8*BaseLoad!$AM$9,0))</f>
        <v>3.634231662306957</v>
      </c>
      <c r="D116" s="173">
        <f>IF($A$1="Peak","-",IF(BaseLoad!J115&gt;BaseLoad!$G115,D$8*BaseLoad!$AM$9,0))</f>
        <v>7.2684633246139141</v>
      </c>
      <c r="E116" s="173">
        <f>IF($A$1="Peak","-",IF(BaseLoad!K115&gt;BaseLoad!$G115,E$8*BaseLoad!$AM$9,0))</f>
        <v>14.536926649227828</v>
      </c>
      <c r="F116" s="173">
        <f>IF($A$1="Peak","-",IF(BaseLoad!L115&gt;BaseLoad!$G115,F$8*BaseLoad!$AM$9,0))</f>
        <v>14.536926649227828</v>
      </c>
      <c r="G116" s="173">
        <f>IF($A$1="Peak","-",IF(BaseLoad!M115&gt;BaseLoad!$G115,G$8*BaseLoad!$AM$9,0))</f>
        <v>29.073853298455656</v>
      </c>
      <c r="H116" s="173">
        <f>IF($A$1="Peak","-",IF(BaseLoad!N115&gt;BaseLoad!$G115,H$8*BaseLoad!$AM$9,0))</f>
        <v>29.073853298455656</v>
      </c>
      <c r="I116" s="173">
        <f>IF($A$1="Peak","-",IF(BaseLoad!O115&gt;BaseLoad!$G115,I$8*BaseLoad!$AM$9,0))</f>
        <v>29.073853298455656</v>
      </c>
      <c r="J116" s="173">
        <f>IF($A$1="Peak","-",IF(BaseLoad!P115&gt;BaseLoad!$G115,J$8*BaseLoad!$AM$9,0))</f>
        <v>29.073853298455656</v>
      </c>
      <c r="K116" s="173">
        <f>IF($A$1="Peak","-",IF(BaseLoad!Q115&gt;BaseLoad!$G115,K$8*BaseLoad!$AM$9,0))</f>
        <v>29.073853298455656</v>
      </c>
      <c r="L116" s="173">
        <f>IF($A$1="Peak","-",IF(BaseLoad!R115&gt;BaseLoad!$G115,L$8*BaseLoad!$AM$9,0))</f>
        <v>29.073853298455656</v>
      </c>
      <c r="M116" s="173">
        <f>IF($A$1="Peak","-",IF(BaseLoad!S115&gt;BaseLoad!$G115,M$8*BaseLoad!$AM$9,0))</f>
        <v>29.073853298455656</v>
      </c>
      <c r="N116" s="173">
        <f>IF($A$1="Peak","-",IF(BaseLoad!T115&gt;BaseLoad!$G115,N$8*BaseLoad!$AM$9,0))</f>
        <v>29.073853298455656</v>
      </c>
      <c r="O116" s="173">
        <f>IF($A$1="Peak","-",IF(BaseLoad!U115&gt;BaseLoad!$G115,O$8*BaseLoad!$AM$9,0))</f>
        <v>29.073853298455656</v>
      </c>
      <c r="P116" s="173">
        <f>IF($A$1="Peak","-",IF(BaseLoad!V115&gt;BaseLoad!$G115,P$8*BaseLoad!$AM$9,0))</f>
        <v>29.073853298455656</v>
      </c>
      <c r="Q116" s="173">
        <f>IF($A$1="Peak","-",IF(BaseLoad!W115&gt;BaseLoad!$G115,Q$8*BaseLoad!$AM$9,0))</f>
        <v>29.073853298455656</v>
      </c>
      <c r="R116" s="173">
        <f>IF($A$1="Peak","-",IF(BaseLoad!X115&gt;BaseLoad!$G115,R$8*BaseLoad!$AM$9,0))</f>
        <v>29.073853298455656</v>
      </c>
      <c r="S116" s="173">
        <f>IF($A$1="Peak","-",IF(BaseLoad!Y115&gt;BaseLoad!$G115,S$8*BaseLoad!$AM$9,0))</f>
        <v>29.073853298455656</v>
      </c>
      <c r="T116" s="173">
        <f>IF($A$1="Peak","-",IF(BaseLoad!Z115&gt;BaseLoad!$G115,T$8*BaseLoad!$AM$9,0))</f>
        <v>29.073853298455656</v>
      </c>
      <c r="U116" s="173">
        <f>IF($A$1="Peak","-",IF(BaseLoad!AA115&gt;BaseLoad!$G115,U$8*BaseLoad!$AM$9,0))</f>
        <v>79.953096570753061</v>
      </c>
      <c r="V116" s="173">
        <f t="shared" si="3"/>
        <v>530.5978226968158</v>
      </c>
      <c r="W116" s="173"/>
      <c r="X116" s="173"/>
      <c r="Y116" s="173"/>
    </row>
    <row r="117" spans="1:25" x14ac:dyDescent="0.2">
      <c r="A117" s="1">
        <f t="shared" si="5"/>
        <v>39794.619000000137</v>
      </c>
      <c r="B117" s="173">
        <f>IF($A$1="Peak","-",IF(BaseLoad!H116&gt;BaseLoad!$G116,B$8*BaseLoad!$AM$9,0))</f>
        <v>3.634231662306957</v>
      </c>
      <c r="C117" s="173">
        <f>IF($A$1="Peak","-",IF(BaseLoad!I116&gt;BaseLoad!$G116,C$8*BaseLoad!$AM$9,0))</f>
        <v>3.634231662306957</v>
      </c>
      <c r="D117" s="173">
        <f>IF($A$1="Peak","-",IF(BaseLoad!J116&gt;BaseLoad!$G116,D$8*BaseLoad!$AM$9,0))</f>
        <v>7.2684633246139141</v>
      </c>
      <c r="E117" s="173">
        <f>IF($A$1="Peak","-",IF(BaseLoad!K116&gt;BaseLoad!$G116,E$8*BaseLoad!$AM$9,0))</f>
        <v>14.536926649227828</v>
      </c>
      <c r="F117" s="173">
        <f>IF($A$1="Peak","-",IF(BaseLoad!L116&gt;BaseLoad!$G116,F$8*BaseLoad!$AM$9,0))</f>
        <v>14.536926649227828</v>
      </c>
      <c r="G117" s="173">
        <f>IF($A$1="Peak","-",IF(BaseLoad!M116&gt;BaseLoad!$G116,G$8*BaseLoad!$AM$9,0))</f>
        <v>29.073853298455656</v>
      </c>
      <c r="H117" s="173">
        <f>IF($A$1="Peak","-",IF(BaseLoad!N116&gt;BaseLoad!$G116,H$8*BaseLoad!$AM$9,0))</f>
        <v>29.073853298455656</v>
      </c>
      <c r="I117" s="173">
        <f>IF($A$1="Peak","-",IF(BaseLoad!O116&gt;BaseLoad!$G116,I$8*BaseLoad!$AM$9,0))</f>
        <v>29.073853298455656</v>
      </c>
      <c r="J117" s="173">
        <f>IF($A$1="Peak","-",IF(BaseLoad!P116&gt;BaseLoad!$G116,J$8*BaseLoad!$AM$9,0))</f>
        <v>29.073853298455656</v>
      </c>
      <c r="K117" s="173">
        <f>IF($A$1="Peak","-",IF(BaseLoad!Q116&gt;BaseLoad!$G116,K$8*BaseLoad!$AM$9,0))</f>
        <v>29.073853298455656</v>
      </c>
      <c r="L117" s="173">
        <f>IF($A$1="Peak","-",IF(BaseLoad!R116&gt;BaseLoad!$G116,L$8*BaseLoad!$AM$9,0))</f>
        <v>29.073853298455656</v>
      </c>
      <c r="M117" s="173">
        <f>IF($A$1="Peak","-",IF(BaseLoad!S116&gt;BaseLoad!$G116,M$8*BaseLoad!$AM$9,0))</f>
        <v>29.073853298455656</v>
      </c>
      <c r="N117" s="173">
        <f>IF($A$1="Peak","-",IF(BaseLoad!T116&gt;BaseLoad!$G116,N$8*BaseLoad!$AM$9,0))</f>
        <v>29.073853298455656</v>
      </c>
      <c r="O117" s="173">
        <f>IF($A$1="Peak","-",IF(BaseLoad!U116&gt;BaseLoad!$G116,O$8*BaseLoad!$AM$9,0))</f>
        <v>29.073853298455656</v>
      </c>
      <c r="P117" s="173">
        <f>IF($A$1="Peak","-",IF(BaseLoad!V116&gt;BaseLoad!$G116,P$8*BaseLoad!$AM$9,0))</f>
        <v>29.073853298455656</v>
      </c>
      <c r="Q117" s="173">
        <f>IF($A$1="Peak","-",IF(BaseLoad!W116&gt;BaseLoad!$G116,Q$8*BaseLoad!$AM$9,0))</f>
        <v>29.073853298455656</v>
      </c>
      <c r="R117" s="173">
        <f>IF($A$1="Peak","-",IF(BaseLoad!X116&gt;BaseLoad!$G116,R$8*BaseLoad!$AM$9,0))</f>
        <v>29.073853298455656</v>
      </c>
      <c r="S117" s="173">
        <f>IF($A$1="Peak","-",IF(BaseLoad!Y116&gt;BaseLoad!$G116,S$8*BaseLoad!$AM$9,0))</f>
        <v>29.073853298455656</v>
      </c>
      <c r="T117" s="173">
        <f>IF($A$1="Peak","-",IF(BaseLoad!Z116&gt;BaseLoad!$G116,T$8*BaseLoad!$AM$9,0))</f>
        <v>29.073853298455656</v>
      </c>
      <c r="U117" s="173">
        <f>IF($A$1="Peak","-",IF(BaseLoad!AA116&gt;BaseLoad!$G116,U$8*BaseLoad!$AM$9,0))</f>
        <v>79.953096570753061</v>
      </c>
      <c r="V117" s="173">
        <f t="shared" si="3"/>
        <v>530.5978226968158</v>
      </c>
      <c r="W117" s="173"/>
      <c r="X117" s="173"/>
      <c r="Y117" s="173">
        <f>SUM(V106:V117)</f>
        <v>6367.1738723617882</v>
      </c>
    </row>
    <row r="118" spans="1:25" x14ac:dyDescent="0.2">
      <c r="A118" s="1">
        <f t="shared" si="5"/>
        <v>39825.036000000138</v>
      </c>
      <c r="B118" s="173">
        <f>IF($A$1="Peak","-",IF(BaseLoad!H117&gt;BaseLoad!$G117,B$8*BaseLoad!$AM$9,0))</f>
        <v>3.634231662306957</v>
      </c>
      <c r="C118" s="173">
        <f>IF($A$1="Peak","-",IF(BaseLoad!I117&gt;BaseLoad!$G117,C$8*BaseLoad!$AM$9,0))</f>
        <v>3.634231662306957</v>
      </c>
      <c r="D118" s="173">
        <f>IF($A$1="Peak","-",IF(BaseLoad!J117&gt;BaseLoad!$G117,D$8*BaseLoad!$AM$9,0))</f>
        <v>7.2684633246139141</v>
      </c>
      <c r="E118" s="173">
        <f>IF($A$1="Peak","-",IF(BaseLoad!K117&gt;BaseLoad!$G117,E$8*BaseLoad!$AM$9,0))</f>
        <v>14.536926649227828</v>
      </c>
      <c r="F118" s="173">
        <f>IF($A$1="Peak","-",IF(BaseLoad!L117&gt;BaseLoad!$G117,F$8*BaseLoad!$AM$9,0))</f>
        <v>14.536926649227828</v>
      </c>
      <c r="G118" s="173">
        <f>IF($A$1="Peak","-",IF(BaseLoad!M117&gt;BaseLoad!$G117,G$8*BaseLoad!$AM$9,0))</f>
        <v>29.073853298455656</v>
      </c>
      <c r="H118" s="173">
        <f>IF($A$1="Peak","-",IF(BaseLoad!N117&gt;BaseLoad!$G117,H$8*BaseLoad!$AM$9,0))</f>
        <v>29.073853298455656</v>
      </c>
      <c r="I118" s="173">
        <f>IF($A$1="Peak","-",IF(BaseLoad!O117&gt;BaseLoad!$G117,I$8*BaseLoad!$AM$9,0))</f>
        <v>29.073853298455656</v>
      </c>
      <c r="J118" s="173">
        <f>IF($A$1="Peak","-",IF(BaseLoad!P117&gt;BaseLoad!$G117,J$8*BaseLoad!$AM$9,0))</f>
        <v>29.073853298455656</v>
      </c>
      <c r="K118" s="173">
        <f>IF($A$1="Peak","-",IF(BaseLoad!Q117&gt;BaseLoad!$G117,K$8*BaseLoad!$AM$9,0))</f>
        <v>29.073853298455656</v>
      </c>
      <c r="L118" s="173">
        <f>IF($A$1="Peak","-",IF(BaseLoad!R117&gt;BaseLoad!$G117,L$8*BaseLoad!$AM$9,0))</f>
        <v>29.073853298455656</v>
      </c>
      <c r="M118" s="173">
        <f>IF($A$1="Peak","-",IF(BaseLoad!S117&gt;BaseLoad!$G117,M$8*BaseLoad!$AM$9,0))</f>
        <v>29.073853298455656</v>
      </c>
      <c r="N118" s="173">
        <f>IF($A$1="Peak","-",IF(BaseLoad!T117&gt;BaseLoad!$G117,N$8*BaseLoad!$AM$9,0))</f>
        <v>29.073853298455656</v>
      </c>
      <c r="O118" s="173">
        <f>IF($A$1="Peak","-",IF(BaseLoad!U117&gt;BaseLoad!$G117,O$8*BaseLoad!$AM$9,0))</f>
        <v>29.073853298455656</v>
      </c>
      <c r="P118" s="173">
        <f>IF($A$1="Peak","-",IF(BaseLoad!V117&gt;BaseLoad!$G117,P$8*BaseLoad!$AM$9,0))</f>
        <v>29.073853298455656</v>
      </c>
      <c r="Q118" s="173">
        <f>IF($A$1="Peak","-",IF(BaseLoad!W117&gt;BaseLoad!$G117,Q$8*BaseLoad!$AM$9,0))</f>
        <v>29.073853298455656</v>
      </c>
      <c r="R118" s="173">
        <f>IF($A$1="Peak","-",IF(BaseLoad!X117&gt;BaseLoad!$G117,R$8*BaseLoad!$AM$9,0))</f>
        <v>29.073853298455656</v>
      </c>
      <c r="S118" s="173">
        <f>IF($A$1="Peak","-",IF(BaseLoad!Y117&gt;BaseLoad!$G117,S$8*BaseLoad!$AM$9,0))</f>
        <v>29.073853298455656</v>
      </c>
      <c r="T118" s="173">
        <f>IF($A$1="Peak","-",IF(BaseLoad!Z117&gt;BaseLoad!$G117,T$8*BaseLoad!$AM$9,0))</f>
        <v>29.073853298455656</v>
      </c>
      <c r="U118" s="173">
        <f>IF($A$1="Peak","-",IF(BaseLoad!AA117&gt;BaseLoad!$G117,U$8*BaseLoad!$AM$9,0))</f>
        <v>79.953096570753061</v>
      </c>
      <c r="V118" s="173">
        <f t="shared" si="3"/>
        <v>530.5978226968158</v>
      </c>
      <c r="W118" s="173"/>
      <c r="X118" s="173"/>
      <c r="Y118" s="173"/>
    </row>
    <row r="119" spans="1:25" x14ac:dyDescent="0.2">
      <c r="A119" s="1">
        <f t="shared" si="5"/>
        <v>39855.45300000014</v>
      </c>
      <c r="B119" s="173">
        <f>IF($A$1="Peak","-",IF(BaseLoad!H118&gt;BaseLoad!$G118,B$8*BaseLoad!$AM$9,0))</f>
        <v>3.634231662306957</v>
      </c>
      <c r="C119" s="173">
        <f>IF($A$1="Peak","-",IF(BaseLoad!I118&gt;BaseLoad!$G118,C$8*BaseLoad!$AM$9,0))</f>
        <v>3.634231662306957</v>
      </c>
      <c r="D119" s="173">
        <f>IF($A$1="Peak","-",IF(BaseLoad!J118&gt;BaseLoad!$G118,D$8*BaseLoad!$AM$9,0))</f>
        <v>7.2684633246139141</v>
      </c>
      <c r="E119" s="173">
        <f>IF($A$1="Peak","-",IF(BaseLoad!K118&gt;BaseLoad!$G118,E$8*BaseLoad!$AM$9,0))</f>
        <v>14.536926649227828</v>
      </c>
      <c r="F119" s="173">
        <f>IF($A$1="Peak","-",IF(BaseLoad!L118&gt;BaseLoad!$G118,F$8*BaseLoad!$AM$9,0))</f>
        <v>14.536926649227828</v>
      </c>
      <c r="G119" s="173">
        <f>IF($A$1="Peak","-",IF(BaseLoad!M118&gt;BaseLoad!$G118,G$8*BaseLoad!$AM$9,0))</f>
        <v>29.073853298455656</v>
      </c>
      <c r="H119" s="173">
        <f>IF($A$1="Peak","-",IF(BaseLoad!N118&gt;BaseLoad!$G118,H$8*BaseLoad!$AM$9,0))</f>
        <v>29.073853298455656</v>
      </c>
      <c r="I119" s="173">
        <f>IF($A$1="Peak","-",IF(BaseLoad!O118&gt;BaseLoad!$G118,I$8*BaseLoad!$AM$9,0))</f>
        <v>29.073853298455656</v>
      </c>
      <c r="J119" s="173">
        <f>IF($A$1="Peak","-",IF(BaseLoad!P118&gt;BaseLoad!$G118,J$8*BaseLoad!$AM$9,0))</f>
        <v>29.073853298455656</v>
      </c>
      <c r="K119" s="173">
        <f>IF($A$1="Peak","-",IF(BaseLoad!Q118&gt;BaseLoad!$G118,K$8*BaseLoad!$AM$9,0))</f>
        <v>29.073853298455656</v>
      </c>
      <c r="L119" s="173">
        <f>IF($A$1="Peak","-",IF(BaseLoad!R118&gt;BaseLoad!$G118,L$8*BaseLoad!$AM$9,0))</f>
        <v>29.073853298455656</v>
      </c>
      <c r="M119" s="173">
        <f>IF($A$1="Peak","-",IF(BaseLoad!S118&gt;BaseLoad!$G118,M$8*BaseLoad!$AM$9,0))</f>
        <v>29.073853298455656</v>
      </c>
      <c r="N119" s="173">
        <f>IF($A$1="Peak","-",IF(BaseLoad!T118&gt;BaseLoad!$G118,N$8*BaseLoad!$AM$9,0))</f>
        <v>29.073853298455656</v>
      </c>
      <c r="O119" s="173">
        <f>IF($A$1="Peak","-",IF(BaseLoad!U118&gt;BaseLoad!$G118,O$8*BaseLoad!$AM$9,0))</f>
        <v>29.073853298455656</v>
      </c>
      <c r="P119" s="173">
        <f>IF($A$1="Peak","-",IF(BaseLoad!V118&gt;BaseLoad!$G118,P$8*BaseLoad!$AM$9,0))</f>
        <v>29.073853298455656</v>
      </c>
      <c r="Q119" s="173">
        <f>IF($A$1="Peak","-",IF(BaseLoad!W118&gt;BaseLoad!$G118,Q$8*BaseLoad!$AM$9,0))</f>
        <v>29.073853298455656</v>
      </c>
      <c r="R119" s="173">
        <f>IF($A$1="Peak","-",IF(BaseLoad!X118&gt;BaseLoad!$G118,R$8*BaseLoad!$AM$9,0))</f>
        <v>29.073853298455656</v>
      </c>
      <c r="S119" s="173">
        <f>IF($A$1="Peak","-",IF(BaseLoad!Y118&gt;BaseLoad!$G118,S$8*BaseLoad!$AM$9,0))</f>
        <v>29.073853298455656</v>
      </c>
      <c r="T119" s="173">
        <f>IF($A$1="Peak","-",IF(BaseLoad!Z118&gt;BaseLoad!$G118,T$8*BaseLoad!$AM$9,0))</f>
        <v>29.073853298455656</v>
      </c>
      <c r="U119" s="173">
        <f>IF($A$1="Peak","-",IF(BaseLoad!AA118&gt;BaseLoad!$G118,U$8*BaseLoad!$AM$9,0))</f>
        <v>79.953096570753061</v>
      </c>
      <c r="V119" s="173">
        <f t="shared" si="3"/>
        <v>530.5978226968158</v>
      </c>
      <c r="W119" s="173"/>
      <c r="X119" s="173"/>
      <c r="Y119" s="173"/>
    </row>
    <row r="120" spans="1:25" x14ac:dyDescent="0.2">
      <c r="A120" s="1">
        <f t="shared" si="5"/>
        <v>39885.870000000141</v>
      </c>
      <c r="B120" s="173">
        <f>IF($A$1="Peak","-",IF(BaseLoad!H119&gt;BaseLoad!$G119,B$8*BaseLoad!$AM$9,0))</f>
        <v>3.634231662306957</v>
      </c>
      <c r="C120" s="173">
        <f>IF($A$1="Peak","-",IF(BaseLoad!I119&gt;BaseLoad!$G119,C$8*BaseLoad!$AM$9,0))</f>
        <v>3.634231662306957</v>
      </c>
      <c r="D120" s="173">
        <f>IF($A$1="Peak","-",IF(BaseLoad!J119&gt;BaseLoad!$G119,D$8*BaseLoad!$AM$9,0))</f>
        <v>7.2684633246139141</v>
      </c>
      <c r="E120" s="173">
        <f>IF($A$1="Peak","-",IF(BaseLoad!K119&gt;BaseLoad!$G119,E$8*BaseLoad!$AM$9,0))</f>
        <v>14.536926649227828</v>
      </c>
      <c r="F120" s="173">
        <f>IF($A$1="Peak","-",IF(BaseLoad!L119&gt;BaseLoad!$G119,F$8*BaseLoad!$AM$9,0))</f>
        <v>14.536926649227828</v>
      </c>
      <c r="G120" s="173">
        <f>IF($A$1="Peak","-",IF(BaseLoad!M119&gt;BaseLoad!$G119,G$8*BaseLoad!$AM$9,0))</f>
        <v>29.073853298455656</v>
      </c>
      <c r="H120" s="173">
        <f>IF($A$1="Peak","-",IF(BaseLoad!N119&gt;BaseLoad!$G119,H$8*BaseLoad!$AM$9,0))</f>
        <v>29.073853298455656</v>
      </c>
      <c r="I120" s="173">
        <f>IF($A$1="Peak","-",IF(BaseLoad!O119&gt;BaseLoad!$G119,I$8*BaseLoad!$AM$9,0))</f>
        <v>29.073853298455656</v>
      </c>
      <c r="J120" s="173">
        <f>IF($A$1="Peak","-",IF(BaseLoad!P119&gt;BaseLoad!$G119,J$8*BaseLoad!$AM$9,0))</f>
        <v>29.073853298455656</v>
      </c>
      <c r="K120" s="173">
        <f>IF($A$1="Peak","-",IF(BaseLoad!Q119&gt;BaseLoad!$G119,K$8*BaseLoad!$AM$9,0))</f>
        <v>29.073853298455656</v>
      </c>
      <c r="L120" s="173">
        <f>IF($A$1="Peak","-",IF(BaseLoad!R119&gt;BaseLoad!$G119,L$8*BaseLoad!$AM$9,0))</f>
        <v>29.073853298455656</v>
      </c>
      <c r="M120" s="173">
        <f>IF($A$1="Peak","-",IF(BaseLoad!S119&gt;BaseLoad!$G119,M$8*BaseLoad!$AM$9,0))</f>
        <v>29.073853298455656</v>
      </c>
      <c r="N120" s="173">
        <f>IF($A$1="Peak","-",IF(BaseLoad!T119&gt;BaseLoad!$G119,N$8*BaseLoad!$AM$9,0))</f>
        <v>29.073853298455656</v>
      </c>
      <c r="O120" s="173">
        <f>IF($A$1="Peak","-",IF(BaseLoad!U119&gt;BaseLoad!$G119,O$8*BaseLoad!$AM$9,0))</f>
        <v>29.073853298455656</v>
      </c>
      <c r="P120" s="173">
        <f>IF($A$1="Peak","-",IF(BaseLoad!V119&gt;BaseLoad!$G119,P$8*BaseLoad!$AM$9,0))</f>
        <v>29.073853298455656</v>
      </c>
      <c r="Q120" s="173">
        <f>IF($A$1="Peak","-",IF(BaseLoad!W119&gt;BaseLoad!$G119,Q$8*BaseLoad!$AM$9,0))</f>
        <v>29.073853298455656</v>
      </c>
      <c r="R120" s="173">
        <f>IF($A$1="Peak","-",IF(BaseLoad!X119&gt;BaseLoad!$G119,R$8*BaseLoad!$AM$9,0))</f>
        <v>29.073853298455656</v>
      </c>
      <c r="S120" s="173">
        <f>IF($A$1="Peak","-",IF(BaseLoad!Y119&gt;BaseLoad!$G119,S$8*BaseLoad!$AM$9,0))</f>
        <v>29.073853298455656</v>
      </c>
      <c r="T120" s="173">
        <f>IF($A$1="Peak","-",IF(BaseLoad!Z119&gt;BaseLoad!$G119,T$8*BaseLoad!$AM$9,0))</f>
        <v>29.073853298455656</v>
      </c>
      <c r="U120" s="173">
        <f>IF($A$1="Peak","-",IF(BaseLoad!AA119&gt;BaseLoad!$G119,U$8*BaseLoad!$AM$9,0))</f>
        <v>79.953096570753061</v>
      </c>
      <c r="V120" s="173">
        <f t="shared" si="3"/>
        <v>530.5978226968158</v>
      </c>
      <c r="W120" s="173"/>
      <c r="X120" s="173"/>
      <c r="Y120" s="173"/>
    </row>
    <row r="121" spans="1:25" x14ac:dyDescent="0.2">
      <c r="A121" s="1">
        <f t="shared" si="5"/>
        <v>39916.287000000142</v>
      </c>
      <c r="B121" s="173">
        <f>IF($A$1="Peak","-",IF(BaseLoad!H120&gt;BaseLoad!$G120,B$8*BaseLoad!$AM$9,0))</f>
        <v>3.634231662306957</v>
      </c>
      <c r="C121" s="173">
        <f>IF($A$1="Peak","-",IF(BaseLoad!I120&gt;BaseLoad!$G120,C$8*BaseLoad!$AM$9,0))</f>
        <v>3.634231662306957</v>
      </c>
      <c r="D121" s="173">
        <f>IF($A$1="Peak","-",IF(BaseLoad!J120&gt;BaseLoad!$G120,D$8*BaseLoad!$AM$9,0))</f>
        <v>7.2684633246139141</v>
      </c>
      <c r="E121" s="173">
        <f>IF($A$1="Peak","-",IF(BaseLoad!K120&gt;BaseLoad!$G120,E$8*BaseLoad!$AM$9,0))</f>
        <v>14.536926649227828</v>
      </c>
      <c r="F121" s="173">
        <f>IF($A$1="Peak","-",IF(BaseLoad!L120&gt;BaseLoad!$G120,F$8*BaseLoad!$AM$9,0))</f>
        <v>14.536926649227828</v>
      </c>
      <c r="G121" s="173">
        <f>IF($A$1="Peak","-",IF(BaseLoad!M120&gt;BaseLoad!$G120,G$8*BaseLoad!$AM$9,0))</f>
        <v>29.073853298455656</v>
      </c>
      <c r="H121" s="173">
        <f>IF($A$1="Peak","-",IF(BaseLoad!N120&gt;BaseLoad!$G120,H$8*BaseLoad!$AM$9,0))</f>
        <v>29.073853298455656</v>
      </c>
      <c r="I121" s="173">
        <f>IF($A$1="Peak","-",IF(BaseLoad!O120&gt;BaseLoad!$G120,I$8*BaseLoad!$AM$9,0))</f>
        <v>29.073853298455656</v>
      </c>
      <c r="J121" s="173">
        <f>IF($A$1="Peak","-",IF(BaseLoad!P120&gt;BaseLoad!$G120,J$8*BaseLoad!$AM$9,0))</f>
        <v>29.073853298455656</v>
      </c>
      <c r="K121" s="173">
        <f>IF($A$1="Peak","-",IF(BaseLoad!Q120&gt;BaseLoad!$G120,K$8*BaseLoad!$AM$9,0))</f>
        <v>29.073853298455656</v>
      </c>
      <c r="L121" s="173">
        <f>IF($A$1="Peak","-",IF(BaseLoad!R120&gt;BaseLoad!$G120,L$8*BaseLoad!$AM$9,0))</f>
        <v>29.073853298455656</v>
      </c>
      <c r="M121" s="173">
        <f>IF($A$1="Peak","-",IF(BaseLoad!S120&gt;BaseLoad!$G120,M$8*BaseLoad!$AM$9,0))</f>
        <v>29.073853298455656</v>
      </c>
      <c r="N121" s="173">
        <f>IF($A$1="Peak","-",IF(BaseLoad!T120&gt;BaseLoad!$G120,N$8*BaseLoad!$AM$9,0))</f>
        <v>29.073853298455656</v>
      </c>
      <c r="O121" s="173">
        <f>IF($A$1="Peak","-",IF(BaseLoad!U120&gt;BaseLoad!$G120,O$8*BaseLoad!$AM$9,0))</f>
        <v>29.073853298455656</v>
      </c>
      <c r="P121" s="173">
        <f>IF($A$1="Peak","-",IF(BaseLoad!V120&gt;BaseLoad!$G120,P$8*BaseLoad!$AM$9,0))</f>
        <v>29.073853298455656</v>
      </c>
      <c r="Q121" s="173">
        <f>IF($A$1="Peak","-",IF(BaseLoad!W120&gt;BaseLoad!$G120,Q$8*BaseLoad!$AM$9,0))</f>
        <v>29.073853298455656</v>
      </c>
      <c r="R121" s="173">
        <f>IF($A$1="Peak","-",IF(BaseLoad!X120&gt;BaseLoad!$G120,R$8*BaseLoad!$AM$9,0))</f>
        <v>29.073853298455656</v>
      </c>
      <c r="S121" s="173">
        <f>IF($A$1="Peak","-",IF(BaseLoad!Y120&gt;BaseLoad!$G120,S$8*BaseLoad!$AM$9,0))</f>
        <v>29.073853298455656</v>
      </c>
      <c r="T121" s="173">
        <f>IF($A$1="Peak","-",IF(BaseLoad!Z120&gt;BaseLoad!$G120,T$8*BaseLoad!$AM$9,0))</f>
        <v>29.073853298455656</v>
      </c>
      <c r="U121" s="173">
        <f>IF($A$1="Peak","-",IF(BaseLoad!AA120&gt;BaseLoad!$G120,U$8*BaseLoad!$AM$9,0))</f>
        <v>79.953096570753061</v>
      </c>
      <c r="V121" s="173">
        <f t="shared" si="3"/>
        <v>530.5978226968158</v>
      </c>
      <c r="W121" s="173"/>
      <c r="X121" s="173"/>
      <c r="Y121" s="173"/>
    </row>
    <row r="122" spans="1:25" x14ac:dyDescent="0.2">
      <c r="A122" s="1">
        <f t="shared" si="5"/>
        <v>39946.704000000143</v>
      </c>
      <c r="B122" s="173">
        <f>IF($A$1="Peak","-",IF(BaseLoad!H121&gt;BaseLoad!$G121,B$8*BaseLoad!$AM$9,0))</f>
        <v>3.634231662306957</v>
      </c>
      <c r="C122" s="173">
        <f>IF($A$1="Peak","-",IF(BaseLoad!I121&gt;BaseLoad!$G121,C$8*BaseLoad!$AM$9,0))</f>
        <v>3.634231662306957</v>
      </c>
      <c r="D122" s="173">
        <f>IF($A$1="Peak","-",IF(BaseLoad!J121&gt;BaseLoad!$G121,D$8*BaseLoad!$AM$9,0))</f>
        <v>7.2684633246139141</v>
      </c>
      <c r="E122" s="173">
        <f>IF($A$1="Peak","-",IF(BaseLoad!K121&gt;BaseLoad!$G121,E$8*BaseLoad!$AM$9,0))</f>
        <v>14.536926649227828</v>
      </c>
      <c r="F122" s="173">
        <f>IF($A$1="Peak","-",IF(BaseLoad!L121&gt;BaseLoad!$G121,F$8*BaseLoad!$AM$9,0))</f>
        <v>14.536926649227828</v>
      </c>
      <c r="G122" s="173">
        <f>IF($A$1="Peak","-",IF(BaseLoad!M121&gt;BaseLoad!$G121,G$8*BaseLoad!$AM$9,0))</f>
        <v>29.073853298455656</v>
      </c>
      <c r="H122" s="173">
        <f>IF($A$1="Peak","-",IF(BaseLoad!N121&gt;BaseLoad!$G121,H$8*BaseLoad!$AM$9,0))</f>
        <v>29.073853298455656</v>
      </c>
      <c r="I122" s="173">
        <f>IF($A$1="Peak","-",IF(BaseLoad!O121&gt;BaseLoad!$G121,I$8*BaseLoad!$AM$9,0))</f>
        <v>29.073853298455656</v>
      </c>
      <c r="J122" s="173">
        <f>IF($A$1="Peak","-",IF(BaseLoad!P121&gt;BaseLoad!$G121,J$8*BaseLoad!$AM$9,0))</f>
        <v>29.073853298455656</v>
      </c>
      <c r="K122" s="173">
        <f>IF($A$1="Peak","-",IF(BaseLoad!Q121&gt;BaseLoad!$G121,K$8*BaseLoad!$AM$9,0))</f>
        <v>29.073853298455656</v>
      </c>
      <c r="L122" s="173">
        <f>IF($A$1="Peak","-",IF(BaseLoad!R121&gt;BaseLoad!$G121,L$8*BaseLoad!$AM$9,0))</f>
        <v>29.073853298455656</v>
      </c>
      <c r="M122" s="173">
        <f>IF($A$1="Peak","-",IF(BaseLoad!S121&gt;BaseLoad!$G121,M$8*BaseLoad!$AM$9,0))</f>
        <v>29.073853298455656</v>
      </c>
      <c r="N122" s="173">
        <f>IF($A$1="Peak","-",IF(BaseLoad!T121&gt;BaseLoad!$G121,N$8*BaseLoad!$AM$9,0))</f>
        <v>29.073853298455656</v>
      </c>
      <c r="O122" s="173">
        <f>IF($A$1="Peak","-",IF(BaseLoad!U121&gt;BaseLoad!$G121,O$8*BaseLoad!$AM$9,0))</f>
        <v>29.073853298455656</v>
      </c>
      <c r="P122" s="173">
        <f>IF($A$1="Peak","-",IF(BaseLoad!V121&gt;BaseLoad!$G121,P$8*BaseLoad!$AM$9,0))</f>
        <v>29.073853298455656</v>
      </c>
      <c r="Q122" s="173">
        <f>IF($A$1="Peak","-",IF(BaseLoad!W121&gt;BaseLoad!$G121,Q$8*BaseLoad!$AM$9,0))</f>
        <v>29.073853298455656</v>
      </c>
      <c r="R122" s="173">
        <f>IF($A$1="Peak","-",IF(BaseLoad!X121&gt;BaseLoad!$G121,R$8*BaseLoad!$AM$9,0))</f>
        <v>29.073853298455656</v>
      </c>
      <c r="S122" s="173">
        <f>IF($A$1="Peak","-",IF(BaseLoad!Y121&gt;BaseLoad!$G121,S$8*BaseLoad!$AM$9,0))</f>
        <v>29.073853298455656</v>
      </c>
      <c r="T122" s="173">
        <f>IF($A$1="Peak","-",IF(BaseLoad!Z121&gt;BaseLoad!$G121,T$8*BaseLoad!$AM$9,0))</f>
        <v>29.073853298455656</v>
      </c>
      <c r="U122" s="173">
        <f>IF($A$1="Peak","-",IF(BaseLoad!AA121&gt;BaseLoad!$G121,U$8*BaseLoad!$AM$9,0))</f>
        <v>79.953096570753061</v>
      </c>
      <c r="V122" s="173">
        <f t="shared" si="3"/>
        <v>530.5978226968158</v>
      </c>
      <c r="W122" s="173"/>
      <c r="X122" s="173"/>
      <c r="Y122" s="173"/>
    </row>
    <row r="123" spans="1:25" x14ac:dyDescent="0.2">
      <c r="A123" s="1">
        <f t="shared" si="5"/>
        <v>39977.121000000145</v>
      </c>
      <c r="B123" s="173">
        <f>IF($A$1="Peak","-",IF(BaseLoad!H122&gt;BaseLoad!$G122,B$8*BaseLoad!$AM$9,0))</f>
        <v>3.634231662306957</v>
      </c>
      <c r="C123" s="173">
        <f>IF($A$1="Peak","-",IF(BaseLoad!I122&gt;BaseLoad!$G122,C$8*BaseLoad!$AM$9,0))</f>
        <v>3.634231662306957</v>
      </c>
      <c r="D123" s="173">
        <f>IF($A$1="Peak","-",IF(BaseLoad!J122&gt;BaseLoad!$G122,D$8*BaseLoad!$AM$9,0))</f>
        <v>7.2684633246139141</v>
      </c>
      <c r="E123" s="173">
        <f>IF($A$1="Peak","-",IF(BaseLoad!K122&gt;BaseLoad!$G122,E$8*BaseLoad!$AM$9,0))</f>
        <v>14.536926649227828</v>
      </c>
      <c r="F123" s="173">
        <f>IF($A$1="Peak","-",IF(BaseLoad!L122&gt;BaseLoad!$G122,F$8*BaseLoad!$AM$9,0))</f>
        <v>14.536926649227828</v>
      </c>
      <c r="G123" s="173">
        <f>IF($A$1="Peak","-",IF(BaseLoad!M122&gt;BaseLoad!$G122,G$8*BaseLoad!$AM$9,0))</f>
        <v>29.073853298455656</v>
      </c>
      <c r="H123" s="173">
        <f>IF($A$1="Peak","-",IF(BaseLoad!N122&gt;BaseLoad!$G122,H$8*BaseLoad!$AM$9,0))</f>
        <v>29.073853298455656</v>
      </c>
      <c r="I123" s="173">
        <f>IF($A$1="Peak","-",IF(BaseLoad!O122&gt;BaseLoad!$G122,I$8*BaseLoad!$AM$9,0))</f>
        <v>29.073853298455656</v>
      </c>
      <c r="J123" s="173">
        <f>IF($A$1="Peak","-",IF(BaseLoad!P122&gt;BaseLoad!$G122,J$8*BaseLoad!$AM$9,0))</f>
        <v>29.073853298455656</v>
      </c>
      <c r="K123" s="173">
        <f>IF($A$1="Peak","-",IF(BaseLoad!Q122&gt;BaseLoad!$G122,K$8*BaseLoad!$AM$9,0))</f>
        <v>29.073853298455656</v>
      </c>
      <c r="L123" s="173">
        <f>IF($A$1="Peak","-",IF(BaseLoad!R122&gt;BaseLoad!$G122,L$8*BaseLoad!$AM$9,0))</f>
        <v>29.073853298455656</v>
      </c>
      <c r="M123" s="173">
        <f>IF($A$1="Peak","-",IF(BaseLoad!S122&gt;BaseLoad!$G122,M$8*BaseLoad!$AM$9,0))</f>
        <v>29.073853298455656</v>
      </c>
      <c r="N123" s="173">
        <f>IF($A$1="Peak","-",IF(BaseLoad!T122&gt;BaseLoad!$G122,N$8*BaseLoad!$AM$9,0))</f>
        <v>29.073853298455656</v>
      </c>
      <c r="O123" s="173">
        <f>IF($A$1="Peak","-",IF(BaseLoad!U122&gt;BaseLoad!$G122,O$8*BaseLoad!$AM$9,0))</f>
        <v>29.073853298455656</v>
      </c>
      <c r="P123" s="173">
        <f>IF($A$1="Peak","-",IF(BaseLoad!V122&gt;BaseLoad!$G122,P$8*BaseLoad!$AM$9,0))</f>
        <v>29.073853298455656</v>
      </c>
      <c r="Q123" s="173">
        <f>IF($A$1="Peak","-",IF(BaseLoad!W122&gt;BaseLoad!$G122,Q$8*BaseLoad!$AM$9,0))</f>
        <v>29.073853298455656</v>
      </c>
      <c r="R123" s="173">
        <f>IF($A$1="Peak","-",IF(BaseLoad!X122&gt;BaseLoad!$G122,R$8*BaseLoad!$AM$9,0))</f>
        <v>29.073853298455656</v>
      </c>
      <c r="S123" s="173">
        <f>IF($A$1="Peak","-",IF(BaseLoad!Y122&gt;BaseLoad!$G122,S$8*BaseLoad!$AM$9,0))</f>
        <v>29.073853298455656</v>
      </c>
      <c r="T123" s="173">
        <f>IF($A$1="Peak","-",IF(BaseLoad!Z122&gt;BaseLoad!$G122,T$8*BaseLoad!$AM$9,0))</f>
        <v>29.073853298455656</v>
      </c>
      <c r="U123" s="173">
        <f>IF($A$1="Peak","-",IF(BaseLoad!AA122&gt;BaseLoad!$G122,U$8*BaseLoad!$AM$9,0))</f>
        <v>79.953096570753061</v>
      </c>
      <c r="V123" s="173">
        <f t="shared" si="3"/>
        <v>530.5978226968158</v>
      </c>
      <c r="W123" s="173"/>
      <c r="X123" s="173"/>
      <c r="Y123" s="173"/>
    </row>
    <row r="124" spans="1:25" x14ac:dyDescent="0.2">
      <c r="A124" s="1">
        <f t="shared" si="5"/>
        <v>40007.538000000146</v>
      </c>
      <c r="B124" s="173">
        <f>IF($A$1="Peak","-",IF(BaseLoad!H123&gt;BaseLoad!$G123,B$8*BaseLoad!$AM$9,0))</f>
        <v>3.634231662306957</v>
      </c>
      <c r="C124" s="173">
        <f>IF($A$1="Peak","-",IF(BaseLoad!I123&gt;BaseLoad!$G123,C$8*BaseLoad!$AM$9,0))</f>
        <v>3.634231662306957</v>
      </c>
      <c r="D124" s="173">
        <f>IF($A$1="Peak","-",IF(BaseLoad!J123&gt;BaseLoad!$G123,D$8*BaseLoad!$AM$9,0))</f>
        <v>7.2684633246139141</v>
      </c>
      <c r="E124" s="173">
        <f>IF($A$1="Peak","-",IF(BaseLoad!K123&gt;BaseLoad!$G123,E$8*BaseLoad!$AM$9,0))</f>
        <v>14.536926649227828</v>
      </c>
      <c r="F124" s="173">
        <f>IF($A$1="Peak","-",IF(BaseLoad!L123&gt;BaseLoad!$G123,F$8*BaseLoad!$AM$9,0))</f>
        <v>14.536926649227828</v>
      </c>
      <c r="G124" s="173">
        <f>IF($A$1="Peak","-",IF(BaseLoad!M123&gt;BaseLoad!$G123,G$8*BaseLoad!$AM$9,0))</f>
        <v>29.073853298455656</v>
      </c>
      <c r="H124" s="173">
        <f>IF($A$1="Peak","-",IF(BaseLoad!N123&gt;BaseLoad!$G123,H$8*BaseLoad!$AM$9,0))</f>
        <v>29.073853298455656</v>
      </c>
      <c r="I124" s="173">
        <f>IF($A$1="Peak","-",IF(BaseLoad!O123&gt;BaseLoad!$G123,I$8*BaseLoad!$AM$9,0))</f>
        <v>29.073853298455656</v>
      </c>
      <c r="J124" s="173">
        <f>IF($A$1="Peak","-",IF(BaseLoad!P123&gt;BaseLoad!$G123,J$8*BaseLoad!$AM$9,0))</f>
        <v>29.073853298455656</v>
      </c>
      <c r="K124" s="173">
        <f>IF($A$1="Peak","-",IF(BaseLoad!Q123&gt;BaseLoad!$G123,K$8*BaseLoad!$AM$9,0))</f>
        <v>29.073853298455656</v>
      </c>
      <c r="L124" s="173">
        <f>IF($A$1="Peak","-",IF(BaseLoad!R123&gt;BaseLoad!$G123,L$8*BaseLoad!$AM$9,0))</f>
        <v>29.073853298455656</v>
      </c>
      <c r="M124" s="173">
        <f>IF($A$1="Peak","-",IF(BaseLoad!S123&gt;BaseLoad!$G123,M$8*BaseLoad!$AM$9,0))</f>
        <v>29.073853298455656</v>
      </c>
      <c r="N124" s="173">
        <f>IF($A$1="Peak","-",IF(BaseLoad!T123&gt;BaseLoad!$G123,N$8*BaseLoad!$AM$9,0))</f>
        <v>29.073853298455656</v>
      </c>
      <c r="O124" s="173">
        <f>IF($A$1="Peak","-",IF(BaseLoad!U123&gt;BaseLoad!$G123,O$8*BaseLoad!$AM$9,0))</f>
        <v>29.073853298455656</v>
      </c>
      <c r="P124" s="173">
        <f>IF($A$1="Peak","-",IF(BaseLoad!V123&gt;BaseLoad!$G123,P$8*BaseLoad!$AM$9,0))</f>
        <v>29.073853298455656</v>
      </c>
      <c r="Q124" s="173">
        <f>IF($A$1="Peak","-",IF(BaseLoad!W123&gt;BaseLoad!$G123,Q$8*BaseLoad!$AM$9,0))</f>
        <v>29.073853298455656</v>
      </c>
      <c r="R124" s="173">
        <f>IF($A$1="Peak","-",IF(BaseLoad!X123&gt;BaseLoad!$G123,R$8*BaseLoad!$AM$9,0))</f>
        <v>29.073853298455656</v>
      </c>
      <c r="S124" s="173">
        <f>IF($A$1="Peak","-",IF(BaseLoad!Y123&gt;BaseLoad!$G123,S$8*BaseLoad!$AM$9,0))</f>
        <v>29.073853298455656</v>
      </c>
      <c r="T124" s="173">
        <f>IF($A$1="Peak","-",IF(BaseLoad!Z123&gt;BaseLoad!$G123,T$8*BaseLoad!$AM$9,0))</f>
        <v>29.073853298455656</v>
      </c>
      <c r="U124" s="173">
        <f>IF($A$1="Peak","-",IF(BaseLoad!AA123&gt;BaseLoad!$G123,U$8*BaseLoad!$AM$9,0))</f>
        <v>79.953096570753061</v>
      </c>
      <c r="V124" s="173">
        <f t="shared" si="3"/>
        <v>530.5978226968158</v>
      </c>
      <c r="W124" s="173"/>
      <c r="X124" s="173"/>
      <c r="Y124" s="173"/>
    </row>
    <row r="125" spans="1:25" x14ac:dyDescent="0.2">
      <c r="A125" s="1">
        <f t="shared" si="5"/>
        <v>40037.955000000147</v>
      </c>
      <c r="B125" s="173">
        <f>IF($A$1="Peak","-",IF(BaseLoad!H124&gt;BaseLoad!$G124,B$8*BaseLoad!$AM$9,0))</f>
        <v>3.634231662306957</v>
      </c>
      <c r="C125" s="173">
        <f>IF($A$1="Peak","-",IF(BaseLoad!I124&gt;BaseLoad!$G124,C$8*BaseLoad!$AM$9,0))</f>
        <v>3.634231662306957</v>
      </c>
      <c r="D125" s="173">
        <f>IF($A$1="Peak","-",IF(BaseLoad!J124&gt;BaseLoad!$G124,D$8*BaseLoad!$AM$9,0))</f>
        <v>7.2684633246139141</v>
      </c>
      <c r="E125" s="173">
        <f>IF($A$1="Peak","-",IF(BaseLoad!K124&gt;BaseLoad!$G124,E$8*BaseLoad!$AM$9,0))</f>
        <v>14.536926649227828</v>
      </c>
      <c r="F125" s="173">
        <f>IF($A$1="Peak","-",IF(BaseLoad!L124&gt;BaseLoad!$G124,F$8*BaseLoad!$AM$9,0))</f>
        <v>14.536926649227828</v>
      </c>
      <c r="G125" s="173">
        <f>IF($A$1="Peak","-",IF(BaseLoad!M124&gt;BaseLoad!$G124,G$8*BaseLoad!$AM$9,0))</f>
        <v>29.073853298455656</v>
      </c>
      <c r="H125" s="173">
        <f>IF($A$1="Peak","-",IF(BaseLoad!N124&gt;BaseLoad!$G124,H$8*BaseLoad!$AM$9,0))</f>
        <v>29.073853298455656</v>
      </c>
      <c r="I125" s="173">
        <f>IF($A$1="Peak","-",IF(BaseLoad!O124&gt;BaseLoad!$G124,I$8*BaseLoad!$AM$9,0))</f>
        <v>29.073853298455656</v>
      </c>
      <c r="J125" s="173">
        <f>IF($A$1="Peak","-",IF(BaseLoad!P124&gt;BaseLoad!$G124,J$8*BaseLoad!$AM$9,0))</f>
        <v>29.073853298455656</v>
      </c>
      <c r="K125" s="173">
        <f>IF($A$1="Peak","-",IF(BaseLoad!Q124&gt;BaseLoad!$G124,K$8*BaseLoad!$AM$9,0))</f>
        <v>29.073853298455656</v>
      </c>
      <c r="L125" s="173">
        <f>IF($A$1="Peak","-",IF(BaseLoad!R124&gt;BaseLoad!$G124,L$8*BaseLoad!$AM$9,0))</f>
        <v>29.073853298455656</v>
      </c>
      <c r="M125" s="173">
        <f>IF($A$1="Peak","-",IF(BaseLoad!S124&gt;BaseLoad!$G124,M$8*BaseLoad!$AM$9,0))</f>
        <v>29.073853298455656</v>
      </c>
      <c r="N125" s="173">
        <f>IF($A$1="Peak","-",IF(BaseLoad!T124&gt;BaseLoad!$G124,N$8*BaseLoad!$AM$9,0))</f>
        <v>29.073853298455656</v>
      </c>
      <c r="O125" s="173">
        <f>IF($A$1="Peak","-",IF(BaseLoad!U124&gt;BaseLoad!$G124,O$8*BaseLoad!$AM$9,0))</f>
        <v>29.073853298455656</v>
      </c>
      <c r="P125" s="173">
        <f>IF($A$1="Peak","-",IF(BaseLoad!V124&gt;BaseLoad!$G124,P$8*BaseLoad!$AM$9,0))</f>
        <v>29.073853298455656</v>
      </c>
      <c r="Q125" s="173">
        <f>IF($A$1="Peak","-",IF(BaseLoad!W124&gt;BaseLoad!$G124,Q$8*BaseLoad!$AM$9,0))</f>
        <v>29.073853298455656</v>
      </c>
      <c r="R125" s="173">
        <f>IF($A$1="Peak","-",IF(BaseLoad!X124&gt;BaseLoad!$G124,R$8*BaseLoad!$AM$9,0))</f>
        <v>29.073853298455656</v>
      </c>
      <c r="S125" s="173">
        <f>IF($A$1="Peak","-",IF(BaseLoad!Y124&gt;BaseLoad!$G124,S$8*BaseLoad!$AM$9,0))</f>
        <v>29.073853298455656</v>
      </c>
      <c r="T125" s="173">
        <f>IF($A$1="Peak","-",IF(BaseLoad!Z124&gt;BaseLoad!$G124,T$8*BaseLoad!$AM$9,0))</f>
        <v>29.073853298455656</v>
      </c>
      <c r="U125" s="173">
        <f>IF($A$1="Peak","-",IF(BaseLoad!AA124&gt;BaseLoad!$G124,U$8*BaseLoad!$AM$9,0))</f>
        <v>79.953096570753061</v>
      </c>
      <c r="V125" s="173">
        <f t="shared" si="3"/>
        <v>530.5978226968158</v>
      </c>
      <c r="W125" s="173"/>
      <c r="X125" s="173"/>
      <c r="Y125" s="173"/>
    </row>
    <row r="126" spans="1:25" x14ac:dyDescent="0.2">
      <c r="A126" s="1">
        <f t="shared" si="5"/>
        <v>40068.372000000149</v>
      </c>
      <c r="B126" s="173">
        <f>IF($A$1="Peak","-",IF(BaseLoad!H125&gt;BaseLoad!$G125,B$8*BaseLoad!$AM$9,0))</f>
        <v>3.634231662306957</v>
      </c>
      <c r="C126" s="173">
        <f>IF($A$1="Peak","-",IF(BaseLoad!I125&gt;BaseLoad!$G125,C$8*BaseLoad!$AM$9,0))</f>
        <v>3.634231662306957</v>
      </c>
      <c r="D126" s="173">
        <f>IF($A$1="Peak","-",IF(BaseLoad!J125&gt;BaseLoad!$G125,D$8*BaseLoad!$AM$9,0))</f>
        <v>7.2684633246139141</v>
      </c>
      <c r="E126" s="173">
        <f>IF($A$1="Peak","-",IF(BaseLoad!K125&gt;BaseLoad!$G125,E$8*BaseLoad!$AM$9,0))</f>
        <v>14.536926649227828</v>
      </c>
      <c r="F126" s="173">
        <f>IF($A$1="Peak","-",IF(BaseLoad!L125&gt;BaseLoad!$G125,F$8*BaseLoad!$AM$9,0))</f>
        <v>14.536926649227828</v>
      </c>
      <c r="G126" s="173">
        <f>IF($A$1="Peak","-",IF(BaseLoad!M125&gt;BaseLoad!$G125,G$8*BaseLoad!$AM$9,0))</f>
        <v>29.073853298455656</v>
      </c>
      <c r="H126" s="173">
        <f>IF($A$1="Peak","-",IF(BaseLoad!N125&gt;BaseLoad!$G125,H$8*BaseLoad!$AM$9,0))</f>
        <v>29.073853298455656</v>
      </c>
      <c r="I126" s="173">
        <f>IF($A$1="Peak","-",IF(BaseLoad!O125&gt;BaseLoad!$G125,I$8*BaseLoad!$AM$9,0))</f>
        <v>29.073853298455656</v>
      </c>
      <c r="J126" s="173">
        <f>IF($A$1="Peak","-",IF(BaseLoad!P125&gt;BaseLoad!$G125,J$8*BaseLoad!$AM$9,0))</f>
        <v>29.073853298455656</v>
      </c>
      <c r="K126" s="173">
        <f>IF($A$1="Peak","-",IF(BaseLoad!Q125&gt;BaseLoad!$G125,K$8*BaseLoad!$AM$9,0))</f>
        <v>29.073853298455656</v>
      </c>
      <c r="L126" s="173">
        <f>IF($A$1="Peak","-",IF(BaseLoad!R125&gt;BaseLoad!$G125,L$8*BaseLoad!$AM$9,0))</f>
        <v>29.073853298455656</v>
      </c>
      <c r="M126" s="173">
        <f>IF($A$1="Peak","-",IF(BaseLoad!S125&gt;BaseLoad!$G125,M$8*BaseLoad!$AM$9,0))</f>
        <v>29.073853298455656</v>
      </c>
      <c r="N126" s="173">
        <f>IF($A$1="Peak","-",IF(BaseLoad!T125&gt;BaseLoad!$G125,N$8*BaseLoad!$AM$9,0))</f>
        <v>29.073853298455656</v>
      </c>
      <c r="O126" s="173">
        <f>IF($A$1="Peak","-",IF(BaseLoad!U125&gt;BaseLoad!$G125,O$8*BaseLoad!$AM$9,0))</f>
        <v>29.073853298455656</v>
      </c>
      <c r="P126" s="173">
        <f>IF($A$1="Peak","-",IF(BaseLoad!V125&gt;BaseLoad!$G125,P$8*BaseLoad!$AM$9,0))</f>
        <v>29.073853298455656</v>
      </c>
      <c r="Q126" s="173">
        <f>IF($A$1="Peak","-",IF(BaseLoad!W125&gt;BaseLoad!$G125,Q$8*BaseLoad!$AM$9,0))</f>
        <v>29.073853298455656</v>
      </c>
      <c r="R126" s="173">
        <f>IF($A$1="Peak","-",IF(BaseLoad!X125&gt;BaseLoad!$G125,R$8*BaseLoad!$AM$9,0))</f>
        <v>29.073853298455656</v>
      </c>
      <c r="S126" s="173">
        <f>IF($A$1="Peak","-",IF(BaseLoad!Y125&gt;BaseLoad!$G125,S$8*BaseLoad!$AM$9,0))</f>
        <v>29.073853298455656</v>
      </c>
      <c r="T126" s="173">
        <f>IF($A$1="Peak","-",IF(BaseLoad!Z125&gt;BaseLoad!$G125,T$8*BaseLoad!$AM$9,0))</f>
        <v>29.073853298455656</v>
      </c>
      <c r="U126" s="173">
        <f>IF($A$1="Peak","-",IF(BaseLoad!AA125&gt;BaseLoad!$G125,U$8*BaseLoad!$AM$9,0))</f>
        <v>79.953096570753061</v>
      </c>
      <c r="V126" s="173">
        <f t="shared" si="3"/>
        <v>530.5978226968158</v>
      </c>
      <c r="W126" s="173"/>
      <c r="X126" s="173"/>
      <c r="Y126" s="173"/>
    </row>
    <row r="127" spans="1:25" x14ac:dyDescent="0.2">
      <c r="A127" s="1">
        <f t="shared" si="5"/>
        <v>40098.78900000015</v>
      </c>
      <c r="B127" s="173">
        <f>IF($A$1="Peak","-",IF(BaseLoad!H126&gt;BaseLoad!$G126,B$8*BaseLoad!$AM$9,0))</f>
        <v>3.634231662306957</v>
      </c>
      <c r="C127" s="173">
        <f>IF($A$1="Peak","-",IF(BaseLoad!I126&gt;BaseLoad!$G126,C$8*BaseLoad!$AM$9,0))</f>
        <v>3.634231662306957</v>
      </c>
      <c r="D127" s="173">
        <f>IF($A$1="Peak","-",IF(BaseLoad!J126&gt;BaseLoad!$G126,D$8*BaseLoad!$AM$9,0))</f>
        <v>7.2684633246139141</v>
      </c>
      <c r="E127" s="173">
        <f>IF($A$1="Peak","-",IF(BaseLoad!K126&gt;BaseLoad!$G126,E$8*BaseLoad!$AM$9,0))</f>
        <v>14.536926649227828</v>
      </c>
      <c r="F127" s="173">
        <f>IF($A$1="Peak","-",IF(BaseLoad!L126&gt;BaseLoad!$G126,F$8*BaseLoad!$AM$9,0))</f>
        <v>14.536926649227828</v>
      </c>
      <c r="G127" s="173">
        <f>IF($A$1="Peak","-",IF(BaseLoad!M126&gt;BaseLoad!$G126,G$8*BaseLoad!$AM$9,0))</f>
        <v>29.073853298455656</v>
      </c>
      <c r="H127" s="173">
        <f>IF($A$1="Peak","-",IF(BaseLoad!N126&gt;BaseLoad!$G126,H$8*BaseLoad!$AM$9,0))</f>
        <v>29.073853298455656</v>
      </c>
      <c r="I127" s="173">
        <f>IF($A$1="Peak","-",IF(BaseLoad!O126&gt;BaseLoad!$G126,I$8*BaseLoad!$AM$9,0))</f>
        <v>29.073853298455656</v>
      </c>
      <c r="J127" s="173">
        <f>IF($A$1="Peak","-",IF(BaseLoad!P126&gt;BaseLoad!$G126,J$8*BaseLoad!$AM$9,0))</f>
        <v>29.073853298455656</v>
      </c>
      <c r="K127" s="173">
        <f>IF($A$1="Peak","-",IF(BaseLoad!Q126&gt;BaseLoad!$G126,K$8*BaseLoad!$AM$9,0))</f>
        <v>29.073853298455656</v>
      </c>
      <c r="L127" s="173">
        <f>IF($A$1="Peak","-",IF(BaseLoad!R126&gt;BaseLoad!$G126,L$8*BaseLoad!$AM$9,0))</f>
        <v>29.073853298455656</v>
      </c>
      <c r="M127" s="173">
        <f>IF($A$1="Peak","-",IF(BaseLoad!S126&gt;BaseLoad!$G126,M$8*BaseLoad!$AM$9,0))</f>
        <v>29.073853298455656</v>
      </c>
      <c r="N127" s="173">
        <f>IF($A$1="Peak","-",IF(BaseLoad!T126&gt;BaseLoad!$G126,N$8*BaseLoad!$AM$9,0))</f>
        <v>29.073853298455656</v>
      </c>
      <c r="O127" s="173">
        <f>IF($A$1="Peak","-",IF(BaseLoad!U126&gt;BaseLoad!$G126,O$8*BaseLoad!$AM$9,0))</f>
        <v>29.073853298455656</v>
      </c>
      <c r="P127" s="173">
        <f>IF($A$1="Peak","-",IF(BaseLoad!V126&gt;BaseLoad!$G126,P$8*BaseLoad!$AM$9,0))</f>
        <v>29.073853298455656</v>
      </c>
      <c r="Q127" s="173">
        <f>IF($A$1="Peak","-",IF(BaseLoad!W126&gt;BaseLoad!$G126,Q$8*BaseLoad!$AM$9,0))</f>
        <v>29.073853298455656</v>
      </c>
      <c r="R127" s="173">
        <f>IF($A$1="Peak","-",IF(BaseLoad!X126&gt;BaseLoad!$G126,R$8*BaseLoad!$AM$9,0))</f>
        <v>29.073853298455656</v>
      </c>
      <c r="S127" s="173">
        <f>IF($A$1="Peak","-",IF(BaseLoad!Y126&gt;BaseLoad!$G126,S$8*BaseLoad!$AM$9,0))</f>
        <v>29.073853298455656</v>
      </c>
      <c r="T127" s="173">
        <f>IF($A$1="Peak","-",IF(BaseLoad!Z126&gt;BaseLoad!$G126,T$8*BaseLoad!$AM$9,0))</f>
        <v>29.073853298455656</v>
      </c>
      <c r="U127" s="173">
        <f>IF($A$1="Peak","-",IF(BaseLoad!AA126&gt;BaseLoad!$G126,U$8*BaseLoad!$AM$9,0))</f>
        <v>79.953096570753061</v>
      </c>
      <c r="V127" s="173">
        <f t="shared" si="3"/>
        <v>530.5978226968158</v>
      </c>
      <c r="W127" s="173"/>
      <c r="X127" s="173"/>
      <c r="Y127" s="173"/>
    </row>
    <row r="128" spans="1:25" x14ac:dyDescent="0.2">
      <c r="A128" s="1">
        <f t="shared" si="5"/>
        <v>40129.206000000151</v>
      </c>
      <c r="B128" s="173">
        <f>IF($A$1="Peak","-",IF(BaseLoad!H127&gt;BaseLoad!$G127,B$8*BaseLoad!$AM$9,0))</f>
        <v>3.634231662306957</v>
      </c>
      <c r="C128" s="173">
        <f>IF($A$1="Peak","-",IF(BaseLoad!I127&gt;BaseLoad!$G127,C$8*BaseLoad!$AM$9,0))</f>
        <v>3.634231662306957</v>
      </c>
      <c r="D128" s="173">
        <f>IF($A$1="Peak","-",IF(BaseLoad!J127&gt;BaseLoad!$G127,D$8*BaseLoad!$AM$9,0))</f>
        <v>7.2684633246139141</v>
      </c>
      <c r="E128" s="173">
        <f>IF($A$1="Peak","-",IF(BaseLoad!K127&gt;BaseLoad!$G127,E$8*BaseLoad!$AM$9,0))</f>
        <v>14.536926649227828</v>
      </c>
      <c r="F128" s="173">
        <f>IF($A$1="Peak","-",IF(BaseLoad!L127&gt;BaseLoad!$G127,F$8*BaseLoad!$AM$9,0))</f>
        <v>14.536926649227828</v>
      </c>
      <c r="G128" s="173">
        <f>IF($A$1="Peak","-",IF(BaseLoad!M127&gt;BaseLoad!$G127,G$8*BaseLoad!$AM$9,0))</f>
        <v>29.073853298455656</v>
      </c>
      <c r="H128" s="173">
        <f>IF($A$1="Peak","-",IF(BaseLoad!N127&gt;BaseLoad!$G127,H$8*BaseLoad!$AM$9,0))</f>
        <v>29.073853298455656</v>
      </c>
      <c r="I128" s="173">
        <f>IF($A$1="Peak","-",IF(BaseLoad!O127&gt;BaseLoad!$G127,I$8*BaseLoad!$AM$9,0))</f>
        <v>29.073853298455656</v>
      </c>
      <c r="J128" s="173">
        <f>IF($A$1="Peak","-",IF(BaseLoad!P127&gt;BaseLoad!$G127,J$8*BaseLoad!$AM$9,0))</f>
        <v>29.073853298455656</v>
      </c>
      <c r="K128" s="173">
        <f>IF($A$1="Peak","-",IF(BaseLoad!Q127&gt;BaseLoad!$G127,K$8*BaseLoad!$AM$9,0))</f>
        <v>29.073853298455656</v>
      </c>
      <c r="L128" s="173">
        <f>IF($A$1="Peak","-",IF(BaseLoad!R127&gt;BaseLoad!$G127,L$8*BaseLoad!$AM$9,0))</f>
        <v>29.073853298455656</v>
      </c>
      <c r="M128" s="173">
        <f>IF($A$1="Peak","-",IF(BaseLoad!S127&gt;BaseLoad!$G127,M$8*BaseLoad!$AM$9,0))</f>
        <v>29.073853298455656</v>
      </c>
      <c r="N128" s="173">
        <f>IF($A$1="Peak","-",IF(BaseLoad!T127&gt;BaseLoad!$G127,N$8*BaseLoad!$AM$9,0))</f>
        <v>29.073853298455656</v>
      </c>
      <c r="O128" s="173">
        <f>IF($A$1="Peak","-",IF(BaseLoad!U127&gt;BaseLoad!$G127,O$8*BaseLoad!$AM$9,0))</f>
        <v>29.073853298455656</v>
      </c>
      <c r="P128" s="173">
        <f>IF($A$1="Peak","-",IF(BaseLoad!V127&gt;BaseLoad!$G127,P$8*BaseLoad!$AM$9,0))</f>
        <v>29.073853298455656</v>
      </c>
      <c r="Q128" s="173">
        <f>IF($A$1="Peak","-",IF(BaseLoad!W127&gt;BaseLoad!$G127,Q$8*BaseLoad!$AM$9,0))</f>
        <v>29.073853298455656</v>
      </c>
      <c r="R128" s="173">
        <f>IF($A$1="Peak","-",IF(BaseLoad!X127&gt;BaseLoad!$G127,R$8*BaseLoad!$AM$9,0))</f>
        <v>29.073853298455656</v>
      </c>
      <c r="S128" s="173">
        <f>IF($A$1="Peak","-",IF(BaseLoad!Y127&gt;BaseLoad!$G127,S$8*BaseLoad!$AM$9,0))</f>
        <v>29.073853298455656</v>
      </c>
      <c r="T128" s="173">
        <f>IF($A$1="Peak","-",IF(BaseLoad!Z127&gt;BaseLoad!$G127,T$8*BaseLoad!$AM$9,0))</f>
        <v>29.073853298455656</v>
      </c>
      <c r="U128" s="173">
        <f>IF($A$1="Peak","-",IF(BaseLoad!AA127&gt;BaseLoad!$G127,U$8*BaseLoad!$AM$9,0))</f>
        <v>79.953096570753061</v>
      </c>
      <c r="V128" s="173">
        <f t="shared" si="3"/>
        <v>530.5978226968158</v>
      </c>
      <c r="W128" s="173"/>
      <c r="X128" s="173"/>
      <c r="Y128" s="173"/>
    </row>
    <row r="129" spans="1:25" x14ac:dyDescent="0.2">
      <c r="A129" s="1">
        <f t="shared" si="5"/>
        <v>40159.623000000152</v>
      </c>
      <c r="B129" s="173">
        <f>IF($A$1="Peak","-",IF(BaseLoad!H128&gt;BaseLoad!$G128,B$8*BaseLoad!$AM$9,0))</f>
        <v>3.634231662306957</v>
      </c>
      <c r="C129" s="173">
        <f>IF($A$1="Peak","-",IF(BaseLoad!I128&gt;BaseLoad!$G128,C$8*BaseLoad!$AM$9,0))</f>
        <v>3.634231662306957</v>
      </c>
      <c r="D129" s="173">
        <f>IF($A$1="Peak","-",IF(BaseLoad!J128&gt;BaseLoad!$G128,D$8*BaseLoad!$AM$9,0))</f>
        <v>7.2684633246139141</v>
      </c>
      <c r="E129" s="173">
        <f>IF($A$1="Peak","-",IF(BaseLoad!K128&gt;BaseLoad!$G128,E$8*BaseLoad!$AM$9,0))</f>
        <v>14.536926649227828</v>
      </c>
      <c r="F129" s="173">
        <f>IF($A$1="Peak","-",IF(BaseLoad!L128&gt;BaseLoad!$G128,F$8*BaseLoad!$AM$9,0))</f>
        <v>14.536926649227828</v>
      </c>
      <c r="G129" s="173">
        <f>IF($A$1="Peak","-",IF(BaseLoad!M128&gt;BaseLoad!$G128,G$8*BaseLoad!$AM$9,0))</f>
        <v>29.073853298455656</v>
      </c>
      <c r="H129" s="173">
        <f>IF($A$1="Peak","-",IF(BaseLoad!N128&gt;BaseLoad!$G128,H$8*BaseLoad!$AM$9,0))</f>
        <v>29.073853298455656</v>
      </c>
      <c r="I129" s="173">
        <f>IF($A$1="Peak","-",IF(BaseLoad!O128&gt;BaseLoad!$G128,I$8*BaseLoad!$AM$9,0))</f>
        <v>29.073853298455656</v>
      </c>
      <c r="J129" s="173">
        <f>IF($A$1="Peak","-",IF(BaseLoad!P128&gt;BaseLoad!$G128,J$8*BaseLoad!$AM$9,0))</f>
        <v>29.073853298455656</v>
      </c>
      <c r="K129" s="173">
        <f>IF($A$1="Peak","-",IF(BaseLoad!Q128&gt;BaseLoad!$G128,K$8*BaseLoad!$AM$9,0))</f>
        <v>29.073853298455656</v>
      </c>
      <c r="L129" s="173">
        <f>IF($A$1="Peak","-",IF(BaseLoad!R128&gt;BaseLoad!$G128,L$8*BaseLoad!$AM$9,0))</f>
        <v>29.073853298455656</v>
      </c>
      <c r="M129" s="173">
        <f>IF($A$1="Peak","-",IF(BaseLoad!S128&gt;BaseLoad!$G128,M$8*BaseLoad!$AM$9,0))</f>
        <v>29.073853298455656</v>
      </c>
      <c r="N129" s="173">
        <f>IF($A$1="Peak","-",IF(BaseLoad!T128&gt;BaseLoad!$G128,N$8*BaseLoad!$AM$9,0))</f>
        <v>29.073853298455656</v>
      </c>
      <c r="O129" s="173">
        <f>IF($A$1="Peak","-",IF(BaseLoad!U128&gt;BaseLoad!$G128,O$8*BaseLoad!$AM$9,0))</f>
        <v>29.073853298455656</v>
      </c>
      <c r="P129" s="173">
        <f>IF($A$1="Peak","-",IF(BaseLoad!V128&gt;BaseLoad!$G128,P$8*BaseLoad!$AM$9,0))</f>
        <v>29.073853298455656</v>
      </c>
      <c r="Q129" s="173">
        <f>IF($A$1="Peak","-",IF(BaseLoad!W128&gt;BaseLoad!$G128,Q$8*BaseLoad!$AM$9,0))</f>
        <v>29.073853298455656</v>
      </c>
      <c r="R129" s="173">
        <f>IF($A$1="Peak","-",IF(BaseLoad!X128&gt;BaseLoad!$G128,R$8*BaseLoad!$AM$9,0))</f>
        <v>29.073853298455656</v>
      </c>
      <c r="S129" s="173">
        <f>IF($A$1="Peak","-",IF(BaseLoad!Y128&gt;BaseLoad!$G128,S$8*BaseLoad!$AM$9,0))</f>
        <v>29.073853298455656</v>
      </c>
      <c r="T129" s="173">
        <f>IF($A$1="Peak","-",IF(BaseLoad!Z128&gt;BaseLoad!$G128,T$8*BaseLoad!$AM$9,0))</f>
        <v>29.073853298455656</v>
      </c>
      <c r="U129" s="173">
        <f>IF($A$1="Peak","-",IF(BaseLoad!AA128&gt;BaseLoad!$G128,U$8*BaseLoad!$AM$9,0))</f>
        <v>79.953096570753061</v>
      </c>
      <c r="V129" s="173">
        <f t="shared" si="3"/>
        <v>530.5978226968158</v>
      </c>
      <c r="W129" s="173"/>
      <c r="X129" s="173"/>
      <c r="Y129" s="173">
        <f>SUM(V118:V129)</f>
        <v>6367.1738723617882</v>
      </c>
    </row>
    <row r="130" spans="1:25" x14ac:dyDescent="0.2">
      <c r="A130" s="1">
        <f t="shared" si="5"/>
        <v>40190.040000000154</v>
      </c>
      <c r="B130" s="173">
        <f>IF($A$1="Peak","-",IF(BaseLoad!H129&gt;BaseLoad!$G129,B$8*BaseLoad!$AM$9,0))</f>
        <v>3.634231662306957</v>
      </c>
      <c r="C130" s="173">
        <f>IF($A$1="Peak","-",IF(BaseLoad!I129&gt;BaseLoad!$G129,C$8*BaseLoad!$AM$9,0))</f>
        <v>3.634231662306957</v>
      </c>
      <c r="D130" s="173">
        <f>IF($A$1="Peak","-",IF(BaseLoad!J129&gt;BaseLoad!$G129,D$8*BaseLoad!$AM$9,0))</f>
        <v>7.2684633246139141</v>
      </c>
      <c r="E130" s="173">
        <f>IF($A$1="Peak","-",IF(BaseLoad!K129&gt;BaseLoad!$G129,E$8*BaseLoad!$AM$9,0))</f>
        <v>14.536926649227828</v>
      </c>
      <c r="F130" s="173">
        <f>IF($A$1="Peak","-",IF(BaseLoad!L129&gt;BaseLoad!$G129,F$8*BaseLoad!$AM$9,0))</f>
        <v>14.536926649227828</v>
      </c>
      <c r="G130" s="173">
        <f>IF($A$1="Peak","-",IF(BaseLoad!M129&gt;BaseLoad!$G129,G$8*BaseLoad!$AM$9,0))</f>
        <v>29.073853298455656</v>
      </c>
      <c r="H130" s="173">
        <f>IF($A$1="Peak","-",IF(BaseLoad!N129&gt;BaseLoad!$G129,H$8*BaseLoad!$AM$9,0))</f>
        <v>29.073853298455656</v>
      </c>
      <c r="I130" s="173">
        <f>IF($A$1="Peak","-",IF(BaseLoad!O129&gt;BaseLoad!$G129,I$8*BaseLoad!$AM$9,0))</f>
        <v>29.073853298455656</v>
      </c>
      <c r="J130" s="173">
        <f>IF($A$1="Peak","-",IF(BaseLoad!P129&gt;BaseLoad!$G129,J$8*BaseLoad!$AM$9,0))</f>
        <v>29.073853298455656</v>
      </c>
      <c r="K130" s="173">
        <f>IF($A$1="Peak","-",IF(BaseLoad!Q129&gt;BaseLoad!$G129,K$8*BaseLoad!$AM$9,0))</f>
        <v>29.073853298455656</v>
      </c>
      <c r="L130" s="173">
        <f>IF($A$1="Peak","-",IF(BaseLoad!R129&gt;BaseLoad!$G129,L$8*BaseLoad!$AM$9,0))</f>
        <v>29.073853298455656</v>
      </c>
      <c r="M130" s="173">
        <f>IF($A$1="Peak","-",IF(BaseLoad!S129&gt;BaseLoad!$G129,M$8*BaseLoad!$AM$9,0))</f>
        <v>29.073853298455656</v>
      </c>
      <c r="N130" s="173">
        <f>IF($A$1="Peak","-",IF(BaseLoad!T129&gt;BaseLoad!$G129,N$8*BaseLoad!$AM$9,0))</f>
        <v>29.073853298455656</v>
      </c>
      <c r="O130" s="173">
        <f>IF($A$1="Peak","-",IF(BaseLoad!U129&gt;BaseLoad!$G129,O$8*BaseLoad!$AM$9,0))</f>
        <v>29.073853298455656</v>
      </c>
      <c r="P130" s="173">
        <f>IF($A$1="Peak","-",IF(BaseLoad!V129&gt;BaseLoad!$G129,P$8*BaseLoad!$AM$9,0))</f>
        <v>29.073853298455656</v>
      </c>
      <c r="Q130" s="173">
        <f>IF($A$1="Peak","-",IF(BaseLoad!W129&gt;BaseLoad!$G129,Q$8*BaseLoad!$AM$9,0))</f>
        <v>29.073853298455656</v>
      </c>
      <c r="R130" s="173">
        <f>IF($A$1="Peak","-",IF(BaseLoad!X129&gt;BaseLoad!$G129,R$8*BaseLoad!$AM$9,0))</f>
        <v>29.073853298455656</v>
      </c>
      <c r="S130" s="173">
        <f>IF($A$1="Peak","-",IF(BaseLoad!Y129&gt;BaseLoad!$G129,S$8*BaseLoad!$AM$9,0))</f>
        <v>29.073853298455656</v>
      </c>
      <c r="T130" s="173">
        <f>IF($A$1="Peak","-",IF(BaseLoad!Z129&gt;BaseLoad!$G129,T$8*BaseLoad!$AM$9,0))</f>
        <v>29.073853298455656</v>
      </c>
      <c r="U130" s="173">
        <f>IF($A$1="Peak","-",IF(BaseLoad!AA129&gt;BaseLoad!$G129,U$8*BaseLoad!$AM$9,0))</f>
        <v>79.953096570753061</v>
      </c>
      <c r="V130" s="173">
        <f t="shared" si="3"/>
        <v>530.5978226968158</v>
      </c>
      <c r="W130" s="173"/>
      <c r="X130" s="173"/>
      <c r="Y130" s="173"/>
    </row>
    <row r="131" spans="1:25" x14ac:dyDescent="0.2">
      <c r="A131" s="1">
        <f t="shared" si="5"/>
        <v>40220.457000000155</v>
      </c>
      <c r="B131" s="173">
        <f>IF($A$1="Peak","-",IF(BaseLoad!H130&gt;BaseLoad!$G130,B$8*BaseLoad!$AM$9,0))</f>
        <v>3.634231662306957</v>
      </c>
      <c r="C131" s="173">
        <f>IF($A$1="Peak","-",IF(BaseLoad!I130&gt;BaseLoad!$G130,C$8*BaseLoad!$AM$9,0))</f>
        <v>3.634231662306957</v>
      </c>
      <c r="D131" s="173">
        <f>IF($A$1="Peak","-",IF(BaseLoad!J130&gt;BaseLoad!$G130,D$8*BaseLoad!$AM$9,0))</f>
        <v>7.2684633246139141</v>
      </c>
      <c r="E131" s="173">
        <f>IF($A$1="Peak","-",IF(BaseLoad!K130&gt;BaseLoad!$G130,E$8*BaseLoad!$AM$9,0))</f>
        <v>14.536926649227828</v>
      </c>
      <c r="F131" s="173">
        <f>IF($A$1="Peak","-",IF(BaseLoad!L130&gt;BaseLoad!$G130,F$8*BaseLoad!$AM$9,0))</f>
        <v>14.536926649227828</v>
      </c>
      <c r="G131" s="173">
        <f>IF($A$1="Peak","-",IF(BaseLoad!M130&gt;BaseLoad!$G130,G$8*BaseLoad!$AM$9,0))</f>
        <v>29.073853298455656</v>
      </c>
      <c r="H131" s="173">
        <f>IF($A$1="Peak","-",IF(BaseLoad!N130&gt;BaseLoad!$G130,H$8*BaseLoad!$AM$9,0))</f>
        <v>29.073853298455656</v>
      </c>
      <c r="I131" s="173">
        <f>IF($A$1="Peak","-",IF(BaseLoad!O130&gt;BaseLoad!$G130,I$8*BaseLoad!$AM$9,0))</f>
        <v>29.073853298455656</v>
      </c>
      <c r="J131" s="173">
        <f>IF($A$1="Peak","-",IF(BaseLoad!P130&gt;BaseLoad!$G130,J$8*BaseLoad!$AM$9,0))</f>
        <v>29.073853298455656</v>
      </c>
      <c r="K131" s="173">
        <f>IF($A$1="Peak","-",IF(BaseLoad!Q130&gt;BaseLoad!$G130,K$8*BaseLoad!$AM$9,0))</f>
        <v>29.073853298455656</v>
      </c>
      <c r="L131" s="173">
        <f>IF($A$1="Peak","-",IF(BaseLoad!R130&gt;BaseLoad!$G130,L$8*BaseLoad!$AM$9,0))</f>
        <v>29.073853298455656</v>
      </c>
      <c r="M131" s="173">
        <f>IF($A$1="Peak","-",IF(BaseLoad!S130&gt;BaseLoad!$G130,M$8*BaseLoad!$AM$9,0))</f>
        <v>29.073853298455656</v>
      </c>
      <c r="N131" s="173">
        <f>IF($A$1="Peak","-",IF(BaseLoad!T130&gt;BaseLoad!$G130,N$8*BaseLoad!$AM$9,0))</f>
        <v>29.073853298455656</v>
      </c>
      <c r="O131" s="173">
        <f>IF($A$1="Peak","-",IF(BaseLoad!U130&gt;BaseLoad!$G130,O$8*BaseLoad!$AM$9,0))</f>
        <v>29.073853298455656</v>
      </c>
      <c r="P131" s="173">
        <f>IF($A$1="Peak","-",IF(BaseLoad!V130&gt;BaseLoad!$G130,P$8*BaseLoad!$AM$9,0))</f>
        <v>29.073853298455656</v>
      </c>
      <c r="Q131" s="173">
        <f>IF($A$1="Peak","-",IF(BaseLoad!W130&gt;BaseLoad!$G130,Q$8*BaseLoad!$AM$9,0))</f>
        <v>29.073853298455656</v>
      </c>
      <c r="R131" s="173">
        <f>IF($A$1="Peak","-",IF(BaseLoad!X130&gt;BaseLoad!$G130,R$8*BaseLoad!$AM$9,0))</f>
        <v>29.073853298455656</v>
      </c>
      <c r="S131" s="173">
        <f>IF($A$1="Peak","-",IF(BaseLoad!Y130&gt;BaseLoad!$G130,S$8*BaseLoad!$AM$9,0))</f>
        <v>29.073853298455656</v>
      </c>
      <c r="T131" s="173">
        <f>IF($A$1="Peak","-",IF(BaseLoad!Z130&gt;BaseLoad!$G130,T$8*BaseLoad!$AM$9,0))</f>
        <v>29.073853298455656</v>
      </c>
      <c r="U131" s="173">
        <f>IF($A$1="Peak","-",IF(BaseLoad!AA130&gt;BaseLoad!$G130,U$8*BaseLoad!$AM$9,0))</f>
        <v>79.953096570753061</v>
      </c>
      <c r="V131" s="173">
        <f t="shared" si="3"/>
        <v>530.5978226968158</v>
      </c>
      <c r="W131" s="173"/>
      <c r="X131" s="173"/>
      <c r="Y131" s="173"/>
    </row>
    <row r="132" spans="1:25" x14ac:dyDescent="0.2">
      <c r="A132" s="1">
        <f t="shared" si="5"/>
        <v>40250.874000000156</v>
      </c>
      <c r="B132" s="173">
        <f>IF($A$1="Peak","-",IF(BaseLoad!H131&gt;BaseLoad!$G131,B$8*BaseLoad!$AM$9,0))</f>
        <v>3.634231662306957</v>
      </c>
      <c r="C132" s="173">
        <f>IF($A$1="Peak","-",IF(BaseLoad!I131&gt;BaseLoad!$G131,C$8*BaseLoad!$AM$9,0))</f>
        <v>3.634231662306957</v>
      </c>
      <c r="D132" s="173">
        <f>IF($A$1="Peak","-",IF(BaseLoad!J131&gt;BaseLoad!$G131,D$8*BaseLoad!$AM$9,0))</f>
        <v>7.2684633246139141</v>
      </c>
      <c r="E132" s="173">
        <f>IF($A$1="Peak","-",IF(BaseLoad!K131&gt;BaseLoad!$G131,E$8*BaseLoad!$AM$9,0))</f>
        <v>14.536926649227828</v>
      </c>
      <c r="F132" s="173">
        <f>IF($A$1="Peak","-",IF(BaseLoad!L131&gt;BaseLoad!$G131,F$8*BaseLoad!$AM$9,0))</f>
        <v>14.536926649227828</v>
      </c>
      <c r="G132" s="173">
        <f>IF($A$1="Peak","-",IF(BaseLoad!M131&gt;BaseLoad!$G131,G$8*BaseLoad!$AM$9,0))</f>
        <v>29.073853298455656</v>
      </c>
      <c r="H132" s="173">
        <f>IF($A$1="Peak","-",IF(BaseLoad!N131&gt;BaseLoad!$G131,H$8*BaseLoad!$AM$9,0))</f>
        <v>29.073853298455656</v>
      </c>
      <c r="I132" s="173">
        <f>IF($A$1="Peak","-",IF(BaseLoad!O131&gt;BaseLoad!$G131,I$8*BaseLoad!$AM$9,0))</f>
        <v>29.073853298455656</v>
      </c>
      <c r="J132" s="173">
        <f>IF($A$1="Peak","-",IF(BaseLoad!P131&gt;BaseLoad!$G131,J$8*BaseLoad!$AM$9,0))</f>
        <v>29.073853298455656</v>
      </c>
      <c r="K132" s="173">
        <f>IF($A$1="Peak","-",IF(BaseLoad!Q131&gt;BaseLoad!$G131,K$8*BaseLoad!$AM$9,0))</f>
        <v>29.073853298455656</v>
      </c>
      <c r="L132" s="173">
        <f>IF($A$1="Peak","-",IF(BaseLoad!R131&gt;BaseLoad!$G131,L$8*BaseLoad!$AM$9,0))</f>
        <v>29.073853298455656</v>
      </c>
      <c r="M132" s="173">
        <f>IF($A$1="Peak","-",IF(BaseLoad!S131&gt;BaseLoad!$G131,M$8*BaseLoad!$AM$9,0))</f>
        <v>29.073853298455656</v>
      </c>
      <c r="N132" s="173">
        <f>IF($A$1="Peak","-",IF(BaseLoad!T131&gt;BaseLoad!$G131,N$8*BaseLoad!$AM$9,0))</f>
        <v>29.073853298455656</v>
      </c>
      <c r="O132" s="173">
        <f>IF($A$1="Peak","-",IF(BaseLoad!U131&gt;BaseLoad!$G131,O$8*BaseLoad!$AM$9,0))</f>
        <v>29.073853298455656</v>
      </c>
      <c r="P132" s="173">
        <f>IF($A$1="Peak","-",IF(BaseLoad!V131&gt;BaseLoad!$G131,P$8*BaseLoad!$AM$9,0))</f>
        <v>29.073853298455656</v>
      </c>
      <c r="Q132" s="173">
        <f>IF($A$1="Peak","-",IF(BaseLoad!W131&gt;BaseLoad!$G131,Q$8*BaseLoad!$AM$9,0))</f>
        <v>29.073853298455656</v>
      </c>
      <c r="R132" s="173">
        <f>IF($A$1="Peak","-",IF(BaseLoad!X131&gt;BaseLoad!$G131,R$8*BaseLoad!$AM$9,0))</f>
        <v>29.073853298455656</v>
      </c>
      <c r="S132" s="173">
        <f>IF($A$1="Peak","-",IF(BaseLoad!Y131&gt;BaseLoad!$G131,S$8*BaseLoad!$AM$9,0))</f>
        <v>29.073853298455656</v>
      </c>
      <c r="T132" s="173">
        <f>IF($A$1="Peak","-",IF(BaseLoad!Z131&gt;BaseLoad!$G131,T$8*BaseLoad!$AM$9,0))</f>
        <v>29.073853298455656</v>
      </c>
      <c r="U132" s="173">
        <f>IF($A$1="Peak","-",IF(BaseLoad!AA131&gt;BaseLoad!$G131,U$8*BaseLoad!$AM$9,0))</f>
        <v>79.953096570753061</v>
      </c>
      <c r="V132" s="173">
        <f t="shared" si="3"/>
        <v>530.5978226968158</v>
      </c>
      <c r="W132" s="173"/>
      <c r="X132" s="173"/>
      <c r="Y132" s="173"/>
    </row>
    <row r="133" spans="1:25" x14ac:dyDescent="0.2">
      <c r="A133" s="1">
        <f t="shared" si="5"/>
        <v>40281.291000000158</v>
      </c>
      <c r="B133" s="173">
        <f>IF($A$1="Peak","-",IF(BaseLoad!H132&gt;BaseLoad!$G132,B$8*BaseLoad!$AM$9,0))</f>
        <v>3.634231662306957</v>
      </c>
      <c r="C133" s="173">
        <f>IF($A$1="Peak","-",IF(BaseLoad!I132&gt;BaseLoad!$G132,C$8*BaseLoad!$AM$9,0))</f>
        <v>3.634231662306957</v>
      </c>
      <c r="D133" s="173">
        <f>IF($A$1="Peak","-",IF(BaseLoad!J132&gt;BaseLoad!$G132,D$8*BaseLoad!$AM$9,0))</f>
        <v>7.2684633246139141</v>
      </c>
      <c r="E133" s="173">
        <f>IF($A$1="Peak","-",IF(BaseLoad!K132&gt;BaseLoad!$G132,E$8*BaseLoad!$AM$9,0))</f>
        <v>14.536926649227828</v>
      </c>
      <c r="F133" s="173">
        <f>IF($A$1="Peak","-",IF(BaseLoad!L132&gt;BaseLoad!$G132,F$8*BaseLoad!$AM$9,0))</f>
        <v>14.536926649227828</v>
      </c>
      <c r="G133" s="173">
        <f>IF($A$1="Peak","-",IF(BaseLoad!M132&gt;BaseLoad!$G132,G$8*BaseLoad!$AM$9,0))</f>
        <v>29.073853298455656</v>
      </c>
      <c r="H133" s="173">
        <f>IF($A$1="Peak","-",IF(BaseLoad!N132&gt;BaseLoad!$G132,H$8*BaseLoad!$AM$9,0))</f>
        <v>29.073853298455656</v>
      </c>
      <c r="I133" s="173">
        <f>IF($A$1="Peak","-",IF(BaseLoad!O132&gt;BaseLoad!$G132,I$8*BaseLoad!$AM$9,0))</f>
        <v>29.073853298455656</v>
      </c>
      <c r="J133" s="173">
        <f>IF($A$1="Peak","-",IF(BaseLoad!P132&gt;BaseLoad!$G132,J$8*BaseLoad!$AM$9,0))</f>
        <v>29.073853298455656</v>
      </c>
      <c r="K133" s="173">
        <f>IF($A$1="Peak","-",IF(BaseLoad!Q132&gt;BaseLoad!$G132,K$8*BaseLoad!$AM$9,0))</f>
        <v>29.073853298455656</v>
      </c>
      <c r="L133" s="173">
        <f>IF($A$1="Peak","-",IF(BaseLoad!R132&gt;BaseLoad!$G132,L$8*BaseLoad!$AM$9,0))</f>
        <v>29.073853298455656</v>
      </c>
      <c r="M133" s="173">
        <f>IF($A$1="Peak","-",IF(BaseLoad!S132&gt;BaseLoad!$G132,M$8*BaseLoad!$AM$9,0))</f>
        <v>29.073853298455656</v>
      </c>
      <c r="N133" s="173">
        <f>IF($A$1="Peak","-",IF(BaseLoad!T132&gt;BaseLoad!$G132,N$8*BaseLoad!$AM$9,0))</f>
        <v>29.073853298455656</v>
      </c>
      <c r="O133" s="173">
        <f>IF($A$1="Peak","-",IF(BaseLoad!U132&gt;BaseLoad!$G132,O$8*BaseLoad!$AM$9,0))</f>
        <v>29.073853298455656</v>
      </c>
      <c r="P133" s="173">
        <f>IF($A$1="Peak","-",IF(BaseLoad!V132&gt;BaseLoad!$G132,P$8*BaseLoad!$AM$9,0))</f>
        <v>29.073853298455656</v>
      </c>
      <c r="Q133" s="173">
        <f>IF($A$1="Peak","-",IF(BaseLoad!W132&gt;BaseLoad!$G132,Q$8*BaseLoad!$AM$9,0))</f>
        <v>29.073853298455656</v>
      </c>
      <c r="R133" s="173">
        <f>IF($A$1="Peak","-",IF(BaseLoad!X132&gt;BaseLoad!$G132,R$8*BaseLoad!$AM$9,0))</f>
        <v>29.073853298455656</v>
      </c>
      <c r="S133" s="173">
        <f>IF($A$1="Peak","-",IF(BaseLoad!Y132&gt;BaseLoad!$G132,S$8*BaseLoad!$AM$9,0))</f>
        <v>29.073853298455656</v>
      </c>
      <c r="T133" s="173">
        <f>IF($A$1="Peak","-",IF(BaseLoad!Z132&gt;BaseLoad!$G132,T$8*BaseLoad!$AM$9,0))</f>
        <v>29.073853298455656</v>
      </c>
      <c r="U133" s="173">
        <f>IF($A$1="Peak","-",IF(BaseLoad!AA132&gt;BaseLoad!$G132,U$8*BaseLoad!$AM$9,0))</f>
        <v>79.953096570753061</v>
      </c>
      <c r="V133" s="173">
        <f t="shared" si="3"/>
        <v>530.5978226968158</v>
      </c>
      <c r="W133" s="173"/>
      <c r="X133" s="173"/>
      <c r="Y133" s="173"/>
    </row>
    <row r="134" spans="1:25" x14ac:dyDescent="0.2">
      <c r="A134" s="1">
        <f t="shared" si="5"/>
        <v>40311.708000000159</v>
      </c>
      <c r="B134" s="173">
        <f>IF($A$1="Peak","-",IF(BaseLoad!H133&gt;BaseLoad!$G133,B$8*BaseLoad!$AM$9,0))</f>
        <v>3.634231662306957</v>
      </c>
      <c r="C134" s="173">
        <f>IF($A$1="Peak","-",IF(BaseLoad!I133&gt;BaseLoad!$G133,C$8*BaseLoad!$AM$9,0))</f>
        <v>3.634231662306957</v>
      </c>
      <c r="D134" s="173">
        <f>IF($A$1="Peak","-",IF(BaseLoad!J133&gt;BaseLoad!$G133,D$8*BaseLoad!$AM$9,0))</f>
        <v>7.2684633246139141</v>
      </c>
      <c r="E134" s="173">
        <f>IF($A$1="Peak","-",IF(BaseLoad!K133&gt;BaseLoad!$G133,E$8*BaseLoad!$AM$9,0))</f>
        <v>14.536926649227828</v>
      </c>
      <c r="F134" s="173">
        <f>IF($A$1="Peak","-",IF(BaseLoad!L133&gt;BaseLoad!$G133,F$8*BaseLoad!$AM$9,0))</f>
        <v>14.536926649227828</v>
      </c>
      <c r="G134" s="173">
        <f>IF($A$1="Peak","-",IF(BaseLoad!M133&gt;BaseLoad!$G133,G$8*BaseLoad!$AM$9,0))</f>
        <v>29.073853298455656</v>
      </c>
      <c r="H134" s="173">
        <f>IF($A$1="Peak","-",IF(BaseLoad!N133&gt;BaseLoad!$G133,H$8*BaseLoad!$AM$9,0))</f>
        <v>29.073853298455656</v>
      </c>
      <c r="I134" s="173">
        <f>IF($A$1="Peak","-",IF(BaseLoad!O133&gt;BaseLoad!$G133,I$8*BaseLoad!$AM$9,0))</f>
        <v>29.073853298455656</v>
      </c>
      <c r="J134" s="173">
        <f>IF($A$1="Peak","-",IF(BaseLoad!P133&gt;BaseLoad!$G133,J$8*BaseLoad!$AM$9,0))</f>
        <v>29.073853298455656</v>
      </c>
      <c r="K134" s="173">
        <f>IF($A$1="Peak","-",IF(BaseLoad!Q133&gt;BaseLoad!$G133,K$8*BaseLoad!$AM$9,0))</f>
        <v>29.073853298455656</v>
      </c>
      <c r="L134" s="173">
        <f>IF($A$1="Peak","-",IF(BaseLoad!R133&gt;BaseLoad!$G133,L$8*BaseLoad!$AM$9,0))</f>
        <v>29.073853298455656</v>
      </c>
      <c r="M134" s="173">
        <f>IF($A$1="Peak","-",IF(BaseLoad!S133&gt;BaseLoad!$G133,M$8*BaseLoad!$AM$9,0))</f>
        <v>29.073853298455656</v>
      </c>
      <c r="N134" s="173">
        <f>IF($A$1="Peak","-",IF(BaseLoad!T133&gt;BaseLoad!$G133,N$8*BaseLoad!$AM$9,0))</f>
        <v>29.073853298455656</v>
      </c>
      <c r="O134" s="173">
        <f>IF($A$1="Peak","-",IF(BaseLoad!U133&gt;BaseLoad!$G133,O$8*BaseLoad!$AM$9,0))</f>
        <v>29.073853298455656</v>
      </c>
      <c r="P134" s="173">
        <f>IF($A$1="Peak","-",IF(BaseLoad!V133&gt;BaseLoad!$G133,P$8*BaseLoad!$AM$9,0))</f>
        <v>29.073853298455656</v>
      </c>
      <c r="Q134" s="173">
        <f>IF($A$1="Peak","-",IF(BaseLoad!W133&gt;BaseLoad!$G133,Q$8*BaseLoad!$AM$9,0))</f>
        <v>29.073853298455656</v>
      </c>
      <c r="R134" s="173">
        <f>IF($A$1="Peak","-",IF(BaseLoad!X133&gt;BaseLoad!$G133,R$8*BaseLoad!$AM$9,0))</f>
        <v>29.073853298455656</v>
      </c>
      <c r="S134" s="173">
        <f>IF($A$1="Peak","-",IF(BaseLoad!Y133&gt;BaseLoad!$G133,S$8*BaseLoad!$AM$9,0))</f>
        <v>29.073853298455656</v>
      </c>
      <c r="T134" s="173">
        <f>IF($A$1="Peak","-",IF(BaseLoad!Z133&gt;BaseLoad!$G133,T$8*BaseLoad!$AM$9,0))</f>
        <v>29.073853298455656</v>
      </c>
      <c r="U134" s="173">
        <f>IF($A$1="Peak","-",IF(BaseLoad!AA133&gt;BaseLoad!$G133,U$8*BaseLoad!$AM$9,0))</f>
        <v>79.953096570753061</v>
      </c>
      <c r="V134" s="173">
        <f t="shared" si="3"/>
        <v>530.5978226968158</v>
      </c>
      <c r="W134" s="173"/>
      <c r="X134" s="173"/>
      <c r="Y134" s="173"/>
    </row>
    <row r="135" spans="1:25" x14ac:dyDescent="0.2">
      <c r="A135" s="1">
        <f t="shared" si="5"/>
        <v>40342.12500000016</v>
      </c>
      <c r="B135" s="173">
        <f>IF($A$1="Peak","-",IF(BaseLoad!H134&gt;BaseLoad!$G134,B$8*BaseLoad!$AM$9,0))</f>
        <v>3.634231662306957</v>
      </c>
      <c r="C135" s="173">
        <f>IF($A$1="Peak","-",IF(BaseLoad!I134&gt;BaseLoad!$G134,C$8*BaseLoad!$AM$9,0))</f>
        <v>3.634231662306957</v>
      </c>
      <c r="D135" s="173">
        <f>IF($A$1="Peak","-",IF(BaseLoad!J134&gt;BaseLoad!$G134,D$8*BaseLoad!$AM$9,0))</f>
        <v>7.2684633246139141</v>
      </c>
      <c r="E135" s="173">
        <f>IF($A$1="Peak","-",IF(BaseLoad!K134&gt;BaseLoad!$G134,E$8*BaseLoad!$AM$9,0))</f>
        <v>14.536926649227828</v>
      </c>
      <c r="F135" s="173">
        <f>IF($A$1="Peak","-",IF(BaseLoad!L134&gt;BaseLoad!$G134,F$8*BaseLoad!$AM$9,0))</f>
        <v>14.536926649227828</v>
      </c>
      <c r="G135" s="173">
        <f>IF($A$1="Peak","-",IF(BaseLoad!M134&gt;BaseLoad!$G134,G$8*BaseLoad!$AM$9,0))</f>
        <v>29.073853298455656</v>
      </c>
      <c r="H135" s="173">
        <f>IF($A$1="Peak","-",IF(BaseLoad!N134&gt;BaseLoad!$G134,H$8*BaseLoad!$AM$9,0))</f>
        <v>29.073853298455656</v>
      </c>
      <c r="I135" s="173">
        <f>IF($A$1="Peak","-",IF(BaseLoad!O134&gt;BaseLoad!$G134,I$8*BaseLoad!$AM$9,0))</f>
        <v>29.073853298455656</v>
      </c>
      <c r="J135" s="173">
        <f>IF($A$1="Peak","-",IF(BaseLoad!P134&gt;BaseLoad!$G134,J$8*BaseLoad!$AM$9,0))</f>
        <v>29.073853298455656</v>
      </c>
      <c r="K135" s="173">
        <f>IF($A$1="Peak","-",IF(BaseLoad!Q134&gt;BaseLoad!$G134,K$8*BaseLoad!$AM$9,0))</f>
        <v>29.073853298455656</v>
      </c>
      <c r="L135" s="173">
        <f>IF($A$1="Peak","-",IF(BaseLoad!R134&gt;BaseLoad!$G134,L$8*BaseLoad!$AM$9,0))</f>
        <v>29.073853298455656</v>
      </c>
      <c r="M135" s="173">
        <f>IF($A$1="Peak","-",IF(BaseLoad!S134&gt;BaseLoad!$G134,M$8*BaseLoad!$AM$9,0))</f>
        <v>29.073853298455656</v>
      </c>
      <c r="N135" s="173">
        <f>IF($A$1="Peak","-",IF(BaseLoad!T134&gt;BaseLoad!$G134,N$8*BaseLoad!$AM$9,0))</f>
        <v>29.073853298455656</v>
      </c>
      <c r="O135" s="173">
        <f>IF($A$1="Peak","-",IF(BaseLoad!U134&gt;BaseLoad!$G134,O$8*BaseLoad!$AM$9,0))</f>
        <v>29.073853298455656</v>
      </c>
      <c r="P135" s="173">
        <f>IF($A$1="Peak","-",IF(BaseLoad!V134&gt;BaseLoad!$G134,P$8*BaseLoad!$AM$9,0))</f>
        <v>29.073853298455656</v>
      </c>
      <c r="Q135" s="173">
        <f>IF($A$1="Peak","-",IF(BaseLoad!W134&gt;BaseLoad!$G134,Q$8*BaseLoad!$AM$9,0))</f>
        <v>29.073853298455656</v>
      </c>
      <c r="R135" s="173">
        <f>IF($A$1="Peak","-",IF(BaseLoad!X134&gt;BaseLoad!$G134,R$8*BaseLoad!$AM$9,0))</f>
        <v>29.073853298455656</v>
      </c>
      <c r="S135" s="173">
        <f>IF($A$1="Peak","-",IF(BaseLoad!Y134&gt;BaseLoad!$G134,S$8*BaseLoad!$AM$9,0))</f>
        <v>29.073853298455656</v>
      </c>
      <c r="T135" s="173">
        <f>IF($A$1="Peak","-",IF(BaseLoad!Z134&gt;BaseLoad!$G134,T$8*BaseLoad!$AM$9,0))</f>
        <v>29.073853298455656</v>
      </c>
      <c r="U135" s="173">
        <f>IF($A$1="Peak","-",IF(BaseLoad!AA134&gt;BaseLoad!$G134,U$8*BaseLoad!$AM$9,0))</f>
        <v>79.953096570753061</v>
      </c>
      <c r="V135" s="173">
        <f t="shared" si="3"/>
        <v>530.5978226968158</v>
      </c>
      <c r="W135" s="173"/>
      <c r="X135" s="173"/>
      <c r="Y135" s="173"/>
    </row>
    <row r="136" spans="1:25" x14ac:dyDescent="0.2">
      <c r="A136" s="1">
        <f t="shared" si="5"/>
        <v>40372.542000000161</v>
      </c>
      <c r="B136" s="173">
        <f>IF($A$1="Peak","-",IF(BaseLoad!H135&gt;BaseLoad!$G135,B$8*BaseLoad!$AM$9,0))</f>
        <v>3.634231662306957</v>
      </c>
      <c r="C136" s="173">
        <f>IF($A$1="Peak","-",IF(BaseLoad!I135&gt;BaseLoad!$G135,C$8*BaseLoad!$AM$9,0))</f>
        <v>3.634231662306957</v>
      </c>
      <c r="D136" s="173">
        <f>IF($A$1="Peak","-",IF(BaseLoad!J135&gt;BaseLoad!$G135,D$8*BaseLoad!$AM$9,0))</f>
        <v>7.2684633246139141</v>
      </c>
      <c r="E136" s="173">
        <f>IF($A$1="Peak","-",IF(BaseLoad!K135&gt;BaseLoad!$G135,E$8*BaseLoad!$AM$9,0))</f>
        <v>14.536926649227828</v>
      </c>
      <c r="F136" s="173">
        <f>IF($A$1="Peak","-",IF(BaseLoad!L135&gt;BaseLoad!$G135,F$8*BaseLoad!$AM$9,0))</f>
        <v>14.536926649227828</v>
      </c>
      <c r="G136" s="173">
        <f>IF($A$1="Peak","-",IF(BaseLoad!M135&gt;BaseLoad!$G135,G$8*BaseLoad!$AM$9,0))</f>
        <v>29.073853298455656</v>
      </c>
      <c r="H136" s="173">
        <f>IF($A$1="Peak","-",IF(BaseLoad!N135&gt;BaseLoad!$G135,H$8*BaseLoad!$AM$9,0))</f>
        <v>29.073853298455656</v>
      </c>
      <c r="I136" s="173">
        <f>IF($A$1="Peak","-",IF(BaseLoad!O135&gt;BaseLoad!$G135,I$8*BaseLoad!$AM$9,0))</f>
        <v>29.073853298455656</v>
      </c>
      <c r="J136" s="173">
        <f>IF($A$1="Peak","-",IF(BaseLoad!P135&gt;BaseLoad!$G135,J$8*BaseLoad!$AM$9,0))</f>
        <v>29.073853298455656</v>
      </c>
      <c r="K136" s="173">
        <f>IF($A$1="Peak","-",IF(BaseLoad!Q135&gt;BaseLoad!$G135,K$8*BaseLoad!$AM$9,0))</f>
        <v>29.073853298455656</v>
      </c>
      <c r="L136" s="173">
        <f>IF($A$1="Peak","-",IF(BaseLoad!R135&gt;BaseLoad!$G135,L$8*BaseLoad!$AM$9,0))</f>
        <v>29.073853298455656</v>
      </c>
      <c r="M136" s="173">
        <f>IF($A$1="Peak","-",IF(BaseLoad!S135&gt;BaseLoad!$G135,M$8*BaseLoad!$AM$9,0))</f>
        <v>29.073853298455656</v>
      </c>
      <c r="N136" s="173">
        <f>IF($A$1="Peak","-",IF(BaseLoad!T135&gt;BaseLoad!$G135,N$8*BaseLoad!$AM$9,0))</f>
        <v>29.073853298455656</v>
      </c>
      <c r="O136" s="173">
        <f>IF($A$1="Peak","-",IF(BaseLoad!U135&gt;BaseLoad!$G135,O$8*BaseLoad!$AM$9,0))</f>
        <v>29.073853298455656</v>
      </c>
      <c r="P136" s="173">
        <f>IF($A$1="Peak","-",IF(BaseLoad!V135&gt;BaseLoad!$G135,P$8*BaseLoad!$AM$9,0))</f>
        <v>29.073853298455656</v>
      </c>
      <c r="Q136" s="173">
        <f>IF($A$1="Peak","-",IF(BaseLoad!W135&gt;BaseLoad!$G135,Q$8*BaseLoad!$AM$9,0))</f>
        <v>29.073853298455656</v>
      </c>
      <c r="R136" s="173">
        <f>IF($A$1="Peak","-",IF(BaseLoad!X135&gt;BaseLoad!$G135,R$8*BaseLoad!$AM$9,0))</f>
        <v>29.073853298455656</v>
      </c>
      <c r="S136" s="173">
        <f>IF($A$1="Peak","-",IF(BaseLoad!Y135&gt;BaseLoad!$G135,S$8*BaseLoad!$AM$9,0))</f>
        <v>29.073853298455656</v>
      </c>
      <c r="T136" s="173">
        <f>IF($A$1="Peak","-",IF(BaseLoad!Z135&gt;BaseLoad!$G135,T$8*BaseLoad!$AM$9,0))</f>
        <v>29.073853298455656</v>
      </c>
      <c r="U136" s="173">
        <f>IF($A$1="Peak","-",IF(BaseLoad!AA135&gt;BaseLoad!$G135,U$8*BaseLoad!$AM$9,0))</f>
        <v>79.953096570753061</v>
      </c>
      <c r="V136" s="173">
        <f t="shared" si="3"/>
        <v>530.5978226968158</v>
      </c>
      <c r="W136" s="173"/>
      <c r="X136" s="173"/>
      <c r="Y136" s="173"/>
    </row>
    <row r="137" spans="1:25" x14ac:dyDescent="0.2">
      <c r="A137" s="1">
        <f t="shared" si="5"/>
        <v>40402.959000000163</v>
      </c>
      <c r="B137" s="173">
        <f>IF($A$1="Peak","-",IF(BaseLoad!H136&gt;BaseLoad!$G136,B$8*BaseLoad!$AM$9,0))</f>
        <v>3.634231662306957</v>
      </c>
      <c r="C137" s="173">
        <f>IF($A$1="Peak","-",IF(BaseLoad!I136&gt;BaseLoad!$G136,C$8*BaseLoad!$AM$9,0))</f>
        <v>3.634231662306957</v>
      </c>
      <c r="D137" s="173">
        <f>IF($A$1="Peak","-",IF(BaseLoad!J136&gt;BaseLoad!$G136,D$8*BaseLoad!$AM$9,0))</f>
        <v>7.2684633246139141</v>
      </c>
      <c r="E137" s="173">
        <f>IF($A$1="Peak","-",IF(BaseLoad!K136&gt;BaseLoad!$G136,E$8*BaseLoad!$AM$9,0))</f>
        <v>14.536926649227828</v>
      </c>
      <c r="F137" s="173">
        <f>IF($A$1="Peak","-",IF(BaseLoad!L136&gt;BaseLoad!$G136,F$8*BaseLoad!$AM$9,0))</f>
        <v>14.536926649227828</v>
      </c>
      <c r="G137" s="173">
        <f>IF($A$1="Peak","-",IF(BaseLoad!M136&gt;BaseLoad!$G136,G$8*BaseLoad!$AM$9,0))</f>
        <v>29.073853298455656</v>
      </c>
      <c r="H137" s="173">
        <f>IF($A$1="Peak","-",IF(BaseLoad!N136&gt;BaseLoad!$G136,H$8*BaseLoad!$AM$9,0))</f>
        <v>29.073853298455656</v>
      </c>
      <c r="I137" s="173">
        <f>IF($A$1="Peak","-",IF(BaseLoad!O136&gt;BaseLoad!$G136,I$8*BaseLoad!$AM$9,0))</f>
        <v>29.073853298455656</v>
      </c>
      <c r="J137" s="173">
        <f>IF($A$1="Peak","-",IF(BaseLoad!P136&gt;BaseLoad!$G136,J$8*BaseLoad!$AM$9,0))</f>
        <v>29.073853298455656</v>
      </c>
      <c r="K137" s="173">
        <f>IF($A$1="Peak","-",IF(BaseLoad!Q136&gt;BaseLoad!$G136,K$8*BaseLoad!$AM$9,0))</f>
        <v>29.073853298455656</v>
      </c>
      <c r="L137" s="173">
        <f>IF($A$1="Peak","-",IF(BaseLoad!R136&gt;BaseLoad!$G136,L$8*BaseLoad!$AM$9,0))</f>
        <v>29.073853298455656</v>
      </c>
      <c r="M137" s="173">
        <f>IF($A$1="Peak","-",IF(BaseLoad!S136&gt;BaseLoad!$G136,M$8*BaseLoad!$AM$9,0))</f>
        <v>29.073853298455656</v>
      </c>
      <c r="N137" s="173">
        <f>IF($A$1="Peak","-",IF(BaseLoad!T136&gt;BaseLoad!$G136,N$8*BaseLoad!$AM$9,0))</f>
        <v>29.073853298455656</v>
      </c>
      <c r="O137" s="173">
        <f>IF($A$1="Peak","-",IF(BaseLoad!U136&gt;BaseLoad!$G136,O$8*BaseLoad!$AM$9,0))</f>
        <v>29.073853298455656</v>
      </c>
      <c r="P137" s="173">
        <f>IF($A$1="Peak","-",IF(BaseLoad!V136&gt;BaseLoad!$G136,P$8*BaseLoad!$AM$9,0))</f>
        <v>29.073853298455656</v>
      </c>
      <c r="Q137" s="173">
        <f>IF($A$1="Peak","-",IF(BaseLoad!W136&gt;BaseLoad!$G136,Q$8*BaseLoad!$AM$9,0))</f>
        <v>29.073853298455656</v>
      </c>
      <c r="R137" s="173">
        <f>IF($A$1="Peak","-",IF(BaseLoad!X136&gt;BaseLoad!$G136,R$8*BaseLoad!$AM$9,0))</f>
        <v>29.073853298455656</v>
      </c>
      <c r="S137" s="173">
        <f>IF($A$1="Peak","-",IF(BaseLoad!Y136&gt;BaseLoad!$G136,S$8*BaseLoad!$AM$9,0))</f>
        <v>29.073853298455656</v>
      </c>
      <c r="T137" s="173">
        <f>IF($A$1="Peak","-",IF(BaseLoad!Z136&gt;BaseLoad!$G136,T$8*BaseLoad!$AM$9,0))</f>
        <v>29.073853298455656</v>
      </c>
      <c r="U137" s="173">
        <f>IF($A$1="Peak","-",IF(BaseLoad!AA136&gt;BaseLoad!$G136,U$8*BaseLoad!$AM$9,0))</f>
        <v>79.953096570753061</v>
      </c>
      <c r="V137" s="173">
        <f t="shared" si="3"/>
        <v>530.5978226968158</v>
      </c>
      <c r="W137" s="173"/>
      <c r="X137" s="173"/>
      <c r="Y137" s="173"/>
    </row>
    <row r="138" spans="1:25" x14ac:dyDescent="0.2">
      <c r="A138" s="1">
        <f t="shared" si="5"/>
        <v>40433.376000000164</v>
      </c>
      <c r="B138" s="173">
        <f>IF($A$1="Peak","-",IF(BaseLoad!H137&gt;BaseLoad!$G137,B$8*BaseLoad!$AM$9,0))</f>
        <v>3.634231662306957</v>
      </c>
      <c r="C138" s="173">
        <f>IF($A$1="Peak","-",IF(BaseLoad!I137&gt;BaseLoad!$G137,C$8*BaseLoad!$AM$9,0))</f>
        <v>3.634231662306957</v>
      </c>
      <c r="D138" s="173">
        <f>IF($A$1="Peak","-",IF(BaseLoad!J137&gt;BaseLoad!$G137,D$8*BaseLoad!$AM$9,0))</f>
        <v>7.2684633246139141</v>
      </c>
      <c r="E138" s="173">
        <f>IF($A$1="Peak","-",IF(BaseLoad!K137&gt;BaseLoad!$G137,E$8*BaseLoad!$AM$9,0))</f>
        <v>14.536926649227828</v>
      </c>
      <c r="F138" s="173">
        <f>IF($A$1="Peak","-",IF(BaseLoad!L137&gt;BaseLoad!$G137,F$8*BaseLoad!$AM$9,0))</f>
        <v>14.536926649227828</v>
      </c>
      <c r="G138" s="173">
        <f>IF($A$1="Peak","-",IF(BaseLoad!M137&gt;BaseLoad!$G137,G$8*BaseLoad!$AM$9,0))</f>
        <v>29.073853298455656</v>
      </c>
      <c r="H138" s="173">
        <f>IF($A$1="Peak","-",IF(BaseLoad!N137&gt;BaseLoad!$G137,H$8*BaseLoad!$AM$9,0))</f>
        <v>29.073853298455656</v>
      </c>
      <c r="I138" s="173">
        <f>IF($A$1="Peak","-",IF(BaseLoad!O137&gt;BaseLoad!$G137,I$8*BaseLoad!$AM$9,0))</f>
        <v>29.073853298455656</v>
      </c>
      <c r="J138" s="173">
        <f>IF($A$1="Peak","-",IF(BaseLoad!P137&gt;BaseLoad!$G137,J$8*BaseLoad!$AM$9,0))</f>
        <v>29.073853298455656</v>
      </c>
      <c r="K138" s="173">
        <f>IF($A$1="Peak","-",IF(BaseLoad!Q137&gt;BaseLoad!$G137,K$8*BaseLoad!$AM$9,0))</f>
        <v>29.073853298455656</v>
      </c>
      <c r="L138" s="173">
        <f>IF($A$1="Peak","-",IF(BaseLoad!R137&gt;BaseLoad!$G137,L$8*BaseLoad!$AM$9,0))</f>
        <v>29.073853298455656</v>
      </c>
      <c r="M138" s="173">
        <f>IF($A$1="Peak","-",IF(BaseLoad!S137&gt;BaseLoad!$G137,M$8*BaseLoad!$AM$9,0))</f>
        <v>29.073853298455656</v>
      </c>
      <c r="N138" s="173">
        <f>IF($A$1="Peak","-",IF(BaseLoad!T137&gt;BaseLoad!$G137,N$8*BaseLoad!$AM$9,0))</f>
        <v>29.073853298455656</v>
      </c>
      <c r="O138" s="173">
        <f>IF($A$1="Peak","-",IF(BaseLoad!U137&gt;BaseLoad!$G137,O$8*BaseLoad!$AM$9,0))</f>
        <v>29.073853298455656</v>
      </c>
      <c r="P138" s="173">
        <f>IF($A$1="Peak","-",IF(BaseLoad!V137&gt;BaseLoad!$G137,P$8*BaseLoad!$AM$9,0))</f>
        <v>29.073853298455656</v>
      </c>
      <c r="Q138" s="173">
        <f>IF($A$1="Peak","-",IF(BaseLoad!W137&gt;BaseLoad!$G137,Q$8*BaseLoad!$AM$9,0))</f>
        <v>29.073853298455656</v>
      </c>
      <c r="R138" s="173">
        <f>IF($A$1="Peak","-",IF(BaseLoad!X137&gt;BaseLoad!$G137,R$8*BaseLoad!$AM$9,0))</f>
        <v>29.073853298455656</v>
      </c>
      <c r="S138" s="173">
        <f>IF($A$1="Peak","-",IF(BaseLoad!Y137&gt;BaseLoad!$G137,S$8*BaseLoad!$AM$9,0))</f>
        <v>29.073853298455656</v>
      </c>
      <c r="T138" s="173">
        <f>IF($A$1="Peak","-",IF(BaseLoad!Z137&gt;BaseLoad!$G137,T$8*BaseLoad!$AM$9,0))</f>
        <v>29.073853298455656</v>
      </c>
      <c r="U138" s="173">
        <f>IF($A$1="Peak","-",IF(BaseLoad!AA137&gt;BaseLoad!$G137,U$8*BaseLoad!$AM$9,0))</f>
        <v>79.953096570753061</v>
      </c>
      <c r="V138" s="173">
        <f t="shared" si="3"/>
        <v>530.5978226968158</v>
      </c>
      <c r="W138" s="173"/>
      <c r="X138" s="173"/>
      <c r="Y138" s="173"/>
    </row>
    <row r="139" spans="1:25" x14ac:dyDescent="0.2">
      <c r="A139" s="1">
        <f t="shared" si="5"/>
        <v>40463.793000000165</v>
      </c>
      <c r="B139" s="173">
        <f>IF($A$1="Peak","-",IF(BaseLoad!H138&gt;BaseLoad!$G138,B$8*BaseLoad!$AM$9,0))</f>
        <v>3.634231662306957</v>
      </c>
      <c r="C139" s="173">
        <f>IF($A$1="Peak","-",IF(BaseLoad!I138&gt;BaseLoad!$G138,C$8*BaseLoad!$AM$9,0))</f>
        <v>3.634231662306957</v>
      </c>
      <c r="D139" s="173">
        <f>IF($A$1="Peak","-",IF(BaseLoad!J138&gt;BaseLoad!$G138,D$8*BaseLoad!$AM$9,0))</f>
        <v>7.2684633246139141</v>
      </c>
      <c r="E139" s="173">
        <f>IF($A$1="Peak","-",IF(BaseLoad!K138&gt;BaseLoad!$G138,E$8*BaseLoad!$AM$9,0))</f>
        <v>14.536926649227828</v>
      </c>
      <c r="F139" s="173">
        <f>IF($A$1="Peak","-",IF(BaseLoad!L138&gt;BaseLoad!$G138,F$8*BaseLoad!$AM$9,0))</f>
        <v>14.536926649227828</v>
      </c>
      <c r="G139" s="173">
        <f>IF($A$1="Peak","-",IF(BaseLoad!M138&gt;BaseLoad!$G138,G$8*BaseLoad!$AM$9,0))</f>
        <v>29.073853298455656</v>
      </c>
      <c r="H139" s="173">
        <f>IF($A$1="Peak","-",IF(BaseLoad!N138&gt;BaseLoad!$G138,H$8*BaseLoad!$AM$9,0))</f>
        <v>29.073853298455656</v>
      </c>
      <c r="I139" s="173">
        <f>IF($A$1="Peak","-",IF(BaseLoad!O138&gt;BaseLoad!$G138,I$8*BaseLoad!$AM$9,0))</f>
        <v>29.073853298455656</v>
      </c>
      <c r="J139" s="173">
        <f>IF($A$1="Peak","-",IF(BaseLoad!P138&gt;BaseLoad!$G138,J$8*BaseLoad!$AM$9,0))</f>
        <v>29.073853298455656</v>
      </c>
      <c r="K139" s="173">
        <f>IF($A$1="Peak","-",IF(BaseLoad!Q138&gt;BaseLoad!$G138,K$8*BaseLoad!$AM$9,0))</f>
        <v>29.073853298455656</v>
      </c>
      <c r="L139" s="173">
        <f>IF($A$1="Peak","-",IF(BaseLoad!R138&gt;BaseLoad!$G138,L$8*BaseLoad!$AM$9,0))</f>
        <v>29.073853298455656</v>
      </c>
      <c r="M139" s="173">
        <f>IF($A$1="Peak","-",IF(BaseLoad!S138&gt;BaseLoad!$G138,M$8*BaseLoad!$AM$9,0))</f>
        <v>29.073853298455656</v>
      </c>
      <c r="N139" s="173">
        <f>IF($A$1="Peak","-",IF(BaseLoad!T138&gt;BaseLoad!$G138,N$8*BaseLoad!$AM$9,0))</f>
        <v>29.073853298455656</v>
      </c>
      <c r="O139" s="173">
        <f>IF($A$1="Peak","-",IF(BaseLoad!U138&gt;BaseLoad!$G138,O$8*BaseLoad!$AM$9,0))</f>
        <v>29.073853298455656</v>
      </c>
      <c r="P139" s="173">
        <f>IF($A$1="Peak","-",IF(BaseLoad!V138&gt;BaseLoad!$G138,P$8*BaseLoad!$AM$9,0))</f>
        <v>29.073853298455656</v>
      </c>
      <c r="Q139" s="173">
        <f>IF($A$1="Peak","-",IF(BaseLoad!W138&gt;BaseLoad!$G138,Q$8*BaseLoad!$AM$9,0))</f>
        <v>29.073853298455656</v>
      </c>
      <c r="R139" s="173">
        <f>IF($A$1="Peak","-",IF(BaseLoad!X138&gt;BaseLoad!$G138,R$8*BaseLoad!$AM$9,0))</f>
        <v>29.073853298455656</v>
      </c>
      <c r="S139" s="173">
        <f>IF($A$1="Peak","-",IF(BaseLoad!Y138&gt;BaseLoad!$G138,S$8*BaseLoad!$AM$9,0))</f>
        <v>29.073853298455656</v>
      </c>
      <c r="T139" s="173">
        <f>IF($A$1="Peak","-",IF(BaseLoad!Z138&gt;BaseLoad!$G138,T$8*BaseLoad!$AM$9,0))</f>
        <v>29.073853298455656</v>
      </c>
      <c r="U139" s="173">
        <f>IF($A$1="Peak","-",IF(BaseLoad!AA138&gt;BaseLoad!$G138,U$8*BaseLoad!$AM$9,0))</f>
        <v>79.953096570753061</v>
      </c>
      <c r="V139" s="173">
        <f t="shared" ref="V139:V202" si="6">SUM(B139:U139)</f>
        <v>530.5978226968158</v>
      </c>
      <c r="W139" s="173"/>
      <c r="X139" s="173"/>
      <c r="Y139" s="173"/>
    </row>
    <row r="140" spans="1:25" x14ac:dyDescent="0.2">
      <c r="A140" s="1">
        <f t="shared" ref="A140:A203" si="7">A139+30.417</f>
        <v>40494.210000000166</v>
      </c>
      <c r="B140" s="173">
        <f>IF($A$1="Peak","-",IF(BaseLoad!H139&gt;BaseLoad!$G139,B$8*BaseLoad!$AM$9,0))</f>
        <v>3.634231662306957</v>
      </c>
      <c r="C140" s="173">
        <f>IF($A$1="Peak","-",IF(BaseLoad!I139&gt;BaseLoad!$G139,C$8*BaseLoad!$AM$9,0))</f>
        <v>3.634231662306957</v>
      </c>
      <c r="D140" s="173">
        <f>IF($A$1="Peak","-",IF(BaseLoad!J139&gt;BaseLoad!$G139,D$8*BaseLoad!$AM$9,0))</f>
        <v>7.2684633246139141</v>
      </c>
      <c r="E140" s="173">
        <f>IF($A$1="Peak","-",IF(BaseLoad!K139&gt;BaseLoad!$G139,E$8*BaseLoad!$AM$9,0))</f>
        <v>14.536926649227828</v>
      </c>
      <c r="F140" s="173">
        <f>IF($A$1="Peak","-",IF(BaseLoad!L139&gt;BaseLoad!$G139,F$8*BaseLoad!$AM$9,0))</f>
        <v>14.536926649227828</v>
      </c>
      <c r="G140" s="173">
        <f>IF($A$1="Peak","-",IF(BaseLoad!M139&gt;BaseLoad!$G139,G$8*BaseLoad!$AM$9,0))</f>
        <v>29.073853298455656</v>
      </c>
      <c r="H140" s="173">
        <f>IF($A$1="Peak","-",IF(BaseLoad!N139&gt;BaseLoad!$G139,H$8*BaseLoad!$AM$9,0))</f>
        <v>29.073853298455656</v>
      </c>
      <c r="I140" s="173">
        <f>IF($A$1="Peak","-",IF(BaseLoad!O139&gt;BaseLoad!$G139,I$8*BaseLoad!$AM$9,0))</f>
        <v>29.073853298455656</v>
      </c>
      <c r="J140" s="173">
        <f>IF($A$1="Peak","-",IF(BaseLoad!P139&gt;BaseLoad!$G139,J$8*BaseLoad!$AM$9,0))</f>
        <v>29.073853298455656</v>
      </c>
      <c r="K140" s="173">
        <f>IF($A$1="Peak","-",IF(BaseLoad!Q139&gt;BaseLoad!$G139,K$8*BaseLoad!$AM$9,0))</f>
        <v>29.073853298455656</v>
      </c>
      <c r="L140" s="173">
        <f>IF($A$1="Peak","-",IF(BaseLoad!R139&gt;BaseLoad!$G139,L$8*BaseLoad!$AM$9,0))</f>
        <v>29.073853298455656</v>
      </c>
      <c r="M140" s="173">
        <f>IF($A$1="Peak","-",IF(BaseLoad!S139&gt;BaseLoad!$G139,M$8*BaseLoad!$AM$9,0))</f>
        <v>29.073853298455656</v>
      </c>
      <c r="N140" s="173">
        <f>IF($A$1="Peak","-",IF(BaseLoad!T139&gt;BaseLoad!$G139,N$8*BaseLoad!$AM$9,0))</f>
        <v>29.073853298455656</v>
      </c>
      <c r="O140" s="173">
        <f>IF($A$1="Peak","-",IF(BaseLoad!U139&gt;BaseLoad!$G139,O$8*BaseLoad!$AM$9,0))</f>
        <v>29.073853298455656</v>
      </c>
      <c r="P140" s="173">
        <f>IF($A$1="Peak","-",IF(BaseLoad!V139&gt;BaseLoad!$G139,P$8*BaseLoad!$AM$9,0))</f>
        <v>29.073853298455656</v>
      </c>
      <c r="Q140" s="173">
        <f>IF($A$1="Peak","-",IF(BaseLoad!W139&gt;BaseLoad!$G139,Q$8*BaseLoad!$AM$9,0))</f>
        <v>29.073853298455656</v>
      </c>
      <c r="R140" s="173">
        <f>IF($A$1="Peak","-",IF(BaseLoad!X139&gt;BaseLoad!$G139,R$8*BaseLoad!$AM$9,0))</f>
        <v>29.073853298455656</v>
      </c>
      <c r="S140" s="173">
        <f>IF($A$1="Peak","-",IF(BaseLoad!Y139&gt;BaseLoad!$G139,S$8*BaseLoad!$AM$9,0))</f>
        <v>29.073853298455656</v>
      </c>
      <c r="T140" s="173">
        <f>IF($A$1="Peak","-",IF(BaseLoad!Z139&gt;BaseLoad!$G139,T$8*BaseLoad!$AM$9,0))</f>
        <v>29.073853298455656</v>
      </c>
      <c r="U140" s="173">
        <f>IF($A$1="Peak","-",IF(BaseLoad!AA139&gt;BaseLoad!$G139,U$8*BaseLoad!$AM$9,0))</f>
        <v>79.953096570753061</v>
      </c>
      <c r="V140" s="173">
        <f t="shared" si="6"/>
        <v>530.5978226968158</v>
      </c>
      <c r="W140" s="173"/>
      <c r="X140" s="173"/>
      <c r="Y140" s="173"/>
    </row>
    <row r="141" spans="1:25" x14ac:dyDescent="0.2">
      <c r="A141" s="1">
        <f t="shared" si="7"/>
        <v>40524.627000000168</v>
      </c>
      <c r="B141" s="173">
        <f>IF($A$1="Peak","-",IF(BaseLoad!H140&gt;BaseLoad!$G140,B$8*BaseLoad!$AM$9,0))</f>
        <v>3.634231662306957</v>
      </c>
      <c r="C141" s="173">
        <f>IF($A$1="Peak","-",IF(BaseLoad!I140&gt;BaseLoad!$G140,C$8*BaseLoad!$AM$9,0))</f>
        <v>3.634231662306957</v>
      </c>
      <c r="D141" s="173">
        <f>IF($A$1="Peak","-",IF(BaseLoad!J140&gt;BaseLoad!$G140,D$8*BaseLoad!$AM$9,0))</f>
        <v>7.2684633246139141</v>
      </c>
      <c r="E141" s="173">
        <f>IF($A$1="Peak","-",IF(BaseLoad!K140&gt;BaseLoad!$G140,E$8*BaseLoad!$AM$9,0))</f>
        <v>14.536926649227828</v>
      </c>
      <c r="F141" s="173">
        <f>IF($A$1="Peak","-",IF(BaseLoad!L140&gt;BaseLoad!$G140,F$8*BaseLoad!$AM$9,0))</f>
        <v>14.536926649227828</v>
      </c>
      <c r="G141" s="173">
        <f>IF($A$1="Peak","-",IF(BaseLoad!M140&gt;BaseLoad!$G140,G$8*BaseLoad!$AM$9,0))</f>
        <v>29.073853298455656</v>
      </c>
      <c r="H141" s="173">
        <f>IF($A$1="Peak","-",IF(BaseLoad!N140&gt;BaseLoad!$G140,H$8*BaseLoad!$AM$9,0))</f>
        <v>29.073853298455656</v>
      </c>
      <c r="I141" s="173">
        <f>IF($A$1="Peak","-",IF(BaseLoad!O140&gt;BaseLoad!$G140,I$8*BaseLoad!$AM$9,0))</f>
        <v>29.073853298455656</v>
      </c>
      <c r="J141" s="173">
        <f>IF($A$1="Peak","-",IF(BaseLoad!P140&gt;BaseLoad!$G140,J$8*BaseLoad!$AM$9,0))</f>
        <v>29.073853298455656</v>
      </c>
      <c r="K141" s="173">
        <f>IF($A$1="Peak","-",IF(BaseLoad!Q140&gt;BaseLoad!$G140,K$8*BaseLoad!$AM$9,0))</f>
        <v>29.073853298455656</v>
      </c>
      <c r="L141" s="173">
        <f>IF($A$1="Peak","-",IF(BaseLoad!R140&gt;BaseLoad!$G140,L$8*BaseLoad!$AM$9,0))</f>
        <v>29.073853298455656</v>
      </c>
      <c r="M141" s="173">
        <f>IF($A$1="Peak","-",IF(BaseLoad!S140&gt;BaseLoad!$G140,M$8*BaseLoad!$AM$9,0))</f>
        <v>29.073853298455656</v>
      </c>
      <c r="N141" s="173">
        <f>IF($A$1="Peak","-",IF(BaseLoad!T140&gt;BaseLoad!$G140,N$8*BaseLoad!$AM$9,0))</f>
        <v>29.073853298455656</v>
      </c>
      <c r="O141" s="173">
        <f>IF($A$1="Peak","-",IF(BaseLoad!U140&gt;BaseLoad!$G140,O$8*BaseLoad!$AM$9,0))</f>
        <v>29.073853298455656</v>
      </c>
      <c r="P141" s="173">
        <f>IF($A$1="Peak","-",IF(BaseLoad!V140&gt;BaseLoad!$G140,P$8*BaseLoad!$AM$9,0))</f>
        <v>29.073853298455656</v>
      </c>
      <c r="Q141" s="173">
        <f>IF($A$1="Peak","-",IF(BaseLoad!W140&gt;BaseLoad!$G140,Q$8*BaseLoad!$AM$9,0))</f>
        <v>29.073853298455656</v>
      </c>
      <c r="R141" s="173">
        <f>IF($A$1="Peak","-",IF(BaseLoad!X140&gt;BaseLoad!$G140,R$8*BaseLoad!$AM$9,0))</f>
        <v>29.073853298455656</v>
      </c>
      <c r="S141" s="173">
        <f>IF($A$1="Peak","-",IF(BaseLoad!Y140&gt;BaseLoad!$G140,S$8*BaseLoad!$AM$9,0))</f>
        <v>29.073853298455656</v>
      </c>
      <c r="T141" s="173">
        <f>IF($A$1="Peak","-",IF(BaseLoad!Z140&gt;BaseLoad!$G140,T$8*BaseLoad!$AM$9,0))</f>
        <v>29.073853298455656</v>
      </c>
      <c r="U141" s="173">
        <f>IF($A$1="Peak","-",IF(BaseLoad!AA140&gt;BaseLoad!$G140,U$8*BaseLoad!$AM$9,0))</f>
        <v>79.953096570753061</v>
      </c>
      <c r="V141" s="173">
        <f t="shared" si="6"/>
        <v>530.5978226968158</v>
      </c>
      <c r="W141" s="173"/>
      <c r="X141" s="173"/>
      <c r="Y141" s="173">
        <f>SUM(V130:V141)</f>
        <v>6367.1738723617882</v>
      </c>
    </row>
    <row r="142" spans="1:25" x14ac:dyDescent="0.2">
      <c r="A142" s="1">
        <f t="shared" si="7"/>
        <v>40555.044000000169</v>
      </c>
      <c r="B142" s="173">
        <f>IF($A$1="Peak","-",IF(BaseLoad!H141&gt;BaseLoad!$G141,B$8*BaseLoad!$AM$9,0))</f>
        <v>3.634231662306957</v>
      </c>
      <c r="C142" s="173">
        <f>IF($A$1="Peak","-",IF(BaseLoad!I141&gt;BaseLoad!$G141,C$8*BaseLoad!$AM$9,0))</f>
        <v>3.634231662306957</v>
      </c>
      <c r="D142" s="173">
        <f>IF($A$1="Peak","-",IF(BaseLoad!J141&gt;BaseLoad!$G141,D$8*BaseLoad!$AM$9,0))</f>
        <v>7.2684633246139141</v>
      </c>
      <c r="E142" s="173">
        <f>IF($A$1="Peak","-",IF(BaseLoad!K141&gt;BaseLoad!$G141,E$8*BaseLoad!$AM$9,0))</f>
        <v>14.536926649227828</v>
      </c>
      <c r="F142" s="173">
        <f>IF($A$1="Peak","-",IF(BaseLoad!L141&gt;BaseLoad!$G141,F$8*BaseLoad!$AM$9,0))</f>
        <v>14.536926649227828</v>
      </c>
      <c r="G142" s="173">
        <f>IF($A$1="Peak","-",IF(BaseLoad!M141&gt;BaseLoad!$G141,G$8*BaseLoad!$AM$9,0))</f>
        <v>29.073853298455656</v>
      </c>
      <c r="H142" s="173">
        <f>IF($A$1="Peak","-",IF(BaseLoad!N141&gt;BaseLoad!$G141,H$8*BaseLoad!$AM$9,0))</f>
        <v>29.073853298455656</v>
      </c>
      <c r="I142" s="173">
        <f>IF($A$1="Peak","-",IF(BaseLoad!O141&gt;BaseLoad!$G141,I$8*BaseLoad!$AM$9,0))</f>
        <v>29.073853298455656</v>
      </c>
      <c r="J142" s="173">
        <f>IF($A$1="Peak","-",IF(BaseLoad!P141&gt;BaseLoad!$G141,J$8*BaseLoad!$AM$9,0))</f>
        <v>29.073853298455656</v>
      </c>
      <c r="K142" s="173">
        <f>IF($A$1="Peak","-",IF(BaseLoad!Q141&gt;BaseLoad!$G141,K$8*BaseLoad!$AM$9,0))</f>
        <v>29.073853298455656</v>
      </c>
      <c r="L142" s="173">
        <f>IF($A$1="Peak","-",IF(BaseLoad!R141&gt;BaseLoad!$G141,L$8*BaseLoad!$AM$9,0))</f>
        <v>29.073853298455656</v>
      </c>
      <c r="M142" s="173">
        <f>IF($A$1="Peak","-",IF(BaseLoad!S141&gt;BaseLoad!$G141,M$8*BaseLoad!$AM$9,0))</f>
        <v>29.073853298455656</v>
      </c>
      <c r="N142" s="173">
        <f>IF($A$1="Peak","-",IF(BaseLoad!T141&gt;BaseLoad!$G141,N$8*BaseLoad!$AM$9,0))</f>
        <v>29.073853298455656</v>
      </c>
      <c r="O142" s="173">
        <f>IF($A$1="Peak","-",IF(BaseLoad!U141&gt;BaseLoad!$G141,O$8*BaseLoad!$AM$9,0))</f>
        <v>29.073853298455656</v>
      </c>
      <c r="P142" s="173">
        <f>IF($A$1="Peak","-",IF(BaseLoad!V141&gt;BaseLoad!$G141,P$8*BaseLoad!$AM$9,0))</f>
        <v>29.073853298455656</v>
      </c>
      <c r="Q142" s="173">
        <f>IF($A$1="Peak","-",IF(BaseLoad!W141&gt;BaseLoad!$G141,Q$8*BaseLoad!$AM$9,0))</f>
        <v>29.073853298455656</v>
      </c>
      <c r="R142" s="173">
        <f>IF($A$1="Peak","-",IF(BaseLoad!X141&gt;BaseLoad!$G141,R$8*BaseLoad!$AM$9,0))</f>
        <v>29.073853298455656</v>
      </c>
      <c r="S142" s="173">
        <f>IF($A$1="Peak","-",IF(BaseLoad!Y141&gt;BaseLoad!$G141,S$8*BaseLoad!$AM$9,0))</f>
        <v>29.073853298455656</v>
      </c>
      <c r="T142" s="173">
        <f>IF($A$1="Peak","-",IF(BaseLoad!Z141&gt;BaseLoad!$G141,T$8*BaseLoad!$AM$9,0))</f>
        <v>29.073853298455656</v>
      </c>
      <c r="U142" s="173">
        <f>IF($A$1="Peak","-",IF(BaseLoad!AA141&gt;BaseLoad!$G141,U$8*BaseLoad!$AM$9,0))</f>
        <v>79.953096570753061</v>
      </c>
      <c r="V142" s="173">
        <f t="shared" si="6"/>
        <v>530.5978226968158</v>
      </c>
      <c r="W142" s="173"/>
      <c r="X142" s="173"/>
      <c r="Y142" s="173"/>
    </row>
    <row r="143" spans="1:25" x14ac:dyDescent="0.2">
      <c r="A143" s="1">
        <f t="shared" si="7"/>
        <v>40585.46100000017</v>
      </c>
      <c r="B143" s="173">
        <f>IF($A$1="Peak","-",IF(BaseLoad!H142&gt;BaseLoad!$G142,B$8*BaseLoad!$AM$9,0))</f>
        <v>3.634231662306957</v>
      </c>
      <c r="C143" s="173">
        <f>IF($A$1="Peak","-",IF(BaseLoad!I142&gt;BaseLoad!$G142,C$8*BaseLoad!$AM$9,0))</f>
        <v>3.634231662306957</v>
      </c>
      <c r="D143" s="173">
        <f>IF($A$1="Peak","-",IF(BaseLoad!J142&gt;BaseLoad!$G142,D$8*BaseLoad!$AM$9,0))</f>
        <v>7.2684633246139141</v>
      </c>
      <c r="E143" s="173">
        <f>IF($A$1="Peak","-",IF(BaseLoad!K142&gt;BaseLoad!$G142,E$8*BaseLoad!$AM$9,0))</f>
        <v>14.536926649227828</v>
      </c>
      <c r="F143" s="173">
        <f>IF($A$1="Peak","-",IF(BaseLoad!L142&gt;BaseLoad!$G142,F$8*BaseLoad!$AM$9,0))</f>
        <v>14.536926649227828</v>
      </c>
      <c r="G143" s="173">
        <f>IF($A$1="Peak","-",IF(BaseLoad!M142&gt;BaseLoad!$G142,G$8*BaseLoad!$AM$9,0))</f>
        <v>29.073853298455656</v>
      </c>
      <c r="H143" s="173">
        <f>IF($A$1="Peak","-",IF(BaseLoad!N142&gt;BaseLoad!$G142,H$8*BaseLoad!$AM$9,0))</f>
        <v>29.073853298455656</v>
      </c>
      <c r="I143" s="173">
        <f>IF($A$1="Peak","-",IF(BaseLoad!O142&gt;BaseLoad!$G142,I$8*BaseLoad!$AM$9,0))</f>
        <v>29.073853298455656</v>
      </c>
      <c r="J143" s="173">
        <f>IF($A$1="Peak","-",IF(BaseLoad!P142&gt;BaseLoad!$G142,J$8*BaseLoad!$AM$9,0))</f>
        <v>29.073853298455656</v>
      </c>
      <c r="K143" s="173">
        <f>IF($A$1="Peak","-",IF(BaseLoad!Q142&gt;BaseLoad!$G142,K$8*BaseLoad!$AM$9,0))</f>
        <v>29.073853298455656</v>
      </c>
      <c r="L143" s="173">
        <f>IF($A$1="Peak","-",IF(BaseLoad!R142&gt;BaseLoad!$G142,L$8*BaseLoad!$AM$9,0))</f>
        <v>29.073853298455656</v>
      </c>
      <c r="M143" s="173">
        <f>IF($A$1="Peak","-",IF(BaseLoad!S142&gt;BaseLoad!$G142,M$8*BaseLoad!$AM$9,0))</f>
        <v>29.073853298455656</v>
      </c>
      <c r="N143" s="173">
        <f>IF($A$1="Peak","-",IF(BaseLoad!T142&gt;BaseLoad!$G142,N$8*BaseLoad!$AM$9,0))</f>
        <v>29.073853298455656</v>
      </c>
      <c r="O143" s="173">
        <f>IF($A$1="Peak","-",IF(BaseLoad!U142&gt;BaseLoad!$G142,O$8*BaseLoad!$AM$9,0))</f>
        <v>29.073853298455656</v>
      </c>
      <c r="P143" s="173">
        <f>IF($A$1="Peak","-",IF(BaseLoad!V142&gt;BaseLoad!$G142,P$8*BaseLoad!$AM$9,0))</f>
        <v>29.073853298455656</v>
      </c>
      <c r="Q143" s="173">
        <f>IF($A$1="Peak","-",IF(BaseLoad!W142&gt;BaseLoad!$G142,Q$8*BaseLoad!$AM$9,0))</f>
        <v>29.073853298455656</v>
      </c>
      <c r="R143" s="173">
        <f>IF($A$1="Peak","-",IF(BaseLoad!X142&gt;BaseLoad!$G142,R$8*BaseLoad!$AM$9,0))</f>
        <v>29.073853298455656</v>
      </c>
      <c r="S143" s="173">
        <f>IF($A$1="Peak","-",IF(BaseLoad!Y142&gt;BaseLoad!$G142,S$8*BaseLoad!$AM$9,0))</f>
        <v>29.073853298455656</v>
      </c>
      <c r="T143" s="173">
        <f>IF($A$1="Peak","-",IF(BaseLoad!Z142&gt;BaseLoad!$G142,T$8*BaseLoad!$AM$9,0))</f>
        <v>29.073853298455656</v>
      </c>
      <c r="U143" s="173">
        <f>IF($A$1="Peak","-",IF(BaseLoad!AA142&gt;BaseLoad!$G142,U$8*BaseLoad!$AM$9,0))</f>
        <v>79.953096570753061</v>
      </c>
      <c r="V143" s="173">
        <f t="shared" si="6"/>
        <v>530.5978226968158</v>
      </c>
      <c r="W143" s="173"/>
      <c r="X143" s="173"/>
      <c r="Y143" s="173"/>
    </row>
    <row r="144" spans="1:25" x14ac:dyDescent="0.2">
      <c r="A144" s="1">
        <f t="shared" si="7"/>
        <v>40615.878000000172</v>
      </c>
      <c r="B144" s="173">
        <f>IF($A$1="Peak","-",IF(BaseLoad!H143&gt;BaseLoad!$G143,B$8*BaseLoad!$AM$9,0))</f>
        <v>3.634231662306957</v>
      </c>
      <c r="C144" s="173">
        <f>IF($A$1="Peak","-",IF(BaseLoad!I143&gt;BaseLoad!$G143,C$8*BaseLoad!$AM$9,0))</f>
        <v>3.634231662306957</v>
      </c>
      <c r="D144" s="173">
        <f>IF($A$1="Peak","-",IF(BaseLoad!J143&gt;BaseLoad!$G143,D$8*BaseLoad!$AM$9,0))</f>
        <v>7.2684633246139141</v>
      </c>
      <c r="E144" s="173">
        <f>IF($A$1="Peak","-",IF(BaseLoad!K143&gt;BaseLoad!$G143,E$8*BaseLoad!$AM$9,0))</f>
        <v>14.536926649227828</v>
      </c>
      <c r="F144" s="173">
        <f>IF($A$1="Peak","-",IF(BaseLoad!L143&gt;BaseLoad!$G143,F$8*BaseLoad!$AM$9,0))</f>
        <v>14.536926649227828</v>
      </c>
      <c r="G144" s="173">
        <f>IF($A$1="Peak","-",IF(BaseLoad!M143&gt;BaseLoad!$G143,G$8*BaseLoad!$AM$9,0))</f>
        <v>29.073853298455656</v>
      </c>
      <c r="H144" s="173">
        <f>IF($A$1="Peak","-",IF(BaseLoad!N143&gt;BaseLoad!$G143,H$8*BaseLoad!$AM$9,0))</f>
        <v>29.073853298455656</v>
      </c>
      <c r="I144" s="173">
        <f>IF($A$1="Peak","-",IF(BaseLoad!O143&gt;BaseLoad!$G143,I$8*BaseLoad!$AM$9,0))</f>
        <v>29.073853298455656</v>
      </c>
      <c r="J144" s="173">
        <f>IF($A$1="Peak","-",IF(BaseLoad!P143&gt;BaseLoad!$G143,J$8*BaseLoad!$AM$9,0))</f>
        <v>29.073853298455656</v>
      </c>
      <c r="K144" s="173">
        <f>IF($A$1="Peak","-",IF(BaseLoad!Q143&gt;BaseLoad!$G143,K$8*BaseLoad!$AM$9,0))</f>
        <v>29.073853298455656</v>
      </c>
      <c r="L144" s="173">
        <f>IF($A$1="Peak","-",IF(BaseLoad!R143&gt;BaseLoad!$G143,L$8*BaseLoad!$AM$9,0))</f>
        <v>29.073853298455656</v>
      </c>
      <c r="M144" s="173">
        <f>IF($A$1="Peak","-",IF(BaseLoad!S143&gt;BaseLoad!$G143,M$8*BaseLoad!$AM$9,0))</f>
        <v>29.073853298455656</v>
      </c>
      <c r="N144" s="173">
        <f>IF($A$1="Peak","-",IF(BaseLoad!T143&gt;BaseLoad!$G143,N$8*BaseLoad!$AM$9,0))</f>
        <v>29.073853298455656</v>
      </c>
      <c r="O144" s="173">
        <f>IF($A$1="Peak","-",IF(BaseLoad!U143&gt;BaseLoad!$G143,O$8*BaseLoad!$AM$9,0))</f>
        <v>29.073853298455656</v>
      </c>
      <c r="P144" s="173">
        <f>IF($A$1="Peak","-",IF(BaseLoad!V143&gt;BaseLoad!$G143,P$8*BaseLoad!$AM$9,0))</f>
        <v>29.073853298455656</v>
      </c>
      <c r="Q144" s="173">
        <f>IF($A$1="Peak","-",IF(BaseLoad!W143&gt;BaseLoad!$G143,Q$8*BaseLoad!$AM$9,0))</f>
        <v>29.073853298455656</v>
      </c>
      <c r="R144" s="173">
        <f>IF($A$1="Peak","-",IF(BaseLoad!X143&gt;BaseLoad!$G143,R$8*BaseLoad!$AM$9,0))</f>
        <v>29.073853298455656</v>
      </c>
      <c r="S144" s="173">
        <f>IF($A$1="Peak","-",IF(BaseLoad!Y143&gt;BaseLoad!$G143,S$8*BaseLoad!$AM$9,0))</f>
        <v>29.073853298455656</v>
      </c>
      <c r="T144" s="173">
        <f>IF($A$1="Peak","-",IF(BaseLoad!Z143&gt;BaseLoad!$G143,T$8*BaseLoad!$AM$9,0))</f>
        <v>29.073853298455656</v>
      </c>
      <c r="U144" s="173">
        <f>IF($A$1="Peak","-",IF(BaseLoad!AA143&gt;BaseLoad!$G143,U$8*BaseLoad!$AM$9,0))</f>
        <v>79.953096570753061</v>
      </c>
      <c r="V144" s="173">
        <f t="shared" si="6"/>
        <v>530.5978226968158</v>
      </c>
      <c r="W144" s="173"/>
      <c r="X144" s="173"/>
      <c r="Y144" s="173"/>
    </row>
    <row r="145" spans="1:25" x14ac:dyDescent="0.2">
      <c r="A145" s="1">
        <f t="shared" si="7"/>
        <v>40646.295000000173</v>
      </c>
      <c r="B145" s="173">
        <f>IF($A$1="Peak","-",IF(BaseLoad!H144&gt;BaseLoad!$G144,B$8*BaseLoad!$AM$9,0))</f>
        <v>3.634231662306957</v>
      </c>
      <c r="C145" s="173">
        <f>IF($A$1="Peak","-",IF(BaseLoad!I144&gt;BaseLoad!$G144,C$8*BaseLoad!$AM$9,0))</f>
        <v>3.634231662306957</v>
      </c>
      <c r="D145" s="173">
        <f>IF($A$1="Peak","-",IF(BaseLoad!J144&gt;BaseLoad!$G144,D$8*BaseLoad!$AM$9,0))</f>
        <v>7.2684633246139141</v>
      </c>
      <c r="E145" s="173">
        <f>IF($A$1="Peak","-",IF(BaseLoad!K144&gt;BaseLoad!$G144,E$8*BaseLoad!$AM$9,0))</f>
        <v>14.536926649227828</v>
      </c>
      <c r="F145" s="173">
        <f>IF($A$1="Peak","-",IF(BaseLoad!L144&gt;BaseLoad!$G144,F$8*BaseLoad!$AM$9,0))</f>
        <v>14.536926649227828</v>
      </c>
      <c r="G145" s="173">
        <f>IF($A$1="Peak","-",IF(BaseLoad!M144&gt;BaseLoad!$G144,G$8*BaseLoad!$AM$9,0))</f>
        <v>29.073853298455656</v>
      </c>
      <c r="H145" s="173">
        <f>IF($A$1="Peak","-",IF(BaseLoad!N144&gt;BaseLoad!$G144,H$8*BaseLoad!$AM$9,0))</f>
        <v>29.073853298455656</v>
      </c>
      <c r="I145" s="173">
        <f>IF($A$1="Peak","-",IF(BaseLoad!O144&gt;BaseLoad!$G144,I$8*BaseLoad!$AM$9,0))</f>
        <v>29.073853298455656</v>
      </c>
      <c r="J145" s="173">
        <f>IF($A$1="Peak","-",IF(BaseLoad!P144&gt;BaseLoad!$G144,J$8*BaseLoad!$AM$9,0))</f>
        <v>29.073853298455656</v>
      </c>
      <c r="K145" s="173">
        <f>IF($A$1="Peak","-",IF(BaseLoad!Q144&gt;BaseLoad!$G144,K$8*BaseLoad!$AM$9,0))</f>
        <v>29.073853298455656</v>
      </c>
      <c r="L145" s="173">
        <f>IF($A$1="Peak","-",IF(BaseLoad!R144&gt;BaseLoad!$G144,L$8*BaseLoad!$AM$9,0))</f>
        <v>29.073853298455656</v>
      </c>
      <c r="M145" s="173">
        <f>IF($A$1="Peak","-",IF(BaseLoad!S144&gt;BaseLoad!$G144,M$8*BaseLoad!$AM$9,0))</f>
        <v>29.073853298455656</v>
      </c>
      <c r="N145" s="173">
        <f>IF($A$1="Peak","-",IF(BaseLoad!T144&gt;BaseLoad!$G144,N$8*BaseLoad!$AM$9,0))</f>
        <v>29.073853298455656</v>
      </c>
      <c r="O145" s="173">
        <f>IF($A$1="Peak","-",IF(BaseLoad!U144&gt;BaseLoad!$G144,O$8*BaseLoad!$AM$9,0))</f>
        <v>29.073853298455656</v>
      </c>
      <c r="P145" s="173">
        <f>IF($A$1="Peak","-",IF(BaseLoad!V144&gt;BaseLoad!$G144,P$8*BaseLoad!$AM$9,0))</f>
        <v>29.073853298455656</v>
      </c>
      <c r="Q145" s="173">
        <f>IF($A$1="Peak","-",IF(BaseLoad!W144&gt;BaseLoad!$G144,Q$8*BaseLoad!$AM$9,0))</f>
        <v>29.073853298455656</v>
      </c>
      <c r="R145" s="173">
        <f>IF($A$1="Peak","-",IF(BaseLoad!X144&gt;BaseLoad!$G144,R$8*BaseLoad!$AM$9,0))</f>
        <v>29.073853298455656</v>
      </c>
      <c r="S145" s="173">
        <f>IF($A$1="Peak","-",IF(BaseLoad!Y144&gt;BaseLoad!$G144,S$8*BaseLoad!$AM$9,0))</f>
        <v>29.073853298455656</v>
      </c>
      <c r="T145" s="173">
        <f>IF($A$1="Peak","-",IF(BaseLoad!Z144&gt;BaseLoad!$G144,T$8*BaseLoad!$AM$9,0))</f>
        <v>29.073853298455656</v>
      </c>
      <c r="U145" s="173">
        <f>IF($A$1="Peak","-",IF(BaseLoad!AA144&gt;BaseLoad!$G144,U$8*BaseLoad!$AM$9,0))</f>
        <v>79.953096570753061</v>
      </c>
      <c r="V145" s="173">
        <f t="shared" si="6"/>
        <v>530.5978226968158</v>
      </c>
      <c r="W145" s="173"/>
      <c r="X145" s="173"/>
      <c r="Y145" s="173"/>
    </row>
    <row r="146" spans="1:25" x14ac:dyDescent="0.2">
      <c r="A146" s="1">
        <f t="shared" si="7"/>
        <v>40676.712000000174</v>
      </c>
      <c r="B146" s="173">
        <f>IF($A$1="Peak","-",IF(BaseLoad!H145&gt;BaseLoad!$G145,B$8*BaseLoad!$AM$9,0))</f>
        <v>3.634231662306957</v>
      </c>
      <c r="C146" s="173">
        <f>IF($A$1="Peak","-",IF(BaseLoad!I145&gt;BaseLoad!$G145,C$8*BaseLoad!$AM$9,0))</f>
        <v>3.634231662306957</v>
      </c>
      <c r="D146" s="173">
        <f>IF($A$1="Peak","-",IF(BaseLoad!J145&gt;BaseLoad!$G145,D$8*BaseLoad!$AM$9,0))</f>
        <v>7.2684633246139141</v>
      </c>
      <c r="E146" s="173">
        <f>IF($A$1="Peak","-",IF(BaseLoad!K145&gt;BaseLoad!$G145,E$8*BaseLoad!$AM$9,0))</f>
        <v>14.536926649227828</v>
      </c>
      <c r="F146" s="173">
        <f>IF($A$1="Peak","-",IF(BaseLoad!L145&gt;BaseLoad!$G145,F$8*BaseLoad!$AM$9,0))</f>
        <v>14.536926649227828</v>
      </c>
      <c r="G146" s="173">
        <f>IF($A$1="Peak","-",IF(BaseLoad!M145&gt;BaseLoad!$G145,G$8*BaseLoad!$AM$9,0))</f>
        <v>29.073853298455656</v>
      </c>
      <c r="H146" s="173">
        <f>IF($A$1="Peak","-",IF(BaseLoad!N145&gt;BaseLoad!$G145,H$8*BaseLoad!$AM$9,0))</f>
        <v>29.073853298455656</v>
      </c>
      <c r="I146" s="173">
        <f>IF($A$1="Peak","-",IF(BaseLoad!O145&gt;BaseLoad!$G145,I$8*BaseLoad!$AM$9,0))</f>
        <v>29.073853298455656</v>
      </c>
      <c r="J146" s="173">
        <f>IF($A$1="Peak","-",IF(BaseLoad!P145&gt;BaseLoad!$G145,J$8*BaseLoad!$AM$9,0))</f>
        <v>29.073853298455656</v>
      </c>
      <c r="K146" s="173">
        <f>IF($A$1="Peak","-",IF(BaseLoad!Q145&gt;BaseLoad!$G145,K$8*BaseLoad!$AM$9,0))</f>
        <v>29.073853298455656</v>
      </c>
      <c r="L146" s="173">
        <f>IF($A$1="Peak","-",IF(BaseLoad!R145&gt;BaseLoad!$G145,L$8*BaseLoad!$AM$9,0))</f>
        <v>29.073853298455656</v>
      </c>
      <c r="M146" s="173">
        <f>IF($A$1="Peak","-",IF(BaseLoad!S145&gt;BaseLoad!$G145,M$8*BaseLoad!$AM$9,0))</f>
        <v>29.073853298455656</v>
      </c>
      <c r="N146" s="173">
        <f>IF($A$1="Peak","-",IF(BaseLoad!T145&gt;BaseLoad!$G145,N$8*BaseLoad!$AM$9,0))</f>
        <v>29.073853298455656</v>
      </c>
      <c r="O146" s="173">
        <f>IF($A$1="Peak","-",IF(BaseLoad!U145&gt;BaseLoad!$G145,O$8*BaseLoad!$AM$9,0))</f>
        <v>29.073853298455656</v>
      </c>
      <c r="P146" s="173">
        <f>IF($A$1="Peak","-",IF(BaseLoad!V145&gt;BaseLoad!$G145,P$8*BaseLoad!$AM$9,0))</f>
        <v>29.073853298455656</v>
      </c>
      <c r="Q146" s="173">
        <f>IF($A$1="Peak","-",IF(BaseLoad!W145&gt;BaseLoad!$G145,Q$8*BaseLoad!$AM$9,0))</f>
        <v>29.073853298455656</v>
      </c>
      <c r="R146" s="173">
        <f>IF($A$1="Peak","-",IF(BaseLoad!X145&gt;BaseLoad!$G145,R$8*BaseLoad!$AM$9,0))</f>
        <v>29.073853298455656</v>
      </c>
      <c r="S146" s="173">
        <f>IF($A$1="Peak","-",IF(BaseLoad!Y145&gt;BaseLoad!$G145,S$8*BaseLoad!$AM$9,0))</f>
        <v>29.073853298455656</v>
      </c>
      <c r="T146" s="173">
        <f>IF($A$1="Peak","-",IF(BaseLoad!Z145&gt;BaseLoad!$G145,T$8*BaseLoad!$AM$9,0))</f>
        <v>29.073853298455656</v>
      </c>
      <c r="U146" s="173">
        <f>IF($A$1="Peak","-",IF(BaseLoad!AA145&gt;BaseLoad!$G145,U$8*BaseLoad!$AM$9,0))</f>
        <v>79.953096570753061</v>
      </c>
      <c r="V146" s="173">
        <f t="shared" si="6"/>
        <v>530.5978226968158</v>
      </c>
      <c r="W146" s="173"/>
      <c r="X146" s="173"/>
      <c r="Y146" s="173"/>
    </row>
    <row r="147" spans="1:25" x14ac:dyDescent="0.2">
      <c r="A147" s="1">
        <f t="shared" si="7"/>
        <v>40707.129000000175</v>
      </c>
      <c r="B147" s="173">
        <f>IF($A$1="Peak","-",IF(BaseLoad!H146&gt;BaseLoad!$G146,B$8*BaseLoad!$AM$9,0))</f>
        <v>3.634231662306957</v>
      </c>
      <c r="C147" s="173">
        <f>IF($A$1="Peak","-",IF(BaseLoad!I146&gt;BaseLoad!$G146,C$8*BaseLoad!$AM$9,0))</f>
        <v>3.634231662306957</v>
      </c>
      <c r="D147" s="173">
        <f>IF($A$1="Peak","-",IF(BaseLoad!J146&gt;BaseLoad!$G146,D$8*BaseLoad!$AM$9,0))</f>
        <v>7.2684633246139141</v>
      </c>
      <c r="E147" s="173">
        <f>IF($A$1="Peak","-",IF(BaseLoad!K146&gt;BaseLoad!$G146,E$8*BaseLoad!$AM$9,0))</f>
        <v>14.536926649227828</v>
      </c>
      <c r="F147" s="173">
        <f>IF($A$1="Peak","-",IF(BaseLoad!L146&gt;BaseLoad!$G146,F$8*BaseLoad!$AM$9,0))</f>
        <v>14.536926649227828</v>
      </c>
      <c r="G147" s="173">
        <f>IF($A$1="Peak","-",IF(BaseLoad!M146&gt;BaseLoad!$G146,G$8*BaseLoad!$AM$9,0))</f>
        <v>29.073853298455656</v>
      </c>
      <c r="H147" s="173">
        <f>IF($A$1="Peak","-",IF(BaseLoad!N146&gt;BaseLoad!$G146,H$8*BaseLoad!$AM$9,0))</f>
        <v>29.073853298455656</v>
      </c>
      <c r="I147" s="173">
        <f>IF($A$1="Peak","-",IF(BaseLoad!O146&gt;BaseLoad!$G146,I$8*BaseLoad!$AM$9,0))</f>
        <v>29.073853298455656</v>
      </c>
      <c r="J147" s="173">
        <f>IF($A$1="Peak","-",IF(BaseLoad!P146&gt;BaseLoad!$G146,J$8*BaseLoad!$AM$9,0))</f>
        <v>29.073853298455656</v>
      </c>
      <c r="K147" s="173">
        <f>IF($A$1="Peak","-",IF(BaseLoad!Q146&gt;BaseLoad!$G146,K$8*BaseLoad!$AM$9,0))</f>
        <v>29.073853298455656</v>
      </c>
      <c r="L147" s="173">
        <f>IF($A$1="Peak","-",IF(BaseLoad!R146&gt;BaseLoad!$G146,L$8*BaseLoad!$AM$9,0))</f>
        <v>29.073853298455656</v>
      </c>
      <c r="M147" s="173">
        <f>IF($A$1="Peak","-",IF(BaseLoad!S146&gt;BaseLoad!$G146,M$8*BaseLoad!$AM$9,0))</f>
        <v>29.073853298455656</v>
      </c>
      <c r="N147" s="173">
        <f>IF($A$1="Peak","-",IF(BaseLoad!T146&gt;BaseLoad!$G146,N$8*BaseLoad!$AM$9,0))</f>
        <v>29.073853298455656</v>
      </c>
      <c r="O147" s="173">
        <f>IF($A$1="Peak","-",IF(BaseLoad!U146&gt;BaseLoad!$G146,O$8*BaseLoad!$AM$9,0))</f>
        <v>29.073853298455656</v>
      </c>
      <c r="P147" s="173">
        <f>IF($A$1="Peak","-",IF(BaseLoad!V146&gt;BaseLoad!$G146,P$8*BaseLoad!$AM$9,0))</f>
        <v>29.073853298455656</v>
      </c>
      <c r="Q147" s="173">
        <f>IF($A$1="Peak","-",IF(BaseLoad!W146&gt;BaseLoad!$G146,Q$8*BaseLoad!$AM$9,0))</f>
        <v>29.073853298455656</v>
      </c>
      <c r="R147" s="173">
        <f>IF($A$1="Peak","-",IF(BaseLoad!X146&gt;BaseLoad!$G146,R$8*BaseLoad!$AM$9,0))</f>
        <v>29.073853298455656</v>
      </c>
      <c r="S147" s="173">
        <f>IF($A$1="Peak","-",IF(BaseLoad!Y146&gt;BaseLoad!$G146,S$8*BaseLoad!$AM$9,0))</f>
        <v>29.073853298455656</v>
      </c>
      <c r="T147" s="173">
        <f>IF($A$1="Peak","-",IF(BaseLoad!Z146&gt;BaseLoad!$G146,T$8*BaseLoad!$AM$9,0))</f>
        <v>29.073853298455656</v>
      </c>
      <c r="U147" s="173">
        <f>IF($A$1="Peak","-",IF(BaseLoad!AA146&gt;BaseLoad!$G146,U$8*BaseLoad!$AM$9,0))</f>
        <v>79.953096570753061</v>
      </c>
      <c r="V147" s="173">
        <f t="shared" si="6"/>
        <v>530.5978226968158</v>
      </c>
      <c r="W147" s="173"/>
      <c r="X147" s="173"/>
      <c r="Y147" s="173"/>
    </row>
    <row r="148" spans="1:25" x14ac:dyDescent="0.2">
      <c r="A148" s="1">
        <f t="shared" si="7"/>
        <v>40737.546000000177</v>
      </c>
      <c r="B148" s="173">
        <f>IF($A$1="Peak","-",IF(BaseLoad!H147&gt;BaseLoad!$G147,B$8*BaseLoad!$AM$9,0))</f>
        <v>3.634231662306957</v>
      </c>
      <c r="C148" s="173">
        <f>IF($A$1="Peak","-",IF(BaseLoad!I147&gt;BaseLoad!$G147,C$8*BaseLoad!$AM$9,0))</f>
        <v>3.634231662306957</v>
      </c>
      <c r="D148" s="173">
        <f>IF($A$1="Peak","-",IF(BaseLoad!J147&gt;BaseLoad!$G147,D$8*BaseLoad!$AM$9,0))</f>
        <v>7.2684633246139141</v>
      </c>
      <c r="E148" s="173">
        <f>IF($A$1="Peak","-",IF(BaseLoad!K147&gt;BaseLoad!$G147,E$8*BaseLoad!$AM$9,0))</f>
        <v>14.536926649227828</v>
      </c>
      <c r="F148" s="173">
        <f>IF($A$1="Peak","-",IF(BaseLoad!L147&gt;BaseLoad!$G147,F$8*BaseLoad!$AM$9,0))</f>
        <v>14.536926649227828</v>
      </c>
      <c r="G148" s="173">
        <f>IF($A$1="Peak","-",IF(BaseLoad!M147&gt;BaseLoad!$G147,G$8*BaseLoad!$AM$9,0))</f>
        <v>29.073853298455656</v>
      </c>
      <c r="H148" s="173">
        <f>IF($A$1="Peak","-",IF(BaseLoad!N147&gt;BaseLoad!$G147,H$8*BaseLoad!$AM$9,0))</f>
        <v>29.073853298455656</v>
      </c>
      <c r="I148" s="173">
        <f>IF($A$1="Peak","-",IF(BaseLoad!O147&gt;BaseLoad!$G147,I$8*BaseLoad!$AM$9,0))</f>
        <v>29.073853298455656</v>
      </c>
      <c r="J148" s="173">
        <f>IF($A$1="Peak","-",IF(BaseLoad!P147&gt;BaseLoad!$G147,J$8*BaseLoad!$AM$9,0))</f>
        <v>29.073853298455656</v>
      </c>
      <c r="K148" s="173">
        <f>IF($A$1="Peak","-",IF(BaseLoad!Q147&gt;BaseLoad!$G147,K$8*BaseLoad!$AM$9,0))</f>
        <v>29.073853298455656</v>
      </c>
      <c r="L148" s="173">
        <f>IF($A$1="Peak","-",IF(BaseLoad!R147&gt;BaseLoad!$G147,L$8*BaseLoad!$AM$9,0))</f>
        <v>29.073853298455656</v>
      </c>
      <c r="M148" s="173">
        <f>IF($A$1="Peak","-",IF(BaseLoad!S147&gt;BaseLoad!$G147,M$8*BaseLoad!$AM$9,0))</f>
        <v>29.073853298455656</v>
      </c>
      <c r="N148" s="173">
        <f>IF($A$1="Peak","-",IF(BaseLoad!T147&gt;BaseLoad!$G147,N$8*BaseLoad!$AM$9,0))</f>
        <v>29.073853298455656</v>
      </c>
      <c r="O148" s="173">
        <f>IF($A$1="Peak","-",IF(BaseLoad!U147&gt;BaseLoad!$G147,O$8*BaseLoad!$AM$9,0))</f>
        <v>29.073853298455656</v>
      </c>
      <c r="P148" s="173">
        <f>IF($A$1="Peak","-",IF(BaseLoad!V147&gt;BaseLoad!$G147,P$8*BaseLoad!$AM$9,0))</f>
        <v>29.073853298455656</v>
      </c>
      <c r="Q148" s="173">
        <f>IF($A$1="Peak","-",IF(BaseLoad!W147&gt;BaseLoad!$G147,Q$8*BaseLoad!$AM$9,0))</f>
        <v>29.073853298455656</v>
      </c>
      <c r="R148" s="173">
        <f>IF($A$1="Peak","-",IF(BaseLoad!X147&gt;BaseLoad!$G147,R$8*BaseLoad!$AM$9,0))</f>
        <v>29.073853298455656</v>
      </c>
      <c r="S148" s="173">
        <f>IF($A$1="Peak","-",IF(BaseLoad!Y147&gt;BaseLoad!$G147,S$8*BaseLoad!$AM$9,0))</f>
        <v>29.073853298455656</v>
      </c>
      <c r="T148" s="173">
        <f>IF($A$1="Peak","-",IF(BaseLoad!Z147&gt;BaseLoad!$G147,T$8*BaseLoad!$AM$9,0))</f>
        <v>29.073853298455656</v>
      </c>
      <c r="U148" s="173">
        <f>IF($A$1="Peak","-",IF(BaseLoad!AA147&gt;BaseLoad!$G147,U$8*BaseLoad!$AM$9,0))</f>
        <v>79.953096570753061</v>
      </c>
      <c r="V148" s="173">
        <f t="shared" si="6"/>
        <v>530.5978226968158</v>
      </c>
      <c r="W148" s="173"/>
      <c r="X148" s="173"/>
      <c r="Y148" s="173"/>
    </row>
    <row r="149" spans="1:25" x14ac:dyDescent="0.2">
      <c r="A149" s="1">
        <f t="shared" si="7"/>
        <v>40767.963000000178</v>
      </c>
      <c r="B149" s="173">
        <f>IF($A$1="Peak","-",IF(BaseLoad!H148&gt;BaseLoad!$G148,B$8*BaseLoad!$AM$9,0))</f>
        <v>3.634231662306957</v>
      </c>
      <c r="C149" s="173">
        <f>IF($A$1="Peak","-",IF(BaseLoad!I148&gt;BaseLoad!$G148,C$8*BaseLoad!$AM$9,0))</f>
        <v>3.634231662306957</v>
      </c>
      <c r="D149" s="173">
        <f>IF($A$1="Peak","-",IF(BaseLoad!J148&gt;BaseLoad!$G148,D$8*BaseLoad!$AM$9,0))</f>
        <v>7.2684633246139141</v>
      </c>
      <c r="E149" s="173">
        <f>IF($A$1="Peak","-",IF(BaseLoad!K148&gt;BaseLoad!$G148,E$8*BaseLoad!$AM$9,0))</f>
        <v>14.536926649227828</v>
      </c>
      <c r="F149" s="173">
        <f>IF($A$1="Peak","-",IF(BaseLoad!L148&gt;BaseLoad!$G148,F$8*BaseLoad!$AM$9,0))</f>
        <v>14.536926649227828</v>
      </c>
      <c r="G149" s="173">
        <f>IF($A$1="Peak","-",IF(BaseLoad!M148&gt;BaseLoad!$G148,G$8*BaseLoad!$AM$9,0))</f>
        <v>29.073853298455656</v>
      </c>
      <c r="H149" s="173">
        <f>IF($A$1="Peak","-",IF(BaseLoad!N148&gt;BaseLoad!$G148,H$8*BaseLoad!$AM$9,0))</f>
        <v>29.073853298455656</v>
      </c>
      <c r="I149" s="173">
        <f>IF($A$1="Peak","-",IF(BaseLoad!O148&gt;BaseLoad!$G148,I$8*BaseLoad!$AM$9,0))</f>
        <v>29.073853298455656</v>
      </c>
      <c r="J149" s="173">
        <f>IF($A$1="Peak","-",IF(BaseLoad!P148&gt;BaseLoad!$G148,J$8*BaseLoad!$AM$9,0))</f>
        <v>29.073853298455656</v>
      </c>
      <c r="K149" s="173">
        <f>IF($A$1="Peak","-",IF(BaseLoad!Q148&gt;BaseLoad!$G148,K$8*BaseLoad!$AM$9,0))</f>
        <v>29.073853298455656</v>
      </c>
      <c r="L149" s="173">
        <f>IF($A$1="Peak","-",IF(BaseLoad!R148&gt;BaseLoad!$G148,L$8*BaseLoad!$AM$9,0))</f>
        <v>29.073853298455656</v>
      </c>
      <c r="M149" s="173">
        <f>IF($A$1="Peak","-",IF(BaseLoad!S148&gt;BaseLoad!$G148,M$8*BaseLoad!$AM$9,0))</f>
        <v>29.073853298455656</v>
      </c>
      <c r="N149" s="173">
        <f>IF($A$1="Peak","-",IF(BaseLoad!T148&gt;BaseLoad!$G148,N$8*BaseLoad!$AM$9,0))</f>
        <v>29.073853298455656</v>
      </c>
      <c r="O149" s="173">
        <f>IF($A$1="Peak","-",IF(BaseLoad!U148&gt;BaseLoad!$G148,O$8*BaseLoad!$AM$9,0))</f>
        <v>29.073853298455656</v>
      </c>
      <c r="P149" s="173">
        <f>IF($A$1="Peak","-",IF(BaseLoad!V148&gt;BaseLoad!$G148,P$8*BaseLoad!$AM$9,0))</f>
        <v>29.073853298455656</v>
      </c>
      <c r="Q149" s="173">
        <f>IF($A$1="Peak","-",IF(BaseLoad!W148&gt;BaseLoad!$G148,Q$8*BaseLoad!$AM$9,0))</f>
        <v>29.073853298455656</v>
      </c>
      <c r="R149" s="173">
        <f>IF($A$1="Peak","-",IF(BaseLoad!X148&gt;BaseLoad!$G148,R$8*BaseLoad!$AM$9,0))</f>
        <v>29.073853298455656</v>
      </c>
      <c r="S149" s="173">
        <f>IF($A$1="Peak","-",IF(BaseLoad!Y148&gt;BaseLoad!$G148,S$8*BaseLoad!$AM$9,0))</f>
        <v>29.073853298455656</v>
      </c>
      <c r="T149" s="173">
        <f>IF($A$1="Peak","-",IF(BaseLoad!Z148&gt;BaseLoad!$G148,T$8*BaseLoad!$AM$9,0))</f>
        <v>29.073853298455656</v>
      </c>
      <c r="U149" s="173">
        <f>IF($A$1="Peak","-",IF(BaseLoad!AA148&gt;BaseLoad!$G148,U$8*BaseLoad!$AM$9,0))</f>
        <v>79.953096570753061</v>
      </c>
      <c r="V149" s="173">
        <f t="shared" si="6"/>
        <v>530.5978226968158</v>
      </c>
      <c r="W149" s="173"/>
      <c r="X149" s="173"/>
      <c r="Y149" s="173"/>
    </row>
    <row r="150" spans="1:25" x14ac:dyDescent="0.2">
      <c r="A150" s="1">
        <f t="shared" si="7"/>
        <v>40798.380000000179</v>
      </c>
      <c r="B150" s="173">
        <f>IF($A$1="Peak","-",IF(BaseLoad!H149&gt;BaseLoad!$G149,B$8*BaseLoad!$AM$9,0))</f>
        <v>3.634231662306957</v>
      </c>
      <c r="C150" s="173">
        <f>IF($A$1="Peak","-",IF(BaseLoad!I149&gt;BaseLoad!$G149,C$8*BaseLoad!$AM$9,0))</f>
        <v>3.634231662306957</v>
      </c>
      <c r="D150" s="173">
        <f>IF($A$1="Peak","-",IF(BaseLoad!J149&gt;BaseLoad!$G149,D$8*BaseLoad!$AM$9,0))</f>
        <v>7.2684633246139141</v>
      </c>
      <c r="E150" s="173">
        <f>IF($A$1="Peak","-",IF(BaseLoad!K149&gt;BaseLoad!$G149,E$8*BaseLoad!$AM$9,0))</f>
        <v>14.536926649227828</v>
      </c>
      <c r="F150" s="173">
        <f>IF($A$1="Peak","-",IF(BaseLoad!L149&gt;BaseLoad!$G149,F$8*BaseLoad!$AM$9,0))</f>
        <v>14.536926649227828</v>
      </c>
      <c r="G150" s="173">
        <f>IF($A$1="Peak","-",IF(BaseLoad!M149&gt;BaseLoad!$G149,G$8*BaseLoad!$AM$9,0))</f>
        <v>29.073853298455656</v>
      </c>
      <c r="H150" s="173">
        <f>IF($A$1="Peak","-",IF(BaseLoad!N149&gt;BaseLoad!$G149,H$8*BaseLoad!$AM$9,0))</f>
        <v>29.073853298455656</v>
      </c>
      <c r="I150" s="173">
        <f>IF($A$1="Peak","-",IF(BaseLoad!O149&gt;BaseLoad!$G149,I$8*BaseLoad!$AM$9,0))</f>
        <v>29.073853298455656</v>
      </c>
      <c r="J150" s="173">
        <f>IF($A$1="Peak","-",IF(BaseLoad!P149&gt;BaseLoad!$G149,J$8*BaseLoad!$AM$9,0))</f>
        <v>29.073853298455656</v>
      </c>
      <c r="K150" s="173">
        <f>IF($A$1="Peak","-",IF(BaseLoad!Q149&gt;BaseLoad!$G149,K$8*BaseLoad!$AM$9,0))</f>
        <v>29.073853298455656</v>
      </c>
      <c r="L150" s="173">
        <f>IF($A$1="Peak","-",IF(BaseLoad!R149&gt;BaseLoad!$G149,L$8*BaseLoad!$AM$9,0))</f>
        <v>29.073853298455656</v>
      </c>
      <c r="M150" s="173">
        <f>IF($A$1="Peak","-",IF(BaseLoad!S149&gt;BaseLoad!$G149,M$8*BaseLoad!$AM$9,0))</f>
        <v>29.073853298455656</v>
      </c>
      <c r="N150" s="173">
        <f>IF($A$1="Peak","-",IF(BaseLoad!T149&gt;BaseLoad!$G149,N$8*BaseLoad!$AM$9,0))</f>
        <v>29.073853298455656</v>
      </c>
      <c r="O150" s="173">
        <f>IF($A$1="Peak","-",IF(BaseLoad!U149&gt;BaseLoad!$G149,O$8*BaseLoad!$AM$9,0))</f>
        <v>29.073853298455656</v>
      </c>
      <c r="P150" s="173">
        <f>IF($A$1="Peak","-",IF(BaseLoad!V149&gt;BaseLoad!$G149,P$8*BaseLoad!$AM$9,0))</f>
        <v>29.073853298455656</v>
      </c>
      <c r="Q150" s="173">
        <f>IF($A$1="Peak","-",IF(BaseLoad!W149&gt;BaseLoad!$G149,Q$8*BaseLoad!$AM$9,0))</f>
        <v>29.073853298455656</v>
      </c>
      <c r="R150" s="173">
        <f>IF($A$1="Peak","-",IF(BaseLoad!X149&gt;BaseLoad!$G149,R$8*BaseLoad!$AM$9,0))</f>
        <v>29.073853298455656</v>
      </c>
      <c r="S150" s="173">
        <f>IF($A$1="Peak","-",IF(BaseLoad!Y149&gt;BaseLoad!$G149,S$8*BaseLoad!$AM$9,0))</f>
        <v>29.073853298455656</v>
      </c>
      <c r="T150" s="173">
        <f>IF($A$1="Peak","-",IF(BaseLoad!Z149&gt;BaseLoad!$G149,T$8*BaseLoad!$AM$9,0))</f>
        <v>29.073853298455656</v>
      </c>
      <c r="U150" s="173">
        <f>IF($A$1="Peak","-",IF(BaseLoad!AA149&gt;BaseLoad!$G149,U$8*BaseLoad!$AM$9,0))</f>
        <v>79.953096570753061</v>
      </c>
      <c r="V150" s="173">
        <f t="shared" si="6"/>
        <v>530.5978226968158</v>
      </c>
      <c r="W150" s="173"/>
      <c r="X150" s="173"/>
      <c r="Y150" s="173"/>
    </row>
    <row r="151" spans="1:25" x14ac:dyDescent="0.2">
      <c r="A151" s="1">
        <f t="shared" si="7"/>
        <v>40828.797000000181</v>
      </c>
      <c r="B151" s="173">
        <f>IF($A$1="Peak","-",IF(BaseLoad!H150&gt;BaseLoad!$G150,B$8*BaseLoad!$AM$9,0))</f>
        <v>3.634231662306957</v>
      </c>
      <c r="C151" s="173">
        <f>IF($A$1="Peak","-",IF(BaseLoad!I150&gt;BaseLoad!$G150,C$8*BaseLoad!$AM$9,0))</f>
        <v>3.634231662306957</v>
      </c>
      <c r="D151" s="173">
        <f>IF($A$1="Peak","-",IF(BaseLoad!J150&gt;BaseLoad!$G150,D$8*BaseLoad!$AM$9,0))</f>
        <v>7.2684633246139141</v>
      </c>
      <c r="E151" s="173">
        <f>IF($A$1="Peak","-",IF(BaseLoad!K150&gt;BaseLoad!$G150,E$8*BaseLoad!$AM$9,0))</f>
        <v>14.536926649227828</v>
      </c>
      <c r="F151" s="173">
        <f>IF($A$1="Peak","-",IF(BaseLoad!L150&gt;BaseLoad!$G150,F$8*BaseLoad!$AM$9,0))</f>
        <v>14.536926649227828</v>
      </c>
      <c r="G151" s="173">
        <f>IF($A$1="Peak","-",IF(BaseLoad!M150&gt;BaseLoad!$G150,G$8*BaseLoad!$AM$9,0))</f>
        <v>29.073853298455656</v>
      </c>
      <c r="H151" s="173">
        <f>IF($A$1="Peak","-",IF(BaseLoad!N150&gt;BaseLoad!$G150,H$8*BaseLoad!$AM$9,0))</f>
        <v>29.073853298455656</v>
      </c>
      <c r="I151" s="173">
        <f>IF($A$1="Peak","-",IF(BaseLoad!O150&gt;BaseLoad!$G150,I$8*BaseLoad!$AM$9,0))</f>
        <v>29.073853298455656</v>
      </c>
      <c r="J151" s="173">
        <f>IF($A$1="Peak","-",IF(BaseLoad!P150&gt;BaseLoad!$G150,J$8*BaseLoad!$AM$9,0))</f>
        <v>29.073853298455656</v>
      </c>
      <c r="K151" s="173">
        <f>IF($A$1="Peak","-",IF(BaseLoad!Q150&gt;BaseLoad!$G150,K$8*BaseLoad!$AM$9,0))</f>
        <v>29.073853298455656</v>
      </c>
      <c r="L151" s="173">
        <f>IF($A$1="Peak","-",IF(BaseLoad!R150&gt;BaseLoad!$G150,L$8*BaseLoad!$AM$9,0))</f>
        <v>29.073853298455656</v>
      </c>
      <c r="M151" s="173">
        <f>IF($A$1="Peak","-",IF(BaseLoad!S150&gt;BaseLoad!$G150,M$8*BaseLoad!$AM$9,0))</f>
        <v>29.073853298455656</v>
      </c>
      <c r="N151" s="173">
        <f>IF($A$1="Peak","-",IF(BaseLoad!T150&gt;BaseLoad!$G150,N$8*BaseLoad!$AM$9,0))</f>
        <v>29.073853298455656</v>
      </c>
      <c r="O151" s="173">
        <f>IF($A$1="Peak","-",IF(BaseLoad!U150&gt;BaseLoad!$G150,O$8*BaseLoad!$AM$9,0))</f>
        <v>29.073853298455656</v>
      </c>
      <c r="P151" s="173">
        <f>IF($A$1="Peak","-",IF(BaseLoad!V150&gt;BaseLoad!$G150,P$8*BaseLoad!$AM$9,0))</f>
        <v>29.073853298455656</v>
      </c>
      <c r="Q151" s="173">
        <f>IF($A$1="Peak","-",IF(BaseLoad!W150&gt;BaseLoad!$G150,Q$8*BaseLoad!$AM$9,0))</f>
        <v>29.073853298455656</v>
      </c>
      <c r="R151" s="173">
        <f>IF($A$1="Peak","-",IF(BaseLoad!X150&gt;BaseLoad!$G150,R$8*BaseLoad!$AM$9,0))</f>
        <v>29.073853298455656</v>
      </c>
      <c r="S151" s="173">
        <f>IF($A$1="Peak","-",IF(BaseLoad!Y150&gt;BaseLoad!$G150,S$8*BaseLoad!$AM$9,0))</f>
        <v>29.073853298455656</v>
      </c>
      <c r="T151" s="173">
        <f>IF($A$1="Peak","-",IF(BaseLoad!Z150&gt;BaseLoad!$G150,T$8*BaseLoad!$AM$9,0))</f>
        <v>29.073853298455656</v>
      </c>
      <c r="U151" s="173">
        <f>IF($A$1="Peak","-",IF(BaseLoad!AA150&gt;BaseLoad!$G150,U$8*BaseLoad!$AM$9,0))</f>
        <v>79.953096570753061</v>
      </c>
      <c r="V151" s="173">
        <f t="shared" si="6"/>
        <v>530.5978226968158</v>
      </c>
      <c r="W151" s="173"/>
      <c r="X151" s="173"/>
      <c r="Y151" s="173"/>
    </row>
    <row r="152" spans="1:25" x14ac:dyDescent="0.2">
      <c r="A152" s="1">
        <f t="shared" si="7"/>
        <v>40859.214000000182</v>
      </c>
      <c r="B152" s="173">
        <f>IF($A$1="Peak","-",IF(BaseLoad!H151&gt;BaseLoad!$G151,B$8*BaseLoad!$AM$9,0))</f>
        <v>3.634231662306957</v>
      </c>
      <c r="C152" s="173">
        <f>IF($A$1="Peak","-",IF(BaseLoad!I151&gt;BaseLoad!$G151,C$8*BaseLoad!$AM$9,0))</f>
        <v>3.634231662306957</v>
      </c>
      <c r="D152" s="173">
        <f>IF($A$1="Peak","-",IF(BaseLoad!J151&gt;BaseLoad!$G151,D$8*BaseLoad!$AM$9,0))</f>
        <v>7.2684633246139141</v>
      </c>
      <c r="E152" s="173">
        <f>IF($A$1="Peak","-",IF(BaseLoad!K151&gt;BaseLoad!$G151,E$8*BaseLoad!$AM$9,0))</f>
        <v>14.536926649227828</v>
      </c>
      <c r="F152" s="173">
        <f>IF($A$1="Peak","-",IF(BaseLoad!L151&gt;BaseLoad!$G151,F$8*BaseLoad!$AM$9,0))</f>
        <v>14.536926649227828</v>
      </c>
      <c r="G152" s="173">
        <f>IF($A$1="Peak","-",IF(BaseLoad!M151&gt;BaseLoad!$G151,G$8*BaseLoad!$AM$9,0))</f>
        <v>29.073853298455656</v>
      </c>
      <c r="H152" s="173">
        <f>IF($A$1="Peak","-",IF(BaseLoad!N151&gt;BaseLoad!$G151,H$8*BaseLoad!$AM$9,0))</f>
        <v>29.073853298455656</v>
      </c>
      <c r="I152" s="173">
        <f>IF($A$1="Peak","-",IF(BaseLoad!O151&gt;BaseLoad!$G151,I$8*BaseLoad!$AM$9,0))</f>
        <v>29.073853298455656</v>
      </c>
      <c r="J152" s="173">
        <f>IF($A$1="Peak","-",IF(BaseLoad!P151&gt;BaseLoad!$G151,J$8*BaseLoad!$AM$9,0))</f>
        <v>29.073853298455656</v>
      </c>
      <c r="K152" s="173">
        <f>IF($A$1="Peak","-",IF(BaseLoad!Q151&gt;BaseLoad!$G151,K$8*BaseLoad!$AM$9,0))</f>
        <v>29.073853298455656</v>
      </c>
      <c r="L152" s="173">
        <f>IF($A$1="Peak","-",IF(BaseLoad!R151&gt;BaseLoad!$G151,L$8*BaseLoad!$AM$9,0))</f>
        <v>29.073853298455656</v>
      </c>
      <c r="M152" s="173">
        <f>IF($A$1="Peak","-",IF(BaseLoad!S151&gt;BaseLoad!$G151,M$8*BaseLoad!$AM$9,0))</f>
        <v>29.073853298455656</v>
      </c>
      <c r="N152" s="173">
        <f>IF($A$1="Peak","-",IF(BaseLoad!T151&gt;BaseLoad!$G151,N$8*BaseLoad!$AM$9,0))</f>
        <v>29.073853298455656</v>
      </c>
      <c r="O152" s="173">
        <f>IF($A$1="Peak","-",IF(BaseLoad!U151&gt;BaseLoad!$G151,O$8*BaseLoad!$AM$9,0))</f>
        <v>29.073853298455656</v>
      </c>
      <c r="P152" s="173">
        <f>IF($A$1="Peak","-",IF(BaseLoad!V151&gt;BaseLoad!$G151,P$8*BaseLoad!$AM$9,0))</f>
        <v>29.073853298455656</v>
      </c>
      <c r="Q152" s="173">
        <f>IF($A$1="Peak","-",IF(BaseLoad!W151&gt;BaseLoad!$G151,Q$8*BaseLoad!$AM$9,0))</f>
        <v>29.073853298455656</v>
      </c>
      <c r="R152" s="173">
        <f>IF($A$1="Peak","-",IF(BaseLoad!X151&gt;BaseLoad!$G151,R$8*BaseLoad!$AM$9,0))</f>
        <v>29.073853298455656</v>
      </c>
      <c r="S152" s="173">
        <f>IF($A$1="Peak","-",IF(BaseLoad!Y151&gt;BaseLoad!$G151,S$8*BaseLoad!$AM$9,0))</f>
        <v>29.073853298455656</v>
      </c>
      <c r="T152" s="173">
        <f>IF($A$1="Peak","-",IF(BaseLoad!Z151&gt;BaseLoad!$G151,T$8*BaseLoad!$AM$9,0))</f>
        <v>29.073853298455656</v>
      </c>
      <c r="U152" s="173">
        <f>IF($A$1="Peak","-",IF(BaseLoad!AA151&gt;BaseLoad!$G151,U$8*BaseLoad!$AM$9,0))</f>
        <v>79.953096570753061</v>
      </c>
      <c r="V152" s="173">
        <f t="shared" si="6"/>
        <v>530.5978226968158</v>
      </c>
      <c r="W152" s="173"/>
      <c r="X152" s="173"/>
      <c r="Y152" s="173"/>
    </row>
    <row r="153" spans="1:25" x14ac:dyDescent="0.2">
      <c r="A153" s="1">
        <f t="shared" si="7"/>
        <v>40889.631000000183</v>
      </c>
      <c r="B153" s="173">
        <f>IF($A$1="Peak","-",IF(BaseLoad!H152&gt;BaseLoad!$G152,B$8*BaseLoad!$AM$9,0))</f>
        <v>3.634231662306957</v>
      </c>
      <c r="C153" s="173">
        <f>IF($A$1="Peak","-",IF(BaseLoad!I152&gt;BaseLoad!$G152,C$8*BaseLoad!$AM$9,0))</f>
        <v>3.634231662306957</v>
      </c>
      <c r="D153" s="173">
        <f>IF($A$1="Peak","-",IF(BaseLoad!J152&gt;BaseLoad!$G152,D$8*BaseLoad!$AM$9,0))</f>
        <v>7.2684633246139141</v>
      </c>
      <c r="E153" s="173">
        <f>IF($A$1="Peak","-",IF(BaseLoad!K152&gt;BaseLoad!$G152,E$8*BaseLoad!$AM$9,0))</f>
        <v>14.536926649227828</v>
      </c>
      <c r="F153" s="173">
        <f>IF($A$1="Peak","-",IF(BaseLoad!L152&gt;BaseLoad!$G152,F$8*BaseLoad!$AM$9,0))</f>
        <v>14.536926649227828</v>
      </c>
      <c r="G153" s="173">
        <f>IF($A$1="Peak","-",IF(BaseLoad!M152&gt;BaseLoad!$G152,G$8*BaseLoad!$AM$9,0))</f>
        <v>29.073853298455656</v>
      </c>
      <c r="H153" s="173">
        <f>IF($A$1="Peak","-",IF(BaseLoad!N152&gt;BaseLoad!$G152,H$8*BaseLoad!$AM$9,0))</f>
        <v>29.073853298455656</v>
      </c>
      <c r="I153" s="173">
        <f>IF($A$1="Peak","-",IF(BaseLoad!O152&gt;BaseLoad!$G152,I$8*BaseLoad!$AM$9,0))</f>
        <v>29.073853298455656</v>
      </c>
      <c r="J153" s="173">
        <f>IF($A$1="Peak","-",IF(BaseLoad!P152&gt;BaseLoad!$G152,J$8*BaseLoad!$AM$9,0))</f>
        <v>29.073853298455656</v>
      </c>
      <c r="K153" s="173">
        <f>IF($A$1="Peak","-",IF(BaseLoad!Q152&gt;BaseLoad!$G152,K$8*BaseLoad!$AM$9,0))</f>
        <v>29.073853298455656</v>
      </c>
      <c r="L153" s="173">
        <f>IF($A$1="Peak","-",IF(BaseLoad!R152&gt;BaseLoad!$G152,L$8*BaseLoad!$AM$9,0))</f>
        <v>29.073853298455656</v>
      </c>
      <c r="M153" s="173">
        <f>IF($A$1="Peak","-",IF(BaseLoad!S152&gt;BaseLoad!$G152,M$8*BaseLoad!$AM$9,0))</f>
        <v>29.073853298455656</v>
      </c>
      <c r="N153" s="173">
        <f>IF($A$1="Peak","-",IF(BaseLoad!T152&gt;BaseLoad!$G152,N$8*BaseLoad!$AM$9,0))</f>
        <v>29.073853298455656</v>
      </c>
      <c r="O153" s="173">
        <f>IF($A$1="Peak","-",IF(BaseLoad!U152&gt;BaseLoad!$G152,O$8*BaseLoad!$AM$9,0))</f>
        <v>29.073853298455656</v>
      </c>
      <c r="P153" s="173">
        <f>IF($A$1="Peak","-",IF(BaseLoad!V152&gt;BaseLoad!$G152,P$8*BaseLoad!$AM$9,0))</f>
        <v>29.073853298455656</v>
      </c>
      <c r="Q153" s="173">
        <f>IF($A$1="Peak","-",IF(BaseLoad!W152&gt;BaseLoad!$G152,Q$8*BaseLoad!$AM$9,0))</f>
        <v>29.073853298455656</v>
      </c>
      <c r="R153" s="173">
        <f>IF($A$1="Peak","-",IF(BaseLoad!X152&gt;BaseLoad!$G152,R$8*BaseLoad!$AM$9,0))</f>
        <v>29.073853298455656</v>
      </c>
      <c r="S153" s="173">
        <f>IF($A$1="Peak","-",IF(BaseLoad!Y152&gt;BaseLoad!$G152,S$8*BaseLoad!$AM$9,0))</f>
        <v>29.073853298455656</v>
      </c>
      <c r="T153" s="173">
        <f>IF($A$1="Peak","-",IF(BaseLoad!Z152&gt;BaseLoad!$G152,T$8*BaseLoad!$AM$9,0))</f>
        <v>29.073853298455656</v>
      </c>
      <c r="U153" s="173">
        <f>IF($A$1="Peak","-",IF(BaseLoad!AA152&gt;BaseLoad!$G152,U$8*BaseLoad!$AM$9,0))</f>
        <v>79.953096570753061</v>
      </c>
      <c r="V153" s="173">
        <f t="shared" si="6"/>
        <v>530.5978226968158</v>
      </c>
      <c r="W153" s="173"/>
      <c r="X153" s="173"/>
      <c r="Y153" s="173">
        <f>SUM(V142:V153)</f>
        <v>6367.1738723617882</v>
      </c>
    </row>
    <row r="154" spans="1:25" x14ac:dyDescent="0.2">
      <c r="A154" s="1">
        <f t="shared" si="7"/>
        <v>40920.048000000184</v>
      </c>
      <c r="B154" s="173">
        <f>IF($A$1="Peak","-",IF(BaseLoad!H153&gt;BaseLoad!$G153,B$8*BaseLoad!$AM$9,0))</f>
        <v>3.634231662306957</v>
      </c>
      <c r="C154" s="173">
        <f>IF($A$1="Peak","-",IF(BaseLoad!I153&gt;BaseLoad!$G153,C$8*BaseLoad!$AM$9,0))</f>
        <v>3.634231662306957</v>
      </c>
      <c r="D154" s="173">
        <f>IF($A$1="Peak","-",IF(BaseLoad!J153&gt;BaseLoad!$G153,D$8*BaseLoad!$AM$9,0))</f>
        <v>7.2684633246139141</v>
      </c>
      <c r="E154" s="173">
        <f>IF($A$1="Peak","-",IF(BaseLoad!K153&gt;BaseLoad!$G153,E$8*BaseLoad!$AM$9,0))</f>
        <v>14.536926649227828</v>
      </c>
      <c r="F154" s="173">
        <f>IF($A$1="Peak","-",IF(BaseLoad!L153&gt;BaseLoad!$G153,F$8*BaseLoad!$AM$9,0))</f>
        <v>14.536926649227828</v>
      </c>
      <c r="G154" s="173">
        <f>IF($A$1="Peak","-",IF(BaseLoad!M153&gt;BaseLoad!$G153,G$8*BaseLoad!$AM$9,0))</f>
        <v>29.073853298455656</v>
      </c>
      <c r="H154" s="173">
        <f>IF($A$1="Peak","-",IF(BaseLoad!N153&gt;BaseLoad!$G153,H$8*BaseLoad!$AM$9,0))</f>
        <v>29.073853298455656</v>
      </c>
      <c r="I154" s="173">
        <f>IF($A$1="Peak","-",IF(BaseLoad!O153&gt;BaseLoad!$G153,I$8*BaseLoad!$AM$9,0))</f>
        <v>29.073853298455656</v>
      </c>
      <c r="J154" s="173">
        <f>IF($A$1="Peak","-",IF(BaseLoad!P153&gt;BaseLoad!$G153,J$8*BaseLoad!$AM$9,0))</f>
        <v>29.073853298455656</v>
      </c>
      <c r="K154" s="173">
        <f>IF($A$1="Peak","-",IF(BaseLoad!Q153&gt;BaseLoad!$G153,K$8*BaseLoad!$AM$9,0))</f>
        <v>29.073853298455656</v>
      </c>
      <c r="L154" s="173">
        <f>IF($A$1="Peak","-",IF(BaseLoad!R153&gt;BaseLoad!$G153,L$8*BaseLoad!$AM$9,0))</f>
        <v>29.073853298455656</v>
      </c>
      <c r="M154" s="173">
        <f>IF($A$1="Peak","-",IF(BaseLoad!S153&gt;BaseLoad!$G153,M$8*BaseLoad!$AM$9,0))</f>
        <v>29.073853298455656</v>
      </c>
      <c r="N154" s="173">
        <f>IF($A$1="Peak","-",IF(BaseLoad!T153&gt;BaseLoad!$G153,N$8*BaseLoad!$AM$9,0))</f>
        <v>29.073853298455656</v>
      </c>
      <c r="O154" s="173">
        <f>IF($A$1="Peak","-",IF(BaseLoad!U153&gt;BaseLoad!$G153,O$8*BaseLoad!$AM$9,0))</f>
        <v>29.073853298455656</v>
      </c>
      <c r="P154" s="173">
        <f>IF($A$1="Peak","-",IF(BaseLoad!V153&gt;BaseLoad!$G153,P$8*BaseLoad!$AM$9,0))</f>
        <v>29.073853298455656</v>
      </c>
      <c r="Q154" s="173">
        <f>IF($A$1="Peak","-",IF(BaseLoad!W153&gt;BaseLoad!$G153,Q$8*BaseLoad!$AM$9,0))</f>
        <v>29.073853298455656</v>
      </c>
      <c r="R154" s="173">
        <f>IF($A$1="Peak","-",IF(BaseLoad!X153&gt;BaseLoad!$G153,R$8*BaseLoad!$AM$9,0))</f>
        <v>29.073853298455656</v>
      </c>
      <c r="S154" s="173">
        <f>IF($A$1="Peak","-",IF(BaseLoad!Y153&gt;BaseLoad!$G153,S$8*BaseLoad!$AM$9,0))</f>
        <v>29.073853298455656</v>
      </c>
      <c r="T154" s="173">
        <f>IF($A$1="Peak","-",IF(BaseLoad!Z153&gt;BaseLoad!$G153,T$8*BaseLoad!$AM$9,0))</f>
        <v>29.073853298455656</v>
      </c>
      <c r="U154" s="173">
        <f>IF($A$1="Peak","-",IF(BaseLoad!AA153&gt;BaseLoad!$G153,U$8*BaseLoad!$AM$9,0))</f>
        <v>79.953096570753061</v>
      </c>
      <c r="V154" s="173">
        <f t="shared" si="6"/>
        <v>530.5978226968158</v>
      </c>
      <c r="W154" s="173"/>
      <c r="X154" s="173"/>
      <c r="Y154" s="173"/>
    </row>
    <row r="155" spans="1:25" x14ac:dyDescent="0.2">
      <c r="A155" s="1">
        <f t="shared" si="7"/>
        <v>40950.465000000186</v>
      </c>
      <c r="B155" s="173">
        <f>IF($A$1="Peak","-",IF(BaseLoad!H154&gt;BaseLoad!$G154,B$8*BaseLoad!$AM$9,0))</f>
        <v>3.634231662306957</v>
      </c>
      <c r="C155" s="173">
        <f>IF($A$1="Peak","-",IF(BaseLoad!I154&gt;BaseLoad!$G154,C$8*BaseLoad!$AM$9,0))</f>
        <v>3.634231662306957</v>
      </c>
      <c r="D155" s="173">
        <f>IF($A$1="Peak","-",IF(BaseLoad!J154&gt;BaseLoad!$G154,D$8*BaseLoad!$AM$9,0))</f>
        <v>7.2684633246139141</v>
      </c>
      <c r="E155" s="173">
        <f>IF($A$1="Peak","-",IF(BaseLoad!K154&gt;BaseLoad!$G154,E$8*BaseLoad!$AM$9,0))</f>
        <v>14.536926649227828</v>
      </c>
      <c r="F155" s="173">
        <f>IF($A$1="Peak","-",IF(BaseLoad!L154&gt;BaseLoad!$G154,F$8*BaseLoad!$AM$9,0))</f>
        <v>14.536926649227828</v>
      </c>
      <c r="G155" s="173">
        <f>IF($A$1="Peak","-",IF(BaseLoad!M154&gt;BaseLoad!$G154,G$8*BaseLoad!$AM$9,0))</f>
        <v>29.073853298455656</v>
      </c>
      <c r="H155" s="173">
        <f>IF($A$1="Peak","-",IF(BaseLoad!N154&gt;BaseLoad!$G154,H$8*BaseLoad!$AM$9,0))</f>
        <v>29.073853298455656</v>
      </c>
      <c r="I155" s="173">
        <f>IF($A$1="Peak","-",IF(BaseLoad!O154&gt;BaseLoad!$G154,I$8*BaseLoad!$AM$9,0))</f>
        <v>29.073853298455656</v>
      </c>
      <c r="J155" s="173">
        <f>IF($A$1="Peak","-",IF(BaseLoad!P154&gt;BaseLoad!$G154,J$8*BaseLoad!$AM$9,0))</f>
        <v>29.073853298455656</v>
      </c>
      <c r="K155" s="173">
        <f>IF($A$1="Peak","-",IF(BaseLoad!Q154&gt;BaseLoad!$G154,K$8*BaseLoad!$AM$9,0))</f>
        <v>29.073853298455656</v>
      </c>
      <c r="L155" s="173">
        <f>IF($A$1="Peak","-",IF(BaseLoad!R154&gt;BaseLoad!$G154,L$8*BaseLoad!$AM$9,0))</f>
        <v>29.073853298455656</v>
      </c>
      <c r="M155" s="173">
        <f>IF($A$1="Peak","-",IF(BaseLoad!S154&gt;BaseLoad!$G154,M$8*BaseLoad!$AM$9,0))</f>
        <v>29.073853298455656</v>
      </c>
      <c r="N155" s="173">
        <f>IF($A$1="Peak","-",IF(BaseLoad!T154&gt;BaseLoad!$G154,N$8*BaseLoad!$AM$9,0))</f>
        <v>29.073853298455656</v>
      </c>
      <c r="O155" s="173">
        <f>IF($A$1="Peak","-",IF(BaseLoad!U154&gt;BaseLoad!$G154,O$8*BaseLoad!$AM$9,0))</f>
        <v>29.073853298455656</v>
      </c>
      <c r="P155" s="173">
        <f>IF($A$1="Peak","-",IF(BaseLoad!V154&gt;BaseLoad!$G154,P$8*BaseLoad!$AM$9,0))</f>
        <v>29.073853298455656</v>
      </c>
      <c r="Q155" s="173">
        <f>IF($A$1="Peak","-",IF(BaseLoad!W154&gt;BaseLoad!$G154,Q$8*BaseLoad!$AM$9,0))</f>
        <v>29.073853298455656</v>
      </c>
      <c r="R155" s="173">
        <f>IF($A$1="Peak","-",IF(BaseLoad!X154&gt;BaseLoad!$G154,R$8*BaseLoad!$AM$9,0))</f>
        <v>29.073853298455656</v>
      </c>
      <c r="S155" s="173">
        <f>IF($A$1="Peak","-",IF(BaseLoad!Y154&gt;BaseLoad!$G154,S$8*BaseLoad!$AM$9,0))</f>
        <v>29.073853298455656</v>
      </c>
      <c r="T155" s="173">
        <f>IF($A$1="Peak","-",IF(BaseLoad!Z154&gt;BaseLoad!$G154,T$8*BaseLoad!$AM$9,0))</f>
        <v>29.073853298455656</v>
      </c>
      <c r="U155" s="173">
        <f>IF($A$1="Peak","-",IF(BaseLoad!AA154&gt;BaseLoad!$G154,U$8*BaseLoad!$AM$9,0))</f>
        <v>79.953096570753061</v>
      </c>
      <c r="V155" s="173">
        <f t="shared" si="6"/>
        <v>530.5978226968158</v>
      </c>
      <c r="W155" s="173"/>
      <c r="X155" s="173"/>
      <c r="Y155" s="173"/>
    </row>
    <row r="156" spans="1:25" x14ac:dyDescent="0.2">
      <c r="A156" s="1">
        <f t="shared" si="7"/>
        <v>40980.882000000187</v>
      </c>
      <c r="B156" s="173">
        <f>IF($A$1="Peak","-",IF(BaseLoad!H155&gt;BaseLoad!$G155,B$8*BaseLoad!$AM$9,0))</f>
        <v>3.634231662306957</v>
      </c>
      <c r="C156" s="173">
        <f>IF($A$1="Peak","-",IF(BaseLoad!I155&gt;BaseLoad!$G155,C$8*BaseLoad!$AM$9,0))</f>
        <v>3.634231662306957</v>
      </c>
      <c r="D156" s="173">
        <f>IF($A$1="Peak","-",IF(BaseLoad!J155&gt;BaseLoad!$G155,D$8*BaseLoad!$AM$9,0))</f>
        <v>7.2684633246139141</v>
      </c>
      <c r="E156" s="173">
        <f>IF($A$1="Peak","-",IF(BaseLoad!K155&gt;BaseLoad!$G155,E$8*BaseLoad!$AM$9,0))</f>
        <v>14.536926649227828</v>
      </c>
      <c r="F156" s="173">
        <f>IF($A$1="Peak","-",IF(BaseLoad!L155&gt;BaseLoad!$G155,F$8*BaseLoad!$AM$9,0))</f>
        <v>14.536926649227828</v>
      </c>
      <c r="G156" s="173">
        <f>IF($A$1="Peak","-",IF(BaseLoad!M155&gt;BaseLoad!$G155,G$8*BaseLoad!$AM$9,0))</f>
        <v>29.073853298455656</v>
      </c>
      <c r="H156" s="173">
        <f>IF($A$1="Peak","-",IF(BaseLoad!N155&gt;BaseLoad!$G155,H$8*BaseLoad!$AM$9,0))</f>
        <v>29.073853298455656</v>
      </c>
      <c r="I156" s="173">
        <f>IF($A$1="Peak","-",IF(BaseLoad!O155&gt;BaseLoad!$G155,I$8*BaseLoad!$AM$9,0))</f>
        <v>29.073853298455656</v>
      </c>
      <c r="J156" s="173">
        <f>IF($A$1="Peak","-",IF(BaseLoad!P155&gt;BaseLoad!$G155,J$8*BaseLoad!$AM$9,0))</f>
        <v>29.073853298455656</v>
      </c>
      <c r="K156" s="173">
        <f>IF($A$1="Peak","-",IF(BaseLoad!Q155&gt;BaseLoad!$G155,K$8*BaseLoad!$AM$9,0))</f>
        <v>29.073853298455656</v>
      </c>
      <c r="L156" s="173">
        <f>IF($A$1="Peak","-",IF(BaseLoad!R155&gt;BaseLoad!$G155,L$8*BaseLoad!$AM$9,0))</f>
        <v>29.073853298455656</v>
      </c>
      <c r="M156" s="173">
        <f>IF($A$1="Peak","-",IF(BaseLoad!S155&gt;BaseLoad!$G155,M$8*BaseLoad!$AM$9,0))</f>
        <v>29.073853298455656</v>
      </c>
      <c r="N156" s="173">
        <f>IF($A$1="Peak","-",IF(BaseLoad!T155&gt;BaseLoad!$G155,N$8*BaseLoad!$AM$9,0))</f>
        <v>29.073853298455656</v>
      </c>
      <c r="O156" s="173">
        <f>IF($A$1="Peak","-",IF(BaseLoad!U155&gt;BaseLoad!$G155,O$8*BaseLoad!$AM$9,0))</f>
        <v>29.073853298455656</v>
      </c>
      <c r="P156" s="173">
        <f>IF($A$1="Peak","-",IF(BaseLoad!V155&gt;BaseLoad!$G155,P$8*BaseLoad!$AM$9,0))</f>
        <v>29.073853298455656</v>
      </c>
      <c r="Q156" s="173">
        <f>IF($A$1="Peak","-",IF(BaseLoad!W155&gt;BaseLoad!$G155,Q$8*BaseLoad!$AM$9,0))</f>
        <v>29.073853298455656</v>
      </c>
      <c r="R156" s="173">
        <f>IF($A$1="Peak","-",IF(BaseLoad!X155&gt;BaseLoad!$G155,R$8*BaseLoad!$AM$9,0))</f>
        <v>29.073853298455656</v>
      </c>
      <c r="S156" s="173">
        <f>IF($A$1="Peak","-",IF(BaseLoad!Y155&gt;BaseLoad!$G155,S$8*BaseLoad!$AM$9,0))</f>
        <v>29.073853298455656</v>
      </c>
      <c r="T156" s="173">
        <f>IF($A$1="Peak","-",IF(BaseLoad!Z155&gt;BaseLoad!$G155,T$8*BaseLoad!$AM$9,0))</f>
        <v>29.073853298455656</v>
      </c>
      <c r="U156" s="173">
        <f>IF($A$1="Peak","-",IF(BaseLoad!AA155&gt;BaseLoad!$G155,U$8*BaseLoad!$AM$9,0))</f>
        <v>79.953096570753061</v>
      </c>
      <c r="V156" s="173">
        <f t="shared" si="6"/>
        <v>530.5978226968158</v>
      </c>
      <c r="W156" s="173"/>
      <c r="X156" s="173"/>
      <c r="Y156" s="173"/>
    </row>
    <row r="157" spans="1:25" x14ac:dyDescent="0.2">
      <c r="A157" s="1">
        <f t="shared" si="7"/>
        <v>41011.299000000188</v>
      </c>
      <c r="B157" s="173">
        <f>IF($A$1="Peak","-",IF(BaseLoad!H156&gt;BaseLoad!$G156,B$8*BaseLoad!$AM$9,0))</f>
        <v>3.634231662306957</v>
      </c>
      <c r="C157" s="173">
        <f>IF($A$1="Peak","-",IF(BaseLoad!I156&gt;BaseLoad!$G156,C$8*BaseLoad!$AM$9,0))</f>
        <v>3.634231662306957</v>
      </c>
      <c r="D157" s="173">
        <f>IF($A$1="Peak","-",IF(BaseLoad!J156&gt;BaseLoad!$G156,D$8*BaseLoad!$AM$9,0))</f>
        <v>7.2684633246139141</v>
      </c>
      <c r="E157" s="173">
        <f>IF($A$1="Peak","-",IF(BaseLoad!K156&gt;BaseLoad!$G156,E$8*BaseLoad!$AM$9,0))</f>
        <v>14.536926649227828</v>
      </c>
      <c r="F157" s="173">
        <f>IF($A$1="Peak","-",IF(BaseLoad!L156&gt;BaseLoad!$G156,F$8*BaseLoad!$AM$9,0))</f>
        <v>14.536926649227828</v>
      </c>
      <c r="G157" s="173">
        <f>IF($A$1="Peak","-",IF(BaseLoad!M156&gt;BaseLoad!$G156,G$8*BaseLoad!$AM$9,0))</f>
        <v>29.073853298455656</v>
      </c>
      <c r="H157" s="173">
        <f>IF($A$1="Peak","-",IF(BaseLoad!N156&gt;BaseLoad!$G156,H$8*BaseLoad!$AM$9,0))</f>
        <v>29.073853298455656</v>
      </c>
      <c r="I157" s="173">
        <f>IF($A$1="Peak","-",IF(BaseLoad!O156&gt;BaseLoad!$G156,I$8*BaseLoad!$AM$9,0))</f>
        <v>29.073853298455656</v>
      </c>
      <c r="J157" s="173">
        <f>IF($A$1="Peak","-",IF(BaseLoad!P156&gt;BaseLoad!$G156,J$8*BaseLoad!$AM$9,0))</f>
        <v>29.073853298455656</v>
      </c>
      <c r="K157" s="173">
        <f>IF($A$1="Peak","-",IF(BaseLoad!Q156&gt;BaseLoad!$G156,K$8*BaseLoad!$AM$9,0))</f>
        <v>29.073853298455656</v>
      </c>
      <c r="L157" s="173">
        <f>IF($A$1="Peak","-",IF(BaseLoad!R156&gt;BaseLoad!$G156,L$8*BaseLoad!$AM$9,0))</f>
        <v>29.073853298455656</v>
      </c>
      <c r="M157" s="173">
        <f>IF($A$1="Peak","-",IF(BaseLoad!S156&gt;BaseLoad!$G156,M$8*BaseLoad!$AM$9,0))</f>
        <v>29.073853298455656</v>
      </c>
      <c r="N157" s="173">
        <f>IF($A$1="Peak","-",IF(BaseLoad!T156&gt;BaseLoad!$G156,N$8*BaseLoad!$AM$9,0))</f>
        <v>29.073853298455656</v>
      </c>
      <c r="O157" s="173">
        <f>IF($A$1="Peak","-",IF(BaseLoad!U156&gt;BaseLoad!$G156,O$8*BaseLoad!$AM$9,0))</f>
        <v>29.073853298455656</v>
      </c>
      <c r="P157" s="173">
        <f>IF($A$1="Peak","-",IF(BaseLoad!V156&gt;BaseLoad!$G156,P$8*BaseLoad!$AM$9,0))</f>
        <v>29.073853298455656</v>
      </c>
      <c r="Q157" s="173">
        <f>IF($A$1="Peak","-",IF(BaseLoad!W156&gt;BaseLoad!$G156,Q$8*BaseLoad!$AM$9,0))</f>
        <v>29.073853298455656</v>
      </c>
      <c r="R157" s="173">
        <f>IF($A$1="Peak","-",IF(BaseLoad!X156&gt;BaseLoad!$G156,R$8*BaseLoad!$AM$9,0))</f>
        <v>29.073853298455656</v>
      </c>
      <c r="S157" s="173">
        <f>IF($A$1="Peak","-",IF(BaseLoad!Y156&gt;BaseLoad!$G156,S$8*BaseLoad!$AM$9,0))</f>
        <v>29.073853298455656</v>
      </c>
      <c r="T157" s="173">
        <f>IF($A$1="Peak","-",IF(BaseLoad!Z156&gt;BaseLoad!$G156,T$8*BaseLoad!$AM$9,0))</f>
        <v>29.073853298455656</v>
      </c>
      <c r="U157" s="173">
        <f>IF($A$1="Peak","-",IF(BaseLoad!AA156&gt;BaseLoad!$G156,U$8*BaseLoad!$AM$9,0))</f>
        <v>79.953096570753061</v>
      </c>
      <c r="V157" s="173">
        <f t="shared" si="6"/>
        <v>530.5978226968158</v>
      </c>
      <c r="W157" s="173"/>
      <c r="X157" s="173"/>
      <c r="Y157" s="173"/>
    </row>
    <row r="158" spans="1:25" x14ac:dyDescent="0.2">
      <c r="A158" s="1">
        <f t="shared" si="7"/>
        <v>41041.71600000019</v>
      </c>
      <c r="B158" s="173">
        <f>IF($A$1="Peak","-",IF(BaseLoad!H157&gt;BaseLoad!$G157,B$8*BaseLoad!$AM$9,0))</f>
        <v>3.634231662306957</v>
      </c>
      <c r="C158" s="173">
        <f>IF($A$1="Peak","-",IF(BaseLoad!I157&gt;BaseLoad!$G157,C$8*BaseLoad!$AM$9,0))</f>
        <v>3.634231662306957</v>
      </c>
      <c r="D158" s="173">
        <f>IF($A$1="Peak","-",IF(BaseLoad!J157&gt;BaseLoad!$G157,D$8*BaseLoad!$AM$9,0))</f>
        <v>7.2684633246139141</v>
      </c>
      <c r="E158" s="173">
        <f>IF($A$1="Peak","-",IF(BaseLoad!K157&gt;BaseLoad!$G157,E$8*BaseLoad!$AM$9,0))</f>
        <v>14.536926649227828</v>
      </c>
      <c r="F158" s="173">
        <f>IF($A$1="Peak","-",IF(BaseLoad!L157&gt;BaseLoad!$G157,F$8*BaseLoad!$AM$9,0))</f>
        <v>14.536926649227828</v>
      </c>
      <c r="G158" s="173">
        <f>IF($A$1="Peak","-",IF(BaseLoad!M157&gt;BaseLoad!$G157,G$8*BaseLoad!$AM$9,0))</f>
        <v>29.073853298455656</v>
      </c>
      <c r="H158" s="173">
        <f>IF($A$1="Peak","-",IF(BaseLoad!N157&gt;BaseLoad!$G157,H$8*BaseLoad!$AM$9,0))</f>
        <v>29.073853298455656</v>
      </c>
      <c r="I158" s="173">
        <f>IF($A$1="Peak","-",IF(BaseLoad!O157&gt;BaseLoad!$G157,I$8*BaseLoad!$AM$9,0))</f>
        <v>29.073853298455656</v>
      </c>
      <c r="J158" s="173">
        <f>IF($A$1="Peak","-",IF(BaseLoad!P157&gt;BaseLoad!$G157,J$8*BaseLoad!$AM$9,0))</f>
        <v>29.073853298455656</v>
      </c>
      <c r="K158" s="173">
        <f>IF($A$1="Peak","-",IF(BaseLoad!Q157&gt;BaseLoad!$G157,K$8*BaseLoad!$AM$9,0))</f>
        <v>29.073853298455656</v>
      </c>
      <c r="L158" s="173">
        <f>IF($A$1="Peak","-",IF(BaseLoad!R157&gt;BaseLoad!$G157,L$8*BaseLoad!$AM$9,0))</f>
        <v>29.073853298455656</v>
      </c>
      <c r="M158" s="173">
        <f>IF($A$1="Peak","-",IF(BaseLoad!S157&gt;BaseLoad!$G157,M$8*BaseLoad!$AM$9,0))</f>
        <v>29.073853298455656</v>
      </c>
      <c r="N158" s="173">
        <f>IF($A$1="Peak","-",IF(BaseLoad!T157&gt;BaseLoad!$G157,N$8*BaseLoad!$AM$9,0))</f>
        <v>29.073853298455656</v>
      </c>
      <c r="O158" s="173">
        <f>IF($A$1="Peak","-",IF(BaseLoad!U157&gt;BaseLoad!$G157,O$8*BaseLoad!$AM$9,0))</f>
        <v>29.073853298455656</v>
      </c>
      <c r="P158" s="173">
        <f>IF($A$1="Peak","-",IF(BaseLoad!V157&gt;BaseLoad!$G157,P$8*BaseLoad!$AM$9,0))</f>
        <v>29.073853298455656</v>
      </c>
      <c r="Q158" s="173">
        <f>IF($A$1="Peak","-",IF(BaseLoad!W157&gt;BaseLoad!$G157,Q$8*BaseLoad!$AM$9,0))</f>
        <v>29.073853298455656</v>
      </c>
      <c r="R158" s="173">
        <f>IF($A$1="Peak","-",IF(BaseLoad!X157&gt;BaseLoad!$G157,R$8*BaseLoad!$AM$9,0))</f>
        <v>29.073853298455656</v>
      </c>
      <c r="S158" s="173">
        <f>IF($A$1="Peak","-",IF(BaseLoad!Y157&gt;BaseLoad!$G157,S$8*BaseLoad!$AM$9,0))</f>
        <v>29.073853298455656</v>
      </c>
      <c r="T158" s="173">
        <f>IF($A$1="Peak","-",IF(BaseLoad!Z157&gt;BaseLoad!$G157,T$8*BaseLoad!$AM$9,0))</f>
        <v>29.073853298455656</v>
      </c>
      <c r="U158" s="173">
        <f>IF($A$1="Peak","-",IF(BaseLoad!AA157&gt;BaseLoad!$G157,U$8*BaseLoad!$AM$9,0))</f>
        <v>79.953096570753061</v>
      </c>
      <c r="V158" s="173">
        <f t="shared" si="6"/>
        <v>530.5978226968158</v>
      </c>
      <c r="W158" s="173"/>
      <c r="X158" s="173"/>
      <c r="Y158" s="173"/>
    </row>
    <row r="159" spans="1:25" x14ac:dyDescent="0.2">
      <c r="A159" s="1">
        <f t="shared" si="7"/>
        <v>41072.133000000191</v>
      </c>
      <c r="B159" s="173">
        <f>IF($A$1="Peak","-",IF(BaseLoad!H158&gt;BaseLoad!$G158,B$8*BaseLoad!$AM$9,0))</f>
        <v>3.634231662306957</v>
      </c>
      <c r="C159" s="173">
        <f>IF($A$1="Peak","-",IF(BaseLoad!I158&gt;BaseLoad!$G158,C$8*BaseLoad!$AM$9,0))</f>
        <v>3.634231662306957</v>
      </c>
      <c r="D159" s="173">
        <f>IF($A$1="Peak","-",IF(BaseLoad!J158&gt;BaseLoad!$G158,D$8*BaseLoad!$AM$9,0))</f>
        <v>7.2684633246139141</v>
      </c>
      <c r="E159" s="173">
        <f>IF($A$1="Peak","-",IF(BaseLoad!K158&gt;BaseLoad!$G158,E$8*BaseLoad!$AM$9,0))</f>
        <v>14.536926649227828</v>
      </c>
      <c r="F159" s="173">
        <f>IF($A$1="Peak","-",IF(BaseLoad!L158&gt;BaseLoad!$G158,F$8*BaseLoad!$AM$9,0))</f>
        <v>14.536926649227828</v>
      </c>
      <c r="G159" s="173">
        <f>IF($A$1="Peak","-",IF(BaseLoad!M158&gt;BaseLoad!$G158,G$8*BaseLoad!$AM$9,0))</f>
        <v>29.073853298455656</v>
      </c>
      <c r="H159" s="173">
        <f>IF($A$1="Peak","-",IF(BaseLoad!N158&gt;BaseLoad!$G158,H$8*BaseLoad!$AM$9,0))</f>
        <v>29.073853298455656</v>
      </c>
      <c r="I159" s="173">
        <f>IF($A$1="Peak","-",IF(BaseLoad!O158&gt;BaseLoad!$G158,I$8*BaseLoad!$AM$9,0))</f>
        <v>29.073853298455656</v>
      </c>
      <c r="J159" s="173">
        <f>IF($A$1="Peak","-",IF(BaseLoad!P158&gt;BaseLoad!$G158,J$8*BaseLoad!$AM$9,0))</f>
        <v>29.073853298455656</v>
      </c>
      <c r="K159" s="173">
        <f>IF($A$1="Peak","-",IF(BaseLoad!Q158&gt;BaseLoad!$G158,K$8*BaseLoad!$AM$9,0))</f>
        <v>29.073853298455656</v>
      </c>
      <c r="L159" s="173">
        <f>IF($A$1="Peak","-",IF(BaseLoad!R158&gt;BaseLoad!$G158,L$8*BaseLoad!$AM$9,0))</f>
        <v>29.073853298455656</v>
      </c>
      <c r="M159" s="173">
        <f>IF($A$1="Peak","-",IF(BaseLoad!S158&gt;BaseLoad!$G158,M$8*BaseLoad!$AM$9,0))</f>
        <v>29.073853298455656</v>
      </c>
      <c r="N159" s="173">
        <f>IF($A$1="Peak","-",IF(BaseLoad!T158&gt;BaseLoad!$G158,N$8*BaseLoad!$AM$9,0))</f>
        <v>29.073853298455656</v>
      </c>
      <c r="O159" s="173">
        <f>IF($A$1="Peak","-",IF(BaseLoad!U158&gt;BaseLoad!$G158,O$8*BaseLoad!$AM$9,0))</f>
        <v>29.073853298455656</v>
      </c>
      <c r="P159" s="173">
        <f>IF($A$1="Peak","-",IF(BaseLoad!V158&gt;BaseLoad!$G158,P$8*BaseLoad!$AM$9,0))</f>
        <v>29.073853298455656</v>
      </c>
      <c r="Q159" s="173">
        <f>IF($A$1="Peak","-",IF(BaseLoad!W158&gt;BaseLoad!$G158,Q$8*BaseLoad!$AM$9,0))</f>
        <v>29.073853298455656</v>
      </c>
      <c r="R159" s="173">
        <f>IF($A$1="Peak","-",IF(BaseLoad!X158&gt;BaseLoad!$G158,R$8*BaseLoad!$AM$9,0))</f>
        <v>29.073853298455656</v>
      </c>
      <c r="S159" s="173">
        <f>IF($A$1="Peak","-",IF(BaseLoad!Y158&gt;BaseLoad!$G158,S$8*BaseLoad!$AM$9,0))</f>
        <v>29.073853298455656</v>
      </c>
      <c r="T159" s="173">
        <f>IF($A$1="Peak","-",IF(BaseLoad!Z158&gt;BaseLoad!$G158,T$8*BaseLoad!$AM$9,0))</f>
        <v>29.073853298455656</v>
      </c>
      <c r="U159" s="173">
        <f>IF($A$1="Peak","-",IF(BaseLoad!AA158&gt;BaseLoad!$G158,U$8*BaseLoad!$AM$9,0))</f>
        <v>79.953096570753061</v>
      </c>
      <c r="V159" s="173">
        <f t="shared" si="6"/>
        <v>530.5978226968158</v>
      </c>
      <c r="W159" s="173"/>
      <c r="X159" s="173"/>
      <c r="Y159" s="173"/>
    </row>
    <row r="160" spans="1:25" x14ac:dyDescent="0.2">
      <c r="A160" s="1">
        <f t="shared" si="7"/>
        <v>41102.550000000192</v>
      </c>
      <c r="B160" s="173">
        <f>IF($A$1="Peak","-",IF(BaseLoad!H159&gt;BaseLoad!$G159,B$8*BaseLoad!$AM$9,0))</f>
        <v>3.634231662306957</v>
      </c>
      <c r="C160" s="173">
        <f>IF($A$1="Peak","-",IF(BaseLoad!I159&gt;BaseLoad!$G159,C$8*BaseLoad!$AM$9,0))</f>
        <v>3.634231662306957</v>
      </c>
      <c r="D160" s="173">
        <f>IF($A$1="Peak","-",IF(BaseLoad!J159&gt;BaseLoad!$G159,D$8*BaseLoad!$AM$9,0))</f>
        <v>7.2684633246139141</v>
      </c>
      <c r="E160" s="173">
        <f>IF($A$1="Peak","-",IF(BaseLoad!K159&gt;BaseLoad!$G159,E$8*BaseLoad!$AM$9,0))</f>
        <v>14.536926649227828</v>
      </c>
      <c r="F160" s="173">
        <f>IF($A$1="Peak","-",IF(BaseLoad!L159&gt;BaseLoad!$G159,F$8*BaseLoad!$AM$9,0))</f>
        <v>14.536926649227828</v>
      </c>
      <c r="G160" s="173">
        <f>IF($A$1="Peak","-",IF(BaseLoad!M159&gt;BaseLoad!$G159,G$8*BaseLoad!$AM$9,0))</f>
        <v>29.073853298455656</v>
      </c>
      <c r="H160" s="173">
        <f>IF($A$1="Peak","-",IF(BaseLoad!N159&gt;BaseLoad!$G159,H$8*BaseLoad!$AM$9,0))</f>
        <v>29.073853298455656</v>
      </c>
      <c r="I160" s="173">
        <f>IF($A$1="Peak","-",IF(BaseLoad!O159&gt;BaseLoad!$G159,I$8*BaseLoad!$AM$9,0))</f>
        <v>29.073853298455656</v>
      </c>
      <c r="J160" s="173">
        <f>IF($A$1="Peak","-",IF(BaseLoad!P159&gt;BaseLoad!$G159,J$8*BaseLoad!$AM$9,0))</f>
        <v>29.073853298455656</v>
      </c>
      <c r="K160" s="173">
        <f>IF($A$1="Peak","-",IF(BaseLoad!Q159&gt;BaseLoad!$G159,K$8*BaseLoad!$AM$9,0))</f>
        <v>29.073853298455656</v>
      </c>
      <c r="L160" s="173">
        <f>IF($A$1="Peak","-",IF(BaseLoad!R159&gt;BaseLoad!$G159,L$8*BaseLoad!$AM$9,0))</f>
        <v>29.073853298455656</v>
      </c>
      <c r="M160" s="173">
        <f>IF($A$1="Peak","-",IF(BaseLoad!S159&gt;BaseLoad!$G159,M$8*BaseLoad!$AM$9,0))</f>
        <v>29.073853298455656</v>
      </c>
      <c r="N160" s="173">
        <f>IF($A$1="Peak","-",IF(BaseLoad!T159&gt;BaseLoad!$G159,N$8*BaseLoad!$AM$9,0))</f>
        <v>29.073853298455656</v>
      </c>
      <c r="O160" s="173">
        <f>IF($A$1="Peak","-",IF(BaseLoad!U159&gt;BaseLoad!$G159,O$8*BaseLoad!$AM$9,0))</f>
        <v>29.073853298455656</v>
      </c>
      <c r="P160" s="173">
        <f>IF($A$1="Peak","-",IF(BaseLoad!V159&gt;BaseLoad!$G159,P$8*BaseLoad!$AM$9,0))</f>
        <v>29.073853298455656</v>
      </c>
      <c r="Q160" s="173">
        <f>IF($A$1="Peak","-",IF(BaseLoad!W159&gt;BaseLoad!$G159,Q$8*BaseLoad!$AM$9,0))</f>
        <v>29.073853298455656</v>
      </c>
      <c r="R160" s="173">
        <f>IF($A$1="Peak","-",IF(BaseLoad!X159&gt;BaseLoad!$G159,R$8*BaseLoad!$AM$9,0))</f>
        <v>29.073853298455656</v>
      </c>
      <c r="S160" s="173">
        <f>IF($A$1="Peak","-",IF(BaseLoad!Y159&gt;BaseLoad!$G159,S$8*BaseLoad!$AM$9,0))</f>
        <v>29.073853298455656</v>
      </c>
      <c r="T160" s="173">
        <f>IF($A$1="Peak","-",IF(BaseLoad!Z159&gt;BaseLoad!$G159,T$8*BaseLoad!$AM$9,0))</f>
        <v>29.073853298455656</v>
      </c>
      <c r="U160" s="173">
        <f>IF($A$1="Peak","-",IF(BaseLoad!AA159&gt;BaseLoad!$G159,U$8*BaseLoad!$AM$9,0))</f>
        <v>79.953096570753061</v>
      </c>
      <c r="V160" s="173">
        <f t="shared" si="6"/>
        <v>530.5978226968158</v>
      </c>
      <c r="W160" s="173"/>
      <c r="X160" s="173"/>
      <c r="Y160" s="173"/>
    </row>
    <row r="161" spans="1:25" x14ac:dyDescent="0.2">
      <c r="A161" s="1">
        <f t="shared" si="7"/>
        <v>41132.967000000193</v>
      </c>
      <c r="B161" s="173">
        <f>IF($A$1="Peak","-",IF(BaseLoad!H160&gt;BaseLoad!$G160,B$8*BaseLoad!$AM$9,0))</f>
        <v>3.634231662306957</v>
      </c>
      <c r="C161" s="173">
        <f>IF($A$1="Peak","-",IF(BaseLoad!I160&gt;BaseLoad!$G160,C$8*BaseLoad!$AM$9,0))</f>
        <v>3.634231662306957</v>
      </c>
      <c r="D161" s="173">
        <f>IF($A$1="Peak","-",IF(BaseLoad!J160&gt;BaseLoad!$G160,D$8*BaseLoad!$AM$9,0))</f>
        <v>7.2684633246139141</v>
      </c>
      <c r="E161" s="173">
        <f>IF($A$1="Peak","-",IF(BaseLoad!K160&gt;BaseLoad!$G160,E$8*BaseLoad!$AM$9,0))</f>
        <v>14.536926649227828</v>
      </c>
      <c r="F161" s="173">
        <f>IF($A$1="Peak","-",IF(BaseLoad!L160&gt;BaseLoad!$G160,F$8*BaseLoad!$AM$9,0))</f>
        <v>14.536926649227828</v>
      </c>
      <c r="G161" s="173">
        <f>IF($A$1="Peak","-",IF(BaseLoad!M160&gt;BaseLoad!$G160,G$8*BaseLoad!$AM$9,0))</f>
        <v>29.073853298455656</v>
      </c>
      <c r="H161" s="173">
        <f>IF($A$1="Peak","-",IF(BaseLoad!N160&gt;BaseLoad!$G160,H$8*BaseLoad!$AM$9,0))</f>
        <v>29.073853298455656</v>
      </c>
      <c r="I161" s="173">
        <f>IF($A$1="Peak","-",IF(BaseLoad!O160&gt;BaseLoad!$G160,I$8*BaseLoad!$AM$9,0))</f>
        <v>29.073853298455656</v>
      </c>
      <c r="J161" s="173">
        <f>IF($A$1="Peak","-",IF(BaseLoad!P160&gt;BaseLoad!$G160,J$8*BaseLoad!$AM$9,0))</f>
        <v>29.073853298455656</v>
      </c>
      <c r="K161" s="173">
        <f>IF($A$1="Peak","-",IF(BaseLoad!Q160&gt;BaseLoad!$G160,K$8*BaseLoad!$AM$9,0))</f>
        <v>29.073853298455656</v>
      </c>
      <c r="L161" s="173">
        <f>IF($A$1="Peak","-",IF(BaseLoad!R160&gt;BaseLoad!$G160,L$8*BaseLoad!$AM$9,0))</f>
        <v>29.073853298455656</v>
      </c>
      <c r="M161" s="173">
        <f>IF($A$1="Peak","-",IF(BaseLoad!S160&gt;BaseLoad!$G160,M$8*BaseLoad!$AM$9,0))</f>
        <v>29.073853298455656</v>
      </c>
      <c r="N161" s="173">
        <f>IF($A$1="Peak","-",IF(BaseLoad!T160&gt;BaseLoad!$G160,N$8*BaseLoad!$AM$9,0))</f>
        <v>29.073853298455656</v>
      </c>
      <c r="O161" s="173">
        <f>IF($A$1="Peak","-",IF(BaseLoad!U160&gt;BaseLoad!$G160,O$8*BaseLoad!$AM$9,0))</f>
        <v>29.073853298455656</v>
      </c>
      <c r="P161" s="173">
        <f>IF($A$1="Peak","-",IF(BaseLoad!V160&gt;BaseLoad!$G160,P$8*BaseLoad!$AM$9,0))</f>
        <v>29.073853298455656</v>
      </c>
      <c r="Q161" s="173">
        <f>IF($A$1="Peak","-",IF(BaseLoad!W160&gt;BaseLoad!$G160,Q$8*BaseLoad!$AM$9,0))</f>
        <v>29.073853298455656</v>
      </c>
      <c r="R161" s="173">
        <f>IF($A$1="Peak","-",IF(BaseLoad!X160&gt;BaseLoad!$G160,R$8*BaseLoad!$AM$9,0))</f>
        <v>29.073853298455656</v>
      </c>
      <c r="S161" s="173">
        <f>IF($A$1="Peak","-",IF(BaseLoad!Y160&gt;BaseLoad!$G160,S$8*BaseLoad!$AM$9,0))</f>
        <v>29.073853298455656</v>
      </c>
      <c r="T161" s="173">
        <f>IF($A$1="Peak","-",IF(BaseLoad!Z160&gt;BaseLoad!$G160,T$8*BaseLoad!$AM$9,0))</f>
        <v>29.073853298455656</v>
      </c>
      <c r="U161" s="173">
        <f>IF($A$1="Peak","-",IF(BaseLoad!AA160&gt;BaseLoad!$G160,U$8*BaseLoad!$AM$9,0))</f>
        <v>79.953096570753061</v>
      </c>
      <c r="V161" s="173">
        <f t="shared" si="6"/>
        <v>530.5978226968158</v>
      </c>
      <c r="W161" s="173"/>
      <c r="X161" s="173"/>
      <c r="Y161" s="173"/>
    </row>
    <row r="162" spans="1:25" x14ac:dyDescent="0.2">
      <c r="A162" s="1">
        <f t="shared" si="7"/>
        <v>41163.384000000195</v>
      </c>
      <c r="B162" s="173">
        <f>IF($A$1="Peak","-",IF(BaseLoad!H161&gt;BaseLoad!$G161,B$8*BaseLoad!$AM$9,0))</f>
        <v>3.634231662306957</v>
      </c>
      <c r="C162" s="173">
        <f>IF($A$1="Peak","-",IF(BaseLoad!I161&gt;BaseLoad!$G161,C$8*BaseLoad!$AM$9,0))</f>
        <v>3.634231662306957</v>
      </c>
      <c r="D162" s="173">
        <f>IF($A$1="Peak","-",IF(BaseLoad!J161&gt;BaseLoad!$G161,D$8*BaseLoad!$AM$9,0))</f>
        <v>7.2684633246139141</v>
      </c>
      <c r="E162" s="173">
        <f>IF($A$1="Peak","-",IF(BaseLoad!K161&gt;BaseLoad!$G161,E$8*BaseLoad!$AM$9,0))</f>
        <v>14.536926649227828</v>
      </c>
      <c r="F162" s="173">
        <f>IF($A$1="Peak","-",IF(BaseLoad!L161&gt;BaseLoad!$G161,F$8*BaseLoad!$AM$9,0))</f>
        <v>14.536926649227828</v>
      </c>
      <c r="G162" s="173">
        <f>IF($A$1="Peak","-",IF(BaseLoad!M161&gt;BaseLoad!$G161,G$8*BaseLoad!$AM$9,0))</f>
        <v>29.073853298455656</v>
      </c>
      <c r="H162" s="173">
        <f>IF($A$1="Peak","-",IF(BaseLoad!N161&gt;BaseLoad!$G161,H$8*BaseLoad!$AM$9,0))</f>
        <v>29.073853298455656</v>
      </c>
      <c r="I162" s="173">
        <f>IF($A$1="Peak","-",IF(BaseLoad!O161&gt;BaseLoad!$G161,I$8*BaseLoad!$AM$9,0))</f>
        <v>29.073853298455656</v>
      </c>
      <c r="J162" s="173">
        <f>IF($A$1="Peak","-",IF(BaseLoad!P161&gt;BaseLoad!$G161,J$8*BaseLoad!$AM$9,0))</f>
        <v>29.073853298455656</v>
      </c>
      <c r="K162" s="173">
        <f>IF($A$1="Peak","-",IF(BaseLoad!Q161&gt;BaseLoad!$G161,K$8*BaseLoad!$AM$9,0))</f>
        <v>29.073853298455656</v>
      </c>
      <c r="L162" s="173">
        <f>IF($A$1="Peak","-",IF(BaseLoad!R161&gt;BaseLoad!$G161,L$8*BaseLoad!$AM$9,0))</f>
        <v>29.073853298455656</v>
      </c>
      <c r="M162" s="173">
        <f>IF($A$1="Peak","-",IF(BaseLoad!S161&gt;BaseLoad!$G161,M$8*BaseLoad!$AM$9,0))</f>
        <v>29.073853298455656</v>
      </c>
      <c r="N162" s="173">
        <f>IF($A$1="Peak","-",IF(BaseLoad!T161&gt;BaseLoad!$G161,N$8*BaseLoad!$AM$9,0))</f>
        <v>29.073853298455656</v>
      </c>
      <c r="O162" s="173">
        <f>IF($A$1="Peak","-",IF(BaseLoad!U161&gt;BaseLoad!$G161,O$8*BaseLoad!$AM$9,0))</f>
        <v>29.073853298455656</v>
      </c>
      <c r="P162" s="173">
        <f>IF($A$1="Peak","-",IF(BaseLoad!V161&gt;BaseLoad!$G161,P$8*BaseLoad!$AM$9,0))</f>
        <v>29.073853298455656</v>
      </c>
      <c r="Q162" s="173">
        <f>IF($A$1="Peak","-",IF(BaseLoad!W161&gt;BaseLoad!$G161,Q$8*BaseLoad!$AM$9,0))</f>
        <v>29.073853298455656</v>
      </c>
      <c r="R162" s="173">
        <f>IF($A$1="Peak","-",IF(BaseLoad!X161&gt;BaseLoad!$G161,R$8*BaseLoad!$AM$9,0))</f>
        <v>29.073853298455656</v>
      </c>
      <c r="S162" s="173">
        <f>IF($A$1="Peak","-",IF(BaseLoad!Y161&gt;BaseLoad!$G161,S$8*BaseLoad!$AM$9,0))</f>
        <v>29.073853298455656</v>
      </c>
      <c r="T162" s="173">
        <f>IF($A$1="Peak","-",IF(BaseLoad!Z161&gt;BaseLoad!$G161,T$8*BaseLoad!$AM$9,0))</f>
        <v>29.073853298455656</v>
      </c>
      <c r="U162" s="173">
        <f>IF($A$1="Peak","-",IF(BaseLoad!AA161&gt;BaseLoad!$G161,U$8*BaseLoad!$AM$9,0))</f>
        <v>79.953096570753061</v>
      </c>
      <c r="V162" s="173">
        <f t="shared" si="6"/>
        <v>530.5978226968158</v>
      </c>
      <c r="W162" s="173"/>
      <c r="X162" s="173"/>
      <c r="Y162" s="173"/>
    </row>
    <row r="163" spans="1:25" x14ac:dyDescent="0.2">
      <c r="A163" s="1">
        <f t="shared" si="7"/>
        <v>41193.801000000196</v>
      </c>
      <c r="B163" s="173">
        <f>IF($A$1="Peak","-",IF(BaseLoad!H162&gt;BaseLoad!$G162,B$8*BaseLoad!$AM$9,0))</f>
        <v>3.634231662306957</v>
      </c>
      <c r="C163" s="173">
        <f>IF($A$1="Peak","-",IF(BaseLoad!I162&gt;BaseLoad!$G162,C$8*BaseLoad!$AM$9,0))</f>
        <v>3.634231662306957</v>
      </c>
      <c r="D163" s="173">
        <f>IF($A$1="Peak","-",IF(BaseLoad!J162&gt;BaseLoad!$G162,D$8*BaseLoad!$AM$9,0))</f>
        <v>7.2684633246139141</v>
      </c>
      <c r="E163" s="173">
        <f>IF($A$1="Peak","-",IF(BaseLoad!K162&gt;BaseLoad!$G162,E$8*BaseLoad!$AM$9,0))</f>
        <v>14.536926649227828</v>
      </c>
      <c r="F163" s="173">
        <f>IF($A$1="Peak","-",IF(BaseLoad!L162&gt;BaseLoad!$G162,F$8*BaseLoad!$AM$9,0))</f>
        <v>14.536926649227828</v>
      </c>
      <c r="G163" s="173">
        <f>IF($A$1="Peak","-",IF(BaseLoad!M162&gt;BaseLoad!$G162,G$8*BaseLoad!$AM$9,0))</f>
        <v>29.073853298455656</v>
      </c>
      <c r="H163" s="173">
        <f>IF($A$1="Peak","-",IF(BaseLoad!N162&gt;BaseLoad!$G162,H$8*BaseLoad!$AM$9,0))</f>
        <v>29.073853298455656</v>
      </c>
      <c r="I163" s="173">
        <f>IF($A$1="Peak","-",IF(BaseLoad!O162&gt;BaseLoad!$G162,I$8*BaseLoad!$AM$9,0))</f>
        <v>29.073853298455656</v>
      </c>
      <c r="J163" s="173">
        <f>IF($A$1="Peak","-",IF(BaseLoad!P162&gt;BaseLoad!$G162,J$8*BaseLoad!$AM$9,0))</f>
        <v>29.073853298455656</v>
      </c>
      <c r="K163" s="173">
        <f>IF($A$1="Peak","-",IF(BaseLoad!Q162&gt;BaseLoad!$G162,K$8*BaseLoad!$AM$9,0))</f>
        <v>29.073853298455656</v>
      </c>
      <c r="L163" s="173">
        <f>IF($A$1="Peak","-",IF(BaseLoad!R162&gt;BaseLoad!$G162,L$8*BaseLoad!$AM$9,0))</f>
        <v>29.073853298455656</v>
      </c>
      <c r="M163" s="173">
        <f>IF($A$1="Peak","-",IF(BaseLoad!S162&gt;BaseLoad!$G162,M$8*BaseLoad!$AM$9,0))</f>
        <v>29.073853298455656</v>
      </c>
      <c r="N163" s="173">
        <f>IF($A$1="Peak","-",IF(BaseLoad!T162&gt;BaseLoad!$G162,N$8*BaseLoad!$AM$9,0))</f>
        <v>29.073853298455656</v>
      </c>
      <c r="O163" s="173">
        <f>IF($A$1="Peak","-",IF(BaseLoad!U162&gt;BaseLoad!$G162,O$8*BaseLoad!$AM$9,0))</f>
        <v>29.073853298455656</v>
      </c>
      <c r="P163" s="173">
        <f>IF($A$1="Peak","-",IF(BaseLoad!V162&gt;BaseLoad!$G162,P$8*BaseLoad!$AM$9,0))</f>
        <v>29.073853298455656</v>
      </c>
      <c r="Q163" s="173">
        <f>IF($A$1="Peak","-",IF(BaseLoad!W162&gt;BaseLoad!$G162,Q$8*BaseLoad!$AM$9,0))</f>
        <v>29.073853298455656</v>
      </c>
      <c r="R163" s="173">
        <f>IF($A$1="Peak","-",IF(BaseLoad!X162&gt;BaseLoad!$G162,R$8*BaseLoad!$AM$9,0))</f>
        <v>29.073853298455656</v>
      </c>
      <c r="S163" s="173">
        <f>IF($A$1="Peak","-",IF(BaseLoad!Y162&gt;BaseLoad!$G162,S$8*BaseLoad!$AM$9,0))</f>
        <v>29.073853298455656</v>
      </c>
      <c r="T163" s="173">
        <f>IF($A$1="Peak","-",IF(BaseLoad!Z162&gt;BaseLoad!$G162,T$8*BaseLoad!$AM$9,0))</f>
        <v>29.073853298455656</v>
      </c>
      <c r="U163" s="173">
        <f>IF($A$1="Peak","-",IF(BaseLoad!AA162&gt;BaseLoad!$G162,U$8*BaseLoad!$AM$9,0))</f>
        <v>79.953096570753061</v>
      </c>
      <c r="V163" s="173">
        <f t="shared" si="6"/>
        <v>530.5978226968158</v>
      </c>
      <c r="W163" s="173"/>
      <c r="X163" s="173"/>
      <c r="Y163" s="173"/>
    </row>
    <row r="164" spans="1:25" x14ac:dyDescent="0.2">
      <c r="A164" s="1">
        <f t="shared" si="7"/>
        <v>41224.218000000197</v>
      </c>
      <c r="B164" s="173">
        <f>IF($A$1="Peak","-",IF(BaseLoad!H163&gt;BaseLoad!$G163,B$8*BaseLoad!$AM$9,0))</f>
        <v>3.634231662306957</v>
      </c>
      <c r="C164" s="173">
        <f>IF($A$1="Peak","-",IF(BaseLoad!I163&gt;BaseLoad!$G163,C$8*BaseLoad!$AM$9,0))</f>
        <v>3.634231662306957</v>
      </c>
      <c r="D164" s="173">
        <f>IF($A$1="Peak","-",IF(BaseLoad!J163&gt;BaseLoad!$G163,D$8*BaseLoad!$AM$9,0))</f>
        <v>7.2684633246139141</v>
      </c>
      <c r="E164" s="173">
        <f>IF($A$1="Peak","-",IF(BaseLoad!K163&gt;BaseLoad!$G163,E$8*BaseLoad!$AM$9,0))</f>
        <v>14.536926649227828</v>
      </c>
      <c r="F164" s="173">
        <f>IF($A$1="Peak","-",IF(BaseLoad!L163&gt;BaseLoad!$G163,F$8*BaseLoad!$AM$9,0))</f>
        <v>14.536926649227828</v>
      </c>
      <c r="G164" s="173">
        <f>IF($A$1="Peak","-",IF(BaseLoad!M163&gt;BaseLoad!$G163,G$8*BaseLoad!$AM$9,0))</f>
        <v>29.073853298455656</v>
      </c>
      <c r="H164" s="173">
        <f>IF($A$1="Peak","-",IF(BaseLoad!N163&gt;BaseLoad!$G163,H$8*BaseLoad!$AM$9,0))</f>
        <v>29.073853298455656</v>
      </c>
      <c r="I164" s="173">
        <f>IF($A$1="Peak","-",IF(BaseLoad!O163&gt;BaseLoad!$G163,I$8*BaseLoad!$AM$9,0))</f>
        <v>29.073853298455656</v>
      </c>
      <c r="J164" s="173">
        <f>IF($A$1="Peak","-",IF(BaseLoad!P163&gt;BaseLoad!$G163,J$8*BaseLoad!$AM$9,0))</f>
        <v>29.073853298455656</v>
      </c>
      <c r="K164" s="173">
        <f>IF($A$1="Peak","-",IF(BaseLoad!Q163&gt;BaseLoad!$G163,K$8*BaseLoad!$AM$9,0))</f>
        <v>29.073853298455656</v>
      </c>
      <c r="L164" s="173">
        <f>IF($A$1="Peak","-",IF(BaseLoad!R163&gt;BaseLoad!$G163,L$8*BaseLoad!$AM$9,0))</f>
        <v>29.073853298455656</v>
      </c>
      <c r="M164" s="173">
        <f>IF($A$1="Peak","-",IF(BaseLoad!S163&gt;BaseLoad!$G163,M$8*BaseLoad!$AM$9,0))</f>
        <v>29.073853298455656</v>
      </c>
      <c r="N164" s="173">
        <f>IF($A$1="Peak","-",IF(BaseLoad!T163&gt;BaseLoad!$G163,N$8*BaseLoad!$AM$9,0))</f>
        <v>29.073853298455656</v>
      </c>
      <c r="O164" s="173">
        <f>IF($A$1="Peak","-",IF(BaseLoad!U163&gt;BaseLoad!$G163,O$8*BaseLoad!$AM$9,0))</f>
        <v>29.073853298455656</v>
      </c>
      <c r="P164" s="173">
        <f>IF($A$1="Peak","-",IF(BaseLoad!V163&gt;BaseLoad!$G163,P$8*BaseLoad!$AM$9,0))</f>
        <v>29.073853298455656</v>
      </c>
      <c r="Q164" s="173">
        <f>IF($A$1="Peak","-",IF(BaseLoad!W163&gt;BaseLoad!$G163,Q$8*BaseLoad!$AM$9,0))</f>
        <v>29.073853298455656</v>
      </c>
      <c r="R164" s="173">
        <f>IF($A$1="Peak","-",IF(BaseLoad!X163&gt;BaseLoad!$G163,R$8*BaseLoad!$AM$9,0))</f>
        <v>29.073853298455656</v>
      </c>
      <c r="S164" s="173">
        <f>IF($A$1="Peak","-",IF(BaseLoad!Y163&gt;BaseLoad!$G163,S$8*BaseLoad!$AM$9,0))</f>
        <v>29.073853298455656</v>
      </c>
      <c r="T164" s="173">
        <f>IF($A$1="Peak","-",IF(BaseLoad!Z163&gt;BaseLoad!$G163,T$8*BaseLoad!$AM$9,0))</f>
        <v>29.073853298455656</v>
      </c>
      <c r="U164" s="173">
        <f>IF($A$1="Peak","-",IF(BaseLoad!AA163&gt;BaseLoad!$G163,U$8*BaseLoad!$AM$9,0))</f>
        <v>79.953096570753061</v>
      </c>
      <c r="V164" s="173">
        <f t="shared" si="6"/>
        <v>530.5978226968158</v>
      </c>
      <c r="W164" s="173"/>
      <c r="X164" s="173"/>
      <c r="Y164" s="173"/>
    </row>
    <row r="165" spans="1:25" x14ac:dyDescent="0.2">
      <c r="A165" s="1">
        <f t="shared" si="7"/>
        <v>41254.635000000198</v>
      </c>
      <c r="B165" s="173">
        <f>IF($A$1="Peak","-",IF(BaseLoad!H164&gt;BaseLoad!$G164,B$8*BaseLoad!$AM$9,0))</f>
        <v>3.634231662306957</v>
      </c>
      <c r="C165" s="173">
        <f>IF($A$1="Peak","-",IF(BaseLoad!I164&gt;BaseLoad!$G164,C$8*BaseLoad!$AM$9,0))</f>
        <v>3.634231662306957</v>
      </c>
      <c r="D165" s="173">
        <f>IF($A$1="Peak","-",IF(BaseLoad!J164&gt;BaseLoad!$G164,D$8*BaseLoad!$AM$9,0))</f>
        <v>7.2684633246139141</v>
      </c>
      <c r="E165" s="173">
        <f>IF($A$1="Peak","-",IF(BaseLoad!K164&gt;BaseLoad!$G164,E$8*BaseLoad!$AM$9,0))</f>
        <v>14.536926649227828</v>
      </c>
      <c r="F165" s="173">
        <f>IF($A$1="Peak","-",IF(BaseLoad!L164&gt;BaseLoad!$G164,F$8*BaseLoad!$AM$9,0))</f>
        <v>14.536926649227828</v>
      </c>
      <c r="G165" s="173">
        <f>IF($A$1="Peak","-",IF(BaseLoad!M164&gt;BaseLoad!$G164,G$8*BaseLoad!$AM$9,0))</f>
        <v>29.073853298455656</v>
      </c>
      <c r="H165" s="173">
        <f>IF($A$1="Peak","-",IF(BaseLoad!N164&gt;BaseLoad!$G164,H$8*BaseLoad!$AM$9,0))</f>
        <v>29.073853298455656</v>
      </c>
      <c r="I165" s="173">
        <f>IF($A$1="Peak","-",IF(BaseLoad!O164&gt;BaseLoad!$G164,I$8*BaseLoad!$AM$9,0))</f>
        <v>29.073853298455656</v>
      </c>
      <c r="J165" s="173">
        <f>IF($A$1="Peak","-",IF(BaseLoad!P164&gt;BaseLoad!$G164,J$8*BaseLoad!$AM$9,0))</f>
        <v>29.073853298455656</v>
      </c>
      <c r="K165" s="173">
        <f>IF($A$1="Peak","-",IF(BaseLoad!Q164&gt;BaseLoad!$G164,K$8*BaseLoad!$AM$9,0))</f>
        <v>29.073853298455656</v>
      </c>
      <c r="L165" s="173">
        <f>IF($A$1="Peak","-",IF(BaseLoad!R164&gt;BaseLoad!$G164,L$8*BaseLoad!$AM$9,0))</f>
        <v>29.073853298455656</v>
      </c>
      <c r="M165" s="173">
        <f>IF($A$1="Peak","-",IF(BaseLoad!S164&gt;BaseLoad!$G164,M$8*BaseLoad!$AM$9,0))</f>
        <v>29.073853298455656</v>
      </c>
      <c r="N165" s="173">
        <f>IF($A$1="Peak","-",IF(BaseLoad!T164&gt;BaseLoad!$G164,N$8*BaseLoad!$AM$9,0))</f>
        <v>29.073853298455656</v>
      </c>
      <c r="O165" s="173">
        <f>IF($A$1="Peak","-",IF(BaseLoad!U164&gt;BaseLoad!$G164,O$8*BaseLoad!$AM$9,0))</f>
        <v>29.073853298455656</v>
      </c>
      <c r="P165" s="173">
        <f>IF($A$1="Peak","-",IF(BaseLoad!V164&gt;BaseLoad!$G164,P$8*BaseLoad!$AM$9,0))</f>
        <v>29.073853298455656</v>
      </c>
      <c r="Q165" s="173">
        <f>IF($A$1="Peak","-",IF(BaseLoad!W164&gt;BaseLoad!$G164,Q$8*BaseLoad!$AM$9,0))</f>
        <v>29.073853298455656</v>
      </c>
      <c r="R165" s="173">
        <f>IF($A$1="Peak","-",IF(BaseLoad!X164&gt;BaseLoad!$G164,R$8*BaseLoad!$AM$9,0))</f>
        <v>29.073853298455656</v>
      </c>
      <c r="S165" s="173">
        <f>IF($A$1="Peak","-",IF(BaseLoad!Y164&gt;BaseLoad!$G164,S$8*BaseLoad!$AM$9,0))</f>
        <v>29.073853298455656</v>
      </c>
      <c r="T165" s="173">
        <f>IF($A$1="Peak","-",IF(BaseLoad!Z164&gt;BaseLoad!$G164,T$8*BaseLoad!$AM$9,0))</f>
        <v>29.073853298455656</v>
      </c>
      <c r="U165" s="173">
        <f>IF($A$1="Peak","-",IF(BaseLoad!AA164&gt;BaseLoad!$G164,U$8*BaseLoad!$AM$9,0))</f>
        <v>79.953096570753061</v>
      </c>
      <c r="V165" s="173">
        <f t="shared" si="6"/>
        <v>530.5978226968158</v>
      </c>
      <c r="W165" s="173"/>
      <c r="X165" s="173"/>
      <c r="Y165" s="173">
        <f>SUM(V154:V165)</f>
        <v>6367.1738723617882</v>
      </c>
    </row>
    <row r="166" spans="1:25" x14ac:dyDescent="0.2">
      <c r="A166" s="1">
        <f t="shared" si="7"/>
        <v>41285.0520000002</v>
      </c>
      <c r="B166" s="173">
        <f>IF($A$1="Peak","-",IF(BaseLoad!H165&gt;BaseLoad!$G165,B$8*BaseLoad!$AM$9,0))</f>
        <v>3.634231662306957</v>
      </c>
      <c r="C166" s="173">
        <f>IF($A$1="Peak","-",IF(BaseLoad!I165&gt;BaseLoad!$G165,C$8*BaseLoad!$AM$9,0))</f>
        <v>3.634231662306957</v>
      </c>
      <c r="D166" s="173">
        <f>IF($A$1="Peak","-",IF(BaseLoad!J165&gt;BaseLoad!$G165,D$8*BaseLoad!$AM$9,0))</f>
        <v>7.2684633246139141</v>
      </c>
      <c r="E166" s="173">
        <f>IF($A$1="Peak","-",IF(BaseLoad!K165&gt;BaseLoad!$G165,E$8*BaseLoad!$AM$9,0))</f>
        <v>14.536926649227828</v>
      </c>
      <c r="F166" s="173">
        <f>IF($A$1="Peak","-",IF(BaseLoad!L165&gt;BaseLoad!$G165,F$8*BaseLoad!$AM$9,0))</f>
        <v>14.536926649227828</v>
      </c>
      <c r="G166" s="173">
        <f>IF($A$1="Peak","-",IF(BaseLoad!M165&gt;BaseLoad!$G165,G$8*BaseLoad!$AM$9,0))</f>
        <v>29.073853298455656</v>
      </c>
      <c r="H166" s="173">
        <f>IF($A$1="Peak","-",IF(BaseLoad!N165&gt;BaseLoad!$G165,H$8*BaseLoad!$AM$9,0))</f>
        <v>29.073853298455656</v>
      </c>
      <c r="I166" s="173">
        <f>IF($A$1="Peak","-",IF(BaseLoad!O165&gt;BaseLoad!$G165,I$8*BaseLoad!$AM$9,0))</f>
        <v>29.073853298455656</v>
      </c>
      <c r="J166" s="173">
        <f>IF($A$1="Peak","-",IF(BaseLoad!P165&gt;BaseLoad!$G165,J$8*BaseLoad!$AM$9,0))</f>
        <v>29.073853298455656</v>
      </c>
      <c r="K166" s="173">
        <f>IF($A$1="Peak","-",IF(BaseLoad!Q165&gt;BaseLoad!$G165,K$8*BaseLoad!$AM$9,0))</f>
        <v>29.073853298455656</v>
      </c>
      <c r="L166" s="173">
        <f>IF($A$1="Peak","-",IF(BaseLoad!R165&gt;BaseLoad!$G165,L$8*BaseLoad!$AM$9,0))</f>
        <v>29.073853298455656</v>
      </c>
      <c r="M166" s="173">
        <f>IF($A$1="Peak","-",IF(BaseLoad!S165&gt;BaseLoad!$G165,M$8*BaseLoad!$AM$9,0))</f>
        <v>29.073853298455656</v>
      </c>
      <c r="N166" s="173">
        <f>IF($A$1="Peak","-",IF(BaseLoad!T165&gt;BaseLoad!$G165,N$8*BaseLoad!$AM$9,0))</f>
        <v>29.073853298455656</v>
      </c>
      <c r="O166" s="173">
        <f>IF($A$1="Peak","-",IF(BaseLoad!U165&gt;BaseLoad!$G165,O$8*BaseLoad!$AM$9,0))</f>
        <v>29.073853298455656</v>
      </c>
      <c r="P166" s="173">
        <f>IF($A$1="Peak","-",IF(BaseLoad!V165&gt;BaseLoad!$G165,P$8*BaseLoad!$AM$9,0))</f>
        <v>29.073853298455656</v>
      </c>
      <c r="Q166" s="173">
        <f>IF($A$1="Peak","-",IF(BaseLoad!W165&gt;BaseLoad!$G165,Q$8*BaseLoad!$AM$9,0))</f>
        <v>29.073853298455656</v>
      </c>
      <c r="R166" s="173">
        <f>IF($A$1="Peak","-",IF(BaseLoad!X165&gt;BaseLoad!$G165,R$8*BaseLoad!$AM$9,0))</f>
        <v>29.073853298455656</v>
      </c>
      <c r="S166" s="173">
        <f>IF($A$1="Peak","-",IF(BaseLoad!Y165&gt;BaseLoad!$G165,S$8*BaseLoad!$AM$9,0))</f>
        <v>29.073853298455656</v>
      </c>
      <c r="T166" s="173">
        <f>IF($A$1="Peak","-",IF(BaseLoad!Z165&gt;BaseLoad!$G165,T$8*BaseLoad!$AM$9,0))</f>
        <v>29.073853298455656</v>
      </c>
      <c r="U166" s="173">
        <f>IF($A$1="Peak","-",IF(BaseLoad!AA165&gt;BaseLoad!$G165,U$8*BaseLoad!$AM$9,0))</f>
        <v>79.953096570753061</v>
      </c>
      <c r="V166" s="173">
        <f t="shared" si="6"/>
        <v>530.5978226968158</v>
      </c>
      <c r="W166" s="173"/>
      <c r="X166" s="173"/>
      <c r="Y166" s="173"/>
    </row>
    <row r="167" spans="1:25" x14ac:dyDescent="0.2">
      <c r="A167" s="1">
        <f t="shared" si="7"/>
        <v>41315.469000000201</v>
      </c>
      <c r="B167" s="173">
        <f>IF($A$1="Peak","-",IF(BaseLoad!H166&gt;BaseLoad!$G166,B$8*BaseLoad!$AM$9,0))</f>
        <v>3.634231662306957</v>
      </c>
      <c r="C167" s="173">
        <f>IF($A$1="Peak","-",IF(BaseLoad!I166&gt;BaseLoad!$G166,C$8*BaseLoad!$AM$9,0))</f>
        <v>3.634231662306957</v>
      </c>
      <c r="D167" s="173">
        <f>IF($A$1="Peak","-",IF(BaseLoad!J166&gt;BaseLoad!$G166,D$8*BaseLoad!$AM$9,0))</f>
        <v>7.2684633246139141</v>
      </c>
      <c r="E167" s="173">
        <f>IF($A$1="Peak","-",IF(BaseLoad!K166&gt;BaseLoad!$G166,E$8*BaseLoad!$AM$9,0))</f>
        <v>14.536926649227828</v>
      </c>
      <c r="F167" s="173">
        <f>IF($A$1="Peak","-",IF(BaseLoad!L166&gt;BaseLoad!$G166,F$8*BaseLoad!$AM$9,0))</f>
        <v>14.536926649227828</v>
      </c>
      <c r="G167" s="173">
        <f>IF($A$1="Peak","-",IF(BaseLoad!M166&gt;BaseLoad!$G166,G$8*BaseLoad!$AM$9,0))</f>
        <v>29.073853298455656</v>
      </c>
      <c r="H167" s="173">
        <f>IF($A$1="Peak","-",IF(BaseLoad!N166&gt;BaseLoad!$G166,H$8*BaseLoad!$AM$9,0))</f>
        <v>29.073853298455656</v>
      </c>
      <c r="I167" s="173">
        <f>IF($A$1="Peak","-",IF(BaseLoad!O166&gt;BaseLoad!$G166,I$8*BaseLoad!$AM$9,0))</f>
        <v>29.073853298455656</v>
      </c>
      <c r="J167" s="173">
        <f>IF($A$1="Peak","-",IF(BaseLoad!P166&gt;BaseLoad!$G166,J$8*BaseLoad!$AM$9,0))</f>
        <v>29.073853298455656</v>
      </c>
      <c r="K167" s="173">
        <f>IF($A$1="Peak","-",IF(BaseLoad!Q166&gt;BaseLoad!$G166,K$8*BaseLoad!$AM$9,0))</f>
        <v>29.073853298455656</v>
      </c>
      <c r="L167" s="173">
        <f>IF($A$1="Peak","-",IF(BaseLoad!R166&gt;BaseLoad!$G166,L$8*BaseLoad!$AM$9,0))</f>
        <v>29.073853298455656</v>
      </c>
      <c r="M167" s="173">
        <f>IF($A$1="Peak","-",IF(BaseLoad!S166&gt;BaseLoad!$G166,M$8*BaseLoad!$AM$9,0))</f>
        <v>29.073853298455656</v>
      </c>
      <c r="N167" s="173">
        <f>IF($A$1="Peak","-",IF(BaseLoad!T166&gt;BaseLoad!$G166,N$8*BaseLoad!$AM$9,0))</f>
        <v>29.073853298455656</v>
      </c>
      <c r="O167" s="173">
        <f>IF($A$1="Peak","-",IF(BaseLoad!U166&gt;BaseLoad!$G166,O$8*BaseLoad!$AM$9,0))</f>
        <v>29.073853298455656</v>
      </c>
      <c r="P167" s="173">
        <f>IF($A$1="Peak","-",IF(BaseLoad!V166&gt;BaseLoad!$G166,P$8*BaseLoad!$AM$9,0))</f>
        <v>29.073853298455656</v>
      </c>
      <c r="Q167" s="173">
        <f>IF($A$1="Peak","-",IF(BaseLoad!W166&gt;BaseLoad!$G166,Q$8*BaseLoad!$AM$9,0))</f>
        <v>29.073853298455656</v>
      </c>
      <c r="R167" s="173">
        <f>IF($A$1="Peak","-",IF(BaseLoad!X166&gt;BaseLoad!$G166,R$8*BaseLoad!$AM$9,0))</f>
        <v>29.073853298455656</v>
      </c>
      <c r="S167" s="173">
        <f>IF($A$1="Peak","-",IF(BaseLoad!Y166&gt;BaseLoad!$G166,S$8*BaseLoad!$AM$9,0))</f>
        <v>29.073853298455656</v>
      </c>
      <c r="T167" s="173">
        <f>IF($A$1="Peak","-",IF(BaseLoad!Z166&gt;BaseLoad!$G166,T$8*BaseLoad!$AM$9,0))</f>
        <v>29.073853298455656</v>
      </c>
      <c r="U167" s="173">
        <f>IF($A$1="Peak","-",IF(BaseLoad!AA166&gt;BaseLoad!$G166,U$8*BaseLoad!$AM$9,0))</f>
        <v>79.953096570753061</v>
      </c>
      <c r="V167" s="173">
        <f t="shared" si="6"/>
        <v>530.5978226968158</v>
      </c>
      <c r="W167" s="173"/>
      <c r="X167" s="173"/>
      <c r="Y167" s="173"/>
    </row>
    <row r="168" spans="1:25" x14ac:dyDescent="0.2">
      <c r="A168" s="1">
        <f t="shared" si="7"/>
        <v>41345.886000000202</v>
      </c>
      <c r="B168" s="173">
        <f>IF($A$1="Peak","-",IF(BaseLoad!H167&gt;BaseLoad!$G167,B$8*BaseLoad!$AM$9,0))</f>
        <v>3.634231662306957</v>
      </c>
      <c r="C168" s="173">
        <f>IF($A$1="Peak","-",IF(BaseLoad!I167&gt;BaseLoad!$G167,C$8*BaseLoad!$AM$9,0))</f>
        <v>3.634231662306957</v>
      </c>
      <c r="D168" s="173">
        <f>IF($A$1="Peak","-",IF(BaseLoad!J167&gt;BaseLoad!$G167,D$8*BaseLoad!$AM$9,0))</f>
        <v>7.2684633246139141</v>
      </c>
      <c r="E168" s="173">
        <f>IF($A$1="Peak","-",IF(BaseLoad!K167&gt;BaseLoad!$G167,E$8*BaseLoad!$AM$9,0))</f>
        <v>14.536926649227828</v>
      </c>
      <c r="F168" s="173">
        <f>IF($A$1="Peak","-",IF(BaseLoad!L167&gt;BaseLoad!$G167,F$8*BaseLoad!$AM$9,0))</f>
        <v>14.536926649227828</v>
      </c>
      <c r="G168" s="173">
        <f>IF($A$1="Peak","-",IF(BaseLoad!M167&gt;BaseLoad!$G167,G$8*BaseLoad!$AM$9,0))</f>
        <v>29.073853298455656</v>
      </c>
      <c r="H168" s="173">
        <f>IF($A$1="Peak","-",IF(BaseLoad!N167&gt;BaseLoad!$G167,H$8*BaseLoad!$AM$9,0))</f>
        <v>29.073853298455656</v>
      </c>
      <c r="I168" s="173">
        <f>IF($A$1="Peak","-",IF(BaseLoad!O167&gt;BaseLoad!$G167,I$8*BaseLoad!$AM$9,0))</f>
        <v>29.073853298455656</v>
      </c>
      <c r="J168" s="173">
        <f>IF($A$1="Peak","-",IF(BaseLoad!P167&gt;BaseLoad!$G167,J$8*BaseLoad!$AM$9,0))</f>
        <v>29.073853298455656</v>
      </c>
      <c r="K168" s="173">
        <f>IF($A$1="Peak","-",IF(BaseLoad!Q167&gt;BaseLoad!$G167,K$8*BaseLoad!$AM$9,0))</f>
        <v>29.073853298455656</v>
      </c>
      <c r="L168" s="173">
        <f>IF($A$1="Peak","-",IF(BaseLoad!R167&gt;BaseLoad!$G167,L$8*BaseLoad!$AM$9,0))</f>
        <v>29.073853298455656</v>
      </c>
      <c r="M168" s="173">
        <f>IF($A$1="Peak","-",IF(BaseLoad!S167&gt;BaseLoad!$G167,M$8*BaseLoad!$AM$9,0))</f>
        <v>29.073853298455656</v>
      </c>
      <c r="N168" s="173">
        <f>IF($A$1="Peak","-",IF(BaseLoad!T167&gt;BaseLoad!$G167,N$8*BaseLoad!$AM$9,0))</f>
        <v>29.073853298455656</v>
      </c>
      <c r="O168" s="173">
        <f>IF($A$1="Peak","-",IF(BaseLoad!U167&gt;BaseLoad!$G167,O$8*BaseLoad!$AM$9,0))</f>
        <v>29.073853298455656</v>
      </c>
      <c r="P168" s="173">
        <f>IF($A$1="Peak","-",IF(BaseLoad!V167&gt;BaseLoad!$G167,P$8*BaseLoad!$AM$9,0))</f>
        <v>29.073853298455656</v>
      </c>
      <c r="Q168" s="173">
        <f>IF($A$1="Peak","-",IF(BaseLoad!W167&gt;BaseLoad!$G167,Q$8*BaseLoad!$AM$9,0))</f>
        <v>29.073853298455656</v>
      </c>
      <c r="R168" s="173">
        <f>IF($A$1="Peak","-",IF(BaseLoad!X167&gt;BaseLoad!$G167,R$8*BaseLoad!$AM$9,0))</f>
        <v>29.073853298455656</v>
      </c>
      <c r="S168" s="173">
        <f>IF($A$1="Peak","-",IF(BaseLoad!Y167&gt;BaseLoad!$G167,S$8*BaseLoad!$AM$9,0))</f>
        <v>29.073853298455656</v>
      </c>
      <c r="T168" s="173">
        <f>IF($A$1="Peak","-",IF(BaseLoad!Z167&gt;BaseLoad!$G167,T$8*BaseLoad!$AM$9,0))</f>
        <v>29.073853298455656</v>
      </c>
      <c r="U168" s="173">
        <f>IF($A$1="Peak","-",IF(BaseLoad!AA167&gt;BaseLoad!$G167,U$8*BaseLoad!$AM$9,0))</f>
        <v>79.953096570753061</v>
      </c>
      <c r="V168" s="173">
        <f t="shared" si="6"/>
        <v>530.5978226968158</v>
      </c>
      <c r="W168" s="173"/>
      <c r="X168" s="173"/>
      <c r="Y168" s="173"/>
    </row>
    <row r="169" spans="1:25" x14ac:dyDescent="0.2">
      <c r="A169" s="1">
        <f t="shared" si="7"/>
        <v>41376.303000000204</v>
      </c>
      <c r="B169" s="173">
        <f>IF($A$1="Peak","-",IF(BaseLoad!H168&gt;BaseLoad!$G168,B$8*BaseLoad!$AM$9,0))</f>
        <v>3.634231662306957</v>
      </c>
      <c r="C169" s="173">
        <f>IF($A$1="Peak","-",IF(BaseLoad!I168&gt;BaseLoad!$G168,C$8*BaseLoad!$AM$9,0))</f>
        <v>3.634231662306957</v>
      </c>
      <c r="D169" s="173">
        <f>IF($A$1="Peak","-",IF(BaseLoad!J168&gt;BaseLoad!$G168,D$8*BaseLoad!$AM$9,0))</f>
        <v>7.2684633246139141</v>
      </c>
      <c r="E169" s="173">
        <f>IF($A$1="Peak","-",IF(BaseLoad!K168&gt;BaseLoad!$G168,E$8*BaseLoad!$AM$9,0))</f>
        <v>14.536926649227828</v>
      </c>
      <c r="F169" s="173">
        <f>IF($A$1="Peak","-",IF(BaseLoad!L168&gt;BaseLoad!$G168,F$8*BaseLoad!$AM$9,0))</f>
        <v>14.536926649227828</v>
      </c>
      <c r="G169" s="173">
        <f>IF($A$1="Peak","-",IF(BaseLoad!M168&gt;BaseLoad!$G168,G$8*BaseLoad!$AM$9,0))</f>
        <v>29.073853298455656</v>
      </c>
      <c r="H169" s="173">
        <f>IF($A$1="Peak","-",IF(BaseLoad!N168&gt;BaseLoad!$G168,H$8*BaseLoad!$AM$9,0))</f>
        <v>29.073853298455656</v>
      </c>
      <c r="I169" s="173">
        <f>IF($A$1="Peak","-",IF(BaseLoad!O168&gt;BaseLoad!$G168,I$8*BaseLoad!$AM$9,0))</f>
        <v>29.073853298455656</v>
      </c>
      <c r="J169" s="173">
        <f>IF($A$1="Peak","-",IF(BaseLoad!P168&gt;BaseLoad!$G168,J$8*BaseLoad!$AM$9,0))</f>
        <v>29.073853298455656</v>
      </c>
      <c r="K169" s="173">
        <f>IF($A$1="Peak","-",IF(BaseLoad!Q168&gt;BaseLoad!$G168,K$8*BaseLoad!$AM$9,0))</f>
        <v>29.073853298455656</v>
      </c>
      <c r="L169" s="173">
        <f>IF($A$1="Peak","-",IF(BaseLoad!R168&gt;BaseLoad!$G168,L$8*BaseLoad!$AM$9,0))</f>
        <v>29.073853298455656</v>
      </c>
      <c r="M169" s="173">
        <f>IF($A$1="Peak","-",IF(BaseLoad!S168&gt;BaseLoad!$G168,M$8*BaseLoad!$AM$9,0))</f>
        <v>29.073853298455656</v>
      </c>
      <c r="N169" s="173">
        <f>IF($A$1="Peak","-",IF(BaseLoad!T168&gt;BaseLoad!$G168,N$8*BaseLoad!$AM$9,0))</f>
        <v>29.073853298455656</v>
      </c>
      <c r="O169" s="173">
        <f>IF($A$1="Peak","-",IF(BaseLoad!U168&gt;BaseLoad!$G168,O$8*BaseLoad!$AM$9,0))</f>
        <v>29.073853298455656</v>
      </c>
      <c r="P169" s="173">
        <f>IF($A$1="Peak","-",IF(BaseLoad!V168&gt;BaseLoad!$G168,P$8*BaseLoad!$AM$9,0))</f>
        <v>29.073853298455656</v>
      </c>
      <c r="Q169" s="173">
        <f>IF($A$1="Peak","-",IF(BaseLoad!W168&gt;BaseLoad!$G168,Q$8*BaseLoad!$AM$9,0))</f>
        <v>29.073853298455656</v>
      </c>
      <c r="R169" s="173">
        <f>IF($A$1="Peak","-",IF(BaseLoad!X168&gt;BaseLoad!$G168,R$8*BaseLoad!$AM$9,0))</f>
        <v>29.073853298455656</v>
      </c>
      <c r="S169" s="173">
        <f>IF($A$1="Peak","-",IF(BaseLoad!Y168&gt;BaseLoad!$G168,S$8*BaseLoad!$AM$9,0))</f>
        <v>29.073853298455656</v>
      </c>
      <c r="T169" s="173">
        <f>IF($A$1="Peak","-",IF(BaseLoad!Z168&gt;BaseLoad!$G168,T$8*BaseLoad!$AM$9,0))</f>
        <v>29.073853298455656</v>
      </c>
      <c r="U169" s="173">
        <f>IF($A$1="Peak","-",IF(BaseLoad!AA168&gt;BaseLoad!$G168,U$8*BaseLoad!$AM$9,0))</f>
        <v>79.953096570753061</v>
      </c>
      <c r="V169" s="173">
        <f t="shared" si="6"/>
        <v>530.5978226968158</v>
      </c>
      <c r="W169" s="173"/>
      <c r="X169" s="173"/>
      <c r="Y169" s="173"/>
    </row>
    <row r="170" spans="1:25" x14ac:dyDescent="0.2">
      <c r="A170" s="1">
        <f t="shared" si="7"/>
        <v>41406.720000000205</v>
      </c>
      <c r="B170" s="173">
        <f>IF($A$1="Peak","-",IF(BaseLoad!H169&gt;BaseLoad!$G169,B$8*BaseLoad!$AM$9,0))</f>
        <v>3.634231662306957</v>
      </c>
      <c r="C170" s="173">
        <f>IF($A$1="Peak","-",IF(BaseLoad!I169&gt;BaseLoad!$G169,C$8*BaseLoad!$AM$9,0))</f>
        <v>3.634231662306957</v>
      </c>
      <c r="D170" s="173">
        <f>IF($A$1="Peak","-",IF(BaseLoad!J169&gt;BaseLoad!$G169,D$8*BaseLoad!$AM$9,0))</f>
        <v>7.2684633246139141</v>
      </c>
      <c r="E170" s="173">
        <f>IF($A$1="Peak","-",IF(BaseLoad!K169&gt;BaseLoad!$G169,E$8*BaseLoad!$AM$9,0))</f>
        <v>14.536926649227828</v>
      </c>
      <c r="F170" s="173">
        <f>IF($A$1="Peak","-",IF(BaseLoad!L169&gt;BaseLoad!$G169,F$8*BaseLoad!$AM$9,0))</f>
        <v>14.536926649227828</v>
      </c>
      <c r="G170" s="173">
        <f>IF($A$1="Peak","-",IF(BaseLoad!M169&gt;BaseLoad!$G169,G$8*BaseLoad!$AM$9,0))</f>
        <v>29.073853298455656</v>
      </c>
      <c r="H170" s="173">
        <f>IF($A$1="Peak","-",IF(BaseLoad!N169&gt;BaseLoad!$G169,H$8*BaseLoad!$AM$9,0))</f>
        <v>29.073853298455656</v>
      </c>
      <c r="I170" s="173">
        <f>IF($A$1="Peak","-",IF(BaseLoad!O169&gt;BaseLoad!$G169,I$8*BaseLoad!$AM$9,0))</f>
        <v>29.073853298455656</v>
      </c>
      <c r="J170" s="173">
        <f>IF($A$1="Peak","-",IF(BaseLoad!P169&gt;BaseLoad!$G169,J$8*BaseLoad!$AM$9,0))</f>
        <v>29.073853298455656</v>
      </c>
      <c r="K170" s="173">
        <f>IF($A$1="Peak","-",IF(BaseLoad!Q169&gt;BaseLoad!$G169,K$8*BaseLoad!$AM$9,0))</f>
        <v>29.073853298455656</v>
      </c>
      <c r="L170" s="173">
        <f>IF($A$1="Peak","-",IF(BaseLoad!R169&gt;BaseLoad!$G169,L$8*BaseLoad!$AM$9,0))</f>
        <v>29.073853298455656</v>
      </c>
      <c r="M170" s="173">
        <f>IF($A$1="Peak","-",IF(BaseLoad!S169&gt;BaseLoad!$G169,M$8*BaseLoad!$AM$9,0))</f>
        <v>29.073853298455656</v>
      </c>
      <c r="N170" s="173">
        <f>IF($A$1="Peak","-",IF(BaseLoad!T169&gt;BaseLoad!$G169,N$8*BaseLoad!$AM$9,0))</f>
        <v>29.073853298455656</v>
      </c>
      <c r="O170" s="173">
        <f>IF($A$1="Peak","-",IF(BaseLoad!U169&gt;BaseLoad!$G169,O$8*BaseLoad!$AM$9,0))</f>
        <v>29.073853298455656</v>
      </c>
      <c r="P170" s="173">
        <f>IF($A$1="Peak","-",IF(BaseLoad!V169&gt;BaseLoad!$G169,P$8*BaseLoad!$AM$9,0))</f>
        <v>29.073853298455656</v>
      </c>
      <c r="Q170" s="173">
        <f>IF($A$1="Peak","-",IF(BaseLoad!W169&gt;BaseLoad!$G169,Q$8*BaseLoad!$AM$9,0))</f>
        <v>29.073853298455656</v>
      </c>
      <c r="R170" s="173">
        <f>IF($A$1="Peak","-",IF(BaseLoad!X169&gt;BaseLoad!$G169,R$8*BaseLoad!$AM$9,0))</f>
        <v>29.073853298455656</v>
      </c>
      <c r="S170" s="173">
        <f>IF($A$1="Peak","-",IF(BaseLoad!Y169&gt;BaseLoad!$G169,S$8*BaseLoad!$AM$9,0))</f>
        <v>29.073853298455656</v>
      </c>
      <c r="T170" s="173">
        <f>IF($A$1="Peak","-",IF(BaseLoad!Z169&gt;BaseLoad!$G169,T$8*BaseLoad!$AM$9,0))</f>
        <v>29.073853298455656</v>
      </c>
      <c r="U170" s="173">
        <f>IF($A$1="Peak","-",IF(BaseLoad!AA169&gt;BaseLoad!$G169,U$8*BaseLoad!$AM$9,0))</f>
        <v>79.953096570753061</v>
      </c>
      <c r="V170" s="173">
        <f t="shared" si="6"/>
        <v>530.5978226968158</v>
      </c>
      <c r="W170" s="173"/>
      <c r="X170" s="173"/>
      <c r="Y170" s="173"/>
    </row>
    <row r="171" spans="1:25" x14ac:dyDescent="0.2">
      <c r="A171" s="1">
        <f t="shared" si="7"/>
        <v>41437.137000000206</v>
      </c>
      <c r="B171" s="173">
        <f>IF($A$1="Peak","-",IF(BaseLoad!H170&gt;BaseLoad!$G170,B$8*BaseLoad!$AM$9,0))</f>
        <v>3.634231662306957</v>
      </c>
      <c r="C171" s="173">
        <f>IF($A$1="Peak","-",IF(BaseLoad!I170&gt;BaseLoad!$G170,C$8*BaseLoad!$AM$9,0))</f>
        <v>3.634231662306957</v>
      </c>
      <c r="D171" s="173">
        <f>IF($A$1="Peak","-",IF(BaseLoad!J170&gt;BaseLoad!$G170,D$8*BaseLoad!$AM$9,0))</f>
        <v>7.2684633246139141</v>
      </c>
      <c r="E171" s="173">
        <f>IF($A$1="Peak","-",IF(BaseLoad!K170&gt;BaseLoad!$G170,E$8*BaseLoad!$AM$9,0))</f>
        <v>14.536926649227828</v>
      </c>
      <c r="F171" s="173">
        <f>IF($A$1="Peak","-",IF(BaseLoad!L170&gt;BaseLoad!$G170,F$8*BaseLoad!$AM$9,0))</f>
        <v>14.536926649227828</v>
      </c>
      <c r="G171" s="173">
        <f>IF($A$1="Peak","-",IF(BaseLoad!M170&gt;BaseLoad!$G170,G$8*BaseLoad!$AM$9,0))</f>
        <v>29.073853298455656</v>
      </c>
      <c r="H171" s="173">
        <f>IF($A$1="Peak","-",IF(BaseLoad!N170&gt;BaseLoad!$G170,H$8*BaseLoad!$AM$9,0))</f>
        <v>29.073853298455656</v>
      </c>
      <c r="I171" s="173">
        <f>IF($A$1="Peak","-",IF(BaseLoad!O170&gt;BaseLoad!$G170,I$8*BaseLoad!$AM$9,0))</f>
        <v>29.073853298455656</v>
      </c>
      <c r="J171" s="173">
        <f>IF($A$1="Peak","-",IF(BaseLoad!P170&gt;BaseLoad!$G170,J$8*BaseLoad!$AM$9,0))</f>
        <v>29.073853298455656</v>
      </c>
      <c r="K171" s="173">
        <f>IF($A$1="Peak","-",IF(BaseLoad!Q170&gt;BaseLoad!$G170,K$8*BaseLoad!$AM$9,0))</f>
        <v>29.073853298455656</v>
      </c>
      <c r="L171" s="173">
        <f>IF($A$1="Peak","-",IF(BaseLoad!R170&gt;BaseLoad!$G170,L$8*BaseLoad!$AM$9,0))</f>
        <v>29.073853298455656</v>
      </c>
      <c r="M171" s="173">
        <f>IF($A$1="Peak","-",IF(BaseLoad!S170&gt;BaseLoad!$G170,M$8*BaseLoad!$AM$9,0))</f>
        <v>29.073853298455656</v>
      </c>
      <c r="N171" s="173">
        <f>IF($A$1="Peak","-",IF(BaseLoad!T170&gt;BaseLoad!$G170,N$8*BaseLoad!$AM$9,0))</f>
        <v>29.073853298455656</v>
      </c>
      <c r="O171" s="173">
        <f>IF($A$1="Peak","-",IF(BaseLoad!U170&gt;BaseLoad!$G170,O$8*BaseLoad!$AM$9,0))</f>
        <v>29.073853298455656</v>
      </c>
      <c r="P171" s="173">
        <f>IF($A$1="Peak","-",IF(BaseLoad!V170&gt;BaseLoad!$G170,P$8*BaseLoad!$AM$9,0))</f>
        <v>29.073853298455656</v>
      </c>
      <c r="Q171" s="173">
        <f>IF($A$1="Peak","-",IF(BaseLoad!W170&gt;BaseLoad!$G170,Q$8*BaseLoad!$AM$9,0))</f>
        <v>29.073853298455656</v>
      </c>
      <c r="R171" s="173">
        <f>IF($A$1="Peak","-",IF(BaseLoad!X170&gt;BaseLoad!$G170,R$8*BaseLoad!$AM$9,0))</f>
        <v>29.073853298455656</v>
      </c>
      <c r="S171" s="173">
        <f>IF($A$1="Peak","-",IF(BaseLoad!Y170&gt;BaseLoad!$G170,S$8*BaseLoad!$AM$9,0))</f>
        <v>29.073853298455656</v>
      </c>
      <c r="T171" s="173">
        <f>IF($A$1="Peak","-",IF(BaseLoad!Z170&gt;BaseLoad!$G170,T$8*BaseLoad!$AM$9,0))</f>
        <v>29.073853298455656</v>
      </c>
      <c r="U171" s="173">
        <f>IF($A$1="Peak","-",IF(BaseLoad!AA170&gt;BaseLoad!$G170,U$8*BaseLoad!$AM$9,0))</f>
        <v>79.953096570753061</v>
      </c>
      <c r="V171" s="173">
        <f t="shared" si="6"/>
        <v>530.5978226968158</v>
      </c>
      <c r="W171" s="173"/>
      <c r="X171" s="173"/>
      <c r="Y171" s="173"/>
    </row>
    <row r="172" spans="1:25" x14ac:dyDescent="0.2">
      <c r="A172" s="1">
        <f t="shared" si="7"/>
        <v>41467.554000000207</v>
      </c>
      <c r="B172" s="173">
        <f>IF($A$1="Peak","-",IF(BaseLoad!H171&gt;BaseLoad!$G171,B$8*BaseLoad!$AM$9,0))</f>
        <v>3.634231662306957</v>
      </c>
      <c r="C172" s="173">
        <f>IF($A$1="Peak","-",IF(BaseLoad!I171&gt;BaseLoad!$G171,C$8*BaseLoad!$AM$9,0))</f>
        <v>3.634231662306957</v>
      </c>
      <c r="D172" s="173">
        <f>IF($A$1="Peak","-",IF(BaseLoad!J171&gt;BaseLoad!$G171,D$8*BaseLoad!$AM$9,0))</f>
        <v>7.2684633246139141</v>
      </c>
      <c r="E172" s="173">
        <f>IF($A$1="Peak","-",IF(BaseLoad!K171&gt;BaseLoad!$G171,E$8*BaseLoad!$AM$9,0))</f>
        <v>14.536926649227828</v>
      </c>
      <c r="F172" s="173">
        <f>IF($A$1="Peak","-",IF(BaseLoad!L171&gt;BaseLoad!$G171,F$8*BaseLoad!$AM$9,0))</f>
        <v>14.536926649227828</v>
      </c>
      <c r="G172" s="173">
        <f>IF($A$1="Peak","-",IF(BaseLoad!M171&gt;BaseLoad!$G171,G$8*BaseLoad!$AM$9,0))</f>
        <v>29.073853298455656</v>
      </c>
      <c r="H172" s="173">
        <f>IF($A$1="Peak","-",IF(BaseLoad!N171&gt;BaseLoad!$G171,H$8*BaseLoad!$AM$9,0))</f>
        <v>29.073853298455656</v>
      </c>
      <c r="I172" s="173">
        <f>IF($A$1="Peak","-",IF(BaseLoad!O171&gt;BaseLoad!$G171,I$8*BaseLoad!$AM$9,0))</f>
        <v>29.073853298455656</v>
      </c>
      <c r="J172" s="173">
        <f>IF($A$1="Peak","-",IF(BaseLoad!P171&gt;BaseLoad!$G171,J$8*BaseLoad!$AM$9,0))</f>
        <v>29.073853298455656</v>
      </c>
      <c r="K172" s="173">
        <f>IF($A$1="Peak","-",IF(BaseLoad!Q171&gt;BaseLoad!$G171,K$8*BaseLoad!$AM$9,0))</f>
        <v>29.073853298455656</v>
      </c>
      <c r="L172" s="173">
        <f>IF($A$1="Peak","-",IF(BaseLoad!R171&gt;BaseLoad!$G171,L$8*BaseLoad!$AM$9,0))</f>
        <v>29.073853298455656</v>
      </c>
      <c r="M172" s="173">
        <f>IF($A$1="Peak","-",IF(BaseLoad!S171&gt;BaseLoad!$G171,M$8*BaseLoad!$AM$9,0))</f>
        <v>29.073853298455656</v>
      </c>
      <c r="N172" s="173">
        <f>IF($A$1="Peak","-",IF(BaseLoad!T171&gt;BaseLoad!$G171,N$8*BaseLoad!$AM$9,0))</f>
        <v>29.073853298455656</v>
      </c>
      <c r="O172" s="173">
        <f>IF($A$1="Peak","-",IF(BaseLoad!U171&gt;BaseLoad!$G171,O$8*BaseLoad!$AM$9,0))</f>
        <v>29.073853298455656</v>
      </c>
      <c r="P172" s="173">
        <f>IF($A$1="Peak","-",IF(BaseLoad!V171&gt;BaseLoad!$G171,P$8*BaseLoad!$AM$9,0))</f>
        <v>29.073853298455656</v>
      </c>
      <c r="Q172" s="173">
        <f>IF($A$1="Peak","-",IF(BaseLoad!W171&gt;BaseLoad!$G171,Q$8*BaseLoad!$AM$9,0))</f>
        <v>29.073853298455656</v>
      </c>
      <c r="R172" s="173">
        <f>IF($A$1="Peak","-",IF(BaseLoad!X171&gt;BaseLoad!$G171,R$8*BaseLoad!$AM$9,0))</f>
        <v>29.073853298455656</v>
      </c>
      <c r="S172" s="173">
        <f>IF($A$1="Peak","-",IF(BaseLoad!Y171&gt;BaseLoad!$G171,S$8*BaseLoad!$AM$9,0))</f>
        <v>29.073853298455656</v>
      </c>
      <c r="T172" s="173">
        <f>IF($A$1="Peak","-",IF(BaseLoad!Z171&gt;BaseLoad!$G171,T$8*BaseLoad!$AM$9,0))</f>
        <v>29.073853298455656</v>
      </c>
      <c r="U172" s="173">
        <f>IF($A$1="Peak","-",IF(BaseLoad!AA171&gt;BaseLoad!$G171,U$8*BaseLoad!$AM$9,0))</f>
        <v>79.953096570753061</v>
      </c>
      <c r="V172" s="173">
        <f t="shared" si="6"/>
        <v>530.5978226968158</v>
      </c>
      <c r="W172" s="173"/>
      <c r="X172" s="173"/>
      <c r="Y172" s="173"/>
    </row>
    <row r="173" spans="1:25" x14ac:dyDescent="0.2">
      <c r="A173" s="1">
        <f t="shared" si="7"/>
        <v>41497.971000000209</v>
      </c>
      <c r="B173" s="173">
        <f>IF($A$1="Peak","-",IF(BaseLoad!H172&gt;BaseLoad!$G172,B$8*BaseLoad!$AM$9,0))</f>
        <v>3.634231662306957</v>
      </c>
      <c r="C173" s="173">
        <f>IF($A$1="Peak","-",IF(BaseLoad!I172&gt;BaseLoad!$G172,C$8*BaseLoad!$AM$9,0))</f>
        <v>3.634231662306957</v>
      </c>
      <c r="D173" s="173">
        <f>IF($A$1="Peak","-",IF(BaseLoad!J172&gt;BaseLoad!$G172,D$8*BaseLoad!$AM$9,0))</f>
        <v>7.2684633246139141</v>
      </c>
      <c r="E173" s="173">
        <f>IF($A$1="Peak","-",IF(BaseLoad!K172&gt;BaseLoad!$G172,E$8*BaseLoad!$AM$9,0))</f>
        <v>14.536926649227828</v>
      </c>
      <c r="F173" s="173">
        <f>IF($A$1="Peak","-",IF(BaseLoad!L172&gt;BaseLoad!$G172,F$8*BaseLoad!$AM$9,0))</f>
        <v>14.536926649227828</v>
      </c>
      <c r="G173" s="173">
        <f>IF($A$1="Peak","-",IF(BaseLoad!M172&gt;BaseLoad!$G172,G$8*BaseLoad!$AM$9,0))</f>
        <v>29.073853298455656</v>
      </c>
      <c r="H173" s="173">
        <f>IF($A$1="Peak","-",IF(BaseLoad!N172&gt;BaseLoad!$G172,H$8*BaseLoad!$AM$9,0))</f>
        <v>29.073853298455656</v>
      </c>
      <c r="I173" s="173">
        <f>IF($A$1="Peak","-",IF(BaseLoad!O172&gt;BaseLoad!$G172,I$8*BaseLoad!$AM$9,0))</f>
        <v>29.073853298455656</v>
      </c>
      <c r="J173" s="173">
        <f>IF($A$1="Peak","-",IF(BaseLoad!P172&gt;BaseLoad!$G172,J$8*BaseLoad!$AM$9,0))</f>
        <v>29.073853298455656</v>
      </c>
      <c r="K173" s="173">
        <f>IF($A$1="Peak","-",IF(BaseLoad!Q172&gt;BaseLoad!$G172,K$8*BaseLoad!$AM$9,0))</f>
        <v>29.073853298455656</v>
      </c>
      <c r="L173" s="173">
        <f>IF($A$1="Peak","-",IF(BaseLoad!R172&gt;BaseLoad!$G172,L$8*BaseLoad!$AM$9,0))</f>
        <v>29.073853298455656</v>
      </c>
      <c r="M173" s="173">
        <f>IF($A$1="Peak","-",IF(BaseLoad!S172&gt;BaseLoad!$G172,M$8*BaseLoad!$AM$9,0))</f>
        <v>29.073853298455656</v>
      </c>
      <c r="N173" s="173">
        <f>IF($A$1="Peak","-",IF(BaseLoad!T172&gt;BaseLoad!$G172,N$8*BaseLoad!$AM$9,0))</f>
        <v>29.073853298455656</v>
      </c>
      <c r="O173" s="173">
        <f>IF($A$1="Peak","-",IF(BaseLoad!U172&gt;BaseLoad!$G172,O$8*BaseLoad!$AM$9,0))</f>
        <v>29.073853298455656</v>
      </c>
      <c r="P173" s="173">
        <f>IF($A$1="Peak","-",IF(BaseLoad!V172&gt;BaseLoad!$G172,P$8*BaseLoad!$AM$9,0))</f>
        <v>29.073853298455656</v>
      </c>
      <c r="Q173" s="173">
        <f>IF($A$1="Peak","-",IF(BaseLoad!W172&gt;BaseLoad!$G172,Q$8*BaseLoad!$AM$9,0))</f>
        <v>29.073853298455656</v>
      </c>
      <c r="R173" s="173">
        <f>IF($A$1="Peak","-",IF(BaseLoad!X172&gt;BaseLoad!$G172,R$8*BaseLoad!$AM$9,0))</f>
        <v>29.073853298455656</v>
      </c>
      <c r="S173" s="173">
        <f>IF($A$1="Peak","-",IF(BaseLoad!Y172&gt;BaseLoad!$G172,S$8*BaseLoad!$AM$9,0))</f>
        <v>29.073853298455656</v>
      </c>
      <c r="T173" s="173">
        <f>IF($A$1="Peak","-",IF(BaseLoad!Z172&gt;BaseLoad!$G172,T$8*BaseLoad!$AM$9,0))</f>
        <v>29.073853298455656</v>
      </c>
      <c r="U173" s="173">
        <f>IF($A$1="Peak","-",IF(BaseLoad!AA172&gt;BaseLoad!$G172,U$8*BaseLoad!$AM$9,0))</f>
        <v>79.953096570753061</v>
      </c>
      <c r="V173" s="173">
        <f t="shared" si="6"/>
        <v>530.5978226968158</v>
      </c>
      <c r="W173" s="173"/>
      <c r="X173" s="173"/>
      <c r="Y173" s="173"/>
    </row>
    <row r="174" spans="1:25" x14ac:dyDescent="0.2">
      <c r="A174" s="1">
        <f t="shared" si="7"/>
        <v>41528.38800000021</v>
      </c>
      <c r="B174" s="173">
        <f>IF($A$1="Peak","-",IF(BaseLoad!H173&gt;BaseLoad!$G173,B$8*BaseLoad!$AM$9,0))</f>
        <v>3.634231662306957</v>
      </c>
      <c r="C174" s="173">
        <f>IF($A$1="Peak","-",IF(BaseLoad!I173&gt;BaseLoad!$G173,C$8*BaseLoad!$AM$9,0))</f>
        <v>3.634231662306957</v>
      </c>
      <c r="D174" s="173">
        <f>IF($A$1="Peak","-",IF(BaseLoad!J173&gt;BaseLoad!$G173,D$8*BaseLoad!$AM$9,0))</f>
        <v>7.2684633246139141</v>
      </c>
      <c r="E174" s="173">
        <f>IF($A$1="Peak","-",IF(BaseLoad!K173&gt;BaseLoad!$G173,E$8*BaseLoad!$AM$9,0))</f>
        <v>14.536926649227828</v>
      </c>
      <c r="F174" s="173">
        <f>IF($A$1="Peak","-",IF(BaseLoad!L173&gt;BaseLoad!$G173,F$8*BaseLoad!$AM$9,0))</f>
        <v>14.536926649227828</v>
      </c>
      <c r="G174" s="173">
        <f>IF($A$1="Peak","-",IF(BaseLoad!M173&gt;BaseLoad!$G173,G$8*BaseLoad!$AM$9,0))</f>
        <v>29.073853298455656</v>
      </c>
      <c r="H174" s="173">
        <f>IF($A$1="Peak","-",IF(BaseLoad!N173&gt;BaseLoad!$G173,H$8*BaseLoad!$AM$9,0))</f>
        <v>29.073853298455656</v>
      </c>
      <c r="I174" s="173">
        <f>IF($A$1="Peak","-",IF(BaseLoad!O173&gt;BaseLoad!$G173,I$8*BaseLoad!$AM$9,0))</f>
        <v>29.073853298455656</v>
      </c>
      <c r="J174" s="173">
        <f>IF($A$1="Peak","-",IF(BaseLoad!P173&gt;BaseLoad!$G173,J$8*BaseLoad!$AM$9,0))</f>
        <v>29.073853298455656</v>
      </c>
      <c r="K174" s="173">
        <f>IF($A$1="Peak","-",IF(BaseLoad!Q173&gt;BaseLoad!$G173,K$8*BaseLoad!$AM$9,0))</f>
        <v>29.073853298455656</v>
      </c>
      <c r="L174" s="173">
        <f>IF($A$1="Peak","-",IF(BaseLoad!R173&gt;BaseLoad!$G173,L$8*BaseLoad!$AM$9,0))</f>
        <v>29.073853298455656</v>
      </c>
      <c r="M174" s="173">
        <f>IF($A$1="Peak","-",IF(BaseLoad!S173&gt;BaseLoad!$G173,M$8*BaseLoad!$AM$9,0))</f>
        <v>29.073853298455656</v>
      </c>
      <c r="N174" s="173">
        <f>IF($A$1="Peak","-",IF(BaseLoad!T173&gt;BaseLoad!$G173,N$8*BaseLoad!$AM$9,0))</f>
        <v>29.073853298455656</v>
      </c>
      <c r="O174" s="173">
        <f>IF($A$1="Peak","-",IF(BaseLoad!U173&gt;BaseLoad!$G173,O$8*BaseLoad!$AM$9,0))</f>
        <v>29.073853298455656</v>
      </c>
      <c r="P174" s="173">
        <f>IF($A$1="Peak","-",IF(BaseLoad!V173&gt;BaseLoad!$G173,P$8*BaseLoad!$AM$9,0))</f>
        <v>29.073853298455656</v>
      </c>
      <c r="Q174" s="173">
        <f>IF($A$1="Peak","-",IF(BaseLoad!W173&gt;BaseLoad!$G173,Q$8*BaseLoad!$AM$9,0))</f>
        <v>29.073853298455656</v>
      </c>
      <c r="R174" s="173">
        <f>IF($A$1="Peak","-",IF(BaseLoad!X173&gt;BaseLoad!$G173,R$8*BaseLoad!$AM$9,0))</f>
        <v>29.073853298455656</v>
      </c>
      <c r="S174" s="173">
        <f>IF($A$1="Peak","-",IF(BaseLoad!Y173&gt;BaseLoad!$G173,S$8*BaseLoad!$AM$9,0))</f>
        <v>29.073853298455656</v>
      </c>
      <c r="T174" s="173">
        <f>IF($A$1="Peak","-",IF(BaseLoad!Z173&gt;BaseLoad!$G173,T$8*BaseLoad!$AM$9,0))</f>
        <v>29.073853298455656</v>
      </c>
      <c r="U174" s="173">
        <f>IF($A$1="Peak","-",IF(BaseLoad!AA173&gt;BaseLoad!$G173,U$8*BaseLoad!$AM$9,0))</f>
        <v>79.953096570753061</v>
      </c>
      <c r="V174" s="173">
        <f t="shared" si="6"/>
        <v>530.5978226968158</v>
      </c>
      <c r="W174" s="173"/>
      <c r="X174" s="173"/>
      <c r="Y174" s="173"/>
    </row>
    <row r="175" spans="1:25" x14ac:dyDescent="0.2">
      <c r="A175" s="1">
        <f t="shared" si="7"/>
        <v>41558.805000000211</v>
      </c>
      <c r="B175" s="173">
        <f>IF($A$1="Peak","-",IF(BaseLoad!H174&gt;BaseLoad!$G174,B$8*BaseLoad!$AM$9,0))</f>
        <v>3.634231662306957</v>
      </c>
      <c r="C175" s="173">
        <f>IF($A$1="Peak","-",IF(BaseLoad!I174&gt;BaseLoad!$G174,C$8*BaseLoad!$AM$9,0))</f>
        <v>3.634231662306957</v>
      </c>
      <c r="D175" s="173">
        <f>IF($A$1="Peak","-",IF(BaseLoad!J174&gt;BaseLoad!$G174,D$8*BaseLoad!$AM$9,0))</f>
        <v>7.2684633246139141</v>
      </c>
      <c r="E175" s="173">
        <f>IF($A$1="Peak","-",IF(BaseLoad!K174&gt;BaseLoad!$G174,E$8*BaseLoad!$AM$9,0))</f>
        <v>14.536926649227828</v>
      </c>
      <c r="F175" s="173">
        <f>IF($A$1="Peak","-",IF(BaseLoad!L174&gt;BaseLoad!$G174,F$8*BaseLoad!$AM$9,0))</f>
        <v>14.536926649227828</v>
      </c>
      <c r="G175" s="173">
        <f>IF($A$1="Peak","-",IF(BaseLoad!M174&gt;BaseLoad!$G174,G$8*BaseLoad!$AM$9,0))</f>
        <v>29.073853298455656</v>
      </c>
      <c r="H175" s="173">
        <f>IF($A$1="Peak","-",IF(BaseLoad!N174&gt;BaseLoad!$G174,H$8*BaseLoad!$AM$9,0))</f>
        <v>29.073853298455656</v>
      </c>
      <c r="I175" s="173">
        <f>IF($A$1="Peak","-",IF(BaseLoad!O174&gt;BaseLoad!$G174,I$8*BaseLoad!$AM$9,0))</f>
        <v>29.073853298455656</v>
      </c>
      <c r="J175" s="173">
        <f>IF($A$1="Peak","-",IF(BaseLoad!P174&gt;BaseLoad!$G174,J$8*BaseLoad!$AM$9,0))</f>
        <v>29.073853298455656</v>
      </c>
      <c r="K175" s="173">
        <f>IF($A$1="Peak","-",IF(BaseLoad!Q174&gt;BaseLoad!$G174,K$8*BaseLoad!$AM$9,0))</f>
        <v>29.073853298455656</v>
      </c>
      <c r="L175" s="173">
        <f>IF($A$1="Peak","-",IF(BaseLoad!R174&gt;BaseLoad!$G174,L$8*BaseLoad!$AM$9,0))</f>
        <v>29.073853298455656</v>
      </c>
      <c r="M175" s="173">
        <f>IF($A$1="Peak","-",IF(BaseLoad!S174&gt;BaseLoad!$G174,M$8*BaseLoad!$AM$9,0))</f>
        <v>29.073853298455656</v>
      </c>
      <c r="N175" s="173">
        <f>IF($A$1="Peak","-",IF(BaseLoad!T174&gt;BaseLoad!$G174,N$8*BaseLoad!$AM$9,0))</f>
        <v>29.073853298455656</v>
      </c>
      <c r="O175" s="173">
        <f>IF($A$1="Peak","-",IF(BaseLoad!U174&gt;BaseLoad!$G174,O$8*BaseLoad!$AM$9,0))</f>
        <v>29.073853298455656</v>
      </c>
      <c r="P175" s="173">
        <f>IF($A$1="Peak","-",IF(BaseLoad!V174&gt;BaseLoad!$G174,P$8*BaseLoad!$AM$9,0))</f>
        <v>29.073853298455656</v>
      </c>
      <c r="Q175" s="173">
        <f>IF($A$1="Peak","-",IF(BaseLoad!W174&gt;BaseLoad!$G174,Q$8*BaseLoad!$AM$9,0))</f>
        <v>29.073853298455656</v>
      </c>
      <c r="R175" s="173">
        <f>IF($A$1="Peak","-",IF(BaseLoad!X174&gt;BaseLoad!$G174,R$8*BaseLoad!$AM$9,0))</f>
        <v>29.073853298455656</v>
      </c>
      <c r="S175" s="173">
        <f>IF($A$1="Peak","-",IF(BaseLoad!Y174&gt;BaseLoad!$G174,S$8*BaseLoad!$AM$9,0))</f>
        <v>29.073853298455656</v>
      </c>
      <c r="T175" s="173">
        <f>IF($A$1="Peak","-",IF(BaseLoad!Z174&gt;BaseLoad!$G174,T$8*BaseLoad!$AM$9,0))</f>
        <v>29.073853298455656</v>
      </c>
      <c r="U175" s="173">
        <f>IF($A$1="Peak","-",IF(BaseLoad!AA174&gt;BaseLoad!$G174,U$8*BaseLoad!$AM$9,0))</f>
        <v>79.953096570753061</v>
      </c>
      <c r="V175" s="173">
        <f t="shared" si="6"/>
        <v>530.5978226968158</v>
      </c>
      <c r="W175" s="173"/>
      <c r="X175" s="173"/>
      <c r="Y175" s="173"/>
    </row>
    <row r="176" spans="1:25" x14ac:dyDescent="0.2">
      <c r="A176" s="1">
        <f t="shared" si="7"/>
        <v>41589.222000000213</v>
      </c>
      <c r="B176" s="173">
        <f>IF($A$1="Peak","-",IF(BaseLoad!H175&gt;BaseLoad!$G175,B$8*BaseLoad!$AM$9,0))</f>
        <v>3.634231662306957</v>
      </c>
      <c r="C176" s="173">
        <f>IF($A$1="Peak","-",IF(BaseLoad!I175&gt;BaseLoad!$G175,C$8*BaseLoad!$AM$9,0))</f>
        <v>3.634231662306957</v>
      </c>
      <c r="D176" s="173">
        <f>IF($A$1="Peak","-",IF(BaseLoad!J175&gt;BaseLoad!$G175,D$8*BaseLoad!$AM$9,0))</f>
        <v>7.2684633246139141</v>
      </c>
      <c r="E176" s="173">
        <f>IF($A$1="Peak","-",IF(BaseLoad!K175&gt;BaseLoad!$G175,E$8*BaseLoad!$AM$9,0))</f>
        <v>14.536926649227828</v>
      </c>
      <c r="F176" s="173">
        <f>IF($A$1="Peak","-",IF(BaseLoad!L175&gt;BaseLoad!$G175,F$8*BaseLoad!$AM$9,0))</f>
        <v>14.536926649227828</v>
      </c>
      <c r="G176" s="173">
        <f>IF($A$1="Peak","-",IF(BaseLoad!M175&gt;BaseLoad!$G175,G$8*BaseLoad!$AM$9,0))</f>
        <v>29.073853298455656</v>
      </c>
      <c r="H176" s="173">
        <f>IF($A$1="Peak","-",IF(BaseLoad!N175&gt;BaseLoad!$G175,H$8*BaseLoad!$AM$9,0))</f>
        <v>29.073853298455656</v>
      </c>
      <c r="I176" s="173">
        <f>IF($A$1="Peak","-",IF(BaseLoad!O175&gt;BaseLoad!$G175,I$8*BaseLoad!$AM$9,0))</f>
        <v>29.073853298455656</v>
      </c>
      <c r="J176" s="173">
        <f>IF($A$1="Peak","-",IF(BaseLoad!P175&gt;BaseLoad!$G175,J$8*BaseLoad!$AM$9,0))</f>
        <v>29.073853298455656</v>
      </c>
      <c r="K176" s="173">
        <f>IF($A$1="Peak","-",IF(BaseLoad!Q175&gt;BaseLoad!$G175,K$8*BaseLoad!$AM$9,0))</f>
        <v>29.073853298455656</v>
      </c>
      <c r="L176" s="173">
        <f>IF($A$1="Peak","-",IF(BaseLoad!R175&gt;BaseLoad!$G175,L$8*BaseLoad!$AM$9,0))</f>
        <v>29.073853298455656</v>
      </c>
      <c r="M176" s="173">
        <f>IF($A$1="Peak","-",IF(BaseLoad!S175&gt;BaseLoad!$G175,M$8*BaseLoad!$AM$9,0))</f>
        <v>29.073853298455656</v>
      </c>
      <c r="N176" s="173">
        <f>IF($A$1="Peak","-",IF(BaseLoad!T175&gt;BaseLoad!$G175,N$8*BaseLoad!$AM$9,0))</f>
        <v>29.073853298455656</v>
      </c>
      <c r="O176" s="173">
        <f>IF($A$1="Peak","-",IF(BaseLoad!U175&gt;BaseLoad!$G175,O$8*BaseLoad!$AM$9,0))</f>
        <v>29.073853298455656</v>
      </c>
      <c r="P176" s="173">
        <f>IF($A$1="Peak","-",IF(BaseLoad!V175&gt;BaseLoad!$G175,P$8*BaseLoad!$AM$9,0))</f>
        <v>29.073853298455656</v>
      </c>
      <c r="Q176" s="173">
        <f>IF($A$1="Peak","-",IF(BaseLoad!W175&gt;BaseLoad!$G175,Q$8*BaseLoad!$AM$9,0))</f>
        <v>29.073853298455656</v>
      </c>
      <c r="R176" s="173">
        <f>IF($A$1="Peak","-",IF(BaseLoad!X175&gt;BaseLoad!$G175,R$8*BaseLoad!$AM$9,0))</f>
        <v>29.073853298455656</v>
      </c>
      <c r="S176" s="173">
        <f>IF($A$1="Peak","-",IF(BaseLoad!Y175&gt;BaseLoad!$G175,S$8*BaseLoad!$AM$9,0))</f>
        <v>29.073853298455656</v>
      </c>
      <c r="T176" s="173">
        <f>IF($A$1="Peak","-",IF(BaseLoad!Z175&gt;BaseLoad!$G175,T$8*BaseLoad!$AM$9,0))</f>
        <v>29.073853298455656</v>
      </c>
      <c r="U176" s="173">
        <f>IF($A$1="Peak","-",IF(BaseLoad!AA175&gt;BaseLoad!$G175,U$8*BaseLoad!$AM$9,0))</f>
        <v>79.953096570753061</v>
      </c>
      <c r="V176" s="173">
        <f t="shared" si="6"/>
        <v>530.5978226968158</v>
      </c>
      <c r="W176" s="173"/>
      <c r="X176" s="173"/>
      <c r="Y176" s="173"/>
    </row>
    <row r="177" spans="1:25" x14ac:dyDescent="0.2">
      <c r="A177" s="1">
        <f t="shared" si="7"/>
        <v>41619.639000000214</v>
      </c>
      <c r="B177" s="173">
        <f>IF($A$1="Peak","-",IF(BaseLoad!H176&gt;BaseLoad!$G176,B$8*BaseLoad!$AM$9,0))</f>
        <v>3.634231662306957</v>
      </c>
      <c r="C177" s="173">
        <f>IF($A$1="Peak","-",IF(BaseLoad!I176&gt;BaseLoad!$G176,C$8*BaseLoad!$AM$9,0))</f>
        <v>3.634231662306957</v>
      </c>
      <c r="D177" s="173">
        <f>IF($A$1="Peak","-",IF(BaseLoad!J176&gt;BaseLoad!$G176,D$8*BaseLoad!$AM$9,0))</f>
        <v>7.2684633246139141</v>
      </c>
      <c r="E177" s="173">
        <f>IF($A$1="Peak","-",IF(BaseLoad!K176&gt;BaseLoad!$G176,E$8*BaseLoad!$AM$9,0))</f>
        <v>14.536926649227828</v>
      </c>
      <c r="F177" s="173">
        <f>IF($A$1="Peak","-",IF(BaseLoad!L176&gt;BaseLoad!$G176,F$8*BaseLoad!$AM$9,0))</f>
        <v>14.536926649227828</v>
      </c>
      <c r="G177" s="173">
        <f>IF($A$1="Peak","-",IF(BaseLoad!M176&gt;BaseLoad!$G176,G$8*BaseLoad!$AM$9,0))</f>
        <v>29.073853298455656</v>
      </c>
      <c r="H177" s="173">
        <f>IF($A$1="Peak","-",IF(BaseLoad!N176&gt;BaseLoad!$G176,H$8*BaseLoad!$AM$9,0))</f>
        <v>29.073853298455656</v>
      </c>
      <c r="I177" s="173">
        <f>IF($A$1="Peak","-",IF(BaseLoad!O176&gt;BaseLoad!$G176,I$8*BaseLoad!$AM$9,0))</f>
        <v>29.073853298455656</v>
      </c>
      <c r="J177" s="173">
        <f>IF($A$1="Peak","-",IF(BaseLoad!P176&gt;BaseLoad!$G176,J$8*BaseLoad!$AM$9,0))</f>
        <v>29.073853298455656</v>
      </c>
      <c r="K177" s="173">
        <f>IF($A$1="Peak","-",IF(BaseLoad!Q176&gt;BaseLoad!$G176,K$8*BaseLoad!$AM$9,0))</f>
        <v>29.073853298455656</v>
      </c>
      <c r="L177" s="173">
        <f>IF($A$1="Peak","-",IF(BaseLoad!R176&gt;BaseLoad!$G176,L$8*BaseLoad!$AM$9,0))</f>
        <v>29.073853298455656</v>
      </c>
      <c r="M177" s="173">
        <f>IF($A$1="Peak","-",IF(BaseLoad!S176&gt;BaseLoad!$G176,M$8*BaseLoad!$AM$9,0))</f>
        <v>29.073853298455656</v>
      </c>
      <c r="N177" s="173">
        <f>IF($A$1="Peak","-",IF(BaseLoad!T176&gt;BaseLoad!$G176,N$8*BaseLoad!$AM$9,0))</f>
        <v>29.073853298455656</v>
      </c>
      <c r="O177" s="173">
        <f>IF($A$1="Peak","-",IF(BaseLoad!U176&gt;BaseLoad!$G176,O$8*BaseLoad!$AM$9,0))</f>
        <v>29.073853298455656</v>
      </c>
      <c r="P177" s="173">
        <f>IF($A$1="Peak","-",IF(BaseLoad!V176&gt;BaseLoad!$G176,P$8*BaseLoad!$AM$9,0))</f>
        <v>29.073853298455656</v>
      </c>
      <c r="Q177" s="173">
        <f>IF($A$1="Peak","-",IF(BaseLoad!W176&gt;BaseLoad!$G176,Q$8*BaseLoad!$AM$9,0))</f>
        <v>29.073853298455656</v>
      </c>
      <c r="R177" s="173">
        <f>IF($A$1="Peak","-",IF(BaseLoad!X176&gt;BaseLoad!$G176,R$8*BaseLoad!$AM$9,0))</f>
        <v>29.073853298455656</v>
      </c>
      <c r="S177" s="173">
        <f>IF($A$1="Peak","-",IF(BaseLoad!Y176&gt;BaseLoad!$G176,S$8*BaseLoad!$AM$9,0))</f>
        <v>29.073853298455656</v>
      </c>
      <c r="T177" s="173">
        <f>IF($A$1="Peak","-",IF(BaseLoad!Z176&gt;BaseLoad!$G176,T$8*BaseLoad!$AM$9,0))</f>
        <v>29.073853298455656</v>
      </c>
      <c r="U177" s="173">
        <f>IF($A$1="Peak","-",IF(BaseLoad!AA176&gt;BaseLoad!$G176,U$8*BaseLoad!$AM$9,0))</f>
        <v>79.953096570753061</v>
      </c>
      <c r="V177" s="173">
        <f t="shared" si="6"/>
        <v>530.5978226968158</v>
      </c>
      <c r="W177" s="173"/>
      <c r="X177" s="173"/>
      <c r="Y177" s="173">
        <f>SUM(V166:V177)</f>
        <v>6367.1738723617882</v>
      </c>
    </row>
    <row r="178" spans="1:25" x14ac:dyDescent="0.2">
      <c r="A178" s="1">
        <f t="shared" si="7"/>
        <v>41650.056000000215</v>
      </c>
      <c r="B178" s="173">
        <f>IF($A$1="Peak","-",IF(BaseLoad!H177&gt;BaseLoad!$G177,B$8*BaseLoad!$AM$9,0))</f>
        <v>3.634231662306957</v>
      </c>
      <c r="C178" s="173">
        <f>IF($A$1="Peak","-",IF(BaseLoad!I177&gt;BaseLoad!$G177,C$8*BaseLoad!$AM$9,0))</f>
        <v>3.634231662306957</v>
      </c>
      <c r="D178" s="173">
        <f>IF($A$1="Peak","-",IF(BaseLoad!J177&gt;BaseLoad!$G177,D$8*BaseLoad!$AM$9,0))</f>
        <v>7.2684633246139141</v>
      </c>
      <c r="E178" s="173">
        <f>IF($A$1="Peak","-",IF(BaseLoad!K177&gt;BaseLoad!$G177,E$8*BaseLoad!$AM$9,0))</f>
        <v>14.536926649227828</v>
      </c>
      <c r="F178" s="173">
        <f>IF($A$1="Peak","-",IF(BaseLoad!L177&gt;BaseLoad!$G177,F$8*BaseLoad!$AM$9,0))</f>
        <v>14.536926649227828</v>
      </c>
      <c r="G178" s="173">
        <f>IF($A$1="Peak","-",IF(BaseLoad!M177&gt;BaseLoad!$G177,G$8*BaseLoad!$AM$9,0))</f>
        <v>29.073853298455656</v>
      </c>
      <c r="H178" s="173">
        <f>IF($A$1="Peak","-",IF(BaseLoad!N177&gt;BaseLoad!$G177,H$8*BaseLoad!$AM$9,0))</f>
        <v>29.073853298455656</v>
      </c>
      <c r="I178" s="173">
        <f>IF($A$1="Peak","-",IF(BaseLoad!O177&gt;BaseLoad!$G177,I$8*BaseLoad!$AM$9,0))</f>
        <v>29.073853298455656</v>
      </c>
      <c r="J178" s="173">
        <f>IF($A$1="Peak","-",IF(BaseLoad!P177&gt;BaseLoad!$G177,J$8*BaseLoad!$AM$9,0))</f>
        <v>29.073853298455656</v>
      </c>
      <c r="K178" s="173">
        <f>IF($A$1="Peak","-",IF(BaseLoad!Q177&gt;BaseLoad!$G177,K$8*BaseLoad!$AM$9,0))</f>
        <v>29.073853298455656</v>
      </c>
      <c r="L178" s="173">
        <f>IF($A$1="Peak","-",IF(BaseLoad!R177&gt;BaseLoad!$G177,L$8*BaseLoad!$AM$9,0))</f>
        <v>29.073853298455656</v>
      </c>
      <c r="M178" s="173">
        <f>IF($A$1="Peak","-",IF(BaseLoad!S177&gt;BaseLoad!$G177,M$8*BaseLoad!$AM$9,0))</f>
        <v>29.073853298455656</v>
      </c>
      <c r="N178" s="173">
        <f>IF($A$1="Peak","-",IF(BaseLoad!T177&gt;BaseLoad!$G177,N$8*BaseLoad!$AM$9,0))</f>
        <v>29.073853298455656</v>
      </c>
      <c r="O178" s="173">
        <f>IF($A$1="Peak","-",IF(BaseLoad!U177&gt;BaseLoad!$G177,O$8*BaseLoad!$AM$9,0))</f>
        <v>29.073853298455656</v>
      </c>
      <c r="P178" s="173">
        <f>IF($A$1="Peak","-",IF(BaseLoad!V177&gt;BaseLoad!$G177,P$8*BaseLoad!$AM$9,0))</f>
        <v>29.073853298455656</v>
      </c>
      <c r="Q178" s="173">
        <f>IF($A$1="Peak","-",IF(BaseLoad!W177&gt;BaseLoad!$G177,Q$8*BaseLoad!$AM$9,0))</f>
        <v>29.073853298455656</v>
      </c>
      <c r="R178" s="173">
        <f>IF($A$1="Peak","-",IF(BaseLoad!X177&gt;BaseLoad!$G177,R$8*BaseLoad!$AM$9,0))</f>
        <v>29.073853298455656</v>
      </c>
      <c r="S178" s="173">
        <f>IF($A$1="Peak","-",IF(BaseLoad!Y177&gt;BaseLoad!$G177,S$8*BaseLoad!$AM$9,0))</f>
        <v>29.073853298455656</v>
      </c>
      <c r="T178" s="173">
        <f>IF($A$1="Peak","-",IF(BaseLoad!Z177&gt;BaseLoad!$G177,T$8*BaseLoad!$AM$9,0))</f>
        <v>29.073853298455656</v>
      </c>
      <c r="U178" s="173">
        <f>IF($A$1="Peak","-",IF(BaseLoad!AA177&gt;BaseLoad!$G177,U$8*BaseLoad!$AM$9,0))</f>
        <v>79.953096570753061</v>
      </c>
      <c r="V178" s="173">
        <f t="shared" si="6"/>
        <v>530.5978226968158</v>
      </c>
      <c r="W178" s="173"/>
      <c r="X178" s="173"/>
      <c r="Y178" s="173"/>
    </row>
    <row r="179" spans="1:25" x14ac:dyDescent="0.2">
      <c r="A179" s="1">
        <f t="shared" si="7"/>
        <v>41680.473000000216</v>
      </c>
      <c r="B179" s="173">
        <f>IF($A$1="Peak","-",IF(BaseLoad!H178&gt;BaseLoad!$G178,B$8*BaseLoad!$AM$9,0))</f>
        <v>3.634231662306957</v>
      </c>
      <c r="C179" s="173">
        <f>IF($A$1="Peak","-",IF(BaseLoad!I178&gt;BaseLoad!$G178,C$8*BaseLoad!$AM$9,0))</f>
        <v>3.634231662306957</v>
      </c>
      <c r="D179" s="173">
        <f>IF($A$1="Peak","-",IF(BaseLoad!J178&gt;BaseLoad!$G178,D$8*BaseLoad!$AM$9,0))</f>
        <v>7.2684633246139141</v>
      </c>
      <c r="E179" s="173">
        <f>IF($A$1="Peak","-",IF(BaseLoad!K178&gt;BaseLoad!$G178,E$8*BaseLoad!$AM$9,0))</f>
        <v>14.536926649227828</v>
      </c>
      <c r="F179" s="173">
        <f>IF($A$1="Peak","-",IF(BaseLoad!L178&gt;BaseLoad!$G178,F$8*BaseLoad!$AM$9,0))</f>
        <v>14.536926649227828</v>
      </c>
      <c r="G179" s="173">
        <f>IF($A$1="Peak","-",IF(BaseLoad!M178&gt;BaseLoad!$G178,G$8*BaseLoad!$AM$9,0))</f>
        <v>29.073853298455656</v>
      </c>
      <c r="H179" s="173">
        <f>IF($A$1="Peak","-",IF(BaseLoad!N178&gt;BaseLoad!$G178,H$8*BaseLoad!$AM$9,0))</f>
        <v>29.073853298455656</v>
      </c>
      <c r="I179" s="173">
        <f>IF($A$1="Peak","-",IF(BaseLoad!O178&gt;BaseLoad!$G178,I$8*BaseLoad!$AM$9,0))</f>
        <v>29.073853298455656</v>
      </c>
      <c r="J179" s="173">
        <f>IF($A$1="Peak","-",IF(BaseLoad!P178&gt;BaseLoad!$G178,J$8*BaseLoad!$AM$9,0))</f>
        <v>29.073853298455656</v>
      </c>
      <c r="K179" s="173">
        <f>IF($A$1="Peak","-",IF(BaseLoad!Q178&gt;BaseLoad!$G178,K$8*BaseLoad!$AM$9,0))</f>
        <v>29.073853298455656</v>
      </c>
      <c r="L179" s="173">
        <f>IF($A$1="Peak","-",IF(BaseLoad!R178&gt;BaseLoad!$G178,L$8*BaseLoad!$AM$9,0))</f>
        <v>29.073853298455656</v>
      </c>
      <c r="M179" s="173">
        <f>IF($A$1="Peak","-",IF(BaseLoad!S178&gt;BaseLoad!$G178,M$8*BaseLoad!$AM$9,0))</f>
        <v>29.073853298455656</v>
      </c>
      <c r="N179" s="173">
        <f>IF($A$1="Peak","-",IF(BaseLoad!T178&gt;BaseLoad!$G178,N$8*BaseLoad!$AM$9,0))</f>
        <v>29.073853298455656</v>
      </c>
      <c r="O179" s="173">
        <f>IF($A$1="Peak","-",IF(BaseLoad!U178&gt;BaseLoad!$G178,O$8*BaseLoad!$AM$9,0))</f>
        <v>29.073853298455656</v>
      </c>
      <c r="P179" s="173">
        <f>IF($A$1="Peak","-",IF(BaseLoad!V178&gt;BaseLoad!$G178,P$8*BaseLoad!$AM$9,0))</f>
        <v>29.073853298455656</v>
      </c>
      <c r="Q179" s="173">
        <f>IF($A$1="Peak","-",IF(BaseLoad!W178&gt;BaseLoad!$G178,Q$8*BaseLoad!$AM$9,0))</f>
        <v>29.073853298455656</v>
      </c>
      <c r="R179" s="173">
        <f>IF($A$1="Peak","-",IF(BaseLoad!X178&gt;BaseLoad!$G178,R$8*BaseLoad!$AM$9,0))</f>
        <v>29.073853298455656</v>
      </c>
      <c r="S179" s="173">
        <f>IF($A$1="Peak","-",IF(BaseLoad!Y178&gt;BaseLoad!$G178,S$8*BaseLoad!$AM$9,0))</f>
        <v>29.073853298455656</v>
      </c>
      <c r="T179" s="173">
        <f>IF($A$1="Peak","-",IF(BaseLoad!Z178&gt;BaseLoad!$G178,T$8*BaseLoad!$AM$9,0))</f>
        <v>29.073853298455656</v>
      </c>
      <c r="U179" s="173">
        <f>IF($A$1="Peak","-",IF(BaseLoad!AA178&gt;BaseLoad!$G178,U$8*BaseLoad!$AM$9,0))</f>
        <v>79.953096570753061</v>
      </c>
      <c r="V179" s="173">
        <f t="shared" si="6"/>
        <v>530.5978226968158</v>
      </c>
      <c r="W179" s="173"/>
      <c r="X179" s="173"/>
      <c r="Y179" s="173"/>
    </row>
    <row r="180" spans="1:25" x14ac:dyDescent="0.2">
      <c r="A180" s="1">
        <f t="shared" si="7"/>
        <v>41710.890000000218</v>
      </c>
      <c r="B180" s="173">
        <f>IF($A$1="Peak","-",IF(BaseLoad!H179&gt;BaseLoad!$G179,B$8*BaseLoad!$AM$9,0))</f>
        <v>3.634231662306957</v>
      </c>
      <c r="C180" s="173">
        <f>IF($A$1="Peak","-",IF(BaseLoad!I179&gt;BaseLoad!$G179,C$8*BaseLoad!$AM$9,0))</f>
        <v>3.634231662306957</v>
      </c>
      <c r="D180" s="173">
        <f>IF($A$1="Peak","-",IF(BaseLoad!J179&gt;BaseLoad!$G179,D$8*BaseLoad!$AM$9,0))</f>
        <v>7.2684633246139141</v>
      </c>
      <c r="E180" s="173">
        <f>IF($A$1="Peak","-",IF(BaseLoad!K179&gt;BaseLoad!$G179,E$8*BaseLoad!$AM$9,0))</f>
        <v>14.536926649227828</v>
      </c>
      <c r="F180" s="173">
        <f>IF($A$1="Peak","-",IF(BaseLoad!L179&gt;BaseLoad!$G179,F$8*BaseLoad!$AM$9,0))</f>
        <v>14.536926649227828</v>
      </c>
      <c r="G180" s="173">
        <f>IF($A$1="Peak","-",IF(BaseLoad!M179&gt;BaseLoad!$G179,G$8*BaseLoad!$AM$9,0))</f>
        <v>29.073853298455656</v>
      </c>
      <c r="H180" s="173">
        <f>IF($A$1="Peak","-",IF(BaseLoad!N179&gt;BaseLoad!$G179,H$8*BaseLoad!$AM$9,0))</f>
        <v>29.073853298455656</v>
      </c>
      <c r="I180" s="173">
        <f>IF($A$1="Peak","-",IF(BaseLoad!O179&gt;BaseLoad!$G179,I$8*BaseLoad!$AM$9,0))</f>
        <v>29.073853298455656</v>
      </c>
      <c r="J180" s="173">
        <f>IF($A$1="Peak","-",IF(BaseLoad!P179&gt;BaseLoad!$G179,J$8*BaseLoad!$AM$9,0))</f>
        <v>29.073853298455656</v>
      </c>
      <c r="K180" s="173">
        <f>IF($A$1="Peak","-",IF(BaseLoad!Q179&gt;BaseLoad!$G179,K$8*BaseLoad!$AM$9,0))</f>
        <v>29.073853298455656</v>
      </c>
      <c r="L180" s="173">
        <f>IF($A$1="Peak","-",IF(BaseLoad!R179&gt;BaseLoad!$G179,L$8*BaseLoad!$AM$9,0))</f>
        <v>29.073853298455656</v>
      </c>
      <c r="M180" s="173">
        <f>IF($A$1="Peak","-",IF(BaseLoad!S179&gt;BaseLoad!$G179,M$8*BaseLoad!$AM$9,0))</f>
        <v>29.073853298455656</v>
      </c>
      <c r="N180" s="173">
        <f>IF($A$1="Peak","-",IF(BaseLoad!T179&gt;BaseLoad!$G179,N$8*BaseLoad!$AM$9,0))</f>
        <v>29.073853298455656</v>
      </c>
      <c r="O180" s="173">
        <f>IF($A$1="Peak","-",IF(BaseLoad!U179&gt;BaseLoad!$G179,O$8*BaseLoad!$AM$9,0))</f>
        <v>29.073853298455656</v>
      </c>
      <c r="P180" s="173">
        <f>IF($A$1="Peak","-",IF(BaseLoad!V179&gt;BaseLoad!$G179,P$8*BaseLoad!$AM$9,0))</f>
        <v>29.073853298455656</v>
      </c>
      <c r="Q180" s="173">
        <f>IF($A$1="Peak","-",IF(BaseLoad!W179&gt;BaseLoad!$G179,Q$8*BaseLoad!$AM$9,0))</f>
        <v>29.073853298455656</v>
      </c>
      <c r="R180" s="173">
        <f>IF($A$1="Peak","-",IF(BaseLoad!X179&gt;BaseLoad!$G179,R$8*BaseLoad!$AM$9,0))</f>
        <v>29.073853298455656</v>
      </c>
      <c r="S180" s="173">
        <f>IF($A$1="Peak","-",IF(BaseLoad!Y179&gt;BaseLoad!$G179,S$8*BaseLoad!$AM$9,0))</f>
        <v>29.073853298455656</v>
      </c>
      <c r="T180" s="173">
        <f>IF($A$1="Peak","-",IF(BaseLoad!Z179&gt;BaseLoad!$G179,T$8*BaseLoad!$AM$9,0))</f>
        <v>29.073853298455656</v>
      </c>
      <c r="U180" s="173">
        <f>IF($A$1="Peak","-",IF(BaseLoad!AA179&gt;BaseLoad!$G179,U$8*BaseLoad!$AM$9,0))</f>
        <v>79.953096570753061</v>
      </c>
      <c r="V180" s="173">
        <f t="shared" si="6"/>
        <v>530.5978226968158</v>
      </c>
      <c r="W180" s="173"/>
      <c r="X180" s="173"/>
      <c r="Y180" s="173"/>
    </row>
    <row r="181" spans="1:25" x14ac:dyDescent="0.2">
      <c r="A181" s="1">
        <f t="shared" si="7"/>
        <v>41741.307000000219</v>
      </c>
      <c r="B181" s="173">
        <f>IF($A$1="Peak","-",IF(BaseLoad!H180&gt;BaseLoad!$G180,B$8*BaseLoad!$AM$9,0))</f>
        <v>3.634231662306957</v>
      </c>
      <c r="C181" s="173">
        <f>IF($A$1="Peak","-",IF(BaseLoad!I180&gt;BaseLoad!$G180,C$8*BaseLoad!$AM$9,0))</f>
        <v>3.634231662306957</v>
      </c>
      <c r="D181" s="173">
        <f>IF($A$1="Peak","-",IF(BaseLoad!J180&gt;BaseLoad!$G180,D$8*BaseLoad!$AM$9,0))</f>
        <v>7.2684633246139141</v>
      </c>
      <c r="E181" s="173">
        <f>IF($A$1="Peak","-",IF(BaseLoad!K180&gt;BaseLoad!$G180,E$8*BaseLoad!$AM$9,0))</f>
        <v>14.536926649227828</v>
      </c>
      <c r="F181" s="173">
        <f>IF($A$1="Peak","-",IF(BaseLoad!L180&gt;BaseLoad!$G180,F$8*BaseLoad!$AM$9,0))</f>
        <v>14.536926649227828</v>
      </c>
      <c r="G181" s="173">
        <f>IF($A$1="Peak","-",IF(BaseLoad!M180&gt;BaseLoad!$G180,G$8*BaseLoad!$AM$9,0))</f>
        <v>29.073853298455656</v>
      </c>
      <c r="H181" s="173">
        <f>IF($A$1="Peak","-",IF(BaseLoad!N180&gt;BaseLoad!$G180,H$8*BaseLoad!$AM$9,0))</f>
        <v>29.073853298455656</v>
      </c>
      <c r="I181" s="173">
        <f>IF($A$1="Peak","-",IF(BaseLoad!O180&gt;BaseLoad!$G180,I$8*BaseLoad!$AM$9,0))</f>
        <v>29.073853298455656</v>
      </c>
      <c r="J181" s="173">
        <f>IF($A$1="Peak","-",IF(BaseLoad!P180&gt;BaseLoad!$G180,J$8*BaseLoad!$AM$9,0))</f>
        <v>29.073853298455656</v>
      </c>
      <c r="K181" s="173">
        <f>IF($A$1="Peak","-",IF(BaseLoad!Q180&gt;BaseLoad!$G180,K$8*BaseLoad!$AM$9,0))</f>
        <v>29.073853298455656</v>
      </c>
      <c r="L181" s="173">
        <f>IF($A$1="Peak","-",IF(BaseLoad!R180&gt;BaseLoad!$G180,L$8*BaseLoad!$AM$9,0))</f>
        <v>29.073853298455656</v>
      </c>
      <c r="M181" s="173">
        <f>IF($A$1="Peak","-",IF(BaseLoad!S180&gt;BaseLoad!$G180,M$8*BaseLoad!$AM$9,0))</f>
        <v>29.073853298455656</v>
      </c>
      <c r="N181" s="173">
        <f>IF($A$1="Peak","-",IF(BaseLoad!T180&gt;BaseLoad!$G180,N$8*BaseLoad!$AM$9,0))</f>
        <v>29.073853298455656</v>
      </c>
      <c r="O181" s="173">
        <f>IF($A$1="Peak","-",IF(BaseLoad!U180&gt;BaseLoad!$G180,O$8*BaseLoad!$AM$9,0))</f>
        <v>29.073853298455656</v>
      </c>
      <c r="P181" s="173">
        <f>IF($A$1="Peak","-",IF(BaseLoad!V180&gt;BaseLoad!$G180,P$8*BaseLoad!$AM$9,0))</f>
        <v>29.073853298455656</v>
      </c>
      <c r="Q181" s="173">
        <f>IF($A$1="Peak","-",IF(BaseLoad!W180&gt;BaseLoad!$G180,Q$8*BaseLoad!$AM$9,0))</f>
        <v>29.073853298455656</v>
      </c>
      <c r="R181" s="173">
        <f>IF($A$1="Peak","-",IF(BaseLoad!X180&gt;BaseLoad!$G180,R$8*BaseLoad!$AM$9,0))</f>
        <v>29.073853298455656</v>
      </c>
      <c r="S181" s="173">
        <f>IF($A$1="Peak","-",IF(BaseLoad!Y180&gt;BaseLoad!$G180,S$8*BaseLoad!$AM$9,0))</f>
        <v>29.073853298455656</v>
      </c>
      <c r="T181" s="173">
        <f>IF($A$1="Peak","-",IF(BaseLoad!Z180&gt;BaseLoad!$G180,T$8*BaseLoad!$AM$9,0))</f>
        <v>29.073853298455656</v>
      </c>
      <c r="U181" s="173">
        <f>IF($A$1="Peak","-",IF(BaseLoad!AA180&gt;BaseLoad!$G180,U$8*BaseLoad!$AM$9,0))</f>
        <v>79.953096570753061</v>
      </c>
      <c r="V181" s="173">
        <f t="shared" si="6"/>
        <v>530.5978226968158</v>
      </c>
      <c r="W181" s="173"/>
      <c r="X181" s="173"/>
      <c r="Y181" s="173"/>
    </row>
    <row r="182" spans="1:25" x14ac:dyDescent="0.2">
      <c r="A182" s="1">
        <f t="shared" si="7"/>
        <v>41771.72400000022</v>
      </c>
      <c r="B182" s="173">
        <f>IF($A$1="Peak","-",IF(BaseLoad!H181&gt;BaseLoad!$G181,B$8*BaseLoad!$AM$9,0))</f>
        <v>3.634231662306957</v>
      </c>
      <c r="C182" s="173">
        <f>IF($A$1="Peak","-",IF(BaseLoad!I181&gt;BaseLoad!$G181,C$8*BaseLoad!$AM$9,0))</f>
        <v>3.634231662306957</v>
      </c>
      <c r="D182" s="173">
        <f>IF($A$1="Peak","-",IF(BaseLoad!J181&gt;BaseLoad!$G181,D$8*BaseLoad!$AM$9,0))</f>
        <v>7.2684633246139141</v>
      </c>
      <c r="E182" s="173">
        <f>IF($A$1="Peak","-",IF(BaseLoad!K181&gt;BaseLoad!$G181,E$8*BaseLoad!$AM$9,0))</f>
        <v>14.536926649227828</v>
      </c>
      <c r="F182" s="173">
        <f>IF($A$1="Peak","-",IF(BaseLoad!L181&gt;BaseLoad!$G181,F$8*BaseLoad!$AM$9,0))</f>
        <v>14.536926649227828</v>
      </c>
      <c r="G182" s="173">
        <f>IF($A$1="Peak","-",IF(BaseLoad!M181&gt;BaseLoad!$G181,G$8*BaseLoad!$AM$9,0))</f>
        <v>29.073853298455656</v>
      </c>
      <c r="H182" s="173">
        <f>IF($A$1="Peak","-",IF(BaseLoad!N181&gt;BaseLoad!$G181,H$8*BaseLoad!$AM$9,0))</f>
        <v>29.073853298455656</v>
      </c>
      <c r="I182" s="173">
        <f>IF($A$1="Peak","-",IF(BaseLoad!O181&gt;BaseLoad!$G181,I$8*BaseLoad!$AM$9,0))</f>
        <v>29.073853298455656</v>
      </c>
      <c r="J182" s="173">
        <f>IF($A$1="Peak","-",IF(BaseLoad!P181&gt;BaseLoad!$G181,J$8*BaseLoad!$AM$9,0))</f>
        <v>29.073853298455656</v>
      </c>
      <c r="K182" s="173">
        <f>IF($A$1="Peak","-",IF(BaseLoad!Q181&gt;BaseLoad!$G181,K$8*BaseLoad!$AM$9,0))</f>
        <v>29.073853298455656</v>
      </c>
      <c r="L182" s="173">
        <f>IF($A$1="Peak","-",IF(BaseLoad!R181&gt;BaseLoad!$G181,L$8*BaseLoad!$AM$9,0))</f>
        <v>29.073853298455656</v>
      </c>
      <c r="M182" s="173">
        <f>IF($A$1="Peak","-",IF(BaseLoad!S181&gt;BaseLoad!$G181,M$8*BaseLoad!$AM$9,0))</f>
        <v>29.073853298455656</v>
      </c>
      <c r="N182" s="173">
        <f>IF($A$1="Peak","-",IF(BaseLoad!T181&gt;BaseLoad!$G181,N$8*BaseLoad!$AM$9,0))</f>
        <v>29.073853298455656</v>
      </c>
      <c r="O182" s="173">
        <f>IF($A$1="Peak","-",IF(BaseLoad!U181&gt;BaseLoad!$G181,O$8*BaseLoad!$AM$9,0))</f>
        <v>29.073853298455656</v>
      </c>
      <c r="P182" s="173">
        <f>IF($A$1="Peak","-",IF(BaseLoad!V181&gt;BaseLoad!$G181,P$8*BaseLoad!$AM$9,0))</f>
        <v>29.073853298455656</v>
      </c>
      <c r="Q182" s="173">
        <f>IF($A$1="Peak","-",IF(BaseLoad!W181&gt;BaseLoad!$G181,Q$8*BaseLoad!$AM$9,0))</f>
        <v>29.073853298455656</v>
      </c>
      <c r="R182" s="173">
        <f>IF($A$1="Peak","-",IF(BaseLoad!X181&gt;BaseLoad!$G181,R$8*BaseLoad!$AM$9,0))</f>
        <v>29.073853298455656</v>
      </c>
      <c r="S182" s="173">
        <f>IF($A$1="Peak","-",IF(BaseLoad!Y181&gt;BaseLoad!$G181,S$8*BaseLoad!$AM$9,0))</f>
        <v>29.073853298455656</v>
      </c>
      <c r="T182" s="173">
        <f>IF($A$1="Peak","-",IF(BaseLoad!Z181&gt;BaseLoad!$G181,T$8*BaseLoad!$AM$9,0))</f>
        <v>29.073853298455656</v>
      </c>
      <c r="U182" s="173">
        <f>IF($A$1="Peak","-",IF(BaseLoad!AA181&gt;BaseLoad!$G181,U$8*BaseLoad!$AM$9,0))</f>
        <v>79.953096570753061</v>
      </c>
      <c r="V182" s="173">
        <f t="shared" si="6"/>
        <v>530.5978226968158</v>
      </c>
      <c r="W182" s="173"/>
      <c r="X182" s="173"/>
      <c r="Y182" s="173"/>
    </row>
    <row r="183" spans="1:25" x14ac:dyDescent="0.2">
      <c r="A183" s="1">
        <f t="shared" si="7"/>
        <v>41802.141000000222</v>
      </c>
      <c r="B183" s="173">
        <f>IF($A$1="Peak","-",IF(BaseLoad!H182&gt;BaseLoad!$G182,B$8*BaseLoad!$AM$9,0))</f>
        <v>3.634231662306957</v>
      </c>
      <c r="C183" s="173">
        <f>IF($A$1="Peak","-",IF(BaseLoad!I182&gt;BaseLoad!$G182,C$8*BaseLoad!$AM$9,0))</f>
        <v>3.634231662306957</v>
      </c>
      <c r="D183" s="173">
        <f>IF($A$1="Peak","-",IF(BaseLoad!J182&gt;BaseLoad!$G182,D$8*BaseLoad!$AM$9,0))</f>
        <v>7.2684633246139141</v>
      </c>
      <c r="E183" s="173">
        <f>IF($A$1="Peak","-",IF(BaseLoad!K182&gt;BaseLoad!$G182,E$8*BaseLoad!$AM$9,0))</f>
        <v>14.536926649227828</v>
      </c>
      <c r="F183" s="173">
        <f>IF($A$1="Peak","-",IF(BaseLoad!L182&gt;BaseLoad!$G182,F$8*BaseLoad!$AM$9,0))</f>
        <v>14.536926649227828</v>
      </c>
      <c r="G183" s="173">
        <f>IF($A$1="Peak","-",IF(BaseLoad!M182&gt;BaseLoad!$G182,G$8*BaseLoad!$AM$9,0))</f>
        <v>29.073853298455656</v>
      </c>
      <c r="H183" s="173">
        <f>IF($A$1="Peak","-",IF(BaseLoad!N182&gt;BaseLoad!$G182,H$8*BaseLoad!$AM$9,0))</f>
        <v>29.073853298455656</v>
      </c>
      <c r="I183" s="173">
        <f>IF($A$1="Peak","-",IF(BaseLoad!O182&gt;BaseLoad!$G182,I$8*BaseLoad!$AM$9,0))</f>
        <v>29.073853298455656</v>
      </c>
      <c r="J183" s="173">
        <f>IF($A$1="Peak","-",IF(BaseLoad!P182&gt;BaseLoad!$G182,J$8*BaseLoad!$AM$9,0))</f>
        <v>29.073853298455656</v>
      </c>
      <c r="K183" s="173">
        <f>IF($A$1="Peak","-",IF(BaseLoad!Q182&gt;BaseLoad!$G182,K$8*BaseLoad!$AM$9,0))</f>
        <v>29.073853298455656</v>
      </c>
      <c r="L183" s="173">
        <f>IF($A$1="Peak","-",IF(BaseLoad!R182&gt;BaseLoad!$G182,L$8*BaseLoad!$AM$9,0))</f>
        <v>29.073853298455656</v>
      </c>
      <c r="M183" s="173">
        <f>IF($A$1="Peak","-",IF(BaseLoad!S182&gt;BaseLoad!$G182,M$8*BaseLoad!$AM$9,0))</f>
        <v>29.073853298455656</v>
      </c>
      <c r="N183" s="173">
        <f>IF($A$1="Peak","-",IF(BaseLoad!T182&gt;BaseLoad!$G182,N$8*BaseLoad!$AM$9,0))</f>
        <v>29.073853298455656</v>
      </c>
      <c r="O183" s="173">
        <f>IF($A$1="Peak","-",IF(BaseLoad!U182&gt;BaseLoad!$G182,O$8*BaseLoad!$AM$9,0))</f>
        <v>29.073853298455656</v>
      </c>
      <c r="P183" s="173">
        <f>IF($A$1="Peak","-",IF(BaseLoad!V182&gt;BaseLoad!$G182,P$8*BaseLoad!$AM$9,0))</f>
        <v>29.073853298455656</v>
      </c>
      <c r="Q183" s="173">
        <f>IF($A$1="Peak","-",IF(BaseLoad!W182&gt;BaseLoad!$G182,Q$8*BaseLoad!$AM$9,0))</f>
        <v>29.073853298455656</v>
      </c>
      <c r="R183" s="173">
        <f>IF($A$1="Peak","-",IF(BaseLoad!X182&gt;BaseLoad!$G182,R$8*BaseLoad!$AM$9,0))</f>
        <v>29.073853298455656</v>
      </c>
      <c r="S183" s="173">
        <f>IF($A$1="Peak","-",IF(BaseLoad!Y182&gt;BaseLoad!$G182,S$8*BaseLoad!$AM$9,0))</f>
        <v>29.073853298455656</v>
      </c>
      <c r="T183" s="173">
        <f>IF($A$1="Peak","-",IF(BaseLoad!Z182&gt;BaseLoad!$G182,T$8*BaseLoad!$AM$9,0))</f>
        <v>29.073853298455656</v>
      </c>
      <c r="U183" s="173">
        <f>IF($A$1="Peak","-",IF(BaseLoad!AA182&gt;BaseLoad!$G182,U$8*BaseLoad!$AM$9,0))</f>
        <v>79.953096570753061</v>
      </c>
      <c r="V183" s="173">
        <f t="shared" si="6"/>
        <v>530.5978226968158</v>
      </c>
      <c r="W183" s="173"/>
      <c r="X183" s="173"/>
      <c r="Y183" s="173"/>
    </row>
    <row r="184" spans="1:25" x14ac:dyDescent="0.2">
      <c r="A184" s="1">
        <f t="shared" si="7"/>
        <v>41832.558000000223</v>
      </c>
      <c r="B184" s="173">
        <f>IF($A$1="Peak","-",IF(BaseLoad!H183&gt;BaseLoad!$G183,B$8*BaseLoad!$AM$9,0))</f>
        <v>3.634231662306957</v>
      </c>
      <c r="C184" s="173">
        <f>IF($A$1="Peak","-",IF(BaseLoad!I183&gt;BaseLoad!$G183,C$8*BaseLoad!$AM$9,0))</f>
        <v>3.634231662306957</v>
      </c>
      <c r="D184" s="173">
        <f>IF($A$1="Peak","-",IF(BaseLoad!J183&gt;BaseLoad!$G183,D$8*BaseLoad!$AM$9,0))</f>
        <v>7.2684633246139141</v>
      </c>
      <c r="E184" s="173">
        <f>IF($A$1="Peak","-",IF(BaseLoad!K183&gt;BaseLoad!$G183,E$8*BaseLoad!$AM$9,0))</f>
        <v>14.536926649227828</v>
      </c>
      <c r="F184" s="173">
        <f>IF($A$1="Peak","-",IF(BaseLoad!L183&gt;BaseLoad!$G183,F$8*BaseLoad!$AM$9,0))</f>
        <v>14.536926649227828</v>
      </c>
      <c r="G184" s="173">
        <f>IF($A$1="Peak","-",IF(BaseLoad!M183&gt;BaseLoad!$G183,G$8*BaseLoad!$AM$9,0))</f>
        <v>29.073853298455656</v>
      </c>
      <c r="H184" s="173">
        <f>IF($A$1="Peak","-",IF(BaseLoad!N183&gt;BaseLoad!$G183,H$8*BaseLoad!$AM$9,0))</f>
        <v>29.073853298455656</v>
      </c>
      <c r="I184" s="173">
        <f>IF($A$1="Peak","-",IF(BaseLoad!O183&gt;BaseLoad!$G183,I$8*BaseLoad!$AM$9,0))</f>
        <v>29.073853298455656</v>
      </c>
      <c r="J184" s="173">
        <f>IF($A$1="Peak","-",IF(BaseLoad!P183&gt;BaseLoad!$G183,J$8*BaseLoad!$AM$9,0))</f>
        <v>29.073853298455656</v>
      </c>
      <c r="K184" s="173">
        <f>IF($A$1="Peak","-",IF(BaseLoad!Q183&gt;BaseLoad!$G183,K$8*BaseLoad!$AM$9,0))</f>
        <v>29.073853298455656</v>
      </c>
      <c r="L184" s="173">
        <f>IF($A$1="Peak","-",IF(BaseLoad!R183&gt;BaseLoad!$G183,L$8*BaseLoad!$AM$9,0))</f>
        <v>29.073853298455656</v>
      </c>
      <c r="M184" s="173">
        <f>IF($A$1="Peak","-",IF(BaseLoad!S183&gt;BaseLoad!$G183,M$8*BaseLoad!$AM$9,0))</f>
        <v>29.073853298455656</v>
      </c>
      <c r="N184" s="173">
        <f>IF($A$1="Peak","-",IF(BaseLoad!T183&gt;BaseLoad!$G183,N$8*BaseLoad!$AM$9,0))</f>
        <v>29.073853298455656</v>
      </c>
      <c r="O184" s="173">
        <f>IF($A$1="Peak","-",IF(BaseLoad!U183&gt;BaseLoad!$G183,O$8*BaseLoad!$AM$9,0))</f>
        <v>29.073853298455656</v>
      </c>
      <c r="P184" s="173">
        <f>IF($A$1="Peak","-",IF(BaseLoad!V183&gt;BaseLoad!$G183,P$8*BaseLoad!$AM$9,0))</f>
        <v>29.073853298455656</v>
      </c>
      <c r="Q184" s="173">
        <f>IF($A$1="Peak","-",IF(BaseLoad!W183&gt;BaseLoad!$G183,Q$8*BaseLoad!$AM$9,0))</f>
        <v>29.073853298455656</v>
      </c>
      <c r="R184" s="173">
        <f>IF($A$1="Peak","-",IF(BaseLoad!X183&gt;BaseLoad!$G183,R$8*BaseLoad!$AM$9,0))</f>
        <v>29.073853298455656</v>
      </c>
      <c r="S184" s="173">
        <f>IF($A$1="Peak","-",IF(BaseLoad!Y183&gt;BaseLoad!$G183,S$8*BaseLoad!$AM$9,0))</f>
        <v>29.073853298455656</v>
      </c>
      <c r="T184" s="173">
        <f>IF($A$1="Peak","-",IF(BaseLoad!Z183&gt;BaseLoad!$G183,T$8*BaseLoad!$AM$9,0))</f>
        <v>29.073853298455656</v>
      </c>
      <c r="U184" s="173">
        <f>IF($A$1="Peak","-",IF(BaseLoad!AA183&gt;BaseLoad!$G183,U$8*BaseLoad!$AM$9,0))</f>
        <v>79.953096570753061</v>
      </c>
      <c r="V184" s="173">
        <f t="shared" si="6"/>
        <v>530.5978226968158</v>
      </c>
      <c r="W184" s="173"/>
      <c r="X184" s="173"/>
      <c r="Y184" s="173"/>
    </row>
    <row r="185" spans="1:25" x14ac:dyDescent="0.2">
      <c r="A185" s="1">
        <f t="shared" si="7"/>
        <v>41862.975000000224</v>
      </c>
      <c r="B185" s="173">
        <f>IF($A$1="Peak","-",IF(BaseLoad!H184&gt;BaseLoad!$G184,B$8*BaseLoad!$AM$9,0))</f>
        <v>3.634231662306957</v>
      </c>
      <c r="C185" s="173">
        <f>IF($A$1="Peak","-",IF(BaseLoad!I184&gt;BaseLoad!$G184,C$8*BaseLoad!$AM$9,0))</f>
        <v>3.634231662306957</v>
      </c>
      <c r="D185" s="173">
        <f>IF($A$1="Peak","-",IF(BaseLoad!J184&gt;BaseLoad!$G184,D$8*BaseLoad!$AM$9,0))</f>
        <v>7.2684633246139141</v>
      </c>
      <c r="E185" s="173">
        <f>IF($A$1="Peak","-",IF(BaseLoad!K184&gt;BaseLoad!$G184,E$8*BaseLoad!$AM$9,0))</f>
        <v>14.536926649227828</v>
      </c>
      <c r="F185" s="173">
        <f>IF($A$1="Peak","-",IF(BaseLoad!L184&gt;BaseLoad!$G184,F$8*BaseLoad!$AM$9,0))</f>
        <v>14.536926649227828</v>
      </c>
      <c r="G185" s="173">
        <f>IF($A$1="Peak","-",IF(BaseLoad!M184&gt;BaseLoad!$G184,G$8*BaseLoad!$AM$9,0))</f>
        <v>29.073853298455656</v>
      </c>
      <c r="H185" s="173">
        <f>IF($A$1="Peak","-",IF(BaseLoad!N184&gt;BaseLoad!$G184,H$8*BaseLoad!$AM$9,0))</f>
        <v>29.073853298455656</v>
      </c>
      <c r="I185" s="173">
        <f>IF($A$1="Peak","-",IF(BaseLoad!O184&gt;BaseLoad!$G184,I$8*BaseLoad!$AM$9,0))</f>
        <v>29.073853298455656</v>
      </c>
      <c r="J185" s="173">
        <f>IF($A$1="Peak","-",IF(BaseLoad!P184&gt;BaseLoad!$G184,J$8*BaseLoad!$AM$9,0))</f>
        <v>29.073853298455656</v>
      </c>
      <c r="K185" s="173">
        <f>IF($A$1="Peak","-",IF(BaseLoad!Q184&gt;BaseLoad!$G184,K$8*BaseLoad!$AM$9,0))</f>
        <v>29.073853298455656</v>
      </c>
      <c r="L185" s="173">
        <f>IF($A$1="Peak","-",IF(BaseLoad!R184&gt;BaseLoad!$G184,L$8*BaseLoad!$AM$9,0))</f>
        <v>29.073853298455656</v>
      </c>
      <c r="M185" s="173">
        <f>IF($A$1="Peak","-",IF(BaseLoad!S184&gt;BaseLoad!$G184,M$8*BaseLoad!$AM$9,0))</f>
        <v>29.073853298455656</v>
      </c>
      <c r="N185" s="173">
        <f>IF($A$1="Peak","-",IF(BaseLoad!T184&gt;BaseLoad!$G184,N$8*BaseLoad!$AM$9,0))</f>
        <v>29.073853298455656</v>
      </c>
      <c r="O185" s="173">
        <f>IF($A$1="Peak","-",IF(BaseLoad!U184&gt;BaseLoad!$G184,O$8*BaseLoad!$AM$9,0))</f>
        <v>29.073853298455656</v>
      </c>
      <c r="P185" s="173">
        <f>IF($A$1="Peak","-",IF(BaseLoad!V184&gt;BaseLoad!$G184,P$8*BaseLoad!$AM$9,0))</f>
        <v>29.073853298455656</v>
      </c>
      <c r="Q185" s="173">
        <f>IF($A$1="Peak","-",IF(BaseLoad!W184&gt;BaseLoad!$G184,Q$8*BaseLoad!$AM$9,0))</f>
        <v>29.073853298455656</v>
      </c>
      <c r="R185" s="173">
        <f>IF($A$1="Peak","-",IF(BaseLoad!X184&gt;BaseLoad!$G184,R$8*BaseLoad!$AM$9,0))</f>
        <v>29.073853298455656</v>
      </c>
      <c r="S185" s="173">
        <f>IF($A$1="Peak","-",IF(BaseLoad!Y184&gt;BaseLoad!$G184,S$8*BaseLoad!$AM$9,0))</f>
        <v>29.073853298455656</v>
      </c>
      <c r="T185" s="173">
        <f>IF($A$1="Peak","-",IF(BaseLoad!Z184&gt;BaseLoad!$G184,T$8*BaseLoad!$AM$9,0))</f>
        <v>29.073853298455656</v>
      </c>
      <c r="U185" s="173">
        <f>IF($A$1="Peak","-",IF(BaseLoad!AA184&gt;BaseLoad!$G184,U$8*BaseLoad!$AM$9,0))</f>
        <v>79.953096570753061</v>
      </c>
      <c r="V185" s="173">
        <f t="shared" si="6"/>
        <v>530.5978226968158</v>
      </c>
      <c r="W185" s="173"/>
      <c r="X185" s="173"/>
      <c r="Y185" s="173"/>
    </row>
    <row r="186" spans="1:25" x14ac:dyDescent="0.2">
      <c r="A186" s="1">
        <f t="shared" si="7"/>
        <v>41893.392000000225</v>
      </c>
      <c r="B186" s="173">
        <f>IF($A$1="Peak","-",IF(BaseLoad!H185&gt;BaseLoad!$G185,B$8*BaseLoad!$AM$9,0))</f>
        <v>3.634231662306957</v>
      </c>
      <c r="C186" s="173">
        <f>IF($A$1="Peak","-",IF(BaseLoad!I185&gt;BaseLoad!$G185,C$8*BaseLoad!$AM$9,0))</f>
        <v>3.634231662306957</v>
      </c>
      <c r="D186" s="173">
        <f>IF($A$1="Peak","-",IF(BaseLoad!J185&gt;BaseLoad!$G185,D$8*BaseLoad!$AM$9,0))</f>
        <v>7.2684633246139141</v>
      </c>
      <c r="E186" s="173">
        <f>IF($A$1="Peak","-",IF(BaseLoad!K185&gt;BaseLoad!$G185,E$8*BaseLoad!$AM$9,0))</f>
        <v>14.536926649227828</v>
      </c>
      <c r="F186" s="173">
        <f>IF($A$1="Peak","-",IF(BaseLoad!L185&gt;BaseLoad!$G185,F$8*BaseLoad!$AM$9,0))</f>
        <v>14.536926649227828</v>
      </c>
      <c r="G186" s="173">
        <f>IF($A$1="Peak","-",IF(BaseLoad!M185&gt;BaseLoad!$G185,G$8*BaseLoad!$AM$9,0))</f>
        <v>29.073853298455656</v>
      </c>
      <c r="H186" s="173">
        <f>IF($A$1="Peak","-",IF(BaseLoad!N185&gt;BaseLoad!$G185,H$8*BaseLoad!$AM$9,0))</f>
        <v>29.073853298455656</v>
      </c>
      <c r="I186" s="173">
        <f>IF($A$1="Peak","-",IF(BaseLoad!O185&gt;BaseLoad!$G185,I$8*BaseLoad!$AM$9,0))</f>
        <v>29.073853298455656</v>
      </c>
      <c r="J186" s="173">
        <f>IF($A$1="Peak","-",IF(BaseLoad!P185&gt;BaseLoad!$G185,J$8*BaseLoad!$AM$9,0))</f>
        <v>29.073853298455656</v>
      </c>
      <c r="K186" s="173">
        <f>IF($A$1="Peak","-",IF(BaseLoad!Q185&gt;BaseLoad!$G185,K$8*BaseLoad!$AM$9,0))</f>
        <v>29.073853298455656</v>
      </c>
      <c r="L186" s="173">
        <f>IF($A$1="Peak","-",IF(BaseLoad!R185&gt;BaseLoad!$G185,L$8*BaseLoad!$AM$9,0))</f>
        <v>29.073853298455656</v>
      </c>
      <c r="M186" s="173">
        <f>IF($A$1="Peak","-",IF(BaseLoad!S185&gt;BaseLoad!$G185,M$8*BaseLoad!$AM$9,0))</f>
        <v>29.073853298455656</v>
      </c>
      <c r="N186" s="173">
        <f>IF($A$1="Peak","-",IF(BaseLoad!T185&gt;BaseLoad!$G185,N$8*BaseLoad!$AM$9,0))</f>
        <v>29.073853298455656</v>
      </c>
      <c r="O186" s="173">
        <f>IF($A$1="Peak","-",IF(BaseLoad!U185&gt;BaseLoad!$G185,O$8*BaseLoad!$AM$9,0))</f>
        <v>29.073853298455656</v>
      </c>
      <c r="P186" s="173">
        <f>IF($A$1="Peak","-",IF(BaseLoad!V185&gt;BaseLoad!$G185,P$8*BaseLoad!$AM$9,0))</f>
        <v>29.073853298455656</v>
      </c>
      <c r="Q186" s="173">
        <f>IF($A$1="Peak","-",IF(BaseLoad!W185&gt;BaseLoad!$G185,Q$8*BaseLoad!$AM$9,0))</f>
        <v>29.073853298455656</v>
      </c>
      <c r="R186" s="173">
        <f>IF($A$1="Peak","-",IF(BaseLoad!X185&gt;BaseLoad!$G185,R$8*BaseLoad!$AM$9,0))</f>
        <v>29.073853298455656</v>
      </c>
      <c r="S186" s="173">
        <f>IF($A$1="Peak","-",IF(BaseLoad!Y185&gt;BaseLoad!$G185,S$8*BaseLoad!$AM$9,0))</f>
        <v>29.073853298455656</v>
      </c>
      <c r="T186" s="173">
        <f>IF($A$1="Peak","-",IF(BaseLoad!Z185&gt;BaseLoad!$G185,T$8*BaseLoad!$AM$9,0))</f>
        <v>29.073853298455656</v>
      </c>
      <c r="U186" s="173">
        <f>IF($A$1="Peak","-",IF(BaseLoad!AA185&gt;BaseLoad!$G185,U$8*BaseLoad!$AM$9,0))</f>
        <v>79.953096570753061</v>
      </c>
      <c r="V186" s="173">
        <f t="shared" si="6"/>
        <v>530.5978226968158</v>
      </c>
      <c r="W186" s="173"/>
      <c r="X186" s="173"/>
      <c r="Y186" s="173"/>
    </row>
    <row r="187" spans="1:25" x14ac:dyDescent="0.2">
      <c r="A187" s="1">
        <f t="shared" si="7"/>
        <v>41923.809000000227</v>
      </c>
      <c r="B187" s="173">
        <f>IF($A$1="Peak","-",IF(BaseLoad!H186&gt;BaseLoad!$G186,B$8*BaseLoad!$AM$9,0))</f>
        <v>3.634231662306957</v>
      </c>
      <c r="C187" s="173">
        <f>IF($A$1="Peak","-",IF(BaseLoad!I186&gt;BaseLoad!$G186,C$8*BaseLoad!$AM$9,0))</f>
        <v>3.634231662306957</v>
      </c>
      <c r="D187" s="173">
        <f>IF($A$1="Peak","-",IF(BaseLoad!J186&gt;BaseLoad!$G186,D$8*BaseLoad!$AM$9,0))</f>
        <v>7.2684633246139141</v>
      </c>
      <c r="E187" s="173">
        <f>IF($A$1="Peak","-",IF(BaseLoad!K186&gt;BaseLoad!$G186,E$8*BaseLoad!$AM$9,0))</f>
        <v>14.536926649227828</v>
      </c>
      <c r="F187" s="173">
        <f>IF($A$1="Peak","-",IF(BaseLoad!L186&gt;BaseLoad!$G186,F$8*BaseLoad!$AM$9,0))</f>
        <v>14.536926649227828</v>
      </c>
      <c r="G187" s="173">
        <f>IF($A$1="Peak","-",IF(BaseLoad!M186&gt;BaseLoad!$G186,G$8*BaseLoad!$AM$9,0))</f>
        <v>29.073853298455656</v>
      </c>
      <c r="H187" s="173">
        <f>IF($A$1="Peak","-",IF(BaseLoad!N186&gt;BaseLoad!$G186,H$8*BaseLoad!$AM$9,0))</f>
        <v>29.073853298455656</v>
      </c>
      <c r="I187" s="173">
        <f>IF($A$1="Peak","-",IF(BaseLoad!O186&gt;BaseLoad!$G186,I$8*BaseLoad!$AM$9,0))</f>
        <v>29.073853298455656</v>
      </c>
      <c r="J187" s="173">
        <f>IF($A$1="Peak","-",IF(BaseLoad!P186&gt;BaseLoad!$G186,J$8*BaseLoad!$AM$9,0))</f>
        <v>29.073853298455656</v>
      </c>
      <c r="K187" s="173">
        <f>IF($A$1="Peak","-",IF(BaseLoad!Q186&gt;BaseLoad!$G186,K$8*BaseLoad!$AM$9,0))</f>
        <v>29.073853298455656</v>
      </c>
      <c r="L187" s="173">
        <f>IF($A$1="Peak","-",IF(BaseLoad!R186&gt;BaseLoad!$G186,L$8*BaseLoad!$AM$9,0))</f>
        <v>29.073853298455656</v>
      </c>
      <c r="M187" s="173">
        <f>IF($A$1="Peak","-",IF(BaseLoad!S186&gt;BaseLoad!$G186,M$8*BaseLoad!$AM$9,0))</f>
        <v>29.073853298455656</v>
      </c>
      <c r="N187" s="173">
        <f>IF($A$1="Peak","-",IF(BaseLoad!T186&gt;BaseLoad!$G186,N$8*BaseLoad!$AM$9,0))</f>
        <v>29.073853298455656</v>
      </c>
      <c r="O187" s="173">
        <f>IF($A$1="Peak","-",IF(BaseLoad!U186&gt;BaseLoad!$G186,O$8*BaseLoad!$AM$9,0))</f>
        <v>29.073853298455656</v>
      </c>
      <c r="P187" s="173">
        <f>IF($A$1="Peak","-",IF(BaseLoad!V186&gt;BaseLoad!$G186,P$8*BaseLoad!$AM$9,0))</f>
        <v>29.073853298455656</v>
      </c>
      <c r="Q187" s="173">
        <f>IF($A$1="Peak","-",IF(BaseLoad!W186&gt;BaseLoad!$G186,Q$8*BaseLoad!$AM$9,0))</f>
        <v>29.073853298455656</v>
      </c>
      <c r="R187" s="173">
        <f>IF($A$1="Peak","-",IF(BaseLoad!X186&gt;BaseLoad!$G186,R$8*BaseLoad!$AM$9,0))</f>
        <v>29.073853298455656</v>
      </c>
      <c r="S187" s="173">
        <f>IF($A$1="Peak","-",IF(BaseLoad!Y186&gt;BaseLoad!$G186,S$8*BaseLoad!$AM$9,0))</f>
        <v>29.073853298455656</v>
      </c>
      <c r="T187" s="173">
        <f>IF($A$1="Peak","-",IF(BaseLoad!Z186&gt;BaseLoad!$G186,T$8*BaseLoad!$AM$9,0))</f>
        <v>29.073853298455656</v>
      </c>
      <c r="U187" s="173">
        <f>IF($A$1="Peak","-",IF(BaseLoad!AA186&gt;BaseLoad!$G186,U$8*BaseLoad!$AM$9,0))</f>
        <v>79.953096570753061</v>
      </c>
      <c r="V187" s="173">
        <f t="shared" si="6"/>
        <v>530.5978226968158</v>
      </c>
      <c r="W187" s="173"/>
      <c r="X187" s="173"/>
      <c r="Y187" s="173"/>
    </row>
    <row r="188" spans="1:25" x14ac:dyDescent="0.2">
      <c r="A188" s="1">
        <f t="shared" si="7"/>
        <v>41954.226000000228</v>
      </c>
      <c r="B188" s="173">
        <f>IF($A$1="Peak","-",IF(BaseLoad!H187&gt;BaseLoad!$G187,B$8*BaseLoad!$AM$9,0))</f>
        <v>3.634231662306957</v>
      </c>
      <c r="C188" s="173">
        <f>IF($A$1="Peak","-",IF(BaseLoad!I187&gt;BaseLoad!$G187,C$8*BaseLoad!$AM$9,0))</f>
        <v>3.634231662306957</v>
      </c>
      <c r="D188" s="173">
        <f>IF($A$1="Peak","-",IF(BaseLoad!J187&gt;BaseLoad!$G187,D$8*BaseLoad!$AM$9,0))</f>
        <v>7.2684633246139141</v>
      </c>
      <c r="E188" s="173">
        <f>IF($A$1="Peak","-",IF(BaseLoad!K187&gt;BaseLoad!$G187,E$8*BaseLoad!$AM$9,0))</f>
        <v>14.536926649227828</v>
      </c>
      <c r="F188" s="173">
        <f>IF($A$1="Peak","-",IF(BaseLoad!L187&gt;BaseLoad!$G187,F$8*BaseLoad!$AM$9,0))</f>
        <v>14.536926649227828</v>
      </c>
      <c r="G188" s="173">
        <f>IF($A$1="Peak","-",IF(BaseLoad!M187&gt;BaseLoad!$G187,G$8*BaseLoad!$AM$9,0))</f>
        <v>29.073853298455656</v>
      </c>
      <c r="H188" s="173">
        <f>IF($A$1="Peak","-",IF(BaseLoad!N187&gt;BaseLoad!$G187,H$8*BaseLoad!$AM$9,0))</f>
        <v>29.073853298455656</v>
      </c>
      <c r="I188" s="173">
        <f>IF($A$1="Peak","-",IF(BaseLoad!O187&gt;BaseLoad!$G187,I$8*BaseLoad!$AM$9,0))</f>
        <v>29.073853298455656</v>
      </c>
      <c r="J188" s="173">
        <f>IF($A$1="Peak","-",IF(BaseLoad!P187&gt;BaseLoad!$G187,J$8*BaseLoad!$AM$9,0))</f>
        <v>29.073853298455656</v>
      </c>
      <c r="K188" s="173">
        <f>IF($A$1="Peak","-",IF(BaseLoad!Q187&gt;BaseLoad!$G187,K$8*BaseLoad!$AM$9,0))</f>
        <v>29.073853298455656</v>
      </c>
      <c r="L188" s="173">
        <f>IF($A$1="Peak","-",IF(BaseLoad!R187&gt;BaseLoad!$G187,L$8*BaseLoad!$AM$9,0))</f>
        <v>29.073853298455656</v>
      </c>
      <c r="M188" s="173">
        <f>IF($A$1="Peak","-",IF(BaseLoad!S187&gt;BaseLoad!$G187,M$8*BaseLoad!$AM$9,0))</f>
        <v>29.073853298455656</v>
      </c>
      <c r="N188" s="173">
        <f>IF($A$1="Peak","-",IF(BaseLoad!T187&gt;BaseLoad!$G187,N$8*BaseLoad!$AM$9,0))</f>
        <v>29.073853298455656</v>
      </c>
      <c r="O188" s="173">
        <f>IF($A$1="Peak","-",IF(BaseLoad!U187&gt;BaseLoad!$G187,O$8*BaseLoad!$AM$9,0))</f>
        <v>29.073853298455656</v>
      </c>
      <c r="P188" s="173">
        <f>IF($A$1="Peak","-",IF(BaseLoad!V187&gt;BaseLoad!$G187,P$8*BaseLoad!$AM$9,0))</f>
        <v>29.073853298455656</v>
      </c>
      <c r="Q188" s="173">
        <f>IF($A$1="Peak","-",IF(BaseLoad!W187&gt;BaseLoad!$G187,Q$8*BaseLoad!$AM$9,0))</f>
        <v>29.073853298455656</v>
      </c>
      <c r="R188" s="173">
        <f>IF($A$1="Peak","-",IF(BaseLoad!X187&gt;BaseLoad!$G187,R$8*BaseLoad!$AM$9,0))</f>
        <v>29.073853298455656</v>
      </c>
      <c r="S188" s="173">
        <f>IF($A$1="Peak","-",IF(BaseLoad!Y187&gt;BaseLoad!$G187,S$8*BaseLoad!$AM$9,0))</f>
        <v>29.073853298455656</v>
      </c>
      <c r="T188" s="173">
        <f>IF($A$1="Peak","-",IF(BaseLoad!Z187&gt;BaseLoad!$G187,T$8*BaseLoad!$AM$9,0))</f>
        <v>29.073853298455656</v>
      </c>
      <c r="U188" s="173">
        <f>IF($A$1="Peak","-",IF(BaseLoad!AA187&gt;BaseLoad!$G187,U$8*BaseLoad!$AM$9,0))</f>
        <v>79.953096570753061</v>
      </c>
      <c r="V188" s="173">
        <f t="shared" si="6"/>
        <v>530.5978226968158</v>
      </c>
      <c r="W188" s="173"/>
      <c r="X188" s="173"/>
      <c r="Y188" s="173"/>
    </row>
    <row r="189" spans="1:25" x14ac:dyDescent="0.2">
      <c r="A189" s="1">
        <f t="shared" si="7"/>
        <v>41984.643000000229</v>
      </c>
      <c r="B189" s="173">
        <f>IF($A$1="Peak","-",IF(BaseLoad!H188&gt;BaseLoad!$G188,B$8*BaseLoad!$AM$9,0))</f>
        <v>3.634231662306957</v>
      </c>
      <c r="C189" s="173">
        <f>IF($A$1="Peak","-",IF(BaseLoad!I188&gt;BaseLoad!$G188,C$8*BaseLoad!$AM$9,0))</f>
        <v>3.634231662306957</v>
      </c>
      <c r="D189" s="173">
        <f>IF($A$1="Peak","-",IF(BaseLoad!J188&gt;BaseLoad!$G188,D$8*BaseLoad!$AM$9,0))</f>
        <v>7.2684633246139141</v>
      </c>
      <c r="E189" s="173">
        <f>IF($A$1="Peak","-",IF(BaseLoad!K188&gt;BaseLoad!$G188,E$8*BaseLoad!$AM$9,0))</f>
        <v>14.536926649227828</v>
      </c>
      <c r="F189" s="173">
        <f>IF($A$1="Peak","-",IF(BaseLoad!L188&gt;BaseLoad!$G188,F$8*BaseLoad!$AM$9,0))</f>
        <v>14.536926649227828</v>
      </c>
      <c r="G189" s="173">
        <f>IF($A$1="Peak","-",IF(BaseLoad!M188&gt;BaseLoad!$G188,G$8*BaseLoad!$AM$9,0))</f>
        <v>29.073853298455656</v>
      </c>
      <c r="H189" s="173">
        <f>IF($A$1="Peak","-",IF(BaseLoad!N188&gt;BaseLoad!$G188,H$8*BaseLoad!$AM$9,0))</f>
        <v>29.073853298455656</v>
      </c>
      <c r="I189" s="173">
        <f>IF($A$1="Peak","-",IF(BaseLoad!O188&gt;BaseLoad!$G188,I$8*BaseLoad!$AM$9,0))</f>
        <v>29.073853298455656</v>
      </c>
      <c r="J189" s="173">
        <f>IF($A$1="Peak","-",IF(BaseLoad!P188&gt;BaseLoad!$G188,J$8*BaseLoad!$AM$9,0))</f>
        <v>29.073853298455656</v>
      </c>
      <c r="K189" s="173">
        <f>IF($A$1="Peak","-",IF(BaseLoad!Q188&gt;BaseLoad!$G188,K$8*BaseLoad!$AM$9,0))</f>
        <v>29.073853298455656</v>
      </c>
      <c r="L189" s="173">
        <f>IF($A$1="Peak","-",IF(BaseLoad!R188&gt;BaseLoad!$G188,L$8*BaseLoad!$AM$9,0))</f>
        <v>29.073853298455656</v>
      </c>
      <c r="M189" s="173">
        <f>IF($A$1="Peak","-",IF(BaseLoad!S188&gt;BaseLoad!$G188,M$8*BaseLoad!$AM$9,0))</f>
        <v>29.073853298455656</v>
      </c>
      <c r="N189" s="173">
        <f>IF($A$1="Peak","-",IF(BaseLoad!T188&gt;BaseLoad!$G188,N$8*BaseLoad!$AM$9,0))</f>
        <v>29.073853298455656</v>
      </c>
      <c r="O189" s="173">
        <f>IF($A$1="Peak","-",IF(BaseLoad!U188&gt;BaseLoad!$G188,O$8*BaseLoad!$AM$9,0))</f>
        <v>29.073853298455656</v>
      </c>
      <c r="P189" s="173">
        <f>IF($A$1="Peak","-",IF(BaseLoad!V188&gt;BaseLoad!$G188,P$8*BaseLoad!$AM$9,0))</f>
        <v>29.073853298455656</v>
      </c>
      <c r="Q189" s="173">
        <f>IF($A$1="Peak","-",IF(BaseLoad!W188&gt;BaseLoad!$G188,Q$8*BaseLoad!$AM$9,0))</f>
        <v>29.073853298455656</v>
      </c>
      <c r="R189" s="173">
        <f>IF($A$1="Peak","-",IF(BaseLoad!X188&gt;BaseLoad!$G188,R$8*BaseLoad!$AM$9,0))</f>
        <v>29.073853298455656</v>
      </c>
      <c r="S189" s="173">
        <f>IF($A$1="Peak","-",IF(BaseLoad!Y188&gt;BaseLoad!$G188,S$8*BaseLoad!$AM$9,0))</f>
        <v>29.073853298455656</v>
      </c>
      <c r="T189" s="173">
        <f>IF($A$1="Peak","-",IF(BaseLoad!Z188&gt;BaseLoad!$G188,T$8*BaseLoad!$AM$9,0))</f>
        <v>29.073853298455656</v>
      </c>
      <c r="U189" s="173">
        <f>IF($A$1="Peak","-",IF(BaseLoad!AA188&gt;BaseLoad!$G188,U$8*BaseLoad!$AM$9,0))</f>
        <v>79.953096570753061</v>
      </c>
      <c r="V189" s="173">
        <f t="shared" si="6"/>
        <v>530.5978226968158</v>
      </c>
      <c r="W189" s="173"/>
      <c r="X189" s="173"/>
      <c r="Y189" s="173">
        <f>SUM(V178:V189)</f>
        <v>6367.1738723617882</v>
      </c>
    </row>
    <row r="190" spans="1:25" x14ac:dyDescent="0.2">
      <c r="A190" s="1">
        <f t="shared" si="7"/>
        <v>42015.060000000231</v>
      </c>
      <c r="B190" s="173">
        <f>IF($A$1="Peak","-",IF(BaseLoad!H189&gt;BaseLoad!$G189,B$8*BaseLoad!$AM$9,0))</f>
        <v>3.634231662306957</v>
      </c>
      <c r="C190" s="173">
        <f>IF($A$1="Peak","-",IF(BaseLoad!I189&gt;BaseLoad!$G189,C$8*BaseLoad!$AM$9,0))</f>
        <v>3.634231662306957</v>
      </c>
      <c r="D190" s="173">
        <f>IF($A$1="Peak","-",IF(BaseLoad!J189&gt;BaseLoad!$G189,D$8*BaseLoad!$AM$9,0))</f>
        <v>7.2684633246139141</v>
      </c>
      <c r="E190" s="173">
        <f>IF($A$1="Peak","-",IF(BaseLoad!K189&gt;BaseLoad!$G189,E$8*BaseLoad!$AM$9,0))</f>
        <v>14.536926649227828</v>
      </c>
      <c r="F190" s="173">
        <f>IF($A$1="Peak","-",IF(BaseLoad!L189&gt;BaseLoad!$G189,F$8*BaseLoad!$AM$9,0))</f>
        <v>14.536926649227828</v>
      </c>
      <c r="G190" s="173">
        <f>IF($A$1="Peak","-",IF(BaseLoad!M189&gt;BaseLoad!$G189,G$8*BaseLoad!$AM$9,0))</f>
        <v>29.073853298455656</v>
      </c>
      <c r="H190" s="173">
        <f>IF($A$1="Peak","-",IF(BaseLoad!N189&gt;BaseLoad!$G189,H$8*BaseLoad!$AM$9,0))</f>
        <v>29.073853298455656</v>
      </c>
      <c r="I190" s="173">
        <f>IF($A$1="Peak","-",IF(BaseLoad!O189&gt;BaseLoad!$G189,I$8*BaseLoad!$AM$9,0))</f>
        <v>29.073853298455656</v>
      </c>
      <c r="J190" s="173">
        <f>IF($A$1="Peak","-",IF(BaseLoad!P189&gt;BaseLoad!$G189,J$8*BaseLoad!$AM$9,0))</f>
        <v>29.073853298455656</v>
      </c>
      <c r="K190" s="173">
        <f>IF($A$1="Peak","-",IF(BaseLoad!Q189&gt;BaseLoad!$G189,K$8*BaseLoad!$AM$9,0))</f>
        <v>29.073853298455656</v>
      </c>
      <c r="L190" s="173">
        <f>IF($A$1="Peak","-",IF(BaseLoad!R189&gt;BaseLoad!$G189,L$8*BaseLoad!$AM$9,0))</f>
        <v>29.073853298455656</v>
      </c>
      <c r="M190" s="173">
        <f>IF($A$1="Peak","-",IF(BaseLoad!S189&gt;BaseLoad!$G189,M$8*BaseLoad!$AM$9,0))</f>
        <v>29.073853298455656</v>
      </c>
      <c r="N190" s="173">
        <f>IF($A$1="Peak","-",IF(BaseLoad!T189&gt;BaseLoad!$G189,N$8*BaseLoad!$AM$9,0))</f>
        <v>29.073853298455656</v>
      </c>
      <c r="O190" s="173">
        <f>IF($A$1="Peak","-",IF(BaseLoad!U189&gt;BaseLoad!$G189,O$8*BaseLoad!$AM$9,0))</f>
        <v>29.073853298455656</v>
      </c>
      <c r="P190" s="173">
        <f>IF($A$1="Peak","-",IF(BaseLoad!V189&gt;BaseLoad!$G189,P$8*BaseLoad!$AM$9,0))</f>
        <v>29.073853298455656</v>
      </c>
      <c r="Q190" s="173">
        <f>IF($A$1="Peak","-",IF(BaseLoad!W189&gt;BaseLoad!$G189,Q$8*BaseLoad!$AM$9,0))</f>
        <v>29.073853298455656</v>
      </c>
      <c r="R190" s="173">
        <f>IF($A$1="Peak","-",IF(BaseLoad!X189&gt;BaseLoad!$G189,R$8*BaseLoad!$AM$9,0))</f>
        <v>29.073853298455656</v>
      </c>
      <c r="S190" s="173">
        <f>IF($A$1="Peak","-",IF(BaseLoad!Y189&gt;BaseLoad!$G189,S$8*BaseLoad!$AM$9,0))</f>
        <v>29.073853298455656</v>
      </c>
      <c r="T190" s="173">
        <f>IF($A$1="Peak","-",IF(BaseLoad!Z189&gt;BaseLoad!$G189,T$8*BaseLoad!$AM$9,0))</f>
        <v>29.073853298455656</v>
      </c>
      <c r="U190" s="173">
        <f>IF($A$1="Peak","-",IF(BaseLoad!AA189&gt;BaseLoad!$G189,U$8*BaseLoad!$AM$9,0))</f>
        <v>79.953096570753061</v>
      </c>
      <c r="V190" s="173">
        <f t="shared" si="6"/>
        <v>530.5978226968158</v>
      </c>
      <c r="W190" s="173"/>
      <c r="X190" s="173"/>
      <c r="Y190" s="173"/>
    </row>
    <row r="191" spans="1:25" x14ac:dyDescent="0.2">
      <c r="A191" s="1">
        <f t="shared" si="7"/>
        <v>42045.477000000232</v>
      </c>
      <c r="B191" s="173">
        <f>IF($A$1="Peak","-",IF(BaseLoad!H190&gt;BaseLoad!$G190,B$8*BaseLoad!$AM$9,0))</f>
        <v>3.634231662306957</v>
      </c>
      <c r="C191" s="173">
        <f>IF($A$1="Peak","-",IF(BaseLoad!I190&gt;BaseLoad!$G190,C$8*BaseLoad!$AM$9,0))</f>
        <v>3.634231662306957</v>
      </c>
      <c r="D191" s="173">
        <f>IF($A$1="Peak","-",IF(BaseLoad!J190&gt;BaseLoad!$G190,D$8*BaseLoad!$AM$9,0))</f>
        <v>7.2684633246139141</v>
      </c>
      <c r="E191" s="173">
        <f>IF($A$1="Peak","-",IF(BaseLoad!K190&gt;BaseLoad!$G190,E$8*BaseLoad!$AM$9,0))</f>
        <v>14.536926649227828</v>
      </c>
      <c r="F191" s="173">
        <f>IF($A$1="Peak","-",IF(BaseLoad!L190&gt;BaseLoad!$G190,F$8*BaseLoad!$AM$9,0))</f>
        <v>14.536926649227828</v>
      </c>
      <c r="G191" s="173">
        <f>IF($A$1="Peak","-",IF(BaseLoad!M190&gt;BaseLoad!$G190,G$8*BaseLoad!$AM$9,0))</f>
        <v>29.073853298455656</v>
      </c>
      <c r="H191" s="173">
        <f>IF($A$1="Peak","-",IF(BaseLoad!N190&gt;BaseLoad!$G190,H$8*BaseLoad!$AM$9,0))</f>
        <v>29.073853298455656</v>
      </c>
      <c r="I191" s="173">
        <f>IF($A$1="Peak","-",IF(BaseLoad!O190&gt;BaseLoad!$G190,I$8*BaseLoad!$AM$9,0))</f>
        <v>29.073853298455656</v>
      </c>
      <c r="J191" s="173">
        <f>IF($A$1="Peak","-",IF(BaseLoad!P190&gt;BaseLoad!$G190,J$8*BaseLoad!$AM$9,0))</f>
        <v>29.073853298455656</v>
      </c>
      <c r="K191" s="173">
        <f>IF($A$1="Peak","-",IF(BaseLoad!Q190&gt;BaseLoad!$G190,K$8*BaseLoad!$AM$9,0))</f>
        <v>29.073853298455656</v>
      </c>
      <c r="L191" s="173">
        <f>IF($A$1="Peak","-",IF(BaseLoad!R190&gt;BaseLoad!$G190,L$8*BaseLoad!$AM$9,0))</f>
        <v>29.073853298455656</v>
      </c>
      <c r="M191" s="173">
        <f>IF($A$1="Peak","-",IF(BaseLoad!S190&gt;BaseLoad!$G190,M$8*BaseLoad!$AM$9,0))</f>
        <v>29.073853298455656</v>
      </c>
      <c r="N191" s="173">
        <f>IF($A$1="Peak","-",IF(BaseLoad!T190&gt;BaseLoad!$G190,N$8*BaseLoad!$AM$9,0))</f>
        <v>29.073853298455656</v>
      </c>
      <c r="O191" s="173">
        <f>IF($A$1="Peak","-",IF(BaseLoad!U190&gt;BaseLoad!$G190,O$8*BaseLoad!$AM$9,0))</f>
        <v>29.073853298455656</v>
      </c>
      <c r="P191" s="173">
        <f>IF($A$1="Peak","-",IF(BaseLoad!V190&gt;BaseLoad!$G190,P$8*BaseLoad!$AM$9,0))</f>
        <v>29.073853298455656</v>
      </c>
      <c r="Q191" s="173">
        <f>IF($A$1="Peak","-",IF(BaseLoad!W190&gt;BaseLoad!$G190,Q$8*BaseLoad!$AM$9,0))</f>
        <v>29.073853298455656</v>
      </c>
      <c r="R191" s="173">
        <f>IF($A$1="Peak","-",IF(BaseLoad!X190&gt;BaseLoad!$G190,R$8*BaseLoad!$AM$9,0))</f>
        <v>29.073853298455656</v>
      </c>
      <c r="S191" s="173">
        <f>IF($A$1="Peak","-",IF(BaseLoad!Y190&gt;BaseLoad!$G190,S$8*BaseLoad!$AM$9,0))</f>
        <v>29.073853298455656</v>
      </c>
      <c r="T191" s="173">
        <f>IF($A$1="Peak","-",IF(BaseLoad!Z190&gt;BaseLoad!$G190,T$8*BaseLoad!$AM$9,0))</f>
        <v>29.073853298455656</v>
      </c>
      <c r="U191" s="173">
        <f>IF($A$1="Peak","-",IF(BaseLoad!AA190&gt;BaseLoad!$G190,U$8*BaseLoad!$AM$9,0))</f>
        <v>79.953096570753061</v>
      </c>
      <c r="V191" s="173">
        <f t="shared" si="6"/>
        <v>530.5978226968158</v>
      </c>
      <c r="W191" s="173"/>
      <c r="X191" s="173"/>
      <c r="Y191" s="173"/>
    </row>
    <row r="192" spans="1:25" x14ac:dyDescent="0.2">
      <c r="A192" s="1">
        <f t="shared" si="7"/>
        <v>42075.894000000233</v>
      </c>
      <c r="B192" s="173">
        <f>IF($A$1="Peak","-",IF(BaseLoad!H191&gt;BaseLoad!$G191,B$8*BaseLoad!$AM$9,0))</f>
        <v>3.634231662306957</v>
      </c>
      <c r="C192" s="173">
        <f>IF($A$1="Peak","-",IF(BaseLoad!I191&gt;BaseLoad!$G191,C$8*BaseLoad!$AM$9,0))</f>
        <v>3.634231662306957</v>
      </c>
      <c r="D192" s="173">
        <f>IF($A$1="Peak","-",IF(BaseLoad!J191&gt;BaseLoad!$G191,D$8*BaseLoad!$AM$9,0))</f>
        <v>7.2684633246139141</v>
      </c>
      <c r="E192" s="173">
        <f>IF($A$1="Peak","-",IF(BaseLoad!K191&gt;BaseLoad!$G191,E$8*BaseLoad!$AM$9,0))</f>
        <v>14.536926649227828</v>
      </c>
      <c r="F192" s="173">
        <f>IF($A$1="Peak","-",IF(BaseLoad!L191&gt;BaseLoad!$G191,F$8*BaseLoad!$AM$9,0))</f>
        <v>14.536926649227828</v>
      </c>
      <c r="G192" s="173">
        <f>IF($A$1="Peak","-",IF(BaseLoad!M191&gt;BaseLoad!$G191,G$8*BaseLoad!$AM$9,0))</f>
        <v>29.073853298455656</v>
      </c>
      <c r="H192" s="173">
        <f>IF($A$1="Peak","-",IF(BaseLoad!N191&gt;BaseLoad!$G191,H$8*BaseLoad!$AM$9,0))</f>
        <v>29.073853298455656</v>
      </c>
      <c r="I192" s="173">
        <f>IF($A$1="Peak","-",IF(BaseLoad!O191&gt;BaseLoad!$G191,I$8*BaseLoad!$AM$9,0))</f>
        <v>29.073853298455656</v>
      </c>
      <c r="J192" s="173">
        <f>IF($A$1="Peak","-",IF(BaseLoad!P191&gt;BaseLoad!$G191,J$8*BaseLoad!$AM$9,0))</f>
        <v>29.073853298455656</v>
      </c>
      <c r="K192" s="173">
        <f>IF($A$1="Peak","-",IF(BaseLoad!Q191&gt;BaseLoad!$G191,K$8*BaseLoad!$AM$9,0))</f>
        <v>29.073853298455656</v>
      </c>
      <c r="L192" s="173">
        <f>IF($A$1="Peak","-",IF(BaseLoad!R191&gt;BaseLoad!$G191,L$8*BaseLoad!$AM$9,0))</f>
        <v>29.073853298455656</v>
      </c>
      <c r="M192" s="173">
        <f>IF($A$1="Peak","-",IF(BaseLoad!S191&gt;BaseLoad!$G191,M$8*BaseLoad!$AM$9,0))</f>
        <v>29.073853298455656</v>
      </c>
      <c r="N192" s="173">
        <f>IF($A$1="Peak","-",IF(BaseLoad!T191&gt;BaseLoad!$G191,N$8*BaseLoad!$AM$9,0))</f>
        <v>29.073853298455656</v>
      </c>
      <c r="O192" s="173">
        <f>IF($A$1="Peak","-",IF(BaseLoad!U191&gt;BaseLoad!$G191,O$8*BaseLoad!$AM$9,0))</f>
        <v>29.073853298455656</v>
      </c>
      <c r="P192" s="173">
        <f>IF($A$1="Peak","-",IF(BaseLoad!V191&gt;BaseLoad!$G191,P$8*BaseLoad!$AM$9,0))</f>
        <v>29.073853298455656</v>
      </c>
      <c r="Q192" s="173">
        <f>IF($A$1="Peak","-",IF(BaseLoad!W191&gt;BaseLoad!$G191,Q$8*BaseLoad!$AM$9,0))</f>
        <v>29.073853298455656</v>
      </c>
      <c r="R192" s="173">
        <f>IF($A$1="Peak","-",IF(BaseLoad!X191&gt;BaseLoad!$G191,R$8*BaseLoad!$AM$9,0))</f>
        <v>29.073853298455656</v>
      </c>
      <c r="S192" s="173">
        <f>IF($A$1="Peak","-",IF(BaseLoad!Y191&gt;BaseLoad!$G191,S$8*BaseLoad!$AM$9,0))</f>
        <v>29.073853298455656</v>
      </c>
      <c r="T192" s="173">
        <f>IF($A$1="Peak","-",IF(BaseLoad!Z191&gt;BaseLoad!$G191,T$8*BaseLoad!$AM$9,0))</f>
        <v>29.073853298455656</v>
      </c>
      <c r="U192" s="173">
        <f>IF($A$1="Peak","-",IF(BaseLoad!AA191&gt;BaseLoad!$G191,U$8*BaseLoad!$AM$9,0))</f>
        <v>79.953096570753061</v>
      </c>
      <c r="V192" s="173">
        <f t="shared" si="6"/>
        <v>530.5978226968158</v>
      </c>
      <c r="W192" s="173"/>
      <c r="X192" s="173"/>
      <c r="Y192" s="173"/>
    </row>
    <row r="193" spans="1:25" x14ac:dyDescent="0.2">
      <c r="A193" s="1">
        <f t="shared" si="7"/>
        <v>42106.311000000234</v>
      </c>
      <c r="B193" s="173">
        <f>IF($A$1="Peak","-",IF(BaseLoad!H192&gt;BaseLoad!$G192,B$8*BaseLoad!$AM$9,0))</f>
        <v>3.634231662306957</v>
      </c>
      <c r="C193" s="173">
        <f>IF($A$1="Peak","-",IF(BaseLoad!I192&gt;BaseLoad!$G192,C$8*BaseLoad!$AM$9,0))</f>
        <v>3.634231662306957</v>
      </c>
      <c r="D193" s="173">
        <f>IF($A$1="Peak","-",IF(BaseLoad!J192&gt;BaseLoad!$G192,D$8*BaseLoad!$AM$9,0))</f>
        <v>7.2684633246139141</v>
      </c>
      <c r="E193" s="173">
        <f>IF($A$1="Peak","-",IF(BaseLoad!K192&gt;BaseLoad!$G192,E$8*BaseLoad!$AM$9,0))</f>
        <v>14.536926649227828</v>
      </c>
      <c r="F193" s="173">
        <f>IF($A$1="Peak","-",IF(BaseLoad!L192&gt;BaseLoad!$G192,F$8*BaseLoad!$AM$9,0))</f>
        <v>14.536926649227828</v>
      </c>
      <c r="G193" s="173">
        <f>IF($A$1="Peak","-",IF(BaseLoad!M192&gt;BaseLoad!$G192,G$8*BaseLoad!$AM$9,0))</f>
        <v>29.073853298455656</v>
      </c>
      <c r="H193" s="173">
        <f>IF($A$1="Peak","-",IF(BaseLoad!N192&gt;BaseLoad!$G192,H$8*BaseLoad!$AM$9,0))</f>
        <v>29.073853298455656</v>
      </c>
      <c r="I193" s="173">
        <f>IF($A$1="Peak","-",IF(BaseLoad!O192&gt;BaseLoad!$G192,I$8*BaseLoad!$AM$9,0))</f>
        <v>29.073853298455656</v>
      </c>
      <c r="J193" s="173">
        <f>IF($A$1="Peak","-",IF(BaseLoad!P192&gt;BaseLoad!$G192,J$8*BaseLoad!$AM$9,0))</f>
        <v>29.073853298455656</v>
      </c>
      <c r="K193" s="173">
        <f>IF($A$1="Peak","-",IF(BaseLoad!Q192&gt;BaseLoad!$G192,K$8*BaseLoad!$AM$9,0))</f>
        <v>29.073853298455656</v>
      </c>
      <c r="L193" s="173">
        <f>IF($A$1="Peak","-",IF(BaseLoad!R192&gt;BaseLoad!$G192,L$8*BaseLoad!$AM$9,0))</f>
        <v>29.073853298455656</v>
      </c>
      <c r="M193" s="173">
        <f>IF($A$1="Peak","-",IF(BaseLoad!S192&gt;BaseLoad!$G192,M$8*BaseLoad!$AM$9,0))</f>
        <v>29.073853298455656</v>
      </c>
      <c r="N193" s="173">
        <f>IF($A$1="Peak","-",IF(BaseLoad!T192&gt;BaseLoad!$G192,N$8*BaseLoad!$AM$9,0))</f>
        <v>29.073853298455656</v>
      </c>
      <c r="O193" s="173">
        <f>IF($A$1="Peak","-",IF(BaseLoad!U192&gt;BaseLoad!$G192,O$8*BaseLoad!$AM$9,0))</f>
        <v>29.073853298455656</v>
      </c>
      <c r="P193" s="173">
        <f>IF($A$1="Peak","-",IF(BaseLoad!V192&gt;BaseLoad!$G192,P$8*BaseLoad!$AM$9,0))</f>
        <v>29.073853298455656</v>
      </c>
      <c r="Q193" s="173">
        <f>IF($A$1="Peak","-",IF(BaseLoad!W192&gt;BaseLoad!$G192,Q$8*BaseLoad!$AM$9,0))</f>
        <v>29.073853298455656</v>
      </c>
      <c r="R193" s="173">
        <f>IF($A$1="Peak","-",IF(BaseLoad!X192&gt;BaseLoad!$G192,R$8*BaseLoad!$AM$9,0))</f>
        <v>29.073853298455656</v>
      </c>
      <c r="S193" s="173">
        <f>IF($A$1="Peak","-",IF(BaseLoad!Y192&gt;BaseLoad!$G192,S$8*BaseLoad!$AM$9,0))</f>
        <v>29.073853298455656</v>
      </c>
      <c r="T193" s="173">
        <f>IF($A$1="Peak","-",IF(BaseLoad!Z192&gt;BaseLoad!$G192,T$8*BaseLoad!$AM$9,0))</f>
        <v>29.073853298455656</v>
      </c>
      <c r="U193" s="173">
        <f>IF($A$1="Peak","-",IF(BaseLoad!AA192&gt;BaseLoad!$G192,U$8*BaseLoad!$AM$9,0))</f>
        <v>79.953096570753061</v>
      </c>
      <c r="V193" s="173">
        <f t="shared" si="6"/>
        <v>530.5978226968158</v>
      </c>
      <c r="W193" s="173"/>
      <c r="X193" s="173"/>
      <c r="Y193" s="173"/>
    </row>
    <row r="194" spans="1:25" x14ac:dyDescent="0.2">
      <c r="A194" s="1">
        <f t="shared" si="7"/>
        <v>42136.728000000236</v>
      </c>
      <c r="B194" s="173">
        <f>IF($A$1="Peak","-",IF(BaseLoad!H193&gt;BaseLoad!$G193,B$8*BaseLoad!$AM$9,0))</f>
        <v>3.634231662306957</v>
      </c>
      <c r="C194" s="173">
        <f>IF($A$1="Peak","-",IF(BaseLoad!I193&gt;BaseLoad!$G193,C$8*BaseLoad!$AM$9,0))</f>
        <v>3.634231662306957</v>
      </c>
      <c r="D194" s="173">
        <f>IF($A$1="Peak","-",IF(BaseLoad!J193&gt;BaseLoad!$G193,D$8*BaseLoad!$AM$9,0))</f>
        <v>7.2684633246139141</v>
      </c>
      <c r="E194" s="173">
        <f>IF($A$1="Peak","-",IF(BaseLoad!K193&gt;BaseLoad!$G193,E$8*BaseLoad!$AM$9,0))</f>
        <v>14.536926649227828</v>
      </c>
      <c r="F194" s="173">
        <f>IF($A$1="Peak","-",IF(BaseLoad!L193&gt;BaseLoad!$G193,F$8*BaseLoad!$AM$9,0))</f>
        <v>14.536926649227828</v>
      </c>
      <c r="G194" s="173">
        <f>IF($A$1="Peak","-",IF(BaseLoad!M193&gt;BaseLoad!$G193,G$8*BaseLoad!$AM$9,0))</f>
        <v>29.073853298455656</v>
      </c>
      <c r="H194" s="173">
        <f>IF($A$1="Peak","-",IF(BaseLoad!N193&gt;BaseLoad!$G193,H$8*BaseLoad!$AM$9,0))</f>
        <v>29.073853298455656</v>
      </c>
      <c r="I194" s="173">
        <f>IF($A$1="Peak","-",IF(BaseLoad!O193&gt;BaseLoad!$G193,I$8*BaseLoad!$AM$9,0))</f>
        <v>29.073853298455656</v>
      </c>
      <c r="J194" s="173">
        <f>IF($A$1="Peak","-",IF(BaseLoad!P193&gt;BaseLoad!$G193,J$8*BaseLoad!$AM$9,0))</f>
        <v>29.073853298455656</v>
      </c>
      <c r="K194" s="173">
        <f>IF($A$1="Peak","-",IF(BaseLoad!Q193&gt;BaseLoad!$G193,K$8*BaseLoad!$AM$9,0))</f>
        <v>29.073853298455656</v>
      </c>
      <c r="L194" s="173">
        <f>IF($A$1="Peak","-",IF(BaseLoad!R193&gt;BaseLoad!$G193,L$8*BaseLoad!$AM$9,0))</f>
        <v>29.073853298455656</v>
      </c>
      <c r="M194" s="173">
        <f>IF($A$1="Peak","-",IF(BaseLoad!S193&gt;BaseLoad!$G193,M$8*BaseLoad!$AM$9,0))</f>
        <v>29.073853298455656</v>
      </c>
      <c r="N194" s="173">
        <f>IF($A$1="Peak","-",IF(BaseLoad!T193&gt;BaseLoad!$G193,N$8*BaseLoad!$AM$9,0))</f>
        <v>29.073853298455656</v>
      </c>
      <c r="O194" s="173">
        <f>IF($A$1="Peak","-",IF(BaseLoad!U193&gt;BaseLoad!$G193,O$8*BaseLoad!$AM$9,0))</f>
        <v>29.073853298455656</v>
      </c>
      <c r="P194" s="173">
        <f>IF($A$1="Peak","-",IF(BaseLoad!V193&gt;BaseLoad!$G193,P$8*BaseLoad!$AM$9,0))</f>
        <v>29.073853298455656</v>
      </c>
      <c r="Q194" s="173">
        <f>IF($A$1="Peak","-",IF(BaseLoad!W193&gt;BaseLoad!$G193,Q$8*BaseLoad!$AM$9,0))</f>
        <v>29.073853298455656</v>
      </c>
      <c r="R194" s="173">
        <f>IF($A$1="Peak","-",IF(BaseLoad!X193&gt;BaseLoad!$G193,R$8*BaseLoad!$AM$9,0))</f>
        <v>29.073853298455656</v>
      </c>
      <c r="S194" s="173">
        <f>IF($A$1="Peak","-",IF(BaseLoad!Y193&gt;BaseLoad!$G193,S$8*BaseLoad!$AM$9,0))</f>
        <v>29.073853298455656</v>
      </c>
      <c r="T194" s="173">
        <f>IF($A$1="Peak","-",IF(BaseLoad!Z193&gt;BaseLoad!$G193,T$8*BaseLoad!$AM$9,0))</f>
        <v>29.073853298455656</v>
      </c>
      <c r="U194" s="173">
        <f>IF($A$1="Peak","-",IF(BaseLoad!AA193&gt;BaseLoad!$G193,U$8*BaseLoad!$AM$9,0))</f>
        <v>79.953096570753061</v>
      </c>
      <c r="V194" s="173">
        <f t="shared" si="6"/>
        <v>530.5978226968158</v>
      </c>
      <c r="W194" s="173"/>
      <c r="X194" s="173"/>
      <c r="Y194" s="173"/>
    </row>
    <row r="195" spans="1:25" x14ac:dyDescent="0.2">
      <c r="A195" s="1">
        <f t="shared" si="7"/>
        <v>42167.145000000237</v>
      </c>
      <c r="B195" s="173">
        <f>IF($A$1="Peak","-",IF(BaseLoad!H194&gt;BaseLoad!$G194,B$8*BaseLoad!$AM$9,0))</f>
        <v>3.634231662306957</v>
      </c>
      <c r="C195" s="173">
        <f>IF($A$1="Peak","-",IF(BaseLoad!I194&gt;BaseLoad!$G194,C$8*BaseLoad!$AM$9,0))</f>
        <v>3.634231662306957</v>
      </c>
      <c r="D195" s="173">
        <f>IF($A$1="Peak","-",IF(BaseLoad!J194&gt;BaseLoad!$G194,D$8*BaseLoad!$AM$9,0))</f>
        <v>7.2684633246139141</v>
      </c>
      <c r="E195" s="173">
        <f>IF($A$1="Peak","-",IF(BaseLoad!K194&gt;BaseLoad!$G194,E$8*BaseLoad!$AM$9,0))</f>
        <v>14.536926649227828</v>
      </c>
      <c r="F195" s="173">
        <f>IF($A$1="Peak","-",IF(BaseLoad!L194&gt;BaseLoad!$G194,F$8*BaseLoad!$AM$9,0))</f>
        <v>14.536926649227828</v>
      </c>
      <c r="G195" s="173">
        <f>IF($A$1="Peak","-",IF(BaseLoad!M194&gt;BaseLoad!$G194,G$8*BaseLoad!$AM$9,0))</f>
        <v>29.073853298455656</v>
      </c>
      <c r="H195" s="173">
        <f>IF($A$1="Peak","-",IF(BaseLoad!N194&gt;BaseLoad!$G194,H$8*BaseLoad!$AM$9,0))</f>
        <v>29.073853298455656</v>
      </c>
      <c r="I195" s="173">
        <f>IF($A$1="Peak","-",IF(BaseLoad!O194&gt;BaseLoad!$G194,I$8*BaseLoad!$AM$9,0))</f>
        <v>29.073853298455656</v>
      </c>
      <c r="J195" s="173">
        <f>IF($A$1="Peak","-",IF(BaseLoad!P194&gt;BaseLoad!$G194,J$8*BaseLoad!$AM$9,0))</f>
        <v>29.073853298455656</v>
      </c>
      <c r="K195" s="173">
        <f>IF($A$1="Peak","-",IF(BaseLoad!Q194&gt;BaseLoad!$G194,K$8*BaseLoad!$AM$9,0))</f>
        <v>29.073853298455656</v>
      </c>
      <c r="L195" s="173">
        <f>IF($A$1="Peak","-",IF(BaseLoad!R194&gt;BaseLoad!$G194,L$8*BaseLoad!$AM$9,0))</f>
        <v>29.073853298455656</v>
      </c>
      <c r="M195" s="173">
        <f>IF($A$1="Peak","-",IF(BaseLoad!S194&gt;BaseLoad!$G194,M$8*BaseLoad!$AM$9,0))</f>
        <v>29.073853298455656</v>
      </c>
      <c r="N195" s="173">
        <f>IF($A$1="Peak","-",IF(BaseLoad!T194&gt;BaseLoad!$G194,N$8*BaseLoad!$AM$9,0))</f>
        <v>29.073853298455656</v>
      </c>
      <c r="O195" s="173">
        <f>IF($A$1="Peak","-",IF(BaseLoad!U194&gt;BaseLoad!$G194,O$8*BaseLoad!$AM$9,0))</f>
        <v>29.073853298455656</v>
      </c>
      <c r="P195" s="173">
        <f>IF($A$1="Peak","-",IF(BaseLoad!V194&gt;BaseLoad!$G194,P$8*BaseLoad!$AM$9,0))</f>
        <v>29.073853298455656</v>
      </c>
      <c r="Q195" s="173">
        <f>IF($A$1="Peak","-",IF(BaseLoad!W194&gt;BaseLoad!$G194,Q$8*BaseLoad!$AM$9,0))</f>
        <v>29.073853298455656</v>
      </c>
      <c r="R195" s="173">
        <f>IF($A$1="Peak","-",IF(BaseLoad!X194&gt;BaseLoad!$G194,R$8*BaseLoad!$AM$9,0))</f>
        <v>29.073853298455656</v>
      </c>
      <c r="S195" s="173">
        <f>IF($A$1="Peak","-",IF(BaseLoad!Y194&gt;BaseLoad!$G194,S$8*BaseLoad!$AM$9,0))</f>
        <v>29.073853298455656</v>
      </c>
      <c r="T195" s="173">
        <f>IF($A$1="Peak","-",IF(BaseLoad!Z194&gt;BaseLoad!$G194,T$8*BaseLoad!$AM$9,0))</f>
        <v>29.073853298455656</v>
      </c>
      <c r="U195" s="173">
        <f>IF($A$1="Peak","-",IF(BaseLoad!AA194&gt;BaseLoad!$G194,U$8*BaseLoad!$AM$9,0))</f>
        <v>79.953096570753061</v>
      </c>
      <c r="V195" s="173">
        <f t="shared" si="6"/>
        <v>530.5978226968158</v>
      </c>
      <c r="W195" s="173"/>
      <c r="X195" s="173"/>
      <c r="Y195" s="173"/>
    </row>
    <row r="196" spans="1:25" x14ac:dyDescent="0.2">
      <c r="A196" s="1">
        <f t="shared" si="7"/>
        <v>42197.562000000238</v>
      </c>
      <c r="B196" s="173">
        <f>IF($A$1="Peak","-",IF(BaseLoad!H195&gt;BaseLoad!$G195,B$8*BaseLoad!$AM$9,0))</f>
        <v>3.634231662306957</v>
      </c>
      <c r="C196" s="173">
        <f>IF($A$1="Peak","-",IF(BaseLoad!I195&gt;BaseLoad!$G195,C$8*BaseLoad!$AM$9,0))</f>
        <v>3.634231662306957</v>
      </c>
      <c r="D196" s="173">
        <f>IF($A$1="Peak","-",IF(BaseLoad!J195&gt;BaseLoad!$G195,D$8*BaseLoad!$AM$9,0))</f>
        <v>7.2684633246139141</v>
      </c>
      <c r="E196" s="173">
        <f>IF($A$1="Peak","-",IF(BaseLoad!K195&gt;BaseLoad!$G195,E$8*BaseLoad!$AM$9,0))</f>
        <v>14.536926649227828</v>
      </c>
      <c r="F196" s="173">
        <f>IF($A$1="Peak","-",IF(BaseLoad!L195&gt;BaseLoad!$G195,F$8*BaseLoad!$AM$9,0))</f>
        <v>14.536926649227828</v>
      </c>
      <c r="G196" s="173">
        <f>IF($A$1="Peak","-",IF(BaseLoad!M195&gt;BaseLoad!$G195,G$8*BaseLoad!$AM$9,0))</f>
        <v>29.073853298455656</v>
      </c>
      <c r="H196" s="173">
        <f>IF($A$1="Peak","-",IF(BaseLoad!N195&gt;BaseLoad!$G195,H$8*BaseLoad!$AM$9,0))</f>
        <v>29.073853298455656</v>
      </c>
      <c r="I196" s="173">
        <f>IF($A$1="Peak","-",IF(BaseLoad!O195&gt;BaseLoad!$G195,I$8*BaseLoad!$AM$9,0))</f>
        <v>29.073853298455656</v>
      </c>
      <c r="J196" s="173">
        <f>IF($A$1="Peak","-",IF(BaseLoad!P195&gt;BaseLoad!$G195,J$8*BaseLoad!$AM$9,0))</f>
        <v>29.073853298455656</v>
      </c>
      <c r="K196" s="173">
        <f>IF($A$1="Peak","-",IF(BaseLoad!Q195&gt;BaseLoad!$G195,K$8*BaseLoad!$AM$9,0))</f>
        <v>29.073853298455656</v>
      </c>
      <c r="L196" s="173">
        <f>IF($A$1="Peak","-",IF(BaseLoad!R195&gt;BaseLoad!$G195,L$8*BaseLoad!$AM$9,0))</f>
        <v>29.073853298455656</v>
      </c>
      <c r="M196" s="173">
        <f>IF($A$1="Peak","-",IF(BaseLoad!S195&gt;BaseLoad!$G195,M$8*BaseLoad!$AM$9,0))</f>
        <v>29.073853298455656</v>
      </c>
      <c r="N196" s="173">
        <f>IF($A$1="Peak","-",IF(BaseLoad!T195&gt;BaseLoad!$G195,N$8*BaseLoad!$AM$9,0))</f>
        <v>29.073853298455656</v>
      </c>
      <c r="O196" s="173">
        <f>IF($A$1="Peak","-",IF(BaseLoad!U195&gt;BaseLoad!$G195,O$8*BaseLoad!$AM$9,0))</f>
        <v>29.073853298455656</v>
      </c>
      <c r="P196" s="173">
        <f>IF($A$1="Peak","-",IF(BaseLoad!V195&gt;BaseLoad!$G195,P$8*BaseLoad!$AM$9,0))</f>
        <v>29.073853298455656</v>
      </c>
      <c r="Q196" s="173">
        <f>IF($A$1="Peak","-",IF(BaseLoad!W195&gt;BaseLoad!$G195,Q$8*BaseLoad!$AM$9,0))</f>
        <v>29.073853298455656</v>
      </c>
      <c r="R196" s="173">
        <f>IF($A$1="Peak","-",IF(BaseLoad!X195&gt;BaseLoad!$G195,R$8*BaseLoad!$AM$9,0))</f>
        <v>29.073853298455656</v>
      </c>
      <c r="S196" s="173">
        <f>IF($A$1="Peak","-",IF(BaseLoad!Y195&gt;BaseLoad!$G195,S$8*BaseLoad!$AM$9,0))</f>
        <v>29.073853298455656</v>
      </c>
      <c r="T196" s="173">
        <f>IF($A$1="Peak","-",IF(BaseLoad!Z195&gt;BaseLoad!$G195,T$8*BaseLoad!$AM$9,0))</f>
        <v>29.073853298455656</v>
      </c>
      <c r="U196" s="173">
        <f>IF($A$1="Peak","-",IF(BaseLoad!AA195&gt;BaseLoad!$G195,U$8*BaseLoad!$AM$9,0))</f>
        <v>79.953096570753061</v>
      </c>
      <c r="V196" s="173">
        <f t="shared" si="6"/>
        <v>530.5978226968158</v>
      </c>
      <c r="W196" s="173"/>
      <c r="X196" s="173"/>
      <c r="Y196" s="173"/>
    </row>
    <row r="197" spans="1:25" x14ac:dyDescent="0.2">
      <c r="A197" s="1">
        <f t="shared" si="7"/>
        <v>42227.979000000239</v>
      </c>
      <c r="B197" s="173">
        <f>IF($A$1="Peak","-",IF(BaseLoad!H196&gt;BaseLoad!$G196,B$8*BaseLoad!$AM$9,0))</f>
        <v>3.634231662306957</v>
      </c>
      <c r="C197" s="173">
        <f>IF($A$1="Peak","-",IF(BaseLoad!I196&gt;BaseLoad!$G196,C$8*BaseLoad!$AM$9,0))</f>
        <v>3.634231662306957</v>
      </c>
      <c r="D197" s="173">
        <f>IF($A$1="Peak","-",IF(BaseLoad!J196&gt;BaseLoad!$G196,D$8*BaseLoad!$AM$9,0))</f>
        <v>7.2684633246139141</v>
      </c>
      <c r="E197" s="173">
        <f>IF($A$1="Peak","-",IF(BaseLoad!K196&gt;BaseLoad!$G196,E$8*BaseLoad!$AM$9,0))</f>
        <v>14.536926649227828</v>
      </c>
      <c r="F197" s="173">
        <f>IF($A$1="Peak","-",IF(BaseLoad!L196&gt;BaseLoad!$G196,F$8*BaseLoad!$AM$9,0))</f>
        <v>14.536926649227828</v>
      </c>
      <c r="G197" s="173">
        <f>IF($A$1="Peak","-",IF(BaseLoad!M196&gt;BaseLoad!$G196,G$8*BaseLoad!$AM$9,0))</f>
        <v>29.073853298455656</v>
      </c>
      <c r="H197" s="173">
        <f>IF($A$1="Peak","-",IF(BaseLoad!N196&gt;BaseLoad!$G196,H$8*BaseLoad!$AM$9,0))</f>
        <v>29.073853298455656</v>
      </c>
      <c r="I197" s="173">
        <f>IF($A$1="Peak","-",IF(BaseLoad!O196&gt;BaseLoad!$G196,I$8*BaseLoad!$AM$9,0))</f>
        <v>29.073853298455656</v>
      </c>
      <c r="J197" s="173">
        <f>IF($A$1="Peak","-",IF(BaseLoad!P196&gt;BaseLoad!$G196,J$8*BaseLoad!$AM$9,0))</f>
        <v>29.073853298455656</v>
      </c>
      <c r="K197" s="173">
        <f>IF($A$1="Peak","-",IF(BaseLoad!Q196&gt;BaseLoad!$G196,K$8*BaseLoad!$AM$9,0))</f>
        <v>29.073853298455656</v>
      </c>
      <c r="L197" s="173">
        <f>IF($A$1="Peak","-",IF(BaseLoad!R196&gt;BaseLoad!$G196,L$8*BaseLoad!$AM$9,0))</f>
        <v>29.073853298455656</v>
      </c>
      <c r="M197" s="173">
        <f>IF($A$1="Peak","-",IF(BaseLoad!S196&gt;BaseLoad!$G196,M$8*BaseLoad!$AM$9,0))</f>
        <v>29.073853298455656</v>
      </c>
      <c r="N197" s="173">
        <f>IF($A$1="Peak","-",IF(BaseLoad!T196&gt;BaseLoad!$G196,N$8*BaseLoad!$AM$9,0))</f>
        <v>29.073853298455656</v>
      </c>
      <c r="O197" s="173">
        <f>IF($A$1="Peak","-",IF(BaseLoad!U196&gt;BaseLoad!$G196,O$8*BaseLoad!$AM$9,0))</f>
        <v>29.073853298455656</v>
      </c>
      <c r="P197" s="173">
        <f>IF($A$1="Peak","-",IF(BaseLoad!V196&gt;BaseLoad!$G196,P$8*BaseLoad!$AM$9,0))</f>
        <v>29.073853298455656</v>
      </c>
      <c r="Q197" s="173">
        <f>IF($A$1="Peak","-",IF(BaseLoad!W196&gt;BaseLoad!$G196,Q$8*BaseLoad!$AM$9,0))</f>
        <v>29.073853298455656</v>
      </c>
      <c r="R197" s="173">
        <f>IF($A$1="Peak","-",IF(BaseLoad!X196&gt;BaseLoad!$G196,R$8*BaseLoad!$AM$9,0))</f>
        <v>29.073853298455656</v>
      </c>
      <c r="S197" s="173">
        <f>IF($A$1="Peak","-",IF(BaseLoad!Y196&gt;BaseLoad!$G196,S$8*BaseLoad!$AM$9,0))</f>
        <v>29.073853298455656</v>
      </c>
      <c r="T197" s="173">
        <f>IF($A$1="Peak","-",IF(BaseLoad!Z196&gt;BaseLoad!$G196,T$8*BaseLoad!$AM$9,0))</f>
        <v>29.073853298455656</v>
      </c>
      <c r="U197" s="173">
        <f>IF($A$1="Peak","-",IF(BaseLoad!AA196&gt;BaseLoad!$G196,U$8*BaseLoad!$AM$9,0))</f>
        <v>79.953096570753061</v>
      </c>
      <c r="V197" s="173">
        <f t="shared" si="6"/>
        <v>530.5978226968158</v>
      </c>
      <c r="W197" s="173"/>
      <c r="X197" s="173"/>
      <c r="Y197" s="173"/>
    </row>
    <row r="198" spans="1:25" x14ac:dyDescent="0.2">
      <c r="A198" s="1">
        <f t="shared" si="7"/>
        <v>42258.396000000241</v>
      </c>
      <c r="B198" s="173">
        <f>IF($A$1="Peak","-",IF(BaseLoad!H197&gt;BaseLoad!$G197,B$8*BaseLoad!$AM$9,0))</f>
        <v>3.634231662306957</v>
      </c>
      <c r="C198" s="173">
        <f>IF($A$1="Peak","-",IF(BaseLoad!I197&gt;BaseLoad!$G197,C$8*BaseLoad!$AM$9,0))</f>
        <v>3.634231662306957</v>
      </c>
      <c r="D198" s="173">
        <f>IF($A$1="Peak","-",IF(BaseLoad!J197&gt;BaseLoad!$G197,D$8*BaseLoad!$AM$9,0))</f>
        <v>7.2684633246139141</v>
      </c>
      <c r="E198" s="173">
        <f>IF($A$1="Peak","-",IF(BaseLoad!K197&gt;BaseLoad!$G197,E$8*BaseLoad!$AM$9,0))</f>
        <v>14.536926649227828</v>
      </c>
      <c r="F198" s="173">
        <f>IF($A$1="Peak","-",IF(BaseLoad!L197&gt;BaseLoad!$G197,F$8*BaseLoad!$AM$9,0))</f>
        <v>14.536926649227828</v>
      </c>
      <c r="G198" s="173">
        <f>IF($A$1="Peak","-",IF(BaseLoad!M197&gt;BaseLoad!$G197,G$8*BaseLoad!$AM$9,0))</f>
        <v>29.073853298455656</v>
      </c>
      <c r="H198" s="173">
        <f>IF($A$1="Peak","-",IF(BaseLoad!N197&gt;BaseLoad!$G197,H$8*BaseLoad!$AM$9,0))</f>
        <v>29.073853298455656</v>
      </c>
      <c r="I198" s="173">
        <f>IF($A$1="Peak","-",IF(BaseLoad!O197&gt;BaseLoad!$G197,I$8*BaseLoad!$AM$9,0))</f>
        <v>29.073853298455656</v>
      </c>
      <c r="J198" s="173">
        <f>IF($A$1="Peak","-",IF(BaseLoad!P197&gt;BaseLoad!$G197,J$8*BaseLoad!$AM$9,0))</f>
        <v>29.073853298455656</v>
      </c>
      <c r="K198" s="173">
        <f>IF($A$1="Peak","-",IF(BaseLoad!Q197&gt;BaseLoad!$G197,K$8*BaseLoad!$AM$9,0))</f>
        <v>29.073853298455656</v>
      </c>
      <c r="L198" s="173">
        <f>IF($A$1="Peak","-",IF(BaseLoad!R197&gt;BaseLoad!$G197,L$8*BaseLoad!$AM$9,0))</f>
        <v>29.073853298455656</v>
      </c>
      <c r="M198" s="173">
        <f>IF($A$1="Peak","-",IF(BaseLoad!S197&gt;BaseLoad!$G197,M$8*BaseLoad!$AM$9,0))</f>
        <v>29.073853298455656</v>
      </c>
      <c r="N198" s="173">
        <f>IF($A$1="Peak","-",IF(BaseLoad!T197&gt;BaseLoad!$G197,N$8*BaseLoad!$AM$9,0))</f>
        <v>29.073853298455656</v>
      </c>
      <c r="O198" s="173">
        <f>IF($A$1="Peak","-",IF(BaseLoad!U197&gt;BaseLoad!$G197,O$8*BaseLoad!$AM$9,0))</f>
        <v>29.073853298455656</v>
      </c>
      <c r="P198" s="173">
        <f>IF($A$1="Peak","-",IF(BaseLoad!V197&gt;BaseLoad!$G197,P$8*BaseLoad!$AM$9,0))</f>
        <v>29.073853298455656</v>
      </c>
      <c r="Q198" s="173">
        <f>IF($A$1="Peak","-",IF(BaseLoad!W197&gt;BaseLoad!$G197,Q$8*BaseLoad!$AM$9,0))</f>
        <v>29.073853298455656</v>
      </c>
      <c r="R198" s="173">
        <f>IF($A$1="Peak","-",IF(BaseLoad!X197&gt;BaseLoad!$G197,R$8*BaseLoad!$AM$9,0))</f>
        <v>29.073853298455656</v>
      </c>
      <c r="S198" s="173">
        <f>IF($A$1="Peak","-",IF(BaseLoad!Y197&gt;BaseLoad!$G197,S$8*BaseLoad!$AM$9,0))</f>
        <v>29.073853298455656</v>
      </c>
      <c r="T198" s="173">
        <f>IF($A$1="Peak","-",IF(BaseLoad!Z197&gt;BaseLoad!$G197,T$8*BaseLoad!$AM$9,0))</f>
        <v>29.073853298455656</v>
      </c>
      <c r="U198" s="173">
        <f>IF($A$1="Peak","-",IF(BaseLoad!AA197&gt;BaseLoad!$G197,U$8*BaseLoad!$AM$9,0))</f>
        <v>79.953096570753061</v>
      </c>
      <c r="V198" s="173">
        <f t="shared" si="6"/>
        <v>530.5978226968158</v>
      </c>
      <c r="W198" s="173"/>
      <c r="X198" s="173"/>
      <c r="Y198" s="173"/>
    </row>
    <row r="199" spans="1:25" x14ac:dyDescent="0.2">
      <c r="A199" s="1">
        <f t="shared" si="7"/>
        <v>42288.813000000242</v>
      </c>
      <c r="B199" s="173">
        <f>IF($A$1="Peak","-",IF(BaseLoad!H198&gt;BaseLoad!$G198,B$8*BaseLoad!$AM$9,0))</f>
        <v>3.634231662306957</v>
      </c>
      <c r="C199" s="173">
        <f>IF($A$1="Peak","-",IF(BaseLoad!I198&gt;BaseLoad!$G198,C$8*BaseLoad!$AM$9,0))</f>
        <v>3.634231662306957</v>
      </c>
      <c r="D199" s="173">
        <f>IF($A$1="Peak","-",IF(BaseLoad!J198&gt;BaseLoad!$G198,D$8*BaseLoad!$AM$9,0))</f>
        <v>7.2684633246139141</v>
      </c>
      <c r="E199" s="173">
        <f>IF($A$1="Peak","-",IF(BaseLoad!K198&gt;BaseLoad!$G198,E$8*BaseLoad!$AM$9,0))</f>
        <v>14.536926649227828</v>
      </c>
      <c r="F199" s="173">
        <f>IF($A$1="Peak","-",IF(BaseLoad!L198&gt;BaseLoad!$G198,F$8*BaseLoad!$AM$9,0))</f>
        <v>14.536926649227828</v>
      </c>
      <c r="G199" s="173">
        <f>IF($A$1="Peak","-",IF(BaseLoad!M198&gt;BaseLoad!$G198,G$8*BaseLoad!$AM$9,0))</f>
        <v>29.073853298455656</v>
      </c>
      <c r="H199" s="173">
        <f>IF($A$1="Peak","-",IF(BaseLoad!N198&gt;BaseLoad!$G198,H$8*BaseLoad!$AM$9,0))</f>
        <v>29.073853298455656</v>
      </c>
      <c r="I199" s="173">
        <f>IF($A$1="Peak","-",IF(BaseLoad!O198&gt;BaseLoad!$G198,I$8*BaseLoad!$AM$9,0))</f>
        <v>29.073853298455656</v>
      </c>
      <c r="J199" s="173">
        <f>IF($A$1="Peak","-",IF(BaseLoad!P198&gt;BaseLoad!$G198,J$8*BaseLoad!$AM$9,0))</f>
        <v>29.073853298455656</v>
      </c>
      <c r="K199" s="173">
        <f>IF($A$1="Peak","-",IF(BaseLoad!Q198&gt;BaseLoad!$G198,K$8*BaseLoad!$AM$9,0))</f>
        <v>29.073853298455656</v>
      </c>
      <c r="L199" s="173">
        <f>IF($A$1="Peak","-",IF(BaseLoad!R198&gt;BaseLoad!$G198,L$8*BaseLoad!$AM$9,0))</f>
        <v>29.073853298455656</v>
      </c>
      <c r="M199" s="173">
        <f>IF($A$1="Peak","-",IF(BaseLoad!S198&gt;BaseLoad!$G198,M$8*BaseLoad!$AM$9,0))</f>
        <v>29.073853298455656</v>
      </c>
      <c r="N199" s="173">
        <f>IF($A$1="Peak","-",IF(BaseLoad!T198&gt;BaseLoad!$G198,N$8*BaseLoad!$AM$9,0))</f>
        <v>29.073853298455656</v>
      </c>
      <c r="O199" s="173">
        <f>IF($A$1="Peak","-",IF(BaseLoad!U198&gt;BaseLoad!$G198,O$8*BaseLoad!$AM$9,0))</f>
        <v>29.073853298455656</v>
      </c>
      <c r="P199" s="173">
        <f>IF($A$1="Peak","-",IF(BaseLoad!V198&gt;BaseLoad!$G198,P$8*BaseLoad!$AM$9,0))</f>
        <v>29.073853298455656</v>
      </c>
      <c r="Q199" s="173">
        <f>IF($A$1="Peak","-",IF(BaseLoad!W198&gt;BaseLoad!$G198,Q$8*BaseLoad!$AM$9,0))</f>
        <v>29.073853298455656</v>
      </c>
      <c r="R199" s="173">
        <f>IF($A$1="Peak","-",IF(BaseLoad!X198&gt;BaseLoad!$G198,R$8*BaseLoad!$AM$9,0))</f>
        <v>29.073853298455656</v>
      </c>
      <c r="S199" s="173">
        <f>IF($A$1="Peak","-",IF(BaseLoad!Y198&gt;BaseLoad!$G198,S$8*BaseLoad!$AM$9,0))</f>
        <v>29.073853298455656</v>
      </c>
      <c r="T199" s="173">
        <f>IF($A$1="Peak","-",IF(BaseLoad!Z198&gt;BaseLoad!$G198,T$8*BaseLoad!$AM$9,0))</f>
        <v>29.073853298455656</v>
      </c>
      <c r="U199" s="173">
        <f>IF($A$1="Peak","-",IF(BaseLoad!AA198&gt;BaseLoad!$G198,U$8*BaseLoad!$AM$9,0))</f>
        <v>79.953096570753061</v>
      </c>
      <c r="V199" s="173">
        <f t="shared" si="6"/>
        <v>530.5978226968158</v>
      </c>
      <c r="W199" s="173"/>
      <c r="X199" s="173"/>
      <c r="Y199" s="173"/>
    </row>
    <row r="200" spans="1:25" x14ac:dyDescent="0.2">
      <c r="A200" s="1">
        <f t="shared" si="7"/>
        <v>42319.230000000243</v>
      </c>
      <c r="B200" s="173">
        <f>IF($A$1="Peak","-",IF(BaseLoad!H199&gt;BaseLoad!$G199,B$8*BaseLoad!$AM$9,0))</f>
        <v>3.634231662306957</v>
      </c>
      <c r="C200" s="173">
        <f>IF($A$1="Peak","-",IF(BaseLoad!I199&gt;BaseLoad!$G199,C$8*BaseLoad!$AM$9,0))</f>
        <v>3.634231662306957</v>
      </c>
      <c r="D200" s="173">
        <f>IF($A$1="Peak","-",IF(BaseLoad!J199&gt;BaseLoad!$G199,D$8*BaseLoad!$AM$9,0))</f>
        <v>7.2684633246139141</v>
      </c>
      <c r="E200" s="173">
        <f>IF($A$1="Peak","-",IF(BaseLoad!K199&gt;BaseLoad!$G199,E$8*BaseLoad!$AM$9,0))</f>
        <v>14.536926649227828</v>
      </c>
      <c r="F200" s="173">
        <f>IF($A$1="Peak","-",IF(BaseLoad!L199&gt;BaseLoad!$G199,F$8*BaseLoad!$AM$9,0))</f>
        <v>14.536926649227828</v>
      </c>
      <c r="G200" s="173">
        <f>IF($A$1="Peak","-",IF(BaseLoad!M199&gt;BaseLoad!$G199,G$8*BaseLoad!$AM$9,0))</f>
        <v>29.073853298455656</v>
      </c>
      <c r="H200" s="173">
        <f>IF($A$1="Peak","-",IF(BaseLoad!N199&gt;BaseLoad!$G199,H$8*BaseLoad!$AM$9,0))</f>
        <v>29.073853298455656</v>
      </c>
      <c r="I200" s="173">
        <f>IF($A$1="Peak","-",IF(BaseLoad!O199&gt;BaseLoad!$G199,I$8*BaseLoad!$AM$9,0))</f>
        <v>29.073853298455656</v>
      </c>
      <c r="J200" s="173">
        <f>IF($A$1="Peak","-",IF(BaseLoad!P199&gt;BaseLoad!$G199,J$8*BaseLoad!$AM$9,0))</f>
        <v>29.073853298455656</v>
      </c>
      <c r="K200" s="173">
        <f>IF($A$1="Peak","-",IF(BaseLoad!Q199&gt;BaseLoad!$G199,K$8*BaseLoad!$AM$9,0))</f>
        <v>29.073853298455656</v>
      </c>
      <c r="L200" s="173">
        <f>IF($A$1="Peak","-",IF(BaseLoad!R199&gt;BaseLoad!$G199,L$8*BaseLoad!$AM$9,0))</f>
        <v>29.073853298455656</v>
      </c>
      <c r="M200" s="173">
        <f>IF($A$1="Peak","-",IF(BaseLoad!S199&gt;BaseLoad!$G199,M$8*BaseLoad!$AM$9,0))</f>
        <v>29.073853298455656</v>
      </c>
      <c r="N200" s="173">
        <f>IF($A$1="Peak","-",IF(BaseLoad!T199&gt;BaseLoad!$G199,N$8*BaseLoad!$AM$9,0))</f>
        <v>29.073853298455656</v>
      </c>
      <c r="O200" s="173">
        <f>IF($A$1="Peak","-",IF(BaseLoad!U199&gt;BaseLoad!$G199,O$8*BaseLoad!$AM$9,0))</f>
        <v>29.073853298455656</v>
      </c>
      <c r="P200" s="173">
        <f>IF($A$1="Peak","-",IF(BaseLoad!V199&gt;BaseLoad!$G199,P$8*BaseLoad!$AM$9,0))</f>
        <v>29.073853298455656</v>
      </c>
      <c r="Q200" s="173">
        <f>IF($A$1="Peak","-",IF(BaseLoad!W199&gt;BaseLoad!$G199,Q$8*BaseLoad!$AM$9,0))</f>
        <v>29.073853298455656</v>
      </c>
      <c r="R200" s="173">
        <f>IF($A$1="Peak","-",IF(BaseLoad!X199&gt;BaseLoad!$G199,R$8*BaseLoad!$AM$9,0))</f>
        <v>29.073853298455656</v>
      </c>
      <c r="S200" s="173">
        <f>IF($A$1="Peak","-",IF(BaseLoad!Y199&gt;BaseLoad!$G199,S$8*BaseLoad!$AM$9,0))</f>
        <v>29.073853298455656</v>
      </c>
      <c r="T200" s="173">
        <f>IF($A$1="Peak","-",IF(BaseLoad!Z199&gt;BaseLoad!$G199,T$8*BaseLoad!$AM$9,0))</f>
        <v>29.073853298455656</v>
      </c>
      <c r="U200" s="173">
        <f>IF($A$1="Peak","-",IF(BaseLoad!AA199&gt;BaseLoad!$G199,U$8*BaseLoad!$AM$9,0))</f>
        <v>79.953096570753061</v>
      </c>
      <c r="V200" s="173">
        <f t="shared" si="6"/>
        <v>530.5978226968158</v>
      </c>
      <c r="W200" s="173"/>
      <c r="X200" s="173"/>
      <c r="Y200" s="173"/>
    </row>
    <row r="201" spans="1:25" x14ac:dyDescent="0.2">
      <c r="A201" s="1">
        <f t="shared" si="7"/>
        <v>42349.647000000245</v>
      </c>
      <c r="B201" s="173">
        <f>IF($A$1="Peak","-",IF(BaseLoad!H200&gt;BaseLoad!$G200,B$8*BaseLoad!$AM$9,0))</f>
        <v>3.634231662306957</v>
      </c>
      <c r="C201" s="173">
        <f>IF($A$1="Peak","-",IF(BaseLoad!I200&gt;BaseLoad!$G200,C$8*BaseLoad!$AM$9,0))</f>
        <v>3.634231662306957</v>
      </c>
      <c r="D201" s="173">
        <f>IF($A$1="Peak","-",IF(BaseLoad!J200&gt;BaseLoad!$G200,D$8*BaseLoad!$AM$9,0))</f>
        <v>7.2684633246139141</v>
      </c>
      <c r="E201" s="173">
        <f>IF($A$1="Peak","-",IF(BaseLoad!K200&gt;BaseLoad!$G200,E$8*BaseLoad!$AM$9,0))</f>
        <v>14.536926649227828</v>
      </c>
      <c r="F201" s="173">
        <f>IF($A$1="Peak","-",IF(BaseLoad!L200&gt;BaseLoad!$G200,F$8*BaseLoad!$AM$9,0))</f>
        <v>14.536926649227828</v>
      </c>
      <c r="G201" s="173">
        <f>IF($A$1="Peak","-",IF(BaseLoad!M200&gt;BaseLoad!$G200,G$8*BaseLoad!$AM$9,0))</f>
        <v>29.073853298455656</v>
      </c>
      <c r="H201" s="173">
        <f>IF($A$1="Peak","-",IF(BaseLoad!N200&gt;BaseLoad!$G200,H$8*BaseLoad!$AM$9,0))</f>
        <v>29.073853298455656</v>
      </c>
      <c r="I201" s="173">
        <f>IF($A$1="Peak","-",IF(BaseLoad!O200&gt;BaseLoad!$G200,I$8*BaseLoad!$AM$9,0))</f>
        <v>29.073853298455656</v>
      </c>
      <c r="J201" s="173">
        <f>IF($A$1="Peak","-",IF(BaseLoad!P200&gt;BaseLoad!$G200,J$8*BaseLoad!$AM$9,0))</f>
        <v>29.073853298455656</v>
      </c>
      <c r="K201" s="173">
        <f>IF($A$1="Peak","-",IF(BaseLoad!Q200&gt;BaseLoad!$G200,K$8*BaseLoad!$AM$9,0))</f>
        <v>29.073853298455656</v>
      </c>
      <c r="L201" s="173">
        <f>IF($A$1="Peak","-",IF(BaseLoad!R200&gt;BaseLoad!$G200,L$8*BaseLoad!$AM$9,0))</f>
        <v>29.073853298455656</v>
      </c>
      <c r="M201" s="173">
        <f>IF($A$1="Peak","-",IF(BaseLoad!S200&gt;BaseLoad!$G200,M$8*BaseLoad!$AM$9,0))</f>
        <v>29.073853298455656</v>
      </c>
      <c r="N201" s="173">
        <f>IF($A$1="Peak","-",IF(BaseLoad!T200&gt;BaseLoad!$G200,N$8*BaseLoad!$AM$9,0))</f>
        <v>29.073853298455656</v>
      </c>
      <c r="O201" s="173">
        <f>IF($A$1="Peak","-",IF(BaseLoad!U200&gt;BaseLoad!$G200,O$8*BaseLoad!$AM$9,0))</f>
        <v>29.073853298455656</v>
      </c>
      <c r="P201" s="173">
        <f>IF($A$1="Peak","-",IF(BaseLoad!V200&gt;BaseLoad!$G200,P$8*BaseLoad!$AM$9,0))</f>
        <v>29.073853298455656</v>
      </c>
      <c r="Q201" s="173">
        <f>IF($A$1="Peak","-",IF(BaseLoad!W200&gt;BaseLoad!$G200,Q$8*BaseLoad!$AM$9,0))</f>
        <v>29.073853298455656</v>
      </c>
      <c r="R201" s="173">
        <f>IF($A$1="Peak","-",IF(BaseLoad!X200&gt;BaseLoad!$G200,R$8*BaseLoad!$AM$9,0))</f>
        <v>29.073853298455656</v>
      </c>
      <c r="S201" s="173">
        <f>IF($A$1="Peak","-",IF(BaseLoad!Y200&gt;BaseLoad!$G200,S$8*BaseLoad!$AM$9,0))</f>
        <v>29.073853298455656</v>
      </c>
      <c r="T201" s="173">
        <f>IF($A$1="Peak","-",IF(BaseLoad!Z200&gt;BaseLoad!$G200,T$8*BaseLoad!$AM$9,0))</f>
        <v>29.073853298455656</v>
      </c>
      <c r="U201" s="173">
        <f>IF($A$1="Peak","-",IF(BaseLoad!AA200&gt;BaseLoad!$G200,U$8*BaseLoad!$AM$9,0))</f>
        <v>79.953096570753061</v>
      </c>
      <c r="V201" s="173">
        <f t="shared" si="6"/>
        <v>530.5978226968158</v>
      </c>
      <c r="W201" s="173"/>
      <c r="X201" s="173"/>
      <c r="Y201" s="173">
        <f>SUM(V190:V201)</f>
        <v>6367.1738723617882</v>
      </c>
    </row>
    <row r="202" spans="1:25" x14ac:dyDescent="0.2">
      <c r="A202" s="1">
        <f t="shared" si="7"/>
        <v>42380.064000000246</v>
      </c>
      <c r="B202" s="173">
        <f>IF($A$1="Peak","-",IF(BaseLoad!H201&gt;BaseLoad!$G201,B$8*BaseLoad!$AM$9,0))</f>
        <v>3.634231662306957</v>
      </c>
      <c r="C202" s="173">
        <f>IF($A$1="Peak","-",IF(BaseLoad!I201&gt;BaseLoad!$G201,C$8*BaseLoad!$AM$9,0))</f>
        <v>3.634231662306957</v>
      </c>
      <c r="D202" s="173">
        <f>IF($A$1="Peak","-",IF(BaseLoad!J201&gt;BaseLoad!$G201,D$8*BaseLoad!$AM$9,0))</f>
        <v>7.2684633246139141</v>
      </c>
      <c r="E202" s="173">
        <f>IF($A$1="Peak","-",IF(BaseLoad!K201&gt;BaseLoad!$G201,E$8*BaseLoad!$AM$9,0))</f>
        <v>14.536926649227828</v>
      </c>
      <c r="F202" s="173">
        <f>IF($A$1="Peak","-",IF(BaseLoad!L201&gt;BaseLoad!$G201,F$8*BaseLoad!$AM$9,0))</f>
        <v>14.536926649227828</v>
      </c>
      <c r="G202" s="173">
        <f>IF($A$1="Peak","-",IF(BaseLoad!M201&gt;BaseLoad!$G201,G$8*BaseLoad!$AM$9,0))</f>
        <v>29.073853298455656</v>
      </c>
      <c r="H202" s="173">
        <f>IF($A$1="Peak","-",IF(BaseLoad!N201&gt;BaseLoad!$G201,H$8*BaseLoad!$AM$9,0))</f>
        <v>29.073853298455656</v>
      </c>
      <c r="I202" s="173">
        <f>IF($A$1="Peak","-",IF(BaseLoad!O201&gt;BaseLoad!$G201,I$8*BaseLoad!$AM$9,0))</f>
        <v>29.073853298455656</v>
      </c>
      <c r="J202" s="173">
        <f>IF($A$1="Peak","-",IF(BaseLoad!P201&gt;BaseLoad!$G201,J$8*BaseLoad!$AM$9,0))</f>
        <v>29.073853298455656</v>
      </c>
      <c r="K202" s="173">
        <f>IF($A$1="Peak","-",IF(BaseLoad!Q201&gt;BaseLoad!$G201,K$8*BaseLoad!$AM$9,0))</f>
        <v>29.073853298455656</v>
      </c>
      <c r="L202" s="173">
        <f>IF($A$1="Peak","-",IF(BaseLoad!R201&gt;BaseLoad!$G201,L$8*BaseLoad!$AM$9,0))</f>
        <v>29.073853298455656</v>
      </c>
      <c r="M202" s="173">
        <f>IF($A$1="Peak","-",IF(BaseLoad!S201&gt;BaseLoad!$G201,M$8*BaseLoad!$AM$9,0))</f>
        <v>29.073853298455656</v>
      </c>
      <c r="N202" s="173">
        <f>IF($A$1="Peak","-",IF(BaseLoad!T201&gt;BaseLoad!$G201,N$8*BaseLoad!$AM$9,0))</f>
        <v>29.073853298455656</v>
      </c>
      <c r="O202" s="173">
        <f>IF($A$1="Peak","-",IF(BaseLoad!U201&gt;BaseLoad!$G201,O$8*BaseLoad!$AM$9,0))</f>
        <v>29.073853298455656</v>
      </c>
      <c r="P202" s="173">
        <f>IF($A$1="Peak","-",IF(BaseLoad!V201&gt;BaseLoad!$G201,P$8*BaseLoad!$AM$9,0))</f>
        <v>29.073853298455656</v>
      </c>
      <c r="Q202" s="173">
        <f>IF($A$1="Peak","-",IF(BaseLoad!W201&gt;BaseLoad!$G201,Q$8*BaseLoad!$AM$9,0))</f>
        <v>29.073853298455656</v>
      </c>
      <c r="R202" s="173">
        <f>IF($A$1="Peak","-",IF(BaseLoad!X201&gt;BaseLoad!$G201,R$8*BaseLoad!$AM$9,0))</f>
        <v>29.073853298455656</v>
      </c>
      <c r="S202" s="173">
        <f>IF($A$1="Peak","-",IF(BaseLoad!Y201&gt;BaseLoad!$G201,S$8*BaseLoad!$AM$9,0))</f>
        <v>29.073853298455656</v>
      </c>
      <c r="T202" s="173">
        <f>IF($A$1="Peak","-",IF(BaseLoad!Z201&gt;BaseLoad!$G201,T$8*BaseLoad!$AM$9,0))</f>
        <v>29.073853298455656</v>
      </c>
      <c r="U202" s="173">
        <f>IF($A$1="Peak","-",IF(BaseLoad!AA201&gt;BaseLoad!$G201,U$8*BaseLoad!$AM$9,0))</f>
        <v>79.953096570753061</v>
      </c>
      <c r="V202" s="173">
        <f t="shared" si="6"/>
        <v>530.5978226968158</v>
      </c>
      <c r="W202" s="173"/>
      <c r="X202" s="173"/>
      <c r="Y202" s="173"/>
    </row>
    <row r="203" spans="1:25" x14ac:dyDescent="0.2">
      <c r="A203" s="1">
        <f t="shared" si="7"/>
        <v>42410.481000000247</v>
      </c>
      <c r="B203" s="173">
        <f>IF($A$1="Peak","-",IF(BaseLoad!H202&gt;BaseLoad!$G202,B$8*BaseLoad!$AM$9,0))</f>
        <v>3.634231662306957</v>
      </c>
      <c r="C203" s="173">
        <f>IF($A$1="Peak","-",IF(BaseLoad!I202&gt;BaseLoad!$G202,C$8*BaseLoad!$AM$9,0))</f>
        <v>3.634231662306957</v>
      </c>
      <c r="D203" s="173">
        <f>IF($A$1="Peak","-",IF(BaseLoad!J202&gt;BaseLoad!$G202,D$8*BaseLoad!$AM$9,0))</f>
        <v>7.2684633246139141</v>
      </c>
      <c r="E203" s="173">
        <f>IF($A$1="Peak","-",IF(BaseLoad!K202&gt;BaseLoad!$G202,E$8*BaseLoad!$AM$9,0))</f>
        <v>14.536926649227828</v>
      </c>
      <c r="F203" s="173">
        <f>IF($A$1="Peak","-",IF(BaseLoad!L202&gt;BaseLoad!$G202,F$8*BaseLoad!$AM$9,0))</f>
        <v>14.536926649227828</v>
      </c>
      <c r="G203" s="173">
        <f>IF($A$1="Peak","-",IF(BaseLoad!M202&gt;BaseLoad!$G202,G$8*BaseLoad!$AM$9,0))</f>
        <v>29.073853298455656</v>
      </c>
      <c r="H203" s="173">
        <f>IF($A$1="Peak","-",IF(BaseLoad!N202&gt;BaseLoad!$G202,H$8*BaseLoad!$AM$9,0))</f>
        <v>29.073853298455656</v>
      </c>
      <c r="I203" s="173">
        <f>IF($A$1="Peak","-",IF(BaseLoad!O202&gt;BaseLoad!$G202,I$8*BaseLoad!$AM$9,0))</f>
        <v>29.073853298455656</v>
      </c>
      <c r="J203" s="173">
        <f>IF($A$1="Peak","-",IF(BaseLoad!P202&gt;BaseLoad!$G202,J$8*BaseLoad!$AM$9,0))</f>
        <v>29.073853298455656</v>
      </c>
      <c r="K203" s="173">
        <f>IF($A$1="Peak","-",IF(BaseLoad!Q202&gt;BaseLoad!$G202,K$8*BaseLoad!$AM$9,0))</f>
        <v>29.073853298455656</v>
      </c>
      <c r="L203" s="173">
        <f>IF($A$1="Peak","-",IF(BaseLoad!R202&gt;BaseLoad!$G202,L$8*BaseLoad!$AM$9,0))</f>
        <v>29.073853298455656</v>
      </c>
      <c r="M203" s="173">
        <f>IF($A$1="Peak","-",IF(BaseLoad!S202&gt;BaseLoad!$G202,M$8*BaseLoad!$AM$9,0))</f>
        <v>29.073853298455656</v>
      </c>
      <c r="N203" s="173">
        <f>IF($A$1="Peak","-",IF(BaseLoad!T202&gt;BaseLoad!$G202,N$8*BaseLoad!$AM$9,0))</f>
        <v>29.073853298455656</v>
      </c>
      <c r="O203" s="173">
        <f>IF($A$1="Peak","-",IF(BaseLoad!U202&gt;BaseLoad!$G202,O$8*BaseLoad!$AM$9,0))</f>
        <v>29.073853298455656</v>
      </c>
      <c r="P203" s="173">
        <f>IF($A$1="Peak","-",IF(BaseLoad!V202&gt;BaseLoad!$G202,P$8*BaseLoad!$AM$9,0))</f>
        <v>29.073853298455656</v>
      </c>
      <c r="Q203" s="173">
        <f>IF($A$1="Peak","-",IF(BaseLoad!W202&gt;BaseLoad!$G202,Q$8*BaseLoad!$AM$9,0))</f>
        <v>29.073853298455656</v>
      </c>
      <c r="R203" s="173">
        <f>IF($A$1="Peak","-",IF(BaseLoad!X202&gt;BaseLoad!$G202,R$8*BaseLoad!$AM$9,0))</f>
        <v>29.073853298455656</v>
      </c>
      <c r="S203" s="173">
        <f>IF($A$1="Peak","-",IF(BaseLoad!Y202&gt;BaseLoad!$G202,S$8*BaseLoad!$AM$9,0))</f>
        <v>29.073853298455656</v>
      </c>
      <c r="T203" s="173">
        <f>IF($A$1="Peak","-",IF(BaseLoad!Z202&gt;BaseLoad!$G202,T$8*BaseLoad!$AM$9,0))</f>
        <v>29.073853298455656</v>
      </c>
      <c r="U203" s="173">
        <f>IF($A$1="Peak","-",IF(BaseLoad!AA202&gt;BaseLoad!$G202,U$8*BaseLoad!$AM$9,0))</f>
        <v>79.953096570753061</v>
      </c>
      <c r="V203" s="173">
        <f t="shared" ref="V203:V249" si="8">SUM(B203:U203)</f>
        <v>530.5978226968158</v>
      </c>
      <c r="W203" s="173"/>
      <c r="X203" s="173"/>
      <c r="Y203" s="173"/>
    </row>
    <row r="204" spans="1:25" x14ac:dyDescent="0.2">
      <c r="A204" s="1">
        <f t="shared" ref="A204:A249" si="9">A203+30.417</f>
        <v>42440.898000000248</v>
      </c>
      <c r="B204" s="173">
        <f>IF($A$1="Peak","-",IF(BaseLoad!H203&gt;BaseLoad!$G203,B$8*BaseLoad!$AM$9,0))</f>
        <v>3.634231662306957</v>
      </c>
      <c r="C204" s="173">
        <f>IF($A$1="Peak","-",IF(BaseLoad!I203&gt;BaseLoad!$G203,C$8*BaseLoad!$AM$9,0))</f>
        <v>3.634231662306957</v>
      </c>
      <c r="D204" s="173">
        <f>IF($A$1="Peak","-",IF(BaseLoad!J203&gt;BaseLoad!$G203,D$8*BaseLoad!$AM$9,0))</f>
        <v>7.2684633246139141</v>
      </c>
      <c r="E204" s="173">
        <f>IF($A$1="Peak","-",IF(BaseLoad!K203&gt;BaseLoad!$G203,E$8*BaseLoad!$AM$9,0))</f>
        <v>14.536926649227828</v>
      </c>
      <c r="F204" s="173">
        <f>IF($A$1="Peak","-",IF(BaseLoad!L203&gt;BaseLoad!$G203,F$8*BaseLoad!$AM$9,0))</f>
        <v>14.536926649227828</v>
      </c>
      <c r="G204" s="173">
        <f>IF($A$1="Peak","-",IF(BaseLoad!M203&gt;BaseLoad!$G203,G$8*BaseLoad!$AM$9,0))</f>
        <v>29.073853298455656</v>
      </c>
      <c r="H204" s="173">
        <f>IF($A$1="Peak","-",IF(BaseLoad!N203&gt;BaseLoad!$G203,H$8*BaseLoad!$AM$9,0))</f>
        <v>29.073853298455656</v>
      </c>
      <c r="I204" s="173">
        <f>IF($A$1="Peak","-",IF(BaseLoad!O203&gt;BaseLoad!$G203,I$8*BaseLoad!$AM$9,0))</f>
        <v>29.073853298455656</v>
      </c>
      <c r="J204" s="173">
        <f>IF($A$1="Peak","-",IF(BaseLoad!P203&gt;BaseLoad!$G203,J$8*BaseLoad!$AM$9,0))</f>
        <v>29.073853298455656</v>
      </c>
      <c r="K204" s="173">
        <f>IF($A$1="Peak","-",IF(BaseLoad!Q203&gt;BaseLoad!$G203,K$8*BaseLoad!$AM$9,0))</f>
        <v>29.073853298455656</v>
      </c>
      <c r="L204" s="173">
        <f>IF($A$1="Peak","-",IF(BaseLoad!R203&gt;BaseLoad!$G203,L$8*BaseLoad!$AM$9,0))</f>
        <v>29.073853298455656</v>
      </c>
      <c r="M204" s="173">
        <f>IF($A$1="Peak","-",IF(BaseLoad!S203&gt;BaseLoad!$G203,M$8*BaseLoad!$AM$9,0))</f>
        <v>29.073853298455656</v>
      </c>
      <c r="N204" s="173">
        <f>IF($A$1="Peak","-",IF(BaseLoad!T203&gt;BaseLoad!$G203,N$8*BaseLoad!$AM$9,0))</f>
        <v>29.073853298455656</v>
      </c>
      <c r="O204" s="173">
        <f>IF($A$1="Peak","-",IF(BaseLoad!U203&gt;BaseLoad!$G203,O$8*BaseLoad!$AM$9,0))</f>
        <v>29.073853298455656</v>
      </c>
      <c r="P204" s="173">
        <f>IF($A$1="Peak","-",IF(BaseLoad!V203&gt;BaseLoad!$G203,P$8*BaseLoad!$AM$9,0))</f>
        <v>29.073853298455656</v>
      </c>
      <c r="Q204" s="173">
        <f>IF($A$1="Peak","-",IF(BaseLoad!W203&gt;BaseLoad!$G203,Q$8*BaseLoad!$AM$9,0))</f>
        <v>29.073853298455656</v>
      </c>
      <c r="R204" s="173">
        <f>IF($A$1="Peak","-",IF(BaseLoad!X203&gt;BaseLoad!$G203,R$8*BaseLoad!$AM$9,0))</f>
        <v>29.073853298455656</v>
      </c>
      <c r="S204" s="173">
        <f>IF($A$1="Peak","-",IF(BaseLoad!Y203&gt;BaseLoad!$G203,S$8*BaseLoad!$AM$9,0))</f>
        <v>29.073853298455656</v>
      </c>
      <c r="T204" s="173">
        <f>IF($A$1="Peak","-",IF(BaseLoad!Z203&gt;BaseLoad!$G203,T$8*BaseLoad!$AM$9,0))</f>
        <v>29.073853298455656</v>
      </c>
      <c r="U204" s="173">
        <f>IF($A$1="Peak","-",IF(BaseLoad!AA203&gt;BaseLoad!$G203,U$8*BaseLoad!$AM$9,0))</f>
        <v>79.953096570753061</v>
      </c>
      <c r="V204" s="173">
        <f t="shared" si="8"/>
        <v>530.5978226968158</v>
      </c>
      <c r="W204" s="173"/>
      <c r="X204" s="173"/>
      <c r="Y204" s="173"/>
    </row>
    <row r="205" spans="1:25" x14ac:dyDescent="0.2">
      <c r="A205" s="1">
        <f t="shared" si="9"/>
        <v>42471.31500000025</v>
      </c>
      <c r="B205" s="173">
        <f>IF($A$1="Peak","-",IF(BaseLoad!H204&gt;BaseLoad!$G204,B$8*BaseLoad!$AM$9,0))</f>
        <v>3.634231662306957</v>
      </c>
      <c r="C205" s="173">
        <f>IF($A$1="Peak","-",IF(BaseLoad!I204&gt;BaseLoad!$G204,C$8*BaseLoad!$AM$9,0))</f>
        <v>3.634231662306957</v>
      </c>
      <c r="D205" s="173">
        <f>IF($A$1="Peak","-",IF(BaseLoad!J204&gt;BaseLoad!$G204,D$8*BaseLoad!$AM$9,0))</f>
        <v>7.2684633246139141</v>
      </c>
      <c r="E205" s="173">
        <f>IF($A$1="Peak","-",IF(BaseLoad!K204&gt;BaseLoad!$G204,E$8*BaseLoad!$AM$9,0))</f>
        <v>14.536926649227828</v>
      </c>
      <c r="F205" s="173">
        <f>IF($A$1="Peak","-",IF(BaseLoad!L204&gt;BaseLoad!$G204,F$8*BaseLoad!$AM$9,0))</f>
        <v>14.536926649227828</v>
      </c>
      <c r="G205" s="173">
        <f>IF($A$1="Peak","-",IF(BaseLoad!M204&gt;BaseLoad!$G204,G$8*BaseLoad!$AM$9,0))</f>
        <v>29.073853298455656</v>
      </c>
      <c r="H205" s="173">
        <f>IF($A$1="Peak","-",IF(BaseLoad!N204&gt;BaseLoad!$G204,H$8*BaseLoad!$AM$9,0))</f>
        <v>29.073853298455656</v>
      </c>
      <c r="I205" s="173">
        <f>IF($A$1="Peak","-",IF(BaseLoad!O204&gt;BaseLoad!$G204,I$8*BaseLoad!$AM$9,0))</f>
        <v>29.073853298455656</v>
      </c>
      <c r="J205" s="173">
        <f>IF($A$1="Peak","-",IF(BaseLoad!P204&gt;BaseLoad!$G204,J$8*BaseLoad!$AM$9,0))</f>
        <v>29.073853298455656</v>
      </c>
      <c r="K205" s="173">
        <f>IF($A$1="Peak","-",IF(BaseLoad!Q204&gt;BaseLoad!$G204,K$8*BaseLoad!$AM$9,0))</f>
        <v>29.073853298455656</v>
      </c>
      <c r="L205" s="173">
        <f>IF($A$1="Peak","-",IF(BaseLoad!R204&gt;BaseLoad!$G204,L$8*BaseLoad!$AM$9,0))</f>
        <v>29.073853298455656</v>
      </c>
      <c r="M205" s="173">
        <f>IF($A$1="Peak","-",IF(BaseLoad!S204&gt;BaseLoad!$G204,M$8*BaseLoad!$AM$9,0))</f>
        <v>29.073853298455656</v>
      </c>
      <c r="N205" s="173">
        <f>IF($A$1="Peak","-",IF(BaseLoad!T204&gt;BaseLoad!$G204,N$8*BaseLoad!$AM$9,0))</f>
        <v>29.073853298455656</v>
      </c>
      <c r="O205" s="173">
        <f>IF($A$1="Peak","-",IF(BaseLoad!U204&gt;BaseLoad!$G204,O$8*BaseLoad!$AM$9,0))</f>
        <v>29.073853298455656</v>
      </c>
      <c r="P205" s="173">
        <f>IF($A$1="Peak","-",IF(BaseLoad!V204&gt;BaseLoad!$G204,P$8*BaseLoad!$AM$9,0))</f>
        <v>29.073853298455656</v>
      </c>
      <c r="Q205" s="173">
        <f>IF($A$1="Peak","-",IF(BaseLoad!W204&gt;BaseLoad!$G204,Q$8*BaseLoad!$AM$9,0))</f>
        <v>29.073853298455656</v>
      </c>
      <c r="R205" s="173">
        <f>IF($A$1="Peak","-",IF(BaseLoad!X204&gt;BaseLoad!$G204,R$8*BaseLoad!$AM$9,0))</f>
        <v>29.073853298455656</v>
      </c>
      <c r="S205" s="173">
        <f>IF($A$1="Peak","-",IF(BaseLoad!Y204&gt;BaseLoad!$G204,S$8*BaseLoad!$AM$9,0))</f>
        <v>29.073853298455656</v>
      </c>
      <c r="T205" s="173">
        <f>IF($A$1="Peak","-",IF(BaseLoad!Z204&gt;BaseLoad!$G204,T$8*BaseLoad!$AM$9,0))</f>
        <v>29.073853298455656</v>
      </c>
      <c r="U205" s="173">
        <f>IF($A$1="Peak","-",IF(BaseLoad!AA204&gt;BaseLoad!$G204,U$8*BaseLoad!$AM$9,0))</f>
        <v>79.953096570753061</v>
      </c>
      <c r="V205" s="173">
        <f t="shared" si="8"/>
        <v>530.5978226968158</v>
      </c>
      <c r="W205" s="173"/>
      <c r="X205" s="173"/>
      <c r="Y205" s="173"/>
    </row>
    <row r="206" spans="1:25" x14ac:dyDescent="0.2">
      <c r="A206" s="1">
        <f t="shared" si="9"/>
        <v>42501.732000000251</v>
      </c>
      <c r="B206" s="173">
        <f>IF($A$1="Peak","-",IF(BaseLoad!H205&gt;BaseLoad!$G205,B$8*BaseLoad!$AM$9,0))</f>
        <v>3.634231662306957</v>
      </c>
      <c r="C206" s="173">
        <f>IF($A$1="Peak","-",IF(BaseLoad!I205&gt;BaseLoad!$G205,C$8*BaseLoad!$AM$9,0))</f>
        <v>3.634231662306957</v>
      </c>
      <c r="D206" s="173">
        <f>IF($A$1="Peak","-",IF(BaseLoad!J205&gt;BaseLoad!$G205,D$8*BaseLoad!$AM$9,0))</f>
        <v>7.2684633246139141</v>
      </c>
      <c r="E206" s="173">
        <f>IF($A$1="Peak","-",IF(BaseLoad!K205&gt;BaseLoad!$G205,E$8*BaseLoad!$AM$9,0))</f>
        <v>14.536926649227828</v>
      </c>
      <c r="F206" s="173">
        <f>IF($A$1="Peak","-",IF(BaseLoad!L205&gt;BaseLoad!$G205,F$8*BaseLoad!$AM$9,0))</f>
        <v>14.536926649227828</v>
      </c>
      <c r="G206" s="173">
        <f>IF($A$1="Peak","-",IF(BaseLoad!M205&gt;BaseLoad!$G205,G$8*BaseLoad!$AM$9,0))</f>
        <v>29.073853298455656</v>
      </c>
      <c r="H206" s="173">
        <f>IF($A$1="Peak","-",IF(BaseLoad!N205&gt;BaseLoad!$G205,H$8*BaseLoad!$AM$9,0))</f>
        <v>29.073853298455656</v>
      </c>
      <c r="I206" s="173">
        <f>IF($A$1="Peak","-",IF(BaseLoad!O205&gt;BaseLoad!$G205,I$8*BaseLoad!$AM$9,0))</f>
        <v>29.073853298455656</v>
      </c>
      <c r="J206" s="173">
        <f>IF($A$1="Peak","-",IF(BaseLoad!P205&gt;BaseLoad!$G205,J$8*BaseLoad!$AM$9,0))</f>
        <v>29.073853298455656</v>
      </c>
      <c r="K206" s="173">
        <f>IF($A$1="Peak","-",IF(BaseLoad!Q205&gt;BaseLoad!$G205,K$8*BaseLoad!$AM$9,0))</f>
        <v>29.073853298455656</v>
      </c>
      <c r="L206" s="173">
        <f>IF($A$1="Peak","-",IF(BaseLoad!R205&gt;BaseLoad!$G205,L$8*BaseLoad!$AM$9,0))</f>
        <v>29.073853298455656</v>
      </c>
      <c r="M206" s="173">
        <f>IF($A$1="Peak","-",IF(BaseLoad!S205&gt;BaseLoad!$G205,M$8*BaseLoad!$AM$9,0))</f>
        <v>29.073853298455656</v>
      </c>
      <c r="N206" s="173">
        <f>IF($A$1="Peak","-",IF(BaseLoad!T205&gt;BaseLoad!$G205,N$8*BaseLoad!$AM$9,0))</f>
        <v>29.073853298455656</v>
      </c>
      <c r="O206" s="173">
        <f>IF($A$1="Peak","-",IF(BaseLoad!U205&gt;BaseLoad!$G205,O$8*BaseLoad!$AM$9,0))</f>
        <v>29.073853298455656</v>
      </c>
      <c r="P206" s="173">
        <f>IF($A$1="Peak","-",IF(BaseLoad!V205&gt;BaseLoad!$G205,P$8*BaseLoad!$AM$9,0))</f>
        <v>29.073853298455656</v>
      </c>
      <c r="Q206" s="173">
        <f>IF($A$1="Peak","-",IF(BaseLoad!W205&gt;BaseLoad!$G205,Q$8*BaseLoad!$AM$9,0))</f>
        <v>29.073853298455656</v>
      </c>
      <c r="R206" s="173">
        <f>IF($A$1="Peak","-",IF(BaseLoad!X205&gt;BaseLoad!$G205,R$8*BaseLoad!$AM$9,0))</f>
        <v>29.073853298455656</v>
      </c>
      <c r="S206" s="173">
        <f>IF($A$1="Peak","-",IF(BaseLoad!Y205&gt;BaseLoad!$G205,S$8*BaseLoad!$AM$9,0))</f>
        <v>29.073853298455656</v>
      </c>
      <c r="T206" s="173">
        <f>IF($A$1="Peak","-",IF(BaseLoad!Z205&gt;BaseLoad!$G205,T$8*BaseLoad!$AM$9,0))</f>
        <v>29.073853298455656</v>
      </c>
      <c r="U206" s="173">
        <f>IF($A$1="Peak","-",IF(BaseLoad!AA205&gt;BaseLoad!$G205,U$8*BaseLoad!$AM$9,0))</f>
        <v>79.953096570753061</v>
      </c>
      <c r="V206" s="173">
        <f t="shared" si="8"/>
        <v>530.5978226968158</v>
      </c>
      <c r="W206" s="173"/>
      <c r="X206" s="173"/>
      <c r="Y206" s="173"/>
    </row>
    <row r="207" spans="1:25" x14ac:dyDescent="0.2">
      <c r="A207" s="1">
        <f t="shared" si="9"/>
        <v>42532.149000000252</v>
      </c>
      <c r="B207" s="173">
        <f>IF($A$1="Peak","-",IF(BaseLoad!H206&gt;BaseLoad!$G206,B$8*BaseLoad!$AM$9,0))</f>
        <v>3.634231662306957</v>
      </c>
      <c r="C207" s="173">
        <f>IF($A$1="Peak","-",IF(BaseLoad!I206&gt;BaseLoad!$G206,C$8*BaseLoad!$AM$9,0))</f>
        <v>3.634231662306957</v>
      </c>
      <c r="D207" s="173">
        <f>IF($A$1="Peak","-",IF(BaseLoad!J206&gt;BaseLoad!$G206,D$8*BaseLoad!$AM$9,0))</f>
        <v>7.2684633246139141</v>
      </c>
      <c r="E207" s="173">
        <f>IF($A$1="Peak","-",IF(BaseLoad!K206&gt;BaseLoad!$G206,E$8*BaseLoad!$AM$9,0))</f>
        <v>14.536926649227828</v>
      </c>
      <c r="F207" s="173">
        <f>IF($A$1="Peak","-",IF(BaseLoad!L206&gt;BaseLoad!$G206,F$8*BaseLoad!$AM$9,0))</f>
        <v>14.536926649227828</v>
      </c>
      <c r="G207" s="173">
        <f>IF($A$1="Peak","-",IF(BaseLoad!M206&gt;BaseLoad!$G206,G$8*BaseLoad!$AM$9,0))</f>
        <v>29.073853298455656</v>
      </c>
      <c r="H207" s="173">
        <f>IF($A$1="Peak","-",IF(BaseLoad!N206&gt;BaseLoad!$G206,H$8*BaseLoad!$AM$9,0))</f>
        <v>29.073853298455656</v>
      </c>
      <c r="I207" s="173">
        <f>IF($A$1="Peak","-",IF(BaseLoad!O206&gt;BaseLoad!$G206,I$8*BaseLoad!$AM$9,0))</f>
        <v>29.073853298455656</v>
      </c>
      <c r="J207" s="173">
        <f>IF($A$1="Peak","-",IF(BaseLoad!P206&gt;BaseLoad!$G206,J$8*BaseLoad!$AM$9,0))</f>
        <v>29.073853298455656</v>
      </c>
      <c r="K207" s="173">
        <f>IF($A$1="Peak","-",IF(BaseLoad!Q206&gt;BaseLoad!$G206,K$8*BaseLoad!$AM$9,0))</f>
        <v>29.073853298455656</v>
      </c>
      <c r="L207" s="173">
        <f>IF($A$1="Peak","-",IF(BaseLoad!R206&gt;BaseLoad!$G206,L$8*BaseLoad!$AM$9,0))</f>
        <v>29.073853298455656</v>
      </c>
      <c r="M207" s="173">
        <f>IF($A$1="Peak","-",IF(BaseLoad!S206&gt;BaseLoad!$G206,M$8*BaseLoad!$AM$9,0))</f>
        <v>29.073853298455656</v>
      </c>
      <c r="N207" s="173">
        <f>IF($A$1="Peak","-",IF(BaseLoad!T206&gt;BaseLoad!$G206,N$8*BaseLoad!$AM$9,0))</f>
        <v>29.073853298455656</v>
      </c>
      <c r="O207" s="173">
        <f>IF($A$1="Peak","-",IF(BaseLoad!U206&gt;BaseLoad!$G206,O$8*BaseLoad!$AM$9,0))</f>
        <v>29.073853298455656</v>
      </c>
      <c r="P207" s="173">
        <f>IF($A$1="Peak","-",IF(BaseLoad!V206&gt;BaseLoad!$G206,P$8*BaseLoad!$AM$9,0))</f>
        <v>29.073853298455656</v>
      </c>
      <c r="Q207" s="173">
        <f>IF($A$1="Peak","-",IF(BaseLoad!W206&gt;BaseLoad!$G206,Q$8*BaseLoad!$AM$9,0))</f>
        <v>29.073853298455656</v>
      </c>
      <c r="R207" s="173">
        <f>IF($A$1="Peak","-",IF(BaseLoad!X206&gt;BaseLoad!$G206,R$8*BaseLoad!$AM$9,0))</f>
        <v>29.073853298455656</v>
      </c>
      <c r="S207" s="173">
        <f>IF($A$1="Peak","-",IF(BaseLoad!Y206&gt;BaseLoad!$G206,S$8*BaseLoad!$AM$9,0))</f>
        <v>29.073853298455656</v>
      </c>
      <c r="T207" s="173">
        <f>IF($A$1="Peak","-",IF(BaseLoad!Z206&gt;BaseLoad!$G206,T$8*BaseLoad!$AM$9,0))</f>
        <v>29.073853298455656</v>
      </c>
      <c r="U207" s="173">
        <f>IF($A$1="Peak","-",IF(BaseLoad!AA206&gt;BaseLoad!$G206,U$8*BaseLoad!$AM$9,0))</f>
        <v>79.953096570753061</v>
      </c>
      <c r="V207" s="173">
        <f t="shared" si="8"/>
        <v>530.5978226968158</v>
      </c>
      <c r="W207" s="173"/>
      <c r="X207" s="173"/>
      <c r="Y207" s="173"/>
    </row>
    <row r="208" spans="1:25" x14ac:dyDescent="0.2">
      <c r="A208" s="1">
        <f t="shared" si="9"/>
        <v>42562.566000000254</v>
      </c>
      <c r="B208" s="173">
        <f>IF($A$1="Peak","-",IF(BaseLoad!H207&gt;BaseLoad!$G207,B$8*BaseLoad!$AM$9,0))</f>
        <v>3.634231662306957</v>
      </c>
      <c r="C208" s="173">
        <f>IF($A$1="Peak","-",IF(BaseLoad!I207&gt;BaseLoad!$G207,C$8*BaseLoad!$AM$9,0))</f>
        <v>3.634231662306957</v>
      </c>
      <c r="D208" s="173">
        <f>IF($A$1="Peak","-",IF(BaseLoad!J207&gt;BaseLoad!$G207,D$8*BaseLoad!$AM$9,0))</f>
        <v>7.2684633246139141</v>
      </c>
      <c r="E208" s="173">
        <f>IF($A$1="Peak","-",IF(BaseLoad!K207&gt;BaseLoad!$G207,E$8*BaseLoad!$AM$9,0))</f>
        <v>14.536926649227828</v>
      </c>
      <c r="F208" s="173">
        <f>IF($A$1="Peak","-",IF(BaseLoad!L207&gt;BaseLoad!$G207,F$8*BaseLoad!$AM$9,0))</f>
        <v>14.536926649227828</v>
      </c>
      <c r="G208" s="173">
        <f>IF($A$1="Peak","-",IF(BaseLoad!M207&gt;BaseLoad!$G207,G$8*BaseLoad!$AM$9,0))</f>
        <v>29.073853298455656</v>
      </c>
      <c r="H208" s="173">
        <f>IF($A$1="Peak","-",IF(BaseLoad!N207&gt;BaseLoad!$G207,H$8*BaseLoad!$AM$9,0))</f>
        <v>29.073853298455656</v>
      </c>
      <c r="I208" s="173">
        <f>IF($A$1="Peak","-",IF(BaseLoad!O207&gt;BaseLoad!$G207,I$8*BaseLoad!$AM$9,0))</f>
        <v>29.073853298455656</v>
      </c>
      <c r="J208" s="173">
        <f>IF($A$1="Peak","-",IF(BaseLoad!P207&gt;BaseLoad!$G207,J$8*BaseLoad!$AM$9,0))</f>
        <v>29.073853298455656</v>
      </c>
      <c r="K208" s="173">
        <f>IF($A$1="Peak","-",IF(BaseLoad!Q207&gt;BaseLoad!$G207,K$8*BaseLoad!$AM$9,0))</f>
        <v>29.073853298455656</v>
      </c>
      <c r="L208" s="173">
        <f>IF($A$1="Peak","-",IF(BaseLoad!R207&gt;BaseLoad!$G207,L$8*BaseLoad!$AM$9,0))</f>
        <v>29.073853298455656</v>
      </c>
      <c r="M208" s="173">
        <f>IF($A$1="Peak","-",IF(BaseLoad!S207&gt;BaseLoad!$G207,M$8*BaseLoad!$AM$9,0))</f>
        <v>29.073853298455656</v>
      </c>
      <c r="N208" s="173">
        <f>IF($A$1="Peak","-",IF(BaseLoad!T207&gt;BaseLoad!$G207,N$8*BaseLoad!$AM$9,0))</f>
        <v>29.073853298455656</v>
      </c>
      <c r="O208" s="173">
        <f>IF($A$1="Peak","-",IF(BaseLoad!U207&gt;BaseLoad!$G207,O$8*BaseLoad!$AM$9,0))</f>
        <v>29.073853298455656</v>
      </c>
      <c r="P208" s="173">
        <f>IF($A$1="Peak","-",IF(BaseLoad!V207&gt;BaseLoad!$G207,P$8*BaseLoad!$AM$9,0))</f>
        <v>29.073853298455656</v>
      </c>
      <c r="Q208" s="173">
        <f>IF($A$1="Peak","-",IF(BaseLoad!W207&gt;BaseLoad!$G207,Q$8*BaseLoad!$AM$9,0))</f>
        <v>29.073853298455656</v>
      </c>
      <c r="R208" s="173">
        <f>IF($A$1="Peak","-",IF(BaseLoad!X207&gt;BaseLoad!$G207,R$8*BaseLoad!$AM$9,0))</f>
        <v>29.073853298455656</v>
      </c>
      <c r="S208" s="173">
        <f>IF($A$1="Peak","-",IF(BaseLoad!Y207&gt;BaseLoad!$G207,S$8*BaseLoad!$AM$9,0))</f>
        <v>29.073853298455656</v>
      </c>
      <c r="T208" s="173">
        <f>IF($A$1="Peak","-",IF(BaseLoad!Z207&gt;BaseLoad!$G207,T$8*BaseLoad!$AM$9,0))</f>
        <v>29.073853298455656</v>
      </c>
      <c r="U208" s="173">
        <f>IF($A$1="Peak","-",IF(BaseLoad!AA207&gt;BaseLoad!$G207,U$8*BaseLoad!$AM$9,0))</f>
        <v>79.953096570753061</v>
      </c>
      <c r="V208" s="173">
        <f t="shared" si="8"/>
        <v>530.5978226968158</v>
      </c>
      <c r="W208" s="173"/>
      <c r="X208" s="173"/>
      <c r="Y208" s="173"/>
    </row>
    <row r="209" spans="1:25" x14ac:dyDescent="0.2">
      <c r="A209" s="1">
        <f t="shared" si="9"/>
        <v>42592.983000000255</v>
      </c>
      <c r="B209" s="173">
        <f>IF($A$1="Peak","-",IF(BaseLoad!H208&gt;BaseLoad!$G208,B$8*BaseLoad!$AM$9,0))</f>
        <v>3.634231662306957</v>
      </c>
      <c r="C209" s="173">
        <f>IF($A$1="Peak","-",IF(BaseLoad!I208&gt;BaseLoad!$G208,C$8*BaseLoad!$AM$9,0))</f>
        <v>3.634231662306957</v>
      </c>
      <c r="D209" s="173">
        <f>IF($A$1="Peak","-",IF(BaseLoad!J208&gt;BaseLoad!$G208,D$8*BaseLoad!$AM$9,0))</f>
        <v>7.2684633246139141</v>
      </c>
      <c r="E209" s="173">
        <f>IF($A$1="Peak","-",IF(BaseLoad!K208&gt;BaseLoad!$G208,E$8*BaseLoad!$AM$9,0))</f>
        <v>14.536926649227828</v>
      </c>
      <c r="F209" s="173">
        <f>IF($A$1="Peak","-",IF(BaseLoad!L208&gt;BaseLoad!$G208,F$8*BaseLoad!$AM$9,0))</f>
        <v>14.536926649227828</v>
      </c>
      <c r="G209" s="173">
        <f>IF($A$1="Peak","-",IF(BaseLoad!M208&gt;BaseLoad!$G208,G$8*BaseLoad!$AM$9,0))</f>
        <v>29.073853298455656</v>
      </c>
      <c r="H209" s="173">
        <f>IF($A$1="Peak","-",IF(BaseLoad!N208&gt;BaseLoad!$G208,H$8*BaseLoad!$AM$9,0))</f>
        <v>29.073853298455656</v>
      </c>
      <c r="I209" s="173">
        <f>IF($A$1="Peak","-",IF(BaseLoad!O208&gt;BaseLoad!$G208,I$8*BaseLoad!$AM$9,0))</f>
        <v>29.073853298455656</v>
      </c>
      <c r="J209" s="173">
        <f>IF($A$1="Peak","-",IF(BaseLoad!P208&gt;BaseLoad!$G208,J$8*BaseLoad!$AM$9,0))</f>
        <v>29.073853298455656</v>
      </c>
      <c r="K209" s="173">
        <f>IF($A$1="Peak","-",IF(BaseLoad!Q208&gt;BaseLoad!$G208,K$8*BaseLoad!$AM$9,0))</f>
        <v>29.073853298455656</v>
      </c>
      <c r="L209" s="173">
        <f>IF($A$1="Peak","-",IF(BaseLoad!R208&gt;BaseLoad!$G208,L$8*BaseLoad!$AM$9,0))</f>
        <v>29.073853298455656</v>
      </c>
      <c r="M209" s="173">
        <f>IF($A$1="Peak","-",IF(BaseLoad!S208&gt;BaseLoad!$G208,M$8*BaseLoad!$AM$9,0))</f>
        <v>29.073853298455656</v>
      </c>
      <c r="N209" s="173">
        <f>IF($A$1="Peak","-",IF(BaseLoad!T208&gt;BaseLoad!$G208,N$8*BaseLoad!$AM$9,0))</f>
        <v>29.073853298455656</v>
      </c>
      <c r="O209" s="173">
        <f>IF($A$1="Peak","-",IF(BaseLoad!U208&gt;BaseLoad!$G208,O$8*BaseLoad!$AM$9,0))</f>
        <v>29.073853298455656</v>
      </c>
      <c r="P209" s="173">
        <f>IF($A$1="Peak","-",IF(BaseLoad!V208&gt;BaseLoad!$G208,P$8*BaseLoad!$AM$9,0))</f>
        <v>29.073853298455656</v>
      </c>
      <c r="Q209" s="173">
        <f>IF($A$1="Peak","-",IF(BaseLoad!W208&gt;BaseLoad!$G208,Q$8*BaseLoad!$AM$9,0))</f>
        <v>29.073853298455656</v>
      </c>
      <c r="R209" s="173">
        <f>IF($A$1="Peak","-",IF(BaseLoad!X208&gt;BaseLoad!$G208,R$8*BaseLoad!$AM$9,0))</f>
        <v>29.073853298455656</v>
      </c>
      <c r="S209" s="173">
        <f>IF($A$1="Peak","-",IF(BaseLoad!Y208&gt;BaseLoad!$G208,S$8*BaseLoad!$AM$9,0))</f>
        <v>29.073853298455656</v>
      </c>
      <c r="T209" s="173">
        <f>IF($A$1="Peak","-",IF(BaseLoad!Z208&gt;BaseLoad!$G208,T$8*BaseLoad!$AM$9,0))</f>
        <v>29.073853298455656</v>
      </c>
      <c r="U209" s="173">
        <f>IF($A$1="Peak","-",IF(BaseLoad!AA208&gt;BaseLoad!$G208,U$8*BaseLoad!$AM$9,0))</f>
        <v>79.953096570753061</v>
      </c>
      <c r="V209" s="173">
        <f t="shared" si="8"/>
        <v>530.5978226968158</v>
      </c>
      <c r="W209" s="173"/>
      <c r="X209" s="173"/>
      <c r="Y209" s="173"/>
    </row>
    <row r="210" spans="1:25" x14ac:dyDescent="0.2">
      <c r="A210" s="1">
        <f t="shared" si="9"/>
        <v>42623.400000000256</v>
      </c>
      <c r="B210" s="173">
        <f>IF($A$1="Peak","-",IF(BaseLoad!H209&gt;BaseLoad!$G209,B$8*BaseLoad!$AM$9,0))</f>
        <v>3.634231662306957</v>
      </c>
      <c r="C210" s="173">
        <f>IF($A$1="Peak","-",IF(BaseLoad!I209&gt;BaseLoad!$G209,C$8*BaseLoad!$AM$9,0))</f>
        <v>3.634231662306957</v>
      </c>
      <c r="D210" s="173">
        <f>IF($A$1="Peak","-",IF(BaseLoad!J209&gt;BaseLoad!$G209,D$8*BaseLoad!$AM$9,0))</f>
        <v>7.2684633246139141</v>
      </c>
      <c r="E210" s="173">
        <f>IF($A$1="Peak","-",IF(BaseLoad!K209&gt;BaseLoad!$G209,E$8*BaseLoad!$AM$9,0))</f>
        <v>14.536926649227828</v>
      </c>
      <c r="F210" s="173">
        <f>IF($A$1="Peak","-",IF(BaseLoad!L209&gt;BaseLoad!$G209,F$8*BaseLoad!$AM$9,0))</f>
        <v>14.536926649227828</v>
      </c>
      <c r="G210" s="173">
        <f>IF($A$1="Peak","-",IF(BaseLoad!M209&gt;BaseLoad!$G209,G$8*BaseLoad!$AM$9,0))</f>
        <v>29.073853298455656</v>
      </c>
      <c r="H210" s="173">
        <f>IF($A$1="Peak","-",IF(BaseLoad!N209&gt;BaseLoad!$G209,H$8*BaseLoad!$AM$9,0))</f>
        <v>29.073853298455656</v>
      </c>
      <c r="I210" s="173">
        <f>IF($A$1="Peak","-",IF(BaseLoad!O209&gt;BaseLoad!$G209,I$8*BaseLoad!$AM$9,0))</f>
        <v>29.073853298455656</v>
      </c>
      <c r="J210" s="173">
        <f>IF($A$1="Peak","-",IF(BaseLoad!P209&gt;BaseLoad!$G209,J$8*BaseLoad!$AM$9,0))</f>
        <v>29.073853298455656</v>
      </c>
      <c r="K210" s="173">
        <f>IF($A$1="Peak","-",IF(BaseLoad!Q209&gt;BaseLoad!$G209,K$8*BaseLoad!$AM$9,0))</f>
        <v>29.073853298455656</v>
      </c>
      <c r="L210" s="173">
        <f>IF($A$1="Peak","-",IF(BaseLoad!R209&gt;BaseLoad!$G209,L$8*BaseLoad!$AM$9,0))</f>
        <v>29.073853298455656</v>
      </c>
      <c r="M210" s="173">
        <f>IF($A$1="Peak","-",IF(BaseLoad!S209&gt;BaseLoad!$G209,M$8*BaseLoad!$AM$9,0))</f>
        <v>29.073853298455656</v>
      </c>
      <c r="N210" s="173">
        <f>IF($A$1="Peak","-",IF(BaseLoad!T209&gt;BaseLoad!$G209,N$8*BaseLoad!$AM$9,0))</f>
        <v>29.073853298455656</v>
      </c>
      <c r="O210" s="173">
        <f>IF($A$1="Peak","-",IF(BaseLoad!U209&gt;BaseLoad!$G209,O$8*BaseLoad!$AM$9,0))</f>
        <v>29.073853298455656</v>
      </c>
      <c r="P210" s="173">
        <f>IF($A$1="Peak","-",IF(BaseLoad!V209&gt;BaseLoad!$G209,P$8*BaseLoad!$AM$9,0))</f>
        <v>29.073853298455656</v>
      </c>
      <c r="Q210" s="173">
        <f>IF($A$1="Peak","-",IF(BaseLoad!W209&gt;BaseLoad!$G209,Q$8*BaseLoad!$AM$9,0))</f>
        <v>29.073853298455656</v>
      </c>
      <c r="R210" s="173">
        <f>IF($A$1="Peak","-",IF(BaseLoad!X209&gt;BaseLoad!$G209,R$8*BaseLoad!$AM$9,0))</f>
        <v>29.073853298455656</v>
      </c>
      <c r="S210" s="173">
        <f>IF($A$1="Peak","-",IF(BaseLoad!Y209&gt;BaseLoad!$G209,S$8*BaseLoad!$AM$9,0))</f>
        <v>29.073853298455656</v>
      </c>
      <c r="T210" s="173">
        <f>IF($A$1="Peak","-",IF(BaseLoad!Z209&gt;BaseLoad!$G209,T$8*BaseLoad!$AM$9,0))</f>
        <v>29.073853298455656</v>
      </c>
      <c r="U210" s="173">
        <f>IF($A$1="Peak","-",IF(BaseLoad!AA209&gt;BaseLoad!$G209,U$8*BaseLoad!$AM$9,0))</f>
        <v>79.953096570753061</v>
      </c>
      <c r="V210" s="173">
        <f t="shared" si="8"/>
        <v>530.5978226968158</v>
      </c>
      <c r="W210" s="173"/>
      <c r="X210" s="173"/>
      <c r="Y210" s="173"/>
    </row>
    <row r="211" spans="1:25" x14ac:dyDescent="0.2">
      <c r="A211" s="1">
        <f t="shared" si="9"/>
        <v>42653.817000000257</v>
      </c>
      <c r="B211" s="173">
        <f>IF($A$1="Peak","-",IF(BaseLoad!H210&gt;BaseLoad!$G210,B$8*BaseLoad!$AM$9,0))</f>
        <v>3.634231662306957</v>
      </c>
      <c r="C211" s="173">
        <f>IF($A$1="Peak","-",IF(BaseLoad!I210&gt;BaseLoad!$G210,C$8*BaseLoad!$AM$9,0))</f>
        <v>3.634231662306957</v>
      </c>
      <c r="D211" s="173">
        <f>IF($A$1="Peak","-",IF(BaseLoad!J210&gt;BaseLoad!$G210,D$8*BaseLoad!$AM$9,0))</f>
        <v>7.2684633246139141</v>
      </c>
      <c r="E211" s="173">
        <f>IF($A$1="Peak","-",IF(BaseLoad!K210&gt;BaseLoad!$G210,E$8*BaseLoad!$AM$9,0))</f>
        <v>14.536926649227828</v>
      </c>
      <c r="F211" s="173">
        <f>IF($A$1="Peak","-",IF(BaseLoad!L210&gt;BaseLoad!$G210,F$8*BaseLoad!$AM$9,0))</f>
        <v>14.536926649227828</v>
      </c>
      <c r="G211" s="173">
        <f>IF($A$1="Peak","-",IF(BaseLoad!M210&gt;BaseLoad!$G210,G$8*BaseLoad!$AM$9,0))</f>
        <v>29.073853298455656</v>
      </c>
      <c r="H211" s="173">
        <f>IF($A$1="Peak","-",IF(BaseLoad!N210&gt;BaseLoad!$G210,H$8*BaseLoad!$AM$9,0))</f>
        <v>29.073853298455656</v>
      </c>
      <c r="I211" s="173">
        <f>IF($A$1="Peak","-",IF(BaseLoad!O210&gt;BaseLoad!$G210,I$8*BaseLoad!$AM$9,0))</f>
        <v>29.073853298455656</v>
      </c>
      <c r="J211" s="173">
        <f>IF($A$1="Peak","-",IF(BaseLoad!P210&gt;BaseLoad!$G210,J$8*BaseLoad!$AM$9,0))</f>
        <v>29.073853298455656</v>
      </c>
      <c r="K211" s="173">
        <f>IF($A$1="Peak","-",IF(BaseLoad!Q210&gt;BaseLoad!$G210,K$8*BaseLoad!$AM$9,0))</f>
        <v>29.073853298455656</v>
      </c>
      <c r="L211" s="173">
        <f>IF($A$1="Peak","-",IF(BaseLoad!R210&gt;BaseLoad!$G210,L$8*BaseLoad!$AM$9,0))</f>
        <v>29.073853298455656</v>
      </c>
      <c r="M211" s="173">
        <f>IF($A$1="Peak","-",IF(BaseLoad!S210&gt;BaseLoad!$G210,M$8*BaseLoad!$AM$9,0))</f>
        <v>29.073853298455656</v>
      </c>
      <c r="N211" s="173">
        <f>IF($A$1="Peak","-",IF(BaseLoad!T210&gt;BaseLoad!$G210,N$8*BaseLoad!$AM$9,0))</f>
        <v>29.073853298455656</v>
      </c>
      <c r="O211" s="173">
        <f>IF($A$1="Peak","-",IF(BaseLoad!U210&gt;BaseLoad!$G210,O$8*BaseLoad!$AM$9,0))</f>
        <v>29.073853298455656</v>
      </c>
      <c r="P211" s="173">
        <f>IF($A$1="Peak","-",IF(BaseLoad!V210&gt;BaseLoad!$G210,P$8*BaseLoad!$AM$9,0))</f>
        <v>29.073853298455656</v>
      </c>
      <c r="Q211" s="173">
        <f>IF($A$1="Peak","-",IF(BaseLoad!W210&gt;BaseLoad!$G210,Q$8*BaseLoad!$AM$9,0))</f>
        <v>29.073853298455656</v>
      </c>
      <c r="R211" s="173">
        <f>IF($A$1="Peak","-",IF(BaseLoad!X210&gt;BaseLoad!$G210,R$8*BaseLoad!$AM$9,0))</f>
        <v>29.073853298455656</v>
      </c>
      <c r="S211" s="173">
        <f>IF($A$1="Peak","-",IF(BaseLoad!Y210&gt;BaseLoad!$G210,S$8*BaseLoad!$AM$9,0))</f>
        <v>29.073853298455656</v>
      </c>
      <c r="T211" s="173">
        <f>IF($A$1="Peak","-",IF(BaseLoad!Z210&gt;BaseLoad!$G210,T$8*BaseLoad!$AM$9,0))</f>
        <v>29.073853298455656</v>
      </c>
      <c r="U211" s="173">
        <f>IF($A$1="Peak","-",IF(BaseLoad!AA210&gt;BaseLoad!$G210,U$8*BaseLoad!$AM$9,0))</f>
        <v>79.953096570753061</v>
      </c>
      <c r="V211" s="173">
        <f t="shared" si="8"/>
        <v>530.5978226968158</v>
      </c>
      <c r="W211" s="173"/>
      <c r="X211" s="173"/>
      <c r="Y211" s="173"/>
    </row>
    <row r="212" spans="1:25" x14ac:dyDescent="0.2">
      <c r="A212" s="1">
        <f t="shared" si="9"/>
        <v>42684.234000000259</v>
      </c>
      <c r="B212" s="173">
        <f>IF($A$1="Peak","-",IF(BaseLoad!H211&gt;BaseLoad!$G211,B$8*BaseLoad!$AM$9,0))</f>
        <v>3.634231662306957</v>
      </c>
      <c r="C212" s="173">
        <f>IF($A$1="Peak","-",IF(BaseLoad!I211&gt;BaseLoad!$G211,C$8*BaseLoad!$AM$9,0))</f>
        <v>3.634231662306957</v>
      </c>
      <c r="D212" s="173">
        <f>IF($A$1="Peak","-",IF(BaseLoad!J211&gt;BaseLoad!$G211,D$8*BaseLoad!$AM$9,0))</f>
        <v>7.2684633246139141</v>
      </c>
      <c r="E212" s="173">
        <f>IF($A$1="Peak","-",IF(BaseLoad!K211&gt;BaseLoad!$G211,E$8*BaseLoad!$AM$9,0))</f>
        <v>14.536926649227828</v>
      </c>
      <c r="F212" s="173">
        <f>IF($A$1="Peak","-",IF(BaseLoad!L211&gt;BaseLoad!$G211,F$8*BaseLoad!$AM$9,0))</f>
        <v>14.536926649227828</v>
      </c>
      <c r="G212" s="173">
        <f>IF($A$1="Peak","-",IF(BaseLoad!M211&gt;BaseLoad!$G211,G$8*BaseLoad!$AM$9,0))</f>
        <v>29.073853298455656</v>
      </c>
      <c r="H212" s="173">
        <f>IF($A$1="Peak","-",IF(BaseLoad!N211&gt;BaseLoad!$G211,H$8*BaseLoad!$AM$9,0))</f>
        <v>29.073853298455656</v>
      </c>
      <c r="I212" s="173">
        <f>IF($A$1="Peak","-",IF(BaseLoad!O211&gt;BaseLoad!$G211,I$8*BaseLoad!$AM$9,0))</f>
        <v>29.073853298455656</v>
      </c>
      <c r="J212" s="173">
        <f>IF($A$1="Peak","-",IF(BaseLoad!P211&gt;BaseLoad!$G211,J$8*BaseLoad!$AM$9,0))</f>
        <v>29.073853298455656</v>
      </c>
      <c r="K212" s="173">
        <f>IF($A$1="Peak","-",IF(BaseLoad!Q211&gt;BaseLoad!$G211,K$8*BaseLoad!$AM$9,0))</f>
        <v>29.073853298455656</v>
      </c>
      <c r="L212" s="173">
        <f>IF($A$1="Peak","-",IF(BaseLoad!R211&gt;BaseLoad!$G211,L$8*BaseLoad!$AM$9,0))</f>
        <v>29.073853298455656</v>
      </c>
      <c r="M212" s="173">
        <f>IF($A$1="Peak","-",IF(BaseLoad!S211&gt;BaseLoad!$G211,M$8*BaseLoad!$AM$9,0))</f>
        <v>29.073853298455656</v>
      </c>
      <c r="N212" s="173">
        <f>IF($A$1="Peak","-",IF(BaseLoad!T211&gt;BaseLoad!$G211,N$8*BaseLoad!$AM$9,0))</f>
        <v>29.073853298455656</v>
      </c>
      <c r="O212" s="173">
        <f>IF($A$1="Peak","-",IF(BaseLoad!U211&gt;BaseLoad!$G211,O$8*BaseLoad!$AM$9,0))</f>
        <v>29.073853298455656</v>
      </c>
      <c r="P212" s="173">
        <f>IF($A$1="Peak","-",IF(BaseLoad!V211&gt;BaseLoad!$G211,P$8*BaseLoad!$AM$9,0))</f>
        <v>29.073853298455656</v>
      </c>
      <c r="Q212" s="173">
        <f>IF($A$1="Peak","-",IF(BaseLoad!W211&gt;BaseLoad!$G211,Q$8*BaseLoad!$AM$9,0))</f>
        <v>29.073853298455656</v>
      </c>
      <c r="R212" s="173">
        <f>IF($A$1="Peak","-",IF(BaseLoad!X211&gt;BaseLoad!$G211,R$8*BaseLoad!$AM$9,0))</f>
        <v>29.073853298455656</v>
      </c>
      <c r="S212" s="173">
        <f>IF($A$1="Peak","-",IF(BaseLoad!Y211&gt;BaseLoad!$G211,S$8*BaseLoad!$AM$9,0))</f>
        <v>29.073853298455656</v>
      </c>
      <c r="T212" s="173">
        <f>IF($A$1="Peak","-",IF(BaseLoad!Z211&gt;BaseLoad!$G211,T$8*BaseLoad!$AM$9,0))</f>
        <v>29.073853298455656</v>
      </c>
      <c r="U212" s="173">
        <f>IF($A$1="Peak","-",IF(BaseLoad!AA211&gt;BaseLoad!$G211,U$8*BaseLoad!$AM$9,0))</f>
        <v>79.953096570753061</v>
      </c>
      <c r="V212" s="173">
        <f t="shared" si="8"/>
        <v>530.5978226968158</v>
      </c>
      <c r="W212" s="173"/>
      <c r="X212" s="173"/>
      <c r="Y212" s="173"/>
    </row>
    <row r="213" spans="1:25" x14ac:dyDescent="0.2">
      <c r="A213" s="1">
        <f t="shared" si="9"/>
        <v>42714.65100000026</v>
      </c>
      <c r="B213" s="173">
        <f>IF($A$1="Peak","-",IF(BaseLoad!H212&gt;BaseLoad!$G212,B$8*BaseLoad!$AM$9,0))</f>
        <v>3.634231662306957</v>
      </c>
      <c r="C213" s="173">
        <f>IF($A$1="Peak","-",IF(BaseLoad!I212&gt;BaseLoad!$G212,C$8*BaseLoad!$AM$9,0))</f>
        <v>3.634231662306957</v>
      </c>
      <c r="D213" s="173">
        <f>IF($A$1="Peak","-",IF(BaseLoad!J212&gt;BaseLoad!$G212,D$8*BaseLoad!$AM$9,0))</f>
        <v>7.2684633246139141</v>
      </c>
      <c r="E213" s="173">
        <f>IF($A$1="Peak","-",IF(BaseLoad!K212&gt;BaseLoad!$G212,E$8*BaseLoad!$AM$9,0))</f>
        <v>14.536926649227828</v>
      </c>
      <c r="F213" s="173">
        <f>IF($A$1="Peak","-",IF(BaseLoad!L212&gt;BaseLoad!$G212,F$8*BaseLoad!$AM$9,0))</f>
        <v>14.536926649227828</v>
      </c>
      <c r="G213" s="173">
        <f>IF($A$1="Peak","-",IF(BaseLoad!M212&gt;BaseLoad!$G212,G$8*BaseLoad!$AM$9,0))</f>
        <v>29.073853298455656</v>
      </c>
      <c r="H213" s="173">
        <f>IF($A$1="Peak","-",IF(BaseLoad!N212&gt;BaseLoad!$G212,H$8*BaseLoad!$AM$9,0))</f>
        <v>29.073853298455656</v>
      </c>
      <c r="I213" s="173">
        <f>IF($A$1="Peak","-",IF(BaseLoad!O212&gt;BaseLoad!$G212,I$8*BaseLoad!$AM$9,0))</f>
        <v>29.073853298455656</v>
      </c>
      <c r="J213" s="173">
        <f>IF($A$1="Peak","-",IF(BaseLoad!P212&gt;BaseLoad!$G212,J$8*BaseLoad!$AM$9,0))</f>
        <v>29.073853298455656</v>
      </c>
      <c r="K213" s="173">
        <f>IF($A$1="Peak","-",IF(BaseLoad!Q212&gt;BaseLoad!$G212,K$8*BaseLoad!$AM$9,0))</f>
        <v>29.073853298455656</v>
      </c>
      <c r="L213" s="173">
        <f>IF($A$1="Peak","-",IF(BaseLoad!R212&gt;BaseLoad!$G212,L$8*BaseLoad!$AM$9,0))</f>
        <v>29.073853298455656</v>
      </c>
      <c r="M213" s="173">
        <f>IF($A$1="Peak","-",IF(BaseLoad!S212&gt;BaseLoad!$G212,M$8*BaseLoad!$AM$9,0))</f>
        <v>29.073853298455656</v>
      </c>
      <c r="N213" s="173">
        <f>IF($A$1="Peak","-",IF(BaseLoad!T212&gt;BaseLoad!$G212,N$8*BaseLoad!$AM$9,0))</f>
        <v>29.073853298455656</v>
      </c>
      <c r="O213" s="173">
        <f>IF($A$1="Peak","-",IF(BaseLoad!U212&gt;BaseLoad!$G212,O$8*BaseLoad!$AM$9,0))</f>
        <v>29.073853298455656</v>
      </c>
      <c r="P213" s="173">
        <f>IF($A$1="Peak","-",IF(BaseLoad!V212&gt;BaseLoad!$G212,P$8*BaseLoad!$AM$9,0))</f>
        <v>29.073853298455656</v>
      </c>
      <c r="Q213" s="173">
        <f>IF($A$1="Peak","-",IF(BaseLoad!W212&gt;BaseLoad!$G212,Q$8*BaseLoad!$AM$9,0))</f>
        <v>29.073853298455656</v>
      </c>
      <c r="R213" s="173">
        <f>IF($A$1="Peak","-",IF(BaseLoad!X212&gt;BaseLoad!$G212,R$8*BaseLoad!$AM$9,0))</f>
        <v>29.073853298455656</v>
      </c>
      <c r="S213" s="173">
        <f>IF($A$1="Peak","-",IF(BaseLoad!Y212&gt;BaseLoad!$G212,S$8*BaseLoad!$AM$9,0))</f>
        <v>29.073853298455656</v>
      </c>
      <c r="T213" s="173">
        <f>IF($A$1="Peak","-",IF(BaseLoad!Z212&gt;BaseLoad!$G212,T$8*BaseLoad!$AM$9,0))</f>
        <v>29.073853298455656</v>
      </c>
      <c r="U213" s="173">
        <f>IF($A$1="Peak","-",IF(BaseLoad!AA212&gt;BaseLoad!$G212,U$8*BaseLoad!$AM$9,0))</f>
        <v>79.953096570753061</v>
      </c>
      <c r="V213" s="173">
        <f t="shared" si="8"/>
        <v>530.5978226968158</v>
      </c>
      <c r="W213" s="173"/>
      <c r="X213" s="173"/>
      <c r="Y213" s="173">
        <f>SUM(V202:V213)</f>
        <v>6367.1738723617882</v>
      </c>
    </row>
    <row r="214" spans="1:25" x14ac:dyDescent="0.2">
      <c r="A214" s="1">
        <f t="shared" si="9"/>
        <v>42745.068000000261</v>
      </c>
      <c r="B214" s="173">
        <f>IF($A$1="Peak","-",IF(BaseLoad!H213&gt;BaseLoad!$G213,B$8*BaseLoad!$AM$9,0))</f>
        <v>3.634231662306957</v>
      </c>
      <c r="C214" s="173">
        <f>IF($A$1="Peak","-",IF(BaseLoad!I213&gt;BaseLoad!$G213,C$8*BaseLoad!$AM$9,0))</f>
        <v>3.634231662306957</v>
      </c>
      <c r="D214" s="173">
        <f>IF($A$1="Peak","-",IF(BaseLoad!J213&gt;BaseLoad!$G213,D$8*BaseLoad!$AM$9,0))</f>
        <v>7.2684633246139141</v>
      </c>
      <c r="E214" s="173">
        <f>IF($A$1="Peak","-",IF(BaseLoad!K213&gt;BaseLoad!$G213,E$8*BaseLoad!$AM$9,0))</f>
        <v>14.536926649227828</v>
      </c>
      <c r="F214" s="173">
        <f>IF($A$1="Peak","-",IF(BaseLoad!L213&gt;BaseLoad!$G213,F$8*BaseLoad!$AM$9,0))</f>
        <v>14.536926649227828</v>
      </c>
      <c r="G214" s="173">
        <f>IF($A$1="Peak","-",IF(BaseLoad!M213&gt;BaseLoad!$G213,G$8*BaseLoad!$AM$9,0))</f>
        <v>29.073853298455656</v>
      </c>
      <c r="H214" s="173">
        <f>IF($A$1="Peak","-",IF(BaseLoad!N213&gt;BaseLoad!$G213,H$8*BaseLoad!$AM$9,0))</f>
        <v>29.073853298455656</v>
      </c>
      <c r="I214" s="173">
        <f>IF($A$1="Peak","-",IF(BaseLoad!O213&gt;BaseLoad!$G213,I$8*BaseLoad!$AM$9,0))</f>
        <v>29.073853298455656</v>
      </c>
      <c r="J214" s="173">
        <f>IF($A$1="Peak","-",IF(BaseLoad!P213&gt;BaseLoad!$G213,J$8*BaseLoad!$AM$9,0))</f>
        <v>29.073853298455656</v>
      </c>
      <c r="K214" s="173">
        <f>IF($A$1="Peak","-",IF(BaseLoad!Q213&gt;BaseLoad!$G213,K$8*BaseLoad!$AM$9,0))</f>
        <v>29.073853298455656</v>
      </c>
      <c r="L214" s="173">
        <f>IF($A$1="Peak","-",IF(BaseLoad!R213&gt;BaseLoad!$G213,L$8*BaseLoad!$AM$9,0))</f>
        <v>29.073853298455656</v>
      </c>
      <c r="M214" s="173">
        <f>IF($A$1="Peak","-",IF(BaseLoad!S213&gt;BaseLoad!$G213,M$8*BaseLoad!$AM$9,0))</f>
        <v>29.073853298455656</v>
      </c>
      <c r="N214" s="173">
        <f>IF($A$1="Peak","-",IF(BaseLoad!T213&gt;BaseLoad!$G213,N$8*BaseLoad!$AM$9,0))</f>
        <v>29.073853298455656</v>
      </c>
      <c r="O214" s="173">
        <f>IF($A$1="Peak","-",IF(BaseLoad!U213&gt;BaseLoad!$G213,O$8*BaseLoad!$AM$9,0))</f>
        <v>29.073853298455656</v>
      </c>
      <c r="P214" s="173">
        <f>IF($A$1="Peak","-",IF(BaseLoad!V213&gt;BaseLoad!$G213,P$8*BaseLoad!$AM$9,0))</f>
        <v>29.073853298455656</v>
      </c>
      <c r="Q214" s="173">
        <f>IF($A$1="Peak","-",IF(BaseLoad!W213&gt;BaseLoad!$G213,Q$8*BaseLoad!$AM$9,0))</f>
        <v>29.073853298455656</v>
      </c>
      <c r="R214" s="173">
        <f>IF($A$1="Peak","-",IF(BaseLoad!X213&gt;BaseLoad!$G213,R$8*BaseLoad!$AM$9,0))</f>
        <v>29.073853298455656</v>
      </c>
      <c r="S214" s="173">
        <f>IF($A$1="Peak","-",IF(BaseLoad!Y213&gt;BaseLoad!$G213,S$8*BaseLoad!$AM$9,0))</f>
        <v>29.073853298455656</v>
      </c>
      <c r="T214" s="173">
        <f>IF($A$1="Peak","-",IF(BaseLoad!Z213&gt;BaseLoad!$G213,T$8*BaseLoad!$AM$9,0))</f>
        <v>29.073853298455656</v>
      </c>
      <c r="U214" s="173">
        <f>IF($A$1="Peak","-",IF(BaseLoad!AA213&gt;BaseLoad!$G213,U$8*BaseLoad!$AM$9,0))</f>
        <v>79.953096570753061</v>
      </c>
      <c r="V214" s="173">
        <f t="shared" si="8"/>
        <v>530.5978226968158</v>
      </c>
      <c r="W214" s="173"/>
      <c r="X214" s="173"/>
      <c r="Y214" s="173"/>
    </row>
    <row r="215" spans="1:25" x14ac:dyDescent="0.2">
      <c r="A215" s="1">
        <f t="shared" si="9"/>
        <v>42775.485000000263</v>
      </c>
      <c r="B215" s="173">
        <f>IF($A$1="Peak","-",IF(BaseLoad!H214&gt;BaseLoad!$G214,B$8*BaseLoad!$AM$9,0))</f>
        <v>3.634231662306957</v>
      </c>
      <c r="C215" s="173">
        <f>IF($A$1="Peak","-",IF(BaseLoad!I214&gt;BaseLoad!$G214,C$8*BaseLoad!$AM$9,0))</f>
        <v>3.634231662306957</v>
      </c>
      <c r="D215" s="173">
        <f>IF($A$1="Peak","-",IF(BaseLoad!J214&gt;BaseLoad!$G214,D$8*BaseLoad!$AM$9,0))</f>
        <v>7.2684633246139141</v>
      </c>
      <c r="E215" s="173">
        <f>IF($A$1="Peak","-",IF(BaseLoad!K214&gt;BaseLoad!$G214,E$8*BaseLoad!$AM$9,0))</f>
        <v>14.536926649227828</v>
      </c>
      <c r="F215" s="173">
        <f>IF($A$1="Peak","-",IF(BaseLoad!L214&gt;BaseLoad!$G214,F$8*BaseLoad!$AM$9,0))</f>
        <v>14.536926649227828</v>
      </c>
      <c r="G215" s="173">
        <f>IF($A$1="Peak","-",IF(BaseLoad!M214&gt;BaseLoad!$G214,G$8*BaseLoad!$AM$9,0))</f>
        <v>29.073853298455656</v>
      </c>
      <c r="H215" s="173">
        <f>IF($A$1="Peak","-",IF(BaseLoad!N214&gt;BaseLoad!$G214,H$8*BaseLoad!$AM$9,0))</f>
        <v>29.073853298455656</v>
      </c>
      <c r="I215" s="173">
        <f>IF($A$1="Peak","-",IF(BaseLoad!O214&gt;BaseLoad!$G214,I$8*BaseLoad!$AM$9,0))</f>
        <v>29.073853298455656</v>
      </c>
      <c r="J215" s="173">
        <f>IF($A$1="Peak","-",IF(BaseLoad!P214&gt;BaseLoad!$G214,J$8*BaseLoad!$AM$9,0))</f>
        <v>29.073853298455656</v>
      </c>
      <c r="K215" s="173">
        <f>IF($A$1="Peak","-",IF(BaseLoad!Q214&gt;BaseLoad!$G214,K$8*BaseLoad!$AM$9,0))</f>
        <v>29.073853298455656</v>
      </c>
      <c r="L215" s="173">
        <f>IF($A$1="Peak","-",IF(BaseLoad!R214&gt;BaseLoad!$G214,L$8*BaseLoad!$AM$9,0))</f>
        <v>29.073853298455656</v>
      </c>
      <c r="M215" s="173">
        <f>IF($A$1="Peak","-",IF(BaseLoad!S214&gt;BaseLoad!$G214,M$8*BaseLoad!$AM$9,0))</f>
        <v>29.073853298455656</v>
      </c>
      <c r="N215" s="173">
        <f>IF($A$1="Peak","-",IF(BaseLoad!T214&gt;BaseLoad!$G214,N$8*BaseLoad!$AM$9,0))</f>
        <v>29.073853298455656</v>
      </c>
      <c r="O215" s="173">
        <f>IF($A$1="Peak","-",IF(BaseLoad!U214&gt;BaseLoad!$G214,O$8*BaseLoad!$AM$9,0))</f>
        <v>29.073853298455656</v>
      </c>
      <c r="P215" s="173">
        <f>IF($A$1="Peak","-",IF(BaseLoad!V214&gt;BaseLoad!$G214,P$8*BaseLoad!$AM$9,0))</f>
        <v>29.073853298455656</v>
      </c>
      <c r="Q215" s="173">
        <f>IF($A$1="Peak","-",IF(BaseLoad!W214&gt;BaseLoad!$G214,Q$8*BaseLoad!$AM$9,0))</f>
        <v>29.073853298455656</v>
      </c>
      <c r="R215" s="173">
        <f>IF($A$1="Peak","-",IF(BaseLoad!X214&gt;BaseLoad!$G214,R$8*BaseLoad!$AM$9,0))</f>
        <v>29.073853298455656</v>
      </c>
      <c r="S215" s="173">
        <f>IF($A$1="Peak","-",IF(BaseLoad!Y214&gt;BaseLoad!$G214,S$8*BaseLoad!$AM$9,0))</f>
        <v>29.073853298455656</v>
      </c>
      <c r="T215" s="173">
        <f>IF($A$1="Peak","-",IF(BaseLoad!Z214&gt;BaseLoad!$G214,T$8*BaseLoad!$AM$9,0))</f>
        <v>29.073853298455656</v>
      </c>
      <c r="U215" s="173">
        <f>IF($A$1="Peak","-",IF(BaseLoad!AA214&gt;BaseLoad!$G214,U$8*BaseLoad!$AM$9,0))</f>
        <v>79.953096570753061</v>
      </c>
      <c r="V215" s="173">
        <f t="shared" si="8"/>
        <v>530.5978226968158</v>
      </c>
      <c r="W215" s="173"/>
      <c r="X215" s="173"/>
      <c r="Y215" s="173"/>
    </row>
    <row r="216" spans="1:25" x14ac:dyDescent="0.2">
      <c r="A216" s="1">
        <f t="shared" si="9"/>
        <v>42805.902000000264</v>
      </c>
      <c r="B216" s="173">
        <f>IF($A$1="Peak","-",IF(BaseLoad!H215&gt;BaseLoad!$G215,B$8*BaseLoad!$AM$9,0))</f>
        <v>3.634231662306957</v>
      </c>
      <c r="C216" s="173">
        <f>IF($A$1="Peak","-",IF(BaseLoad!I215&gt;BaseLoad!$G215,C$8*BaseLoad!$AM$9,0))</f>
        <v>3.634231662306957</v>
      </c>
      <c r="D216" s="173">
        <f>IF($A$1="Peak","-",IF(BaseLoad!J215&gt;BaseLoad!$G215,D$8*BaseLoad!$AM$9,0))</f>
        <v>7.2684633246139141</v>
      </c>
      <c r="E216" s="173">
        <f>IF($A$1="Peak","-",IF(BaseLoad!K215&gt;BaseLoad!$G215,E$8*BaseLoad!$AM$9,0))</f>
        <v>14.536926649227828</v>
      </c>
      <c r="F216" s="173">
        <f>IF($A$1="Peak","-",IF(BaseLoad!L215&gt;BaseLoad!$G215,F$8*BaseLoad!$AM$9,0))</f>
        <v>14.536926649227828</v>
      </c>
      <c r="G216" s="173">
        <f>IF($A$1="Peak","-",IF(BaseLoad!M215&gt;BaseLoad!$G215,G$8*BaseLoad!$AM$9,0))</f>
        <v>29.073853298455656</v>
      </c>
      <c r="H216" s="173">
        <f>IF($A$1="Peak","-",IF(BaseLoad!N215&gt;BaseLoad!$G215,H$8*BaseLoad!$AM$9,0))</f>
        <v>29.073853298455656</v>
      </c>
      <c r="I216" s="173">
        <f>IF($A$1="Peak","-",IF(BaseLoad!O215&gt;BaseLoad!$G215,I$8*BaseLoad!$AM$9,0))</f>
        <v>29.073853298455656</v>
      </c>
      <c r="J216" s="173">
        <f>IF($A$1="Peak","-",IF(BaseLoad!P215&gt;BaseLoad!$G215,J$8*BaseLoad!$AM$9,0))</f>
        <v>29.073853298455656</v>
      </c>
      <c r="K216" s="173">
        <f>IF($A$1="Peak","-",IF(BaseLoad!Q215&gt;BaseLoad!$G215,K$8*BaseLoad!$AM$9,0))</f>
        <v>29.073853298455656</v>
      </c>
      <c r="L216" s="173">
        <f>IF($A$1="Peak","-",IF(BaseLoad!R215&gt;BaseLoad!$G215,L$8*BaseLoad!$AM$9,0))</f>
        <v>29.073853298455656</v>
      </c>
      <c r="M216" s="173">
        <f>IF($A$1="Peak","-",IF(BaseLoad!S215&gt;BaseLoad!$G215,M$8*BaseLoad!$AM$9,0))</f>
        <v>29.073853298455656</v>
      </c>
      <c r="N216" s="173">
        <f>IF($A$1="Peak","-",IF(BaseLoad!T215&gt;BaseLoad!$G215,N$8*BaseLoad!$AM$9,0))</f>
        <v>29.073853298455656</v>
      </c>
      <c r="O216" s="173">
        <f>IF($A$1="Peak","-",IF(BaseLoad!U215&gt;BaseLoad!$G215,O$8*BaseLoad!$AM$9,0))</f>
        <v>29.073853298455656</v>
      </c>
      <c r="P216" s="173">
        <f>IF($A$1="Peak","-",IF(BaseLoad!V215&gt;BaseLoad!$G215,P$8*BaseLoad!$AM$9,0))</f>
        <v>29.073853298455656</v>
      </c>
      <c r="Q216" s="173">
        <f>IF($A$1="Peak","-",IF(BaseLoad!W215&gt;BaseLoad!$G215,Q$8*BaseLoad!$AM$9,0))</f>
        <v>29.073853298455656</v>
      </c>
      <c r="R216" s="173">
        <f>IF($A$1="Peak","-",IF(BaseLoad!X215&gt;BaseLoad!$G215,R$8*BaseLoad!$AM$9,0))</f>
        <v>29.073853298455656</v>
      </c>
      <c r="S216" s="173">
        <f>IF($A$1="Peak","-",IF(BaseLoad!Y215&gt;BaseLoad!$G215,S$8*BaseLoad!$AM$9,0))</f>
        <v>29.073853298455656</v>
      </c>
      <c r="T216" s="173">
        <f>IF($A$1="Peak","-",IF(BaseLoad!Z215&gt;BaseLoad!$G215,T$8*BaseLoad!$AM$9,0))</f>
        <v>29.073853298455656</v>
      </c>
      <c r="U216" s="173">
        <f>IF($A$1="Peak","-",IF(BaseLoad!AA215&gt;BaseLoad!$G215,U$8*BaseLoad!$AM$9,0))</f>
        <v>79.953096570753061</v>
      </c>
      <c r="V216" s="173">
        <f t="shared" si="8"/>
        <v>530.5978226968158</v>
      </c>
      <c r="W216" s="173"/>
      <c r="X216" s="173"/>
      <c r="Y216" s="173"/>
    </row>
    <row r="217" spans="1:25" x14ac:dyDescent="0.2">
      <c r="A217" s="1">
        <f t="shared" si="9"/>
        <v>42836.319000000265</v>
      </c>
      <c r="B217" s="173">
        <f>IF($A$1="Peak","-",IF(BaseLoad!H216&gt;BaseLoad!$G216,B$8*BaseLoad!$AM$9,0))</f>
        <v>3.634231662306957</v>
      </c>
      <c r="C217" s="173">
        <f>IF($A$1="Peak","-",IF(BaseLoad!I216&gt;BaseLoad!$G216,C$8*BaseLoad!$AM$9,0))</f>
        <v>3.634231662306957</v>
      </c>
      <c r="D217" s="173">
        <f>IF($A$1="Peak","-",IF(BaseLoad!J216&gt;BaseLoad!$G216,D$8*BaseLoad!$AM$9,0))</f>
        <v>7.2684633246139141</v>
      </c>
      <c r="E217" s="173">
        <f>IF($A$1="Peak","-",IF(BaseLoad!K216&gt;BaseLoad!$G216,E$8*BaseLoad!$AM$9,0))</f>
        <v>14.536926649227828</v>
      </c>
      <c r="F217" s="173">
        <f>IF($A$1="Peak","-",IF(BaseLoad!L216&gt;BaseLoad!$G216,F$8*BaseLoad!$AM$9,0))</f>
        <v>14.536926649227828</v>
      </c>
      <c r="G217" s="173">
        <f>IF($A$1="Peak","-",IF(BaseLoad!M216&gt;BaseLoad!$G216,G$8*BaseLoad!$AM$9,0))</f>
        <v>29.073853298455656</v>
      </c>
      <c r="H217" s="173">
        <f>IF($A$1="Peak","-",IF(BaseLoad!N216&gt;BaseLoad!$G216,H$8*BaseLoad!$AM$9,0))</f>
        <v>29.073853298455656</v>
      </c>
      <c r="I217" s="173">
        <f>IF($A$1="Peak","-",IF(BaseLoad!O216&gt;BaseLoad!$G216,I$8*BaseLoad!$AM$9,0))</f>
        <v>29.073853298455656</v>
      </c>
      <c r="J217" s="173">
        <f>IF($A$1="Peak","-",IF(BaseLoad!P216&gt;BaseLoad!$G216,J$8*BaseLoad!$AM$9,0))</f>
        <v>29.073853298455656</v>
      </c>
      <c r="K217" s="173">
        <f>IF($A$1="Peak","-",IF(BaseLoad!Q216&gt;BaseLoad!$G216,K$8*BaseLoad!$AM$9,0))</f>
        <v>29.073853298455656</v>
      </c>
      <c r="L217" s="173">
        <f>IF($A$1="Peak","-",IF(BaseLoad!R216&gt;BaseLoad!$G216,L$8*BaseLoad!$AM$9,0))</f>
        <v>29.073853298455656</v>
      </c>
      <c r="M217" s="173">
        <f>IF($A$1="Peak","-",IF(BaseLoad!S216&gt;BaseLoad!$G216,M$8*BaseLoad!$AM$9,0))</f>
        <v>29.073853298455656</v>
      </c>
      <c r="N217" s="173">
        <f>IF($A$1="Peak","-",IF(BaseLoad!T216&gt;BaseLoad!$G216,N$8*BaseLoad!$AM$9,0))</f>
        <v>29.073853298455656</v>
      </c>
      <c r="O217" s="173">
        <f>IF($A$1="Peak","-",IF(BaseLoad!U216&gt;BaseLoad!$G216,O$8*BaseLoad!$AM$9,0))</f>
        <v>29.073853298455656</v>
      </c>
      <c r="P217" s="173">
        <f>IF($A$1="Peak","-",IF(BaseLoad!V216&gt;BaseLoad!$G216,P$8*BaseLoad!$AM$9,0))</f>
        <v>29.073853298455656</v>
      </c>
      <c r="Q217" s="173">
        <f>IF($A$1="Peak","-",IF(BaseLoad!W216&gt;BaseLoad!$G216,Q$8*BaseLoad!$AM$9,0))</f>
        <v>29.073853298455656</v>
      </c>
      <c r="R217" s="173">
        <f>IF($A$1="Peak","-",IF(BaseLoad!X216&gt;BaseLoad!$G216,R$8*BaseLoad!$AM$9,0))</f>
        <v>29.073853298455656</v>
      </c>
      <c r="S217" s="173">
        <f>IF($A$1="Peak","-",IF(BaseLoad!Y216&gt;BaseLoad!$G216,S$8*BaseLoad!$AM$9,0))</f>
        <v>29.073853298455656</v>
      </c>
      <c r="T217" s="173">
        <f>IF($A$1="Peak","-",IF(BaseLoad!Z216&gt;BaseLoad!$G216,T$8*BaseLoad!$AM$9,0))</f>
        <v>29.073853298455656</v>
      </c>
      <c r="U217" s="173">
        <f>IF($A$1="Peak","-",IF(BaseLoad!AA216&gt;BaseLoad!$G216,U$8*BaseLoad!$AM$9,0))</f>
        <v>79.953096570753061</v>
      </c>
      <c r="V217" s="173">
        <f t="shared" si="8"/>
        <v>530.5978226968158</v>
      </c>
      <c r="W217" s="173"/>
      <c r="X217" s="173"/>
      <c r="Y217" s="173"/>
    </row>
    <row r="218" spans="1:25" x14ac:dyDescent="0.2">
      <c r="A218" s="1">
        <f t="shared" si="9"/>
        <v>42866.736000000266</v>
      </c>
      <c r="B218" s="173">
        <f>IF($A$1="Peak","-",IF(BaseLoad!H217&gt;BaseLoad!$G217,B$8*BaseLoad!$AM$9,0))</f>
        <v>3.634231662306957</v>
      </c>
      <c r="C218" s="173">
        <f>IF($A$1="Peak","-",IF(BaseLoad!I217&gt;BaseLoad!$G217,C$8*BaseLoad!$AM$9,0))</f>
        <v>3.634231662306957</v>
      </c>
      <c r="D218" s="173">
        <f>IF($A$1="Peak","-",IF(BaseLoad!J217&gt;BaseLoad!$G217,D$8*BaseLoad!$AM$9,0))</f>
        <v>7.2684633246139141</v>
      </c>
      <c r="E218" s="173">
        <f>IF($A$1="Peak","-",IF(BaseLoad!K217&gt;BaseLoad!$G217,E$8*BaseLoad!$AM$9,0))</f>
        <v>14.536926649227828</v>
      </c>
      <c r="F218" s="173">
        <f>IF($A$1="Peak","-",IF(BaseLoad!L217&gt;BaseLoad!$G217,F$8*BaseLoad!$AM$9,0))</f>
        <v>14.536926649227828</v>
      </c>
      <c r="G218" s="173">
        <f>IF($A$1="Peak","-",IF(BaseLoad!M217&gt;BaseLoad!$G217,G$8*BaseLoad!$AM$9,0))</f>
        <v>29.073853298455656</v>
      </c>
      <c r="H218" s="173">
        <f>IF($A$1="Peak","-",IF(BaseLoad!N217&gt;BaseLoad!$G217,H$8*BaseLoad!$AM$9,0))</f>
        <v>29.073853298455656</v>
      </c>
      <c r="I218" s="173">
        <f>IF($A$1="Peak","-",IF(BaseLoad!O217&gt;BaseLoad!$G217,I$8*BaseLoad!$AM$9,0))</f>
        <v>29.073853298455656</v>
      </c>
      <c r="J218" s="173">
        <f>IF($A$1="Peak","-",IF(BaseLoad!P217&gt;BaseLoad!$G217,J$8*BaseLoad!$AM$9,0))</f>
        <v>29.073853298455656</v>
      </c>
      <c r="K218" s="173">
        <f>IF($A$1="Peak","-",IF(BaseLoad!Q217&gt;BaseLoad!$G217,K$8*BaseLoad!$AM$9,0))</f>
        <v>29.073853298455656</v>
      </c>
      <c r="L218" s="173">
        <f>IF($A$1="Peak","-",IF(BaseLoad!R217&gt;BaseLoad!$G217,L$8*BaseLoad!$AM$9,0))</f>
        <v>29.073853298455656</v>
      </c>
      <c r="M218" s="173">
        <f>IF($A$1="Peak","-",IF(BaseLoad!S217&gt;BaseLoad!$G217,M$8*BaseLoad!$AM$9,0))</f>
        <v>29.073853298455656</v>
      </c>
      <c r="N218" s="173">
        <f>IF($A$1="Peak","-",IF(BaseLoad!T217&gt;BaseLoad!$G217,N$8*BaseLoad!$AM$9,0))</f>
        <v>29.073853298455656</v>
      </c>
      <c r="O218" s="173">
        <f>IF($A$1="Peak","-",IF(BaseLoad!U217&gt;BaseLoad!$G217,O$8*BaseLoad!$AM$9,0))</f>
        <v>29.073853298455656</v>
      </c>
      <c r="P218" s="173">
        <f>IF($A$1="Peak","-",IF(BaseLoad!V217&gt;BaseLoad!$G217,P$8*BaseLoad!$AM$9,0))</f>
        <v>29.073853298455656</v>
      </c>
      <c r="Q218" s="173">
        <f>IF($A$1="Peak","-",IF(BaseLoad!W217&gt;BaseLoad!$G217,Q$8*BaseLoad!$AM$9,0))</f>
        <v>29.073853298455656</v>
      </c>
      <c r="R218" s="173">
        <f>IF($A$1="Peak","-",IF(BaseLoad!X217&gt;BaseLoad!$G217,R$8*BaseLoad!$AM$9,0))</f>
        <v>29.073853298455656</v>
      </c>
      <c r="S218" s="173">
        <f>IF($A$1="Peak","-",IF(BaseLoad!Y217&gt;BaseLoad!$G217,S$8*BaseLoad!$AM$9,0))</f>
        <v>29.073853298455656</v>
      </c>
      <c r="T218" s="173">
        <f>IF($A$1="Peak","-",IF(BaseLoad!Z217&gt;BaseLoad!$G217,T$8*BaseLoad!$AM$9,0))</f>
        <v>29.073853298455656</v>
      </c>
      <c r="U218" s="173">
        <f>IF($A$1="Peak","-",IF(BaseLoad!AA217&gt;BaseLoad!$G217,U$8*BaseLoad!$AM$9,0))</f>
        <v>79.953096570753061</v>
      </c>
      <c r="V218" s="173">
        <f t="shared" si="8"/>
        <v>530.5978226968158</v>
      </c>
      <c r="W218" s="173"/>
      <c r="X218" s="173"/>
      <c r="Y218" s="173"/>
    </row>
    <row r="219" spans="1:25" x14ac:dyDescent="0.2">
      <c r="A219" s="1">
        <f t="shared" si="9"/>
        <v>42897.153000000268</v>
      </c>
      <c r="B219" s="173">
        <f>IF($A$1="Peak","-",IF(BaseLoad!H218&gt;BaseLoad!$G218,B$8*BaseLoad!$AM$9,0))</f>
        <v>3.634231662306957</v>
      </c>
      <c r="C219" s="173">
        <f>IF($A$1="Peak","-",IF(BaseLoad!I218&gt;BaseLoad!$G218,C$8*BaseLoad!$AM$9,0))</f>
        <v>3.634231662306957</v>
      </c>
      <c r="D219" s="173">
        <f>IF($A$1="Peak","-",IF(BaseLoad!J218&gt;BaseLoad!$G218,D$8*BaseLoad!$AM$9,0))</f>
        <v>7.2684633246139141</v>
      </c>
      <c r="E219" s="173">
        <f>IF($A$1="Peak","-",IF(BaseLoad!K218&gt;BaseLoad!$G218,E$8*BaseLoad!$AM$9,0))</f>
        <v>14.536926649227828</v>
      </c>
      <c r="F219" s="173">
        <f>IF($A$1="Peak","-",IF(BaseLoad!L218&gt;BaseLoad!$G218,F$8*BaseLoad!$AM$9,0))</f>
        <v>14.536926649227828</v>
      </c>
      <c r="G219" s="173">
        <f>IF($A$1="Peak","-",IF(BaseLoad!M218&gt;BaseLoad!$G218,G$8*BaseLoad!$AM$9,0))</f>
        <v>29.073853298455656</v>
      </c>
      <c r="H219" s="173">
        <f>IF($A$1="Peak","-",IF(BaseLoad!N218&gt;BaseLoad!$G218,H$8*BaseLoad!$AM$9,0))</f>
        <v>29.073853298455656</v>
      </c>
      <c r="I219" s="173">
        <f>IF($A$1="Peak","-",IF(BaseLoad!O218&gt;BaseLoad!$G218,I$8*BaseLoad!$AM$9,0))</f>
        <v>29.073853298455656</v>
      </c>
      <c r="J219" s="173">
        <f>IF($A$1="Peak","-",IF(BaseLoad!P218&gt;BaseLoad!$G218,J$8*BaseLoad!$AM$9,0))</f>
        <v>29.073853298455656</v>
      </c>
      <c r="K219" s="173">
        <f>IF($A$1="Peak","-",IF(BaseLoad!Q218&gt;BaseLoad!$G218,K$8*BaseLoad!$AM$9,0))</f>
        <v>29.073853298455656</v>
      </c>
      <c r="L219" s="173">
        <f>IF($A$1="Peak","-",IF(BaseLoad!R218&gt;BaseLoad!$G218,L$8*BaseLoad!$AM$9,0))</f>
        <v>29.073853298455656</v>
      </c>
      <c r="M219" s="173">
        <f>IF($A$1="Peak","-",IF(BaseLoad!S218&gt;BaseLoad!$G218,M$8*BaseLoad!$AM$9,0))</f>
        <v>29.073853298455656</v>
      </c>
      <c r="N219" s="173">
        <f>IF($A$1="Peak","-",IF(BaseLoad!T218&gt;BaseLoad!$G218,N$8*BaseLoad!$AM$9,0))</f>
        <v>29.073853298455656</v>
      </c>
      <c r="O219" s="173">
        <f>IF($A$1="Peak","-",IF(BaseLoad!U218&gt;BaseLoad!$G218,O$8*BaseLoad!$AM$9,0))</f>
        <v>29.073853298455656</v>
      </c>
      <c r="P219" s="173">
        <f>IF($A$1="Peak","-",IF(BaseLoad!V218&gt;BaseLoad!$G218,P$8*BaseLoad!$AM$9,0))</f>
        <v>29.073853298455656</v>
      </c>
      <c r="Q219" s="173">
        <f>IF($A$1="Peak","-",IF(BaseLoad!W218&gt;BaseLoad!$G218,Q$8*BaseLoad!$AM$9,0))</f>
        <v>29.073853298455656</v>
      </c>
      <c r="R219" s="173">
        <f>IF($A$1="Peak","-",IF(BaseLoad!X218&gt;BaseLoad!$G218,R$8*BaseLoad!$AM$9,0))</f>
        <v>29.073853298455656</v>
      </c>
      <c r="S219" s="173">
        <f>IF($A$1="Peak","-",IF(BaseLoad!Y218&gt;BaseLoad!$G218,S$8*BaseLoad!$AM$9,0))</f>
        <v>29.073853298455656</v>
      </c>
      <c r="T219" s="173">
        <f>IF($A$1="Peak","-",IF(BaseLoad!Z218&gt;BaseLoad!$G218,T$8*BaseLoad!$AM$9,0))</f>
        <v>29.073853298455656</v>
      </c>
      <c r="U219" s="173">
        <f>IF($A$1="Peak","-",IF(BaseLoad!AA218&gt;BaseLoad!$G218,U$8*BaseLoad!$AM$9,0))</f>
        <v>79.953096570753061</v>
      </c>
      <c r="V219" s="173">
        <f t="shared" si="8"/>
        <v>530.5978226968158</v>
      </c>
      <c r="W219" s="173"/>
      <c r="X219" s="173"/>
      <c r="Y219" s="173"/>
    </row>
    <row r="220" spans="1:25" x14ac:dyDescent="0.2">
      <c r="A220" s="1">
        <f t="shared" si="9"/>
        <v>42927.570000000269</v>
      </c>
      <c r="B220" s="173">
        <f>IF($A$1="Peak","-",IF(BaseLoad!H219&gt;BaseLoad!$G219,B$8*BaseLoad!$AM$9,0))</f>
        <v>3.634231662306957</v>
      </c>
      <c r="C220" s="173">
        <f>IF($A$1="Peak","-",IF(BaseLoad!I219&gt;BaseLoad!$G219,C$8*BaseLoad!$AM$9,0))</f>
        <v>3.634231662306957</v>
      </c>
      <c r="D220" s="173">
        <f>IF($A$1="Peak","-",IF(BaseLoad!J219&gt;BaseLoad!$G219,D$8*BaseLoad!$AM$9,0))</f>
        <v>7.2684633246139141</v>
      </c>
      <c r="E220" s="173">
        <f>IF($A$1="Peak","-",IF(BaseLoad!K219&gt;BaseLoad!$G219,E$8*BaseLoad!$AM$9,0))</f>
        <v>14.536926649227828</v>
      </c>
      <c r="F220" s="173">
        <f>IF($A$1="Peak","-",IF(BaseLoad!L219&gt;BaseLoad!$G219,F$8*BaseLoad!$AM$9,0))</f>
        <v>14.536926649227828</v>
      </c>
      <c r="G220" s="173">
        <f>IF($A$1="Peak","-",IF(BaseLoad!M219&gt;BaseLoad!$G219,G$8*BaseLoad!$AM$9,0))</f>
        <v>29.073853298455656</v>
      </c>
      <c r="H220" s="173">
        <f>IF($A$1="Peak","-",IF(BaseLoad!N219&gt;BaseLoad!$G219,H$8*BaseLoad!$AM$9,0))</f>
        <v>29.073853298455656</v>
      </c>
      <c r="I220" s="173">
        <f>IF($A$1="Peak","-",IF(BaseLoad!O219&gt;BaseLoad!$G219,I$8*BaseLoad!$AM$9,0))</f>
        <v>29.073853298455656</v>
      </c>
      <c r="J220" s="173">
        <f>IF($A$1="Peak","-",IF(BaseLoad!P219&gt;BaseLoad!$G219,J$8*BaseLoad!$AM$9,0))</f>
        <v>29.073853298455656</v>
      </c>
      <c r="K220" s="173">
        <f>IF($A$1="Peak","-",IF(BaseLoad!Q219&gt;BaseLoad!$G219,K$8*BaseLoad!$AM$9,0))</f>
        <v>29.073853298455656</v>
      </c>
      <c r="L220" s="173">
        <f>IF($A$1="Peak","-",IF(BaseLoad!R219&gt;BaseLoad!$G219,L$8*BaseLoad!$AM$9,0))</f>
        <v>29.073853298455656</v>
      </c>
      <c r="M220" s="173">
        <f>IF($A$1="Peak","-",IF(BaseLoad!S219&gt;BaseLoad!$G219,M$8*BaseLoad!$AM$9,0))</f>
        <v>29.073853298455656</v>
      </c>
      <c r="N220" s="173">
        <f>IF($A$1="Peak","-",IF(BaseLoad!T219&gt;BaseLoad!$G219,N$8*BaseLoad!$AM$9,0))</f>
        <v>29.073853298455656</v>
      </c>
      <c r="O220" s="173">
        <f>IF($A$1="Peak","-",IF(BaseLoad!U219&gt;BaseLoad!$G219,O$8*BaseLoad!$AM$9,0))</f>
        <v>29.073853298455656</v>
      </c>
      <c r="P220" s="173">
        <f>IF($A$1="Peak","-",IF(BaseLoad!V219&gt;BaseLoad!$G219,P$8*BaseLoad!$AM$9,0))</f>
        <v>29.073853298455656</v>
      </c>
      <c r="Q220" s="173">
        <f>IF($A$1="Peak","-",IF(BaseLoad!W219&gt;BaseLoad!$G219,Q$8*BaseLoad!$AM$9,0))</f>
        <v>29.073853298455656</v>
      </c>
      <c r="R220" s="173">
        <f>IF($A$1="Peak","-",IF(BaseLoad!X219&gt;BaseLoad!$G219,R$8*BaseLoad!$AM$9,0))</f>
        <v>29.073853298455656</v>
      </c>
      <c r="S220" s="173">
        <f>IF($A$1="Peak","-",IF(BaseLoad!Y219&gt;BaseLoad!$G219,S$8*BaseLoad!$AM$9,0))</f>
        <v>29.073853298455656</v>
      </c>
      <c r="T220" s="173">
        <f>IF($A$1="Peak","-",IF(BaseLoad!Z219&gt;BaseLoad!$G219,T$8*BaseLoad!$AM$9,0))</f>
        <v>29.073853298455656</v>
      </c>
      <c r="U220" s="173">
        <f>IF($A$1="Peak","-",IF(BaseLoad!AA219&gt;BaseLoad!$G219,U$8*BaseLoad!$AM$9,0))</f>
        <v>79.953096570753061</v>
      </c>
      <c r="V220" s="173">
        <f t="shared" si="8"/>
        <v>530.5978226968158</v>
      </c>
      <c r="W220" s="173"/>
      <c r="X220" s="173"/>
      <c r="Y220" s="173"/>
    </row>
    <row r="221" spans="1:25" x14ac:dyDescent="0.2">
      <c r="A221" s="1">
        <f t="shared" si="9"/>
        <v>42957.98700000027</v>
      </c>
      <c r="B221" s="173">
        <f>IF($A$1="Peak","-",IF(BaseLoad!H220&gt;BaseLoad!$G220,B$8*BaseLoad!$AM$9,0))</f>
        <v>3.634231662306957</v>
      </c>
      <c r="C221" s="173">
        <f>IF($A$1="Peak","-",IF(BaseLoad!I220&gt;BaseLoad!$G220,C$8*BaseLoad!$AM$9,0))</f>
        <v>3.634231662306957</v>
      </c>
      <c r="D221" s="173">
        <f>IF($A$1="Peak","-",IF(BaseLoad!J220&gt;BaseLoad!$G220,D$8*BaseLoad!$AM$9,0))</f>
        <v>7.2684633246139141</v>
      </c>
      <c r="E221" s="173">
        <f>IF($A$1="Peak","-",IF(BaseLoad!K220&gt;BaseLoad!$G220,E$8*BaseLoad!$AM$9,0))</f>
        <v>14.536926649227828</v>
      </c>
      <c r="F221" s="173">
        <f>IF($A$1="Peak","-",IF(BaseLoad!L220&gt;BaseLoad!$G220,F$8*BaseLoad!$AM$9,0))</f>
        <v>14.536926649227828</v>
      </c>
      <c r="G221" s="173">
        <f>IF($A$1="Peak","-",IF(BaseLoad!M220&gt;BaseLoad!$G220,G$8*BaseLoad!$AM$9,0))</f>
        <v>29.073853298455656</v>
      </c>
      <c r="H221" s="173">
        <f>IF($A$1="Peak","-",IF(BaseLoad!N220&gt;BaseLoad!$G220,H$8*BaseLoad!$AM$9,0))</f>
        <v>29.073853298455656</v>
      </c>
      <c r="I221" s="173">
        <f>IF($A$1="Peak","-",IF(BaseLoad!O220&gt;BaseLoad!$G220,I$8*BaseLoad!$AM$9,0))</f>
        <v>29.073853298455656</v>
      </c>
      <c r="J221" s="173">
        <f>IF($A$1="Peak","-",IF(BaseLoad!P220&gt;BaseLoad!$G220,J$8*BaseLoad!$AM$9,0))</f>
        <v>29.073853298455656</v>
      </c>
      <c r="K221" s="173">
        <f>IF($A$1="Peak","-",IF(BaseLoad!Q220&gt;BaseLoad!$G220,K$8*BaseLoad!$AM$9,0))</f>
        <v>29.073853298455656</v>
      </c>
      <c r="L221" s="173">
        <f>IF($A$1="Peak","-",IF(BaseLoad!R220&gt;BaseLoad!$G220,L$8*BaseLoad!$AM$9,0))</f>
        <v>29.073853298455656</v>
      </c>
      <c r="M221" s="173">
        <f>IF($A$1="Peak","-",IF(BaseLoad!S220&gt;BaseLoad!$G220,M$8*BaseLoad!$AM$9,0))</f>
        <v>29.073853298455656</v>
      </c>
      <c r="N221" s="173">
        <f>IF($A$1="Peak","-",IF(BaseLoad!T220&gt;BaseLoad!$G220,N$8*BaseLoad!$AM$9,0))</f>
        <v>29.073853298455656</v>
      </c>
      <c r="O221" s="173">
        <f>IF($A$1="Peak","-",IF(BaseLoad!U220&gt;BaseLoad!$G220,O$8*BaseLoad!$AM$9,0))</f>
        <v>29.073853298455656</v>
      </c>
      <c r="P221" s="173">
        <f>IF($A$1="Peak","-",IF(BaseLoad!V220&gt;BaseLoad!$G220,P$8*BaseLoad!$AM$9,0))</f>
        <v>29.073853298455656</v>
      </c>
      <c r="Q221" s="173">
        <f>IF($A$1="Peak","-",IF(BaseLoad!W220&gt;BaseLoad!$G220,Q$8*BaseLoad!$AM$9,0))</f>
        <v>29.073853298455656</v>
      </c>
      <c r="R221" s="173">
        <f>IF($A$1="Peak","-",IF(BaseLoad!X220&gt;BaseLoad!$G220,R$8*BaseLoad!$AM$9,0))</f>
        <v>29.073853298455656</v>
      </c>
      <c r="S221" s="173">
        <f>IF($A$1="Peak","-",IF(BaseLoad!Y220&gt;BaseLoad!$G220,S$8*BaseLoad!$AM$9,0))</f>
        <v>29.073853298455656</v>
      </c>
      <c r="T221" s="173">
        <f>IF($A$1="Peak","-",IF(BaseLoad!Z220&gt;BaseLoad!$G220,T$8*BaseLoad!$AM$9,0))</f>
        <v>29.073853298455656</v>
      </c>
      <c r="U221" s="173">
        <f>IF($A$1="Peak","-",IF(BaseLoad!AA220&gt;BaseLoad!$G220,U$8*BaseLoad!$AM$9,0))</f>
        <v>79.953096570753061</v>
      </c>
      <c r="V221" s="173">
        <f t="shared" si="8"/>
        <v>530.5978226968158</v>
      </c>
      <c r="W221" s="173"/>
      <c r="X221" s="173"/>
      <c r="Y221" s="173"/>
    </row>
    <row r="222" spans="1:25" x14ac:dyDescent="0.2">
      <c r="A222" s="1">
        <f t="shared" si="9"/>
        <v>42988.404000000271</v>
      </c>
      <c r="B222" s="173">
        <f>IF($A$1="Peak","-",IF(BaseLoad!H221&gt;BaseLoad!$G221,B$8*BaseLoad!$AM$9,0))</f>
        <v>3.634231662306957</v>
      </c>
      <c r="C222" s="173">
        <f>IF($A$1="Peak","-",IF(BaseLoad!I221&gt;BaseLoad!$G221,C$8*BaseLoad!$AM$9,0))</f>
        <v>3.634231662306957</v>
      </c>
      <c r="D222" s="173">
        <f>IF($A$1="Peak","-",IF(BaseLoad!J221&gt;BaseLoad!$G221,D$8*BaseLoad!$AM$9,0))</f>
        <v>7.2684633246139141</v>
      </c>
      <c r="E222" s="173">
        <f>IF($A$1="Peak","-",IF(BaseLoad!K221&gt;BaseLoad!$G221,E$8*BaseLoad!$AM$9,0))</f>
        <v>14.536926649227828</v>
      </c>
      <c r="F222" s="173">
        <f>IF($A$1="Peak","-",IF(BaseLoad!L221&gt;BaseLoad!$G221,F$8*BaseLoad!$AM$9,0))</f>
        <v>14.536926649227828</v>
      </c>
      <c r="G222" s="173">
        <f>IF($A$1="Peak","-",IF(BaseLoad!M221&gt;BaseLoad!$G221,G$8*BaseLoad!$AM$9,0))</f>
        <v>29.073853298455656</v>
      </c>
      <c r="H222" s="173">
        <f>IF($A$1="Peak","-",IF(BaseLoad!N221&gt;BaseLoad!$G221,H$8*BaseLoad!$AM$9,0))</f>
        <v>29.073853298455656</v>
      </c>
      <c r="I222" s="173">
        <f>IF($A$1="Peak","-",IF(BaseLoad!O221&gt;BaseLoad!$G221,I$8*BaseLoad!$AM$9,0))</f>
        <v>29.073853298455656</v>
      </c>
      <c r="J222" s="173">
        <f>IF($A$1="Peak","-",IF(BaseLoad!P221&gt;BaseLoad!$G221,J$8*BaseLoad!$AM$9,0))</f>
        <v>29.073853298455656</v>
      </c>
      <c r="K222" s="173">
        <f>IF($A$1="Peak","-",IF(BaseLoad!Q221&gt;BaseLoad!$G221,K$8*BaseLoad!$AM$9,0))</f>
        <v>29.073853298455656</v>
      </c>
      <c r="L222" s="173">
        <f>IF($A$1="Peak","-",IF(BaseLoad!R221&gt;BaseLoad!$G221,L$8*BaseLoad!$AM$9,0))</f>
        <v>29.073853298455656</v>
      </c>
      <c r="M222" s="173">
        <f>IF($A$1="Peak","-",IF(BaseLoad!S221&gt;BaseLoad!$G221,M$8*BaseLoad!$AM$9,0))</f>
        <v>29.073853298455656</v>
      </c>
      <c r="N222" s="173">
        <f>IF($A$1="Peak","-",IF(BaseLoad!T221&gt;BaseLoad!$G221,N$8*BaseLoad!$AM$9,0))</f>
        <v>29.073853298455656</v>
      </c>
      <c r="O222" s="173">
        <f>IF($A$1="Peak","-",IF(BaseLoad!U221&gt;BaseLoad!$G221,O$8*BaseLoad!$AM$9,0))</f>
        <v>29.073853298455656</v>
      </c>
      <c r="P222" s="173">
        <f>IF($A$1="Peak","-",IF(BaseLoad!V221&gt;BaseLoad!$G221,P$8*BaseLoad!$AM$9,0))</f>
        <v>29.073853298455656</v>
      </c>
      <c r="Q222" s="173">
        <f>IF($A$1="Peak","-",IF(BaseLoad!W221&gt;BaseLoad!$G221,Q$8*BaseLoad!$AM$9,0))</f>
        <v>29.073853298455656</v>
      </c>
      <c r="R222" s="173">
        <f>IF($A$1="Peak","-",IF(BaseLoad!X221&gt;BaseLoad!$G221,R$8*BaseLoad!$AM$9,0))</f>
        <v>29.073853298455656</v>
      </c>
      <c r="S222" s="173">
        <f>IF($A$1="Peak","-",IF(BaseLoad!Y221&gt;BaseLoad!$G221,S$8*BaseLoad!$AM$9,0))</f>
        <v>29.073853298455656</v>
      </c>
      <c r="T222" s="173">
        <f>IF($A$1="Peak","-",IF(BaseLoad!Z221&gt;BaseLoad!$G221,T$8*BaseLoad!$AM$9,0))</f>
        <v>29.073853298455656</v>
      </c>
      <c r="U222" s="173">
        <f>IF($A$1="Peak","-",IF(BaseLoad!AA221&gt;BaseLoad!$G221,U$8*BaseLoad!$AM$9,0))</f>
        <v>79.953096570753061</v>
      </c>
      <c r="V222" s="173">
        <f t="shared" si="8"/>
        <v>530.5978226968158</v>
      </c>
      <c r="W222" s="173"/>
      <c r="X222" s="173"/>
      <c r="Y222" s="173"/>
    </row>
    <row r="223" spans="1:25" x14ac:dyDescent="0.2">
      <c r="A223" s="1">
        <f t="shared" si="9"/>
        <v>43018.821000000273</v>
      </c>
      <c r="B223" s="173">
        <f>IF($A$1="Peak","-",IF(BaseLoad!H222&gt;BaseLoad!$G222,B$8*BaseLoad!$AM$9,0))</f>
        <v>3.634231662306957</v>
      </c>
      <c r="C223" s="173">
        <f>IF($A$1="Peak","-",IF(BaseLoad!I222&gt;BaseLoad!$G222,C$8*BaseLoad!$AM$9,0))</f>
        <v>3.634231662306957</v>
      </c>
      <c r="D223" s="173">
        <f>IF($A$1="Peak","-",IF(BaseLoad!J222&gt;BaseLoad!$G222,D$8*BaseLoad!$AM$9,0))</f>
        <v>7.2684633246139141</v>
      </c>
      <c r="E223" s="173">
        <f>IF($A$1="Peak","-",IF(BaseLoad!K222&gt;BaseLoad!$G222,E$8*BaseLoad!$AM$9,0))</f>
        <v>14.536926649227828</v>
      </c>
      <c r="F223" s="173">
        <f>IF($A$1="Peak","-",IF(BaseLoad!L222&gt;BaseLoad!$G222,F$8*BaseLoad!$AM$9,0))</f>
        <v>14.536926649227828</v>
      </c>
      <c r="G223" s="173">
        <f>IF($A$1="Peak","-",IF(BaseLoad!M222&gt;BaseLoad!$G222,G$8*BaseLoad!$AM$9,0))</f>
        <v>29.073853298455656</v>
      </c>
      <c r="H223" s="173">
        <f>IF($A$1="Peak","-",IF(BaseLoad!N222&gt;BaseLoad!$G222,H$8*BaseLoad!$AM$9,0))</f>
        <v>29.073853298455656</v>
      </c>
      <c r="I223" s="173">
        <f>IF($A$1="Peak","-",IF(BaseLoad!O222&gt;BaseLoad!$G222,I$8*BaseLoad!$AM$9,0))</f>
        <v>29.073853298455656</v>
      </c>
      <c r="J223" s="173">
        <f>IF($A$1="Peak","-",IF(BaseLoad!P222&gt;BaseLoad!$G222,J$8*BaseLoad!$AM$9,0))</f>
        <v>29.073853298455656</v>
      </c>
      <c r="K223" s="173">
        <f>IF($A$1="Peak","-",IF(BaseLoad!Q222&gt;BaseLoad!$G222,K$8*BaseLoad!$AM$9,0))</f>
        <v>29.073853298455656</v>
      </c>
      <c r="L223" s="173">
        <f>IF($A$1="Peak","-",IF(BaseLoad!R222&gt;BaseLoad!$G222,L$8*BaseLoad!$AM$9,0))</f>
        <v>29.073853298455656</v>
      </c>
      <c r="M223" s="173">
        <f>IF($A$1="Peak","-",IF(BaseLoad!S222&gt;BaseLoad!$G222,M$8*BaseLoad!$AM$9,0))</f>
        <v>29.073853298455656</v>
      </c>
      <c r="N223" s="173">
        <f>IF($A$1="Peak","-",IF(BaseLoad!T222&gt;BaseLoad!$G222,N$8*BaseLoad!$AM$9,0))</f>
        <v>29.073853298455656</v>
      </c>
      <c r="O223" s="173">
        <f>IF($A$1="Peak","-",IF(BaseLoad!U222&gt;BaseLoad!$G222,O$8*BaseLoad!$AM$9,0))</f>
        <v>29.073853298455656</v>
      </c>
      <c r="P223" s="173">
        <f>IF($A$1="Peak","-",IF(BaseLoad!V222&gt;BaseLoad!$G222,P$8*BaseLoad!$AM$9,0))</f>
        <v>29.073853298455656</v>
      </c>
      <c r="Q223" s="173">
        <f>IF($A$1="Peak","-",IF(BaseLoad!W222&gt;BaseLoad!$G222,Q$8*BaseLoad!$AM$9,0))</f>
        <v>29.073853298455656</v>
      </c>
      <c r="R223" s="173">
        <f>IF($A$1="Peak","-",IF(BaseLoad!X222&gt;BaseLoad!$G222,R$8*BaseLoad!$AM$9,0))</f>
        <v>29.073853298455656</v>
      </c>
      <c r="S223" s="173">
        <f>IF($A$1="Peak","-",IF(BaseLoad!Y222&gt;BaseLoad!$G222,S$8*BaseLoad!$AM$9,0))</f>
        <v>29.073853298455656</v>
      </c>
      <c r="T223" s="173">
        <f>IF($A$1="Peak","-",IF(BaseLoad!Z222&gt;BaseLoad!$G222,T$8*BaseLoad!$AM$9,0))</f>
        <v>29.073853298455656</v>
      </c>
      <c r="U223" s="173">
        <f>IF($A$1="Peak","-",IF(BaseLoad!AA222&gt;BaseLoad!$G222,U$8*BaseLoad!$AM$9,0))</f>
        <v>79.953096570753061</v>
      </c>
      <c r="V223" s="173">
        <f t="shared" si="8"/>
        <v>530.5978226968158</v>
      </c>
      <c r="W223" s="173"/>
      <c r="X223" s="173"/>
      <c r="Y223" s="173"/>
    </row>
    <row r="224" spans="1:25" x14ac:dyDescent="0.2">
      <c r="A224" s="1">
        <f t="shared" si="9"/>
        <v>43049.238000000274</v>
      </c>
      <c r="B224" s="173">
        <f>IF($A$1="Peak","-",IF(BaseLoad!H223&gt;BaseLoad!$G223,B$8*BaseLoad!$AM$9,0))</f>
        <v>3.634231662306957</v>
      </c>
      <c r="C224" s="173">
        <f>IF($A$1="Peak","-",IF(BaseLoad!I223&gt;BaseLoad!$G223,C$8*BaseLoad!$AM$9,0))</f>
        <v>3.634231662306957</v>
      </c>
      <c r="D224" s="173">
        <f>IF($A$1="Peak","-",IF(BaseLoad!J223&gt;BaseLoad!$G223,D$8*BaseLoad!$AM$9,0))</f>
        <v>7.2684633246139141</v>
      </c>
      <c r="E224" s="173">
        <f>IF($A$1="Peak","-",IF(BaseLoad!K223&gt;BaseLoad!$G223,E$8*BaseLoad!$AM$9,0))</f>
        <v>14.536926649227828</v>
      </c>
      <c r="F224" s="173">
        <f>IF($A$1="Peak","-",IF(BaseLoad!L223&gt;BaseLoad!$G223,F$8*BaseLoad!$AM$9,0))</f>
        <v>14.536926649227828</v>
      </c>
      <c r="G224" s="173">
        <f>IF($A$1="Peak","-",IF(BaseLoad!M223&gt;BaseLoad!$G223,G$8*BaseLoad!$AM$9,0))</f>
        <v>29.073853298455656</v>
      </c>
      <c r="H224" s="173">
        <f>IF($A$1="Peak","-",IF(BaseLoad!N223&gt;BaseLoad!$G223,H$8*BaseLoad!$AM$9,0))</f>
        <v>29.073853298455656</v>
      </c>
      <c r="I224" s="173">
        <f>IF($A$1="Peak","-",IF(BaseLoad!O223&gt;BaseLoad!$G223,I$8*BaseLoad!$AM$9,0))</f>
        <v>29.073853298455656</v>
      </c>
      <c r="J224" s="173">
        <f>IF($A$1="Peak","-",IF(BaseLoad!P223&gt;BaseLoad!$G223,J$8*BaseLoad!$AM$9,0))</f>
        <v>29.073853298455656</v>
      </c>
      <c r="K224" s="173">
        <f>IF($A$1="Peak","-",IF(BaseLoad!Q223&gt;BaseLoad!$G223,K$8*BaseLoad!$AM$9,0))</f>
        <v>29.073853298455656</v>
      </c>
      <c r="L224" s="173">
        <f>IF($A$1="Peak","-",IF(BaseLoad!R223&gt;BaseLoad!$G223,L$8*BaseLoad!$AM$9,0))</f>
        <v>29.073853298455656</v>
      </c>
      <c r="M224" s="173">
        <f>IF($A$1="Peak","-",IF(BaseLoad!S223&gt;BaseLoad!$G223,M$8*BaseLoad!$AM$9,0))</f>
        <v>29.073853298455656</v>
      </c>
      <c r="N224" s="173">
        <f>IF($A$1="Peak","-",IF(BaseLoad!T223&gt;BaseLoad!$G223,N$8*BaseLoad!$AM$9,0))</f>
        <v>29.073853298455656</v>
      </c>
      <c r="O224" s="173">
        <f>IF($A$1="Peak","-",IF(BaseLoad!U223&gt;BaseLoad!$G223,O$8*BaseLoad!$AM$9,0))</f>
        <v>29.073853298455656</v>
      </c>
      <c r="P224" s="173">
        <f>IF($A$1="Peak","-",IF(BaseLoad!V223&gt;BaseLoad!$G223,P$8*BaseLoad!$AM$9,0))</f>
        <v>29.073853298455656</v>
      </c>
      <c r="Q224" s="173">
        <f>IF($A$1="Peak","-",IF(BaseLoad!W223&gt;BaseLoad!$G223,Q$8*BaseLoad!$AM$9,0))</f>
        <v>29.073853298455656</v>
      </c>
      <c r="R224" s="173">
        <f>IF($A$1="Peak","-",IF(BaseLoad!X223&gt;BaseLoad!$G223,R$8*BaseLoad!$AM$9,0))</f>
        <v>29.073853298455656</v>
      </c>
      <c r="S224" s="173">
        <f>IF($A$1="Peak","-",IF(BaseLoad!Y223&gt;BaseLoad!$G223,S$8*BaseLoad!$AM$9,0))</f>
        <v>29.073853298455656</v>
      </c>
      <c r="T224" s="173">
        <f>IF($A$1="Peak","-",IF(BaseLoad!Z223&gt;BaseLoad!$G223,T$8*BaseLoad!$AM$9,0))</f>
        <v>29.073853298455656</v>
      </c>
      <c r="U224" s="173">
        <f>IF($A$1="Peak","-",IF(BaseLoad!AA223&gt;BaseLoad!$G223,U$8*BaseLoad!$AM$9,0))</f>
        <v>79.953096570753061</v>
      </c>
      <c r="V224" s="173">
        <f t="shared" si="8"/>
        <v>530.5978226968158</v>
      </c>
      <c r="W224" s="173"/>
      <c r="X224" s="173"/>
      <c r="Y224" s="173"/>
    </row>
    <row r="225" spans="1:25" x14ac:dyDescent="0.2">
      <c r="A225" s="1">
        <f t="shared" si="9"/>
        <v>43079.655000000275</v>
      </c>
      <c r="B225" s="173">
        <f>IF($A$1="Peak","-",IF(BaseLoad!H224&gt;BaseLoad!$G224,B$8*BaseLoad!$AM$9,0))</f>
        <v>3.634231662306957</v>
      </c>
      <c r="C225" s="173">
        <f>IF($A$1="Peak","-",IF(BaseLoad!I224&gt;BaseLoad!$G224,C$8*BaseLoad!$AM$9,0))</f>
        <v>3.634231662306957</v>
      </c>
      <c r="D225" s="173">
        <f>IF($A$1="Peak","-",IF(BaseLoad!J224&gt;BaseLoad!$G224,D$8*BaseLoad!$AM$9,0))</f>
        <v>7.2684633246139141</v>
      </c>
      <c r="E225" s="173">
        <f>IF($A$1="Peak","-",IF(BaseLoad!K224&gt;BaseLoad!$G224,E$8*BaseLoad!$AM$9,0))</f>
        <v>14.536926649227828</v>
      </c>
      <c r="F225" s="173">
        <f>IF($A$1="Peak","-",IF(BaseLoad!L224&gt;BaseLoad!$G224,F$8*BaseLoad!$AM$9,0))</f>
        <v>14.536926649227828</v>
      </c>
      <c r="G225" s="173">
        <f>IF($A$1="Peak","-",IF(BaseLoad!M224&gt;BaseLoad!$G224,G$8*BaseLoad!$AM$9,0))</f>
        <v>29.073853298455656</v>
      </c>
      <c r="H225" s="173">
        <f>IF($A$1="Peak","-",IF(BaseLoad!N224&gt;BaseLoad!$G224,H$8*BaseLoad!$AM$9,0))</f>
        <v>29.073853298455656</v>
      </c>
      <c r="I225" s="173">
        <f>IF($A$1="Peak","-",IF(BaseLoad!O224&gt;BaseLoad!$G224,I$8*BaseLoad!$AM$9,0))</f>
        <v>29.073853298455656</v>
      </c>
      <c r="J225" s="173">
        <f>IF($A$1="Peak","-",IF(BaseLoad!P224&gt;BaseLoad!$G224,J$8*BaseLoad!$AM$9,0))</f>
        <v>29.073853298455656</v>
      </c>
      <c r="K225" s="173">
        <f>IF($A$1="Peak","-",IF(BaseLoad!Q224&gt;BaseLoad!$G224,K$8*BaseLoad!$AM$9,0))</f>
        <v>29.073853298455656</v>
      </c>
      <c r="L225" s="173">
        <f>IF($A$1="Peak","-",IF(BaseLoad!R224&gt;BaseLoad!$G224,L$8*BaseLoad!$AM$9,0))</f>
        <v>29.073853298455656</v>
      </c>
      <c r="M225" s="173">
        <f>IF($A$1="Peak","-",IF(BaseLoad!S224&gt;BaseLoad!$G224,M$8*BaseLoad!$AM$9,0))</f>
        <v>29.073853298455656</v>
      </c>
      <c r="N225" s="173">
        <f>IF($A$1="Peak","-",IF(BaseLoad!T224&gt;BaseLoad!$G224,N$8*BaseLoad!$AM$9,0))</f>
        <v>29.073853298455656</v>
      </c>
      <c r="O225" s="173">
        <f>IF($A$1="Peak","-",IF(BaseLoad!U224&gt;BaseLoad!$G224,O$8*BaseLoad!$AM$9,0))</f>
        <v>29.073853298455656</v>
      </c>
      <c r="P225" s="173">
        <f>IF($A$1="Peak","-",IF(BaseLoad!V224&gt;BaseLoad!$G224,P$8*BaseLoad!$AM$9,0))</f>
        <v>29.073853298455656</v>
      </c>
      <c r="Q225" s="173">
        <f>IF($A$1="Peak","-",IF(BaseLoad!W224&gt;BaseLoad!$G224,Q$8*BaseLoad!$AM$9,0))</f>
        <v>29.073853298455656</v>
      </c>
      <c r="R225" s="173">
        <f>IF($A$1="Peak","-",IF(BaseLoad!X224&gt;BaseLoad!$G224,R$8*BaseLoad!$AM$9,0))</f>
        <v>29.073853298455656</v>
      </c>
      <c r="S225" s="173">
        <f>IF($A$1="Peak","-",IF(BaseLoad!Y224&gt;BaseLoad!$G224,S$8*BaseLoad!$AM$9,0))</f>
        <v>29.073853298455656</v>
      </c>
      <c r="T225" s="173">
        <f>IF($A$1="Peak","-",IF(BaseLoad!Z224&gt;BaseLoad!$G224,T$8*BaseLoad!$AM$9,0))</f>
        <v>29.073853298455656</v>
      </c>
      <c r="U225" s="173">
        <f>IF($A$1="Peak","-",IF(BaseLoad!AA224&gt;BaseLoad!$G224,U$8*BaseLoad!$AM$9,0))</f>
        <v>79.953096570753061</v>
      </c>
      <c r="V225" s="173">
        <f t="shared" si="8"/>
        <v>530.5978226968158</v>
      </c>
      <c r="W225" s="173"/>
      <c r="X225" s="173"/>
      <c r="Y225" s="173">
        <f>SUM(V214:V225)</f>
        <v>6367.1738723617882</v>
      </c>
    </row>
    <row r="226" spans="1:25" x14ac:dyDescent="0.2">
      <c r="A226" s="1">
        <f t="shared" si="9"/>
        <v>43110.072000000277</v>
      </c>
      <c r="B226" s="173">
        <f>IF($A$1="Peak","-",IF(BaseLoad!H225&gt;BaseLoad!$G225,B$8*BaseLoad!$AM$9,0))</f>
        <v>3.634231662306957</v>
      </c>
      <c r="C226" s="173">
        <f>IF($A$1="Peak","-",IF(BaseLoad!I225&gt;BaseLoad!$G225,C$8*BaseLoad!$AM$9,0))</f>
        <v>3.634231662306957</v>
      </c>
      <c r="D226" s="173">
        <f>IF($A$1="Peak","-",IF(BaseLoad!J225&gt;BaseLoad!$G225,D$8*BaseLoad!$AM$9,0))</f>
        <v>7.2684633246139141</v>
      </c>
      <c r="E226" s="173">
        <f>IF($A$1="Peak","-",IF(BaseLoad!K225&gt;BaseLoad!$G225,E$8*BaseLoad!$AM$9,0))</f>
        <v>14.536926649227828</v>
      </c>
      <c r="F226" s="173">
        <f>IF($A$1="Peak","-",IF(BaseLoad!L225&gt;BaseLoad!$G225,F$8*BaseLoad!$AM$9,0))</f>
        <v>14.536926649227828</v>
      </c>
      <c r="G226" s="173">
        <f>IF($A$1="Peak","-",IF(BaseLoad!M225&gt;BaseLoad!$G225,G$8*BaseLoad!$AM$9,0))</f>
        <v>29.073853298455656</v>
      </c>
      <c r="H226" s="173">
        <f>IF($A$1="Peak","-",IF(BaseLoad!N225&gt;BaseLoad!$G225,H$8*BaseLoad!$AM$9,0))</f>
        <v>29.073853298455656</v>
      </c>
      <c r="I226" s="173">
        <f>IF($A$1="Peak","-",IF(BaseLoad!O225&gt;BaseLoad!$G225,I$8*BaseLoad!$AM$9,0))</f>
        <v>29.073853298455656</v>
      </c>
      <c r="J226" s="173">
        <f>IF($A$1="Peak","-",IF(BaseLoad!P225&gt;BaseLoad!$G225,J$8*BaseLoad!$AM$9,0))</f>
        <v>29.073853298455656</v>
      </c>
      <c r="K226" s="173">
        <f>IF($A$1="Peak","-",IF(BaseLoad!Q225&gt;BaseLoad!$G225,K$8*BaseLoad!$AM$9,0))</f>
        <v>29.073853298455656</v>
      </c>
      <c r="L226" s="173">
        <f>IF($A$1="Peak","-",IF(BaseLoad!R225&gt;BaseLoad!$G225,L$8*BaseLoad!$AM$9,0))</f>
        <v>29.073853298455656</v>
      </c>
      <c r="M226" s="173">
        <f>IF($A$1="Peak","-",IF(BaseLoad!S225&gt;BaseLoad!$G225,M$8*BaseLoad!$AM$9,0))</f>
        <v>29.073853298455656</v>
      </c>
      <c r="N226" s="173">
        <f>IF($A$1="Peak","-",IF(BaseLoad!T225&gt;BaseLoad!$G225,N$8*BaseLoad!$AM$9,0))</f>
        <v>29.073853298455656</v>
      </c>
      <c r="O226" s="173">
        <f>IF($A$1="Peak","-",IF(BaseLoad!U225&gt;BaseLoad!$G225,O$8*BaseLoad!$AM$9,0))</f>
        <v>29.073853298455656</v>
      </c>
      <c r="P226" s="173">
        <f>IF($A$1="Peak","-",IF(BaseLoad!V225&gt;BaseLoad!$G225,P$8*BaseLoad!$AM$9,0))</f>
        <v>29.073853298455656</v>
      </c>
      <c r="Q226" s="173">
        <f>IF($A$1="Peak","-",IF(BaseLoad!W225&gt;BaseLoad!$G225,Q$8*BaseLoad!$AM$9,0))</f>
        <v>29.073853298455656</v>
      </c>
      <c r="R226" s="173">
        <f>IF($A$1="Peak","-",IF(BaseLoad!X225&gt;BaseLoad!$G225,R$8*BaseLoad!$AM$9,0))</f>
        <v>29.073853298455656</v>
      </c>
      <c r="S226" s="173">
        <f>IF($A$1="Peak","-",IF(BaseLoad!Y225&gt;BaseLoad!$G225,S$8*BaseLoad!$AM$9,0))</f>
        <v>29.073853298455656</v>
      </c>
      <c r="T226" s="173">
        <f>IF($A$1="Peak","-",IF(BaseLoad!Z225&gt;BaseLoad!$G225,T$8*BaseLoad!$AM$9,0))</f>
        <v>29.073853298455656</v>
      </c>
      <c r="U226" s="173">
        <f>IF($A$1="Peak","-",IF(BaseLoad!AA225&gt;BaseLoad!$G225,U$8*BaseLoad!$AM$9,0))</f>
        <v>79.953096570753061</v>
      </c>
      <c r="V226" s="173">
        <f t="shared" si="8"/>
        <v>530.5978226968158</v>
      </c>
      <c r="W226" s="173"/>
      <c r="X226" s="173"/>
      <c r="Y226" s="173"/>
    </row>
    <row r="227" spans="1:25" x14ac:dyDescent="0.2">
      <c r="A227" s="1">
        <f t="shared" si="9"/>
        <v>43140.489000000278</v>
      </c>
      <c r="B227" s="173">
        <f>IF($A$1="Peak","-",IF(BaseLoad!H226&gt;BaseLoad!$G226,B$8*BaseLoad!$AM$9,0))</f>
        <v>3.634231662306957</v>
      </c>
      <c r="C227" s="173">
        <f>IF($A$1="Peak","-",IF(BaseLoad!I226&gt;BaseLoad!$G226,C$8*BaseLoad!$AM$9,0))</f>
        <v>3.634231662306957</v>
      </c>
      <c r="D227" s="173">
        <f>IF($A$1="Peak","-",IF(BaseLoad!J226&gt;BaseLoad!$G226,D$8*BaseLoad!$AM$9,0))</f>
        <v>7.2684633246139141</v>
      </c>
      <c r="E227" s="173">
        <f>IF($A$1="Peak","-",IF(BaseLoad!K226&gt;BaseLoad!$G226,E$8*BaseLoad!$AM$9,0))</f>
        <v>14.536926649227828</v>
      </c>
      <c r="F227" s="173">
        <f>IF($A$1="Peak","-",IF(BaseLoad!L226&gt;BaseLoad!$G226,F$8*BaseLoad!$AM$9,0))</f>
        <v>14.536926649227828</v>
      </c>
      <c r="G227" s="173">
        <f>IF($A$1="Peak","-",IF(BaseLoad!M226&gt;BaseLoad!$G226,G$8*BaseLoad!$AM$9,0))</f>
        <v>29.073853298455656</v>
      </c>
      <c r="H227" s="173">
        <f>IF($A$1="Peak","-",IF(BaseLoad!N226&gt;BaseLoad!$G226,H$8*BaseLoad!$AM$9,0))</f>
        <v>29.073853298455656</v>
      </c>
      <c r="I227" s="173">
        <f>IF($A$1="Peak","-",IF(BaseLoad!O226&gt;BaseLoad!$G226,I$8*BaseLoad!$AM$9,0))</f>
        <v>29.073853298455656</v>
      </c>
      <c r="J227" s="173">
        <f>IF($A$1="Peak","-",IF(BaseLoad!P226&gt;BaseLoad!$G226,J$8*BaseLoad!$AM$9,0))</f>
        <v>29.073853298455656</v>
      </c>
      <c r="K227" s="173">
        <f>IF($A$1="Peak","-",IF(BaseLoad!Q226&gt;BaseLoad!$G226,K$8*BaseLoad!$AM$9,0))</f>
        <v>29.073853298455656</v>
      </c>
      <c r="L227" s="173">
        <f>IF($A$1="Peak","-",IF(BaseLoad!R226&gt;BaseLoad!$G226,L$8*BaseLoad!$AM$9,0))</f>
        <v>29.073853298455656</v>
      </c>
      <c r="M227" s="173">
        <f>IF($A$1="Peak","-",IF(BaseLoad!S226&gt;BaseLoad!$G226,M$8*BaseLoad!$AM$9,0))</f>
        <v>29.073853298455656</v>
      </c>
      <c r="N227" s="173">
        <f>IF($A$1="Peak","-",IF(BaseLoad!T226&gt;BaseLoad!$G226,N$8*BaseLoad!$AM$9,0))</f>
        <v>29.073853298455656</v>
      </c>
      <c r="O227" s="173">
        <f>IF($A$1="Peak","-",IF(BaseLoad!U226&gt;BaseLoad!$G226,O$8*BaseLoad!$AM$9,0))</f>
        <v>29.073853298455656</v>
      </c>
      <c r="P227" s="173">
        <f>IF($A$1="Peak","-",IF(BaseLoad!V226&gt;BaseLoad!$G226,P$8*BaseLoad!$AM$9,0))</f>
        <v>29.073853298455656</v>
      </c>
      <c r="Q227" s="173">
        <f>IF($A$1="Peak","-",IF(BaseLoad!W226&gt;BaseLoad!$G226,Q$8*BaseLoad!$AM$9,0))</f>
        <v>29.073853298455656</v>
      </c>
      <c r="R227" s="173">
        <f>IF($A$1="Peak","-",IF(BaseLoad!X226&gt;BaseLoad!$G226,R$8*BaseLoad!$AM$9,0))</f>
        <v>29.073853298455656</v>
      </c>
      <c r="S227" s="173">
        <f>IF($A$1="Peak","-",IF(BaseLoad!Y226&gt;BaseLoad!$G226,S$8*BaseLoad!$AM$9,0))</f>
        <v>29.073853298455656</v>
      </c>
      <c r="T227" s="173">
        <f>IF($A$1="Peak","-",IF(BaseLoad!Z226&gt;BaseLoad!$G226,T$8*BaseLoad!$AM$9,0))</f>
        <v>29.073853298455656</v>
      </c>
      <c r="U227" s="173">
        <f>IF($A$1="Peak","-",IF(BaseLoad!AA226&gt;BaseLoad!$G226,U$8*BaseLoad!$AM$9,0))</f>
        <v>79.953096570753061</v>
      </c>
      <c r="V227" s="173">
        <f t="shared" si="8"/>
        <v>530.5978226968158</v>
      </c>
      <c r="W227" s="173"/>
      <c r="X227" s="173"/>
      <c r="Y227" s="173"/>
    </row>
    <row r="228" spans="1:25" x14ac:dyDescent="0.2">
      <c r="A228" s="1">
        <f t="shared" si="9"/>
        <v>43170.906000000279</v>
      </c>
      <c r="B228" s="173">
        <f>IF($A$1="Peak","-",IF(BaseLoad!H227&gt;BaseLoad!$G227,B$8*BaseLoad!$AM$9,0))</f>
        <v>3.634231662306957</v>
      </c>
      <c r="C228" s="173">
        <f>IF($A$1="Peak","-",IF(BaseLoad!I227&gt;BaseLoad!$G227,C$8*BaseLoad!$AM$9,0))</f>
        <v>3.634231662306957</v>
      </c>
      <c r="D228" s="173">
        <f>IF($A$1="Peak","-",IF(BaseLoad!J227&gt;BaseLoad!$G227,D$8*BaseLoad!$AM$9,0))</f>
        <v>7.2684633246139141</v>
      </c>
      <c r="E228" s="173">
        <f>IF($A$1="Peak","-",IF(BaseLoad!K227&gt;BaseLoad!$G227,E$8*BaseLoad!$AM$9,0))</f>
        <v>14.536926649227828</v>
      </c>
      <c r="F228" s="173">
        <f>IF($A$1="Peak","-",IF(BaseLoad!L227&gt;BaseLoad!$G227,F$8*BaseLoad!$AM$9,0))</f>
        <v>14.536926649227828</v>
      </c>
      <c r="G228" s="173">
        <f>IF($A$1="Peak","-",IF(BaseLoad!M227&gt;BaseLoad!$G227,G$8*BaseLoad!$AM$9,0))</f>
        <v>29.073853298455656</v>
      </c>
      <c r="H228" s="173">
        <f>IF($A$1="Peak","-",IF(BaseLoad!N227&gt;BaseLoad!$G227,H$8*BaseLoad!$AM$9,0))</f>
        <v>29.073853298455656</v>
      </c>
      <c r="I228" s="173">
        <f>IF($A$1="Peak","-",IF(BaseLoad!O227&gt;BaseLoad!$G227,I$8*BaseLoad!$AM$9,0))</f>
        <v>29.073853298455656</v>
      </c>
      <c r="J228" s="173">
        <f>IF($A$1="Peak","-",IF(BaseLoad!P227&gt;BaseLoad!$G227,J$8*BaseLoad!$AM$9,0))</f>
        <v>29.073853298455656</v>
      </c>
      <c r="K228" s="173">
        <f>IF($A$1="Peak","-",IF(BaseLoad!Q227&gt;BaseLoad!$G227,K$8*BaseLoad!$AM$9,0))</f>
        <v>29.073853298455656</v>
      </c>
      <c r="L228" s="173">
        <f>IF($A$1="Peak","-",IF(BaseLoad!R227&gt;BaseLoad!$G227,L$8*BaseLoad!$AM$9,0))</f>
        <v>29.073853298455656</v>
      </c>
      <c r="M228" s="173">
        <f>IF($A$1="Peak","-",IF(BaseLoad!S227&gt;BaseLoad!$G227,M$8*BaseLoad!$AM$9,0))</f>
        <v>29.073853298455656</v>
      </c>
      <c r="N228" s="173">
        <f>IF($A$1="Peak","-",IF(BaseLoad!T227&gt;BaseLoad!$G227,N$8*BaseLoad!$AM$9,0))</f>
        <v>29.073853298455656</v>
      </c>
      <c r="O228" s="173">
        <f>IF($A$1="Peak","-",IF(BaseLoad!U227&gt;BaseLoad!$G227,O$8*BaseLoad!$AM$9,0))</f>
        <v>29.073853298455656</v>
      </c>
      <c r="P228" s="173">
        <f>IF($A$1="Peak","-",IF(BaseLoad!V227&gt;BaseLoad!$G227,P$8*BaseLoad!$AM$9,0))</f>
        <v>29.073853298455656</v>
      </c>
      <c r="Q228" s="173">
        <f>IF($A$1="Peak","-",IF(BaseLoad!W227&gt;BaseLoad!$G227,Q$8*BaseLoad!$AM$9,0))</f>
        <v>29.073853298455656</v>
      </c>
      <c r="R228" s="173">
        <f>IF($A$1="Peak","-",IF(BaseLoad!X227&gt;BaseLoad!$G227,R$8*BaseLoad!$AM$9,0))</f>
        <v>29.073853298455656</v>
      </c>
      <c r="S228" s="173">
        <f>IF($A$1="Peak","-",IF(BaseLoad!Y227&gt;BaseLoad!$G227,S$8*BaseLoad!$AM$9,0))</f>
        <v>29.073853298455656</v>
      </c>
      <c r="T228" s="173">
        <f>IF($A$1="Peak","-",IF(BaseLoad!Z227&gt;BaseLoad!$G227,T$8*BaseLoad!$AM$9,0))</f>
        <v>29.073853298455656</v>
      </c>
      <c r="U228" s="173">
        <f>IF($A$1="Peak","-",IF(BaseLoad!AA227&gt;BaseLoad!$G227,U$8*BaseLoad!$AM$9,0))</f>
        <v>79.953096570753061</v>
      </c>
      <c r="V228" s="173">
        <f t="shared" si="8"/>
        <v>530.5978226968158</v>
      </c>
      <c r="W228" s="173"/>
      <c r="X228" s="173"/>
      <c r="Y228" s="173"/>
    </row>
    <row r="229" spans="1:25" x14ac:dyDescent="0.2">
      <c r="A229" s="1">
        <f t="shared" si="9"/>
        <v>43201.32300000028</v>
      </c>
      <c r="B229" s="173">
        <f>IF($A$1="Peak","-",IF(BaseLoad!H228&gt;BaseLoad!$G228,B$8*BaseLoad!$AM$9,0))</f>
        <v>3.634231662306957</v>
      </c>
      <c r="C229" s="173">
        <f>IF($A$1="Peak","-",IF(BaseLoad!I228&gt;BaseLoad!$G228,C$8*BaseLoad!$AM$9,0))</f>
        <v>3.634231662306957</v>
      </c>
      <c r="D229" s="173">
        <f>IF($A$1="Peak","-",IF(BaseLoad!J228&gt;BaseLoad!$G228,D$8*BaseLoad!$AM$9,0))</f>
        <v>7.2684633246139141</v>
      </c>
      <c r="E229" s="173">
        <f>IF($A$1="Peak","-",IF(BaseLoad!K228&gt;BaseLoad!$G228,E$8*BaseLoad!$AM$9,0))</f>
        <v>14.536926649227828</v>
      </c>
      <c r="F229" s="173">
        <f>IF($A$1="Peak","-",IF(BaseLoad!L228&gt;BaseLoad!$G228,F$8*BaseLoad!$AM$9,0))</f>
        <v>14.536926649227828</v>
      </c>
      <c r="G229" s="173">
        <f>IF($A$1="Peak","-",IF(BaseLoad!M228&gt;BaseLoad!$G228,G$8*BaseLoad!$AM$9,0))</f>
        <v>29.073853298455656</v>
      </c>
      <c r="H229" s="173">
        <f>IF($A$1="Peak","-",IF(BaseLoad!N228&gt;BaseLoad!$G228,H$8*BaseLoad!$AM$9,0))</f>
        <v>29.073853298455656</v>
      </c>
      <c r="I229" s="173">
        <f>IF($A$1="Peak","-",IF(BaseLoad!O228&gt;BaseLoad!$G228,I$8*BaseLoad!$AM$9,0))</f>
        <v>29.073853298455656</v>
      </c>
      <c r="J229" s="173">
        <f>IF($A$1="Peak","-",IF(BaseLoad!P228&gt;BaseLoad!$G228,J$8*BaseLoad!$AM$9,0))</f>
        <v>29.073853298455656</v>
      </c>
      <c r="K229" s="173">
        <f>IF($A$1="Peak","-",IF(BaseLoad!Q228&gt;BaseLoad!$G228,K$8*BaseLoad!$AM$9,0))</f>
        <v>29.073853298455656</v>
      </c>
      <c r="L229" s="173">
        <f>IF($A$1="Peak","-",IF(BaseLoad!R228&gt;BaseLoad!$G228,L$8*BaseLoad!$AM$9,0))</f>
        <v>29.073853298455656</v>
      </c>
      <c r="M229" s="173">
        <f>IF($A$1="Peak","-",IF(BaseLoad!S228&gt;BaseLoad!$G228,M$8*BaseLoad!$AM$9,0))</f>
        <v>29.073853298455656</v>
      </c>
      <c r="N229" s="173">
        <f>IF($A$1="Peak","-",IF(BaseLoad!T228&gt;BaseLoad!$G228,N$8*BaseLoad!$AM$9,0))</f>
        <v>29.073853298455656</v>
      </c>
      <c r="O229" s="173">
        <f>IF($A$1="Peak","-",IF(BaseLoad!U228&gt;BaseLoad!$G228,O$8*BaseLoad!$AM$9,0))</f>
        <v>29.073853298455656</v>
      </c>
      <c r="P229" s="173">
        <f>IF($A$1="Peak","-",IF(BaseLoad!V228&gt;BaseLoad!$G228,P$8*BaseLoad!$AM$9,0))</f>
        <v>29.073853298455656</v>
      </c>
      <c r="Q229" s="173">
        <f>IF($A$1="Peak","-",IF(BaseLoad!W228&gt;BaseLoad!$G228,Q$8*BaseLoad!$AM$9,0))</f>
        <v>29.073853298455656</v>
      </c>
      <c r="R229" s="173">
        <f>IF($A$1="Peak","-",IF(BaseLoad!X228&gt;BaseLoad!$G228,R$8*BaseLoad!$AM$9,0))</f>
        <v>29.073853298455656</v>
      </c>
      <c r="S229" s="173">
        <f>IF($A$1="Peak","-",IF(BaseLoad!Y228&gt;BaseLoad!$G228,S$8*BaseLoad!$AM$9,0))</f>
        <v>29.073853298455656</v>
      </c>
      <c r="T229" s="173">
        <f>IF($A$1="Peak","-",IF(BaseLoad!Z228&gt;BaseLoad!$G228,T$8*BaseLoad!$AM$9,0))</f>
        <v>29.073853298455656</v>
      </c>
      <c r="U229" s="173">
        <f>IF($A$1="Peak","-",IF(BaseLoad!AA228&gt;BaseLoad!$G228,U$8*BaseLoad!$AM$9,0))</f>
        <v>79.953096570753061</v>
      </c>
      <c r="V229" s="173">
        <f t="shared" si="8"/>
        <v>530.5978226968158</v>
      </c>
      <c r="W229" s="173"/>
      <c r="X229" s="173"/>
      <c r="Y229" s="173"/>
    </row>
    <row r="230" spans="1:25" x14ac:dyDescent="0.2">
      <c r="A230" s="1">
        <f t="shared" si="9"/>
        <v>43231.740000000282</v>
      </c>
      <c r="B230" s="173">
        <f>IF($A$1="Peak","-",IF(BaseLoad!H229&gt;BaseLoad!$G229,B$8*BaseLoad!$AM$9,0))</f>
        <v>3.634231662306957</v>
      </c>
      <c r="C230" s="173">
        <f>IF($A$1="Peak","-",IF(BaseLoad!I229&gt;BaseLoad!$G229,C$8*BaseLoad!$AM$9,0))</f>
        <v>3.634231662306957</v>
      </c>
      <c r="D230" s="173">
        <f>IF($A$1="Peak","-",IF(BaseLoad!J229&gt;BaseLoad!$G229,D$8*BaseLoad!$AM$9,0))</f>
        <v>7.2684633246139141</v>
      </c>
      <c r="E230" s="173">
        <f>IF($A$1="Peak","-",IF(BaseLoad!K229&gt;BaseLoad!$G229,E$8*BaseLoad!$AM$9,0))</f>
        <v>14.536926649227828</v>
      </c>
      <c r="F230" s="173">
        <f>IF($A$1="Peak","-",IF(BaseLoad!L229&gt;BaseLoad!$G229,F$8*BaseLoad!$AM$9,0))</f>
        <v>14.536926649227828</v>
      </c>
      <c r="G230" s="173">
        <f>IF($A$1="Peak","-",IF(BaseLoad!M229&gt;BaseLoad!$G229,G$8*BaseLoad!$AM$9,0))</f>
        <v>29.073853298455656</v>
      </c>
      <c r="H230" s="173">
        <f>IF($A$1="Peak","-",IF(BaseLoad!N229&gt;BaseLoad!$G229,H$8*BaseLoad!$AM$9,0))</f>
        <v>29.073853298455656</v>
      </c>
      <c r="I230" s="173">
        <f>IF($A$1="Peak","-",IF(BaseLoad!O229&gt;BaseLoad!$G229,I$8*BaseLoad!$AM$9,0))</f>
        <v>29.073853298455656</v>
      </c>
      <c r="J230" s="173">
        <f>IF($A$1="Peak","-",IF(BaseLoad!P229&gt;BaseLoad!$G229,J$8*BaseLoad!$AM$9,0))</f>
        <v>29.073853298455656</v>
      </c>
      <c r="K230" s="173">
        <f>IF($A$1="Peak","-",IF(BaseLoad!Q229&gt;BaseLoad!$G229,K$8*BaseLoad!$AM$9,0))</f>
        <v>29.073853298455656</v>
      </c>
      <c r="L230" s="173">
        <f>IF($A$1="Peak","-",IF(BaseLoad!R229&gt;BaseLoad!$G229,L$8*BaseLoad!$AM$9,0))</f>
        <v>29.073853298455656</v>
      </c>
      <c r="M230" s="173">
        <f>IF($A$1="Peak","-",IF(BaseLoad!S229&gt;BaseLoad!$G229,M$8*BaseLoad!$AM$9,0))</f>
        <v>29.073853298455656</v>
      </c>
      <c r="N230" s="173">
        <f>IF($A$1="Peak","-",IF(BaseLoad!T229&gt;BaseLoad!$G229,N$8*BaseLoad!$AM$9,0))</f>
        <v>29.073853298455656</v>
      </c>
      <c r="O230" s="173">
        <f>IF($A$1="Peak","-",IF(BaseLoad!U229&gt;BaseLoad!$G229,O$8*BaseLoad!$AM$9,0))</f>
        <v>29.073853298455656</v>
      </c>
      <c r="P230" s="173">
        <f>IF($A$1="Peak","-",IF(BaseLoad!V229&gt;BaseLoad!$G229,P$8*BaseLoad!$AM$9,0))</f>
        <v>29.073853298455656</v>
      </c>
      <c r="Q230" s="173">
        <f>IF($A$1="Peak","-",IF(BaseLoad!W229&gt;BaseLoad!$G229,Q$8*BaseLoad!$AM$9,0))</f>
        <v>29.073853298455656</v>
      </c>
      <c r="R230" s="173">
        <f>IF($A$1="Peak","-",IF(BaseLoad!X229&gt;BaseLoad!$G229,R$8*BaseLoad!$AM$9,0))</f>
        <v>29.073853298455656</v>
      </c>
      <c r="S230" s="173">
        <f>IF($A$1="Peak","-",IF(BaseLoad!Y229&gt;BaseLoad!$G229,S$8*BaseLoad!$AM$9,0))</f>
        <v>29.073853298455656</v>
      </c>
      <c r="T230" s="173">
        <f>IF($A$1="Peak","-",IF(BaseLoad!Z229&gt;BaseLoad!$G229,T$8*BaseLoad!$AM$9,0))</f>
        <v>29.073853298455656</v>
      </c>
      <c r="U230" s="173">
        <f>IF($A$1="Peak","-",IF(BaseLoad!AA229&gt;BaseLoad!$G229,U$8*BaseLoad!$AM$9,0))</f>
        <v>79.953096570753061</v>
      </c>
      <c r="V230" s="173">
        <f t="shared" si="8"/>
        <v>530.5978226968158</v>
      </c>
      <c r="W230" s="173"/>
      <c r="X230" s="173"/>
      <c r="Y230" s="173"/>
    </row>
    <row r="231" spans="1:25" x14ac:dyDescent="0.2">
      <c r="A231" s="1">
        <f t="shared" si="9"/>
        <v>43262.157000000283</v>
      </c>
      <c r="B231" s="173">
        <f>IF($A$1="Peak","-",IF(BaseLoad!H230&gt;BaseLoad!$G230,B$8*BaseLoad!$AM$9,0))</f>
        <v>3.634231662306957</v>
      </c>
      <c r="C231" s="173">
        <f>IF($A$1="Peak","-",IF(BaseLoad!I230&gt;BaseLoad!$G230,C$8*BaseLoad!$AM$9,0))</f>
        <v>3.634231662306957</v>
      </c>
      <c r="D231" s="173">
        <f>IF($A$1="Peak","-",IF(BaseLoad!J230&gt;BaseLoad!$G230,D$8*BaseLoad!$AM$9,0))</f>
        <v>7.2684633246139141</v>
      </c>
      <c r="E231" s="173">
        <f>IF($A$1="Peak","-",IF(BaseLoad!K230&gt;BaseLoad!$G230,E$8*BaseLoad!$AM$9,0))</f>
        <v>14.536926649227828</v>
      </c>
      <c r="F231" s="173">
        <f>IF($A$1="Peak","-",IF(BaseLoad!L230&gt;BaseLoad!$G230,F$8*BaseLoad!$AM$9,0))</f>
        <v>14.536926649227828</v>
      </c>
      <c r="G231" s="173">
        <f>IF($A$1="Peak","-",IF(BaseLoad!M230&gt;BaseLoad!$G230,G$8*BaseLoad!$AM$9,0))</f>
        <v>29.073853298455656</v>
      </c>
      <c r="H231" s="173">
        <f>IF($A$1="Peak","-",IF(BaseLoad!N230&gt;BaseLoad!$G230,H$8*BaseLoad!$AM$9,0))</f>
        <v>29.073853298455656</v>
      </c>
      <c r="I231" s="173">
        <f>IF($A$1="Peak","-",IF(BaseLoad!O230&gt;BaseLoad!$G230,I$8*BaseLoad!$AM$9,0))</f>
        <v>29.073853298455656</v>
      </c>
      <c r="J231" s="173">
        <f>IF($A$1="Peak","-",IF(BaseLoad!P230&gt;BaseLoad!$G230,J$8*BaseLoad!$AM$9,0))</f>
        <v>29.073853298455656</v>
      </c>
      <c r="K231" s="173">
        <f>IF($A$1="Peak","-",IF(BaseLoad!Q230&gt;BaseLoad!$G230,K$8*BaseLoad!$AM$9,0))</f>
        <v>29.073853298455656</v>
      </c>
      <c r="L231" s="173">
        <f>IF($A$1="Peak","-",IF(BaseLoad!R230&gt;BaseLoad!$G230,L$8*BaseLoad!$AM$9,0))</f>
        <v>29.073853298455656</v>
      </c>
      <c r="M231" s="173">
        <f>IF($A$1="Peak","-",IF(BaseLoad!S230&gt;BaseLoad!$G230,M$8*BaseLoad!$AM$9,0))</f>
        <v>29.073853298455656</v>
      </c>
      <c r="N231" s="173">
        <f>IF($A$1="Peak","-",IF(BaseLoad!T230&gt;BaseLoad!$G230,N$8*BaseLoad!$AM$9,0))</f>
        <v>29.073853298455656</v>
      </c>
      <c r="O231" s="173">
        <f>IF($A$1="Peak","-",IF(BaseLoad!U230&gt;BaseLoad!$G230,O$8*BaseLoad!$AM$9,0))</f>
        <v>29.073853298455656</v>
      </c>
      <c r="P231" s="173">
        <f>IF($A$1="Peak","-",IF(BaseLoad!V230&gt;BaseLoad!$G230,P$8*BaseLoad!$AM$9,0))</f>
        <v>29.073853298455656</v>
      </c>
      <c r="Q231" s="173">
        <f>IF($A$1="Peak","-",IF(BaseLoad!W230&gt;BaseLoad!$G230,Q$8*BaseLoad!$AM$9,0))</f>
        <v>29.073853298455656</v>
      </c>
      <c r="R231" s="173">
        <f>IF($A$1="Peak","-",IF(BaseLoad!X230&gt;BaseLoad!$G230,R$8*BaseLoad!$AM$9,0))</f>
        <v>29.073853298455656</v>
      </c>
      <c r="S231" s="173">
        <f>IF($A$1="Peak","-",IF(BaseLoad!Y230&gt;BaseLoad!$G230,S$8*BaseLoad!$AM$9,0))</f>
        <v>29.073853298455656</v>
      </c>
      <c r="T231" s="173">
        <f>IF($A$1="Peak","-",IF(BaseLoad!Z230&gt;BaseLoad!$G230,T$8*BaseLoad!$AM$9,0))</f>
        <v>29.073853298455656</v>
      </c>
      <c r="U231" s="173">
        <f>IF($A$1="Peak","-",IF(BaseLoad!AA230&gt;BaseLoad!$G230,U$8*BaseLoad!$AM$9,0))</f>
        <v>79.953096570753061</v>
      </c>
      <c r="V231" s="173">
        <f t="shared" si="8"/>
        <v>530.5978226968158</v>
      </c>
      <c r="W231" s="173"/>
      <c r="X231" s="173"/>
      <c r="Y231" s="173"/>
    </row>
    <row r="232" spans="1:25" x14ac:dyDescent="0.2">
      <c r="A232" s="1">
        <f t="shared" si="9"/>
        <v>43292.574000000284</v>
      </c>
      <c r="B232" s="173">
        <f>IF($A$1="Peak","-",IF(BaseLoad!H231&gt;BaseLoad!$G231,B$8*BaseLoad!$AM$9,0))</f>
        <v>3.634231662306957</v>
      </c>
      <c r="C232" s="173">
        <f>IF($A$1="Peak","-",IF(BaseLoad!I231&gt;BaseLoad!$G231,C$8*BaseLoad!$AM$9,0))</f>
        <v>3.634231662306957</v>
      </c>
      <c r="D232" s="173">
        <f>IF($A$1="Peak","-",IF(BaseLoad!J231&gt;BaseLoad!$G231,D$8*BaseLoad!$AM$9,0))</f>
        <v>7.2684633246139141</v>
      </c>
      <c r="E232" s="173">
        <f>IF($A$1="Peak","-",IF(BaseLoad!K231&gt;BaseLoad!$G231,E$8*BaseLoad!$AM$9,0))</f>
        <v>14.536926649227828</v>
      </c>
      <c r="F232" s="173">
        <f>IF($A$1="Peak","-",IF(BaseLoad!L231&gt;BaseLoad!$G231,F$8*BaseLoad!$AM$9,0))</f>
        <v>14.536926649227828</v>
      </c>
      <c r="G232" s="173">
        <f>IF($A$1="Peak","-",IF(BaseLoad!M231&gt;BaseLoad!$G231,G$8*BaseLoad!$AM$9,0))</f>
        <v>29.073853298455656</v>
      </c>
      <c r="H232" s="173">
        <f>IF($A$1="Peak","-",IF(BaseLoad!N231&gt;BaseLoad!$G231,H$8*BaseLoad!$AM$9,0))</f>
        <v>29.073853298455656</v>
      </c>
      <c r="I232" s="173">
        <f>IF($A$1="Peak","-",IF(BaseLoad!O231&gt;BaseLoad!$G231,I$8*BaseLoad!$AM$9,0))</f>
        <v>29.073853298455656</v>
      </c>
      <c r="J232" s="173">
        <f>IF($A$1="Peak","-",IF(BaseLoad!P231&gt;BaseLoad!$G231,J$8*BaseLoad!$AM$9,0))</f>
        <v>29.073853298455656</v>
      </c>
      <c r="K232" s="173">
        <f>IF($A$1="Peak","-",IF(BaseLoad!Q231&gt;BaseLoad!$G231,K$8*BaseLoad!$AM$9,0))</f>
        <v>29.073853298455656</v>
      </c>
      <c r="L232" s="173">
        <f>IF($A$1="Peak","-",IF(BaseLoad!R231&gt;BaseLoad!$G231,L$8*BaseLoad!$AM$9,0))</f>
        <v>29.073853298455656</v>
      </c>
      <c r="M232" s="173">
        <f>IF($A$1="Peak","-",IF(BaseLoad!S231&gt;BaseLoad!$G231,M$8*BaseLoad!$AM$9,0))</f>
        <v>29.073853298455656</v>
      </c>
      <c r="N232" s="173">
        <f>IF($A$1="Peak","-",IF(BaseLoad!T231&gt;BaseLoad!$G231,N$8*BaseLoad!$AM$9,0))</f>
        <v>29.073853298455656</v>
      </c>
      <c r="O232" s="173">
        <f>IF($A$1="Peak","-",IF(BaseLoad!U231&gt;BaseLoad!$G231,O$8*BaseLoad!$AM$9,0))</f>
        <v>29.073853298455656</v>
      </c>
      <c r="P232" s="173">
        <f>IF($A$1="Peak","-",IF(BaseLoad!V231&gt;BaseLoad!$G231,P$8*BaseLoad!$AM$9,0))</f>
        <v>29.073853298455656</v>
      </c>
      <c r="Q232" s="173">
        <f>IF($A$1="Peak","-",IF(BaseLoad!W231&gt;BaseLoad!$G231,Q$8*BaseLoad!$AM$9,0))</f>
        <v>29.073853298455656</v>
      </c>
      <c r="R232" s="173">
        <f>IF($A$1="Peak","-",IF(BaseLoad!X231&gt;BaseLoad!$G231,R$8*BaseLoad!$AM$9,0))</f>
        <v>29.073853298455656</v>
      </c>
      <c r="S232" s="173">
        <f>IF($A$1="Peak","-",IF(BaseLoad!Y231&gt;BaseLoad!$G231,S$8*BaseLoad!$AM$9,0))</f>
        <v>29.073853298455656</v>
      </c>
      <c r="T232" s="173">
        <f>IF($A$1="Peak","-",IF(BaseLoad!Z231&gt;BaseLoad!$G231,T$8*BaseLoad!$AM$9,0))</f>
        <v>29.073853298455656</v>
      </c>
      <c r="U232" s="173">
        <f>IF($A$1="Peak","-",IF(BaseLoad!AA231&gt;BaseLoad!$G231,U$8*BaseLoad!$AM$9,0))</f>
        <v>79.953096570753061</v>
      </c>
      <c r="V232" s="173">
        <f t="shared" si="8"/>
        <v>530.5978226968158</v>
      </c>
      <c r="W232" s="173"/>
      <c r="X232" s="173"/>
      <c r="Y232" s="173"/>
    </row>
    <row r="233" spans="1:25" x14ac:dyDescent="0.2">
      <c r="A233" s="1">
        <f t="shared" si="9"/>
        <v>43322.991000000286</v>
      </c>
      <c r="B233" s="173">
        <f>IF($A$1="Peak","-",IF(BaseLoad!H232&gt;BaseLoad!$G232,B$8*BaseLoad!$AM$9,0))</f>
        <v>3.634231662306957</v>
      </c>
      <c r="C233" s="173">
        <f>IF($A$1="Peak","-",IF(BaseLoad!I232&gt;BaseLoad!$G232,C$8*BaseLoad!$AM$9,0))</f>
        <v>3.634231662306957</v>
      </c>
      <c r="D233" s="173">
        <f>IF($A$1="Peak","-",IF(BaseLoad!J232&gt;BaseLoad!$G232,D$8*BaseLoad!$AM$9,0))</f>
        <v>7.2684633246139141</v>
      </c>
      <c r="E233" s="173">
        <f>IF($A$1="Peak","-",IF(BaseLoad!K232&gt;BaseLoad!$G232,E$8*BaseLoad!$AM$9,0))</f>
        <v>14.536926649227828</v>
      </c>
      <c r="F233" s="173">
        <f>IF($A$1="Peak","-",IF(BaseLoad!L232&gt;BaseLoad!$G232,F$8*BaseLoad!$AM$9,0))</f>
        <v>14.536926649227828</v>
      </c>
      <c r="G233" s="173">
        <f>IF($A$1="Peak","-",IF(BaseLoad!M232&gt;BaseLoad!$G232,G$8*BaseLoad!$AM$9,0))</f>
        <v>29.073853298455656</v>
      </c>
      <c r="H233" s="173">
        <f>IF($A$1="Peak","-",IF(BaseLoad!N232&gt;BaseLoad!$G232,H$8*BaseLoad!$AM$9,0))</f>
        <v>29.073853298455656</v>
      </c>
      <c r="I233" s="173">
        <f>IF($A$1="Peak","-",IF(BaseLoad!O232&gt;BaseLoad!$G232,I$8*BaseLoad!$AM$9,0))</f>
        <v>29.073853298455656</v>
      </c>
      <c r="J233" s="173">
        <f>IF($A$1="Peak","-",IF(BaseLoad!P232&gt;BaseLoad!$G232,J$8*BaseLoad!$AM$9,0))</f>
        <v>29.073853298455656</v>
      </c>
      <c r="K233" s="173">
        <f>IF($A$1="Peak","-",IF(BaseLoad!Q232&gt;BaseLoad!$G232,K$8*BaseLoad!$AM$9,0))</f>
        <v>29.073853298455656</v>
      </c>
      <c r="L233" s="173">
        <f>IF($A$1="Peak","-",IF(BaseLoad!R232&gt;BaseLoad!$G232,L$8*BaseLoad!$AM$9,0))</f>
        <v>29.073853298455656</v>
      </c>
      <c r="M233" s="173">
        <f>IF($A$1="Peak","-",IF(BaseLoad!S232&gt;BaseLoad!$G232,M$8*BaseLoad!$AM$9,0))</f>
        <v>29.073853298455656</v>
      </c>
      <c r="N233" s="173">
        <f>IF($A$1="Peak","-",IF(BaseLoad!T232&gt;BaseLoad!$G232,N$8*BaseLoad!$AM$9,0))</f>
        <v>29.073853298455656</v>
      </c>
      <c r="O233" s="173">
        <f>IF($A$1="Peak","-",IF(BaseLoad!U232&gt;BaseLoad!$G232,O$8*BaseLoad!$AM$9,0))</f>
        <v>29.073853298455656</v>
      </c>
      <c r="P233" s="173">
        <f>IF($A$1="Peak","-",IF(BaseLoad!V232&gt;BaseLoad!$G232,P$8*BaseLoad!$AM$9,0))</f>
        <v>29.073853298455656</v>
      </c>
      <c r="Q233" s="173">
        <f>IF($A$1="Peak","-",IF(BaseLoad!W232&gt;BaseLoad!$G232,Q$8*BaseLoad!$AM$9,0))</f>
        <v>29.073853298455656</v>
      </c>
      <c r="R233" s="173">
        <f>IF($A$1="Peak","-",IF(BaseLoad!X232&gt;BaseLoad!$G232,R$8*BaseLoad!$AM$9,0))</f>
        <v>29.073853298455656</v>
      </c>
      <c r="S233" s="173">
        <f>IF($A$1="Peak","-",IF(BaseLoad!Y232&gt;BaseLoad!$G232,S$8*BaseLoad!$AM$9,0))</f>
        <v>29.073853298455656</v>
      </c>
      <c r="T233" s="173">
        <f>IF($A$1="Peak","-",IF(BaseLoad!Z232&gt;BaseLoad!$G232,T$8*BaseLoad!$AM$9,0))</f>
        <v>29.073853298455656</v>
      </c>
      <c r="U233" s="173">
        <f>IF($A$1="Peak","-",IF(BaseLoad!AA232&gt;BaseLoad!$G232,U$8*BaseLoad!$AM$9,0))</f>
        <v>79.953096570753061</v>
      </c>
      <c r="V233" s="173">
        <f t="shared" si="8"/>
        <v>530.5978226968158</v>
      </c>
      <c r="W233" s="173"/>
      <c r="X233" s="173"/>
      <c r="Y233" s="173"/>
    </row>
    <row r="234" spans="1:25" x14ac:dyDescent="0.2">
      <c r="A234" s="1">
        <f t="shared" si="9"/>
        <v>43353.408000000287</v>
      </c>
      <c r="B234" s="173">
        <f>IF($A$1="Peak","-",IF(BaseLoad!H233&gt;BaseLoad!$G233,B$8*BaseLoad!$AM$9,0))</f>
        <v>3.634231662306957</v>
      </c>
      <c r="C234" s="173">
        <f>IF($A$1="Peak","-",IF(BaseLoad!I233&gt;BaseLoad!$G233,C$8*BaseLoad!$AM$9,0))</f>
        <v>3.634231662306957</v>
      </c>
      <c r="D234" s="173">
        <f>IF($A$1="Peak","-",IF(BaseLoad!J233&gt;BaseLoad!$G233,D$8*BaseLoad!$AM$9,0))</f>
        <v>7.2684633246139141</v>
      </c>
      <c r="E234" s="173">
        <f>IF($A$1="Peak","-",IF(BaseLoad!K233&gt;BaseLoad!$G233,E$8*BaseLoad!$AM$9,0))</f>
        <v>14.536926649227828</v>
      </c>
      <c r="F234" s="173">
        <f>IF($A$1="Peak","-",IF(BaseLoad!L233&gt;BaseLoad!$G233,F$8*BaseLoad!$AM$9,0))</f>
        <v>14.536926649227828</v>
      </c>
      <c r="G234" s="173">
        <f>IF($A$1="Peak","-",IF(BaseLoad!M233&gt;BaseLoad!$G233,G$8*BaseLoad!$AM$9,0))</f>
        <v>29.073853298455656</v>
      </c>
      <c r="H234" s="173">
        <f>IF($A$1="Peak","-",IF(BaseLoad!N233&gt;BaseLoad!$G233,H$8*BaseLoad!$AM$9,0))</f>
        <v>29.073853298455656</v>
      </c>
      <c r="I234" s="173">
        <f>IF($A$1="Peak","-",IF(BaseLoad!O233&gt;BaseLoad!$G233,I$8*BaseLoad!$AM$9,0))</f>
        <v>29.073853298455656</v>
      </c>
      <c r="J234" s="173">
        <f>IF($A$1="Peak","-",IF(BaseLoad!P233&gt;BaseLoad!$G233,J$8*BaseLoad!$AM$9,0))</f>
        <v>29.073853298455656</v>
      </c>
      <c r="K234" s="173">
        <f>IF($A$1="Peak","-",IF(BaseLoad!Q233&gt;BaseLoad!$G233,K$8*BaseLoad!$AM$9,0))</f>
        <v>29.073853298455656</v>
      </c>
      <c r="L234" s="173">
        <f>IF($A$1="Peak","-",IF(BaseLoad!R233&gt;BaseLoad!$G233,L$8*BaseLoad!$AM$9,0))</f>
        <v>29.073853298455656</v>
      </c>
      <c r="M234" s="173">
        <f>IF($A$1="Peak","-",IF(BaseLoad!S233&gt;BaseLoad!$G233,M$8*BaseLoad!$AM$9,0))</f>
        <v>29.073853298455656</v>
      </c>
      <c r="N234" s="173">
        <f>IF($A$1="Peak","-",IF(BaseLoad!T233&gt;BaseLoad!$G233,N$8*BaseLoad!$AM$9,0))</f>
        <v>29.073853298455656</v>
      </c>
      <c r="O234" s="173">
        <f>IF($A$1="Peak","-",IF(BaseLoad!U233&gt;BaseLoad!$G233,O$8*BaseLoad!$AM$9,0))</f>
        <v>29.073853298455656</v>
      </c>
      <c r="P234" s="173">
        <f>IF($A$1="Peak","-",IF(BaseLoad!V233&gt;BaseLoad!$G233,P$8*BaseLoad!$AM$9,0))</f>
        <v>29.073853298455656</v>
      </c>
      <c r="Q234" s="173">
        <f>IF($A$1="Peak","-",IF(BaseLoad!W233&gt;BaseLoad!$G233,Q$8*BaseLoad!$AM$9,0))</f>
        <v>29.073853298455656</v>
      </c>
      <c r="R234" s="173">
        <f>IF($A$1="Peak","-",IF(BaseLoad!X233&gt;BaseLoad!$G233,R$8*BaseLoad!$AM$9,0))</f>
        <v>29.073853298455656</v>
      </c>
      <c r="S234" s="173">
        <f>IF($A$1="Peak","-",IF(BaseLoad!Y233&gt;BaseLoad!$G233,S$8*BaseLoad!$AM$9,0))</f>
        <v>29.073853298455656</v>
      </c>
      <c r="T234" s="173">
        <f>IF($A$1="Peak","-",IF(BaseLoad!Z233&gt;BaseLoad!$G233,T$8*BaseLoad!$AM$9,0))</f>
        <v>29.073853298455656</v>
      </c>
      <c r="U234" s="173">
        <f>IF($A$1="Peak","-",IF(BaseLoad!AA233&gt;BaseLoad!$G233,U$8*BaseLoad!$AM$9,0))</f>
        <v>79.953096570753061</v>
      </c>
      <c r="V234" s="173">
        <f t="shared" si="8"/>
        <v>530.5978226968158</v>
      </c>
      <c r="W234" s="173"/>
      <c r="X234" s="173"/>
      <c r="Y234" s="173"/>
    </row>
    <row r="235" spans="1:25" x14ac:dyDescent="0.2">
      <c r="A235" s="1">
        <f t="shared" si="9"/>
        <v>43383.825000000288</v>
      </c>
      <c r="B235" s="173">
        <f>IF($A$1="Peak","-",IF(BaseLoad!H234&gt;BaseLoad!$G234,B$8*BaseLoad!$AM$9,0))</f>
        <v>3.634231662306957</v>
      </c>
      <c r="C235" s="173">
        <f>IF($A$1="Peak","-",IF(BaseLoad!I234&gt;BaseLoad!$G234,C$8*BaseLoad!$AM$9,0))</f>
        <v>3.634231662306957</v>
      </c>
      <c r="D235" s="173">
        <f>IF($A$1="Peak","-",IF(BaseLoad!J234&gt;BaseLoad!$G234,D$8*BaseLoad!$AM$9,0))</f>
        <v>7.2684633246139141</v>
      </c>
      <c r="E235" s="173">
        <f>IF($A$1="Peak","-",IF(BaseLoad!K234&gt;BaseLoad!$G234,E$8*BaseLoad!$AM$9,0))</f>
        <v>14.536926649227828</v>
      </c>
      <c r="F235" s="173">
        <f>IF($A$1="Peak","-",IF(BaseLoad!L234&gt;BaseLoad!$G234,F$8*BaseLoad!$AM$9,0))</f>
        <v>14.536926649227828</v>
      </c>
      <c r="G235" s="173">
        <f>IF($A$1="Peak","-",IF(BaseLoad!M234&gt;BaseLoad!$G234,G$8*BaseLoad!$AM$9,0))</f>
        <v>29.073853298455656</v>
      </c>
      <c r="H235" s="173">
        <f>IF($A$1="Peak","-",IF(BaseLoad!N234&gt;BaseLoad!$G234,H$8*BaseLoad!$AM$9,0))</f>
        <v>29.073853298455656</v>
      </c>
      <c r="I235" s="173">
        <f>IF($A$1="Peak","-",IF(BaseLoad!O234&gt;BaseLoad!$G234,I$8*BaseLoad!$AM$9,0))</f>
        <v>29.073853298455656</v>
      </c>
      <c r="J235" s="173">
        <f>IF($A$1="Peak","-",IF(BaseLoad!P234&gt;BaseLoad!$G234,J$8*BaseLoad!$AM$9,0))</f>
        <v>29.073853298455656</v>
      </c>
      <c r="K235" s="173">
        <f>IF($A$1="Peak","-",IF(BaseLoad!Q234&gt;BaseLoad!$G234,K$8*BaseLoad!$AM$9,0))</f>
        <v>29.073853298455656</v>
      </c>
      <c r="L235" s="173">
        <f>IF($A$1="Peak","-",IF(BaseLoad!R234&gt;BaseLoad!$G234,L$8*BaseLoad!$AM$9,0))</f>
        <v>29.073853298455656</v>
      </c>
      <c r="M235" s="173">
        <f>IF($A$1="Peak","-",IF(BaseLoad!S234&gt;BaseLoad!$G234,M$8*BaseLoad!$AM$9,0))</f>
        <v>29.073853298455656</v>
      </c>
      <c r="N235" s="173">
        <f>IF($A$1="Peak","-",IF(BaseLoad!T234&gt;BaseLoad!$G234,N$8*BaseLoad!$AM$9,0))</f>
        <v>29.073853298455656</v>
      </c>
      <c r="O235" s="173">
        <f>IF($A$1="Peak","-",IF(BaseLoad!U234&gt;BaseLoad!$G234,O$8*BaseLoad!$AM$9,0))</f>
        <v>29.073853298455656</v>
      </c>
      <c r="P235" s="173">
        <f>IF($A$1="Peak","-",IF(BaseLoad!V234&gt;BaseLoad!$G234,P$8*BaseLoad!$AM$9,0))</f>
        <v>29.073853298455656</v>
      </c>
      <c r="Q235" s="173">
        <f>IF($A$1="Peak","-",IF(BaseLoad!W234&gt;BaseLoad!$G234,Q$8*BaseLoad!$AM$9,0))</f>
        <v>29.073853298455656</v>
      </c>
      <c r="R235" s="173">
        <f>IF($A$1="Peak","-",IF(BaseLoad!X234&gt;BaseLoad!$G234,R$8*BaseLoad!$AM$9,0))</f>
        <v>29.073853298455656</v>
      </c>
      <c r="S235" s="173">
        <f>IF($A$1="Peak","-",IF(BaseLoad!Y234&gt;BaseLoad!$G234,S$8*BaseLoad!$AM$9,0))</f>
        <v>29.073853298455656</v>
      </c>
      <c r="T235" s="173">
        <f>IF($A$1="Peak","-",IF(BaseLoad!Z234&gt;BaseLoad!$G234,T$8*BaseLoad!$AM$9,0))</f>
        <v>29.073853298455656</v>
      </c>
      <c r="U235" s="173">
        <f>IF($A$1="Peak","-",IF(BaseLoad!AA234&gt;BaseLoad!$G234,U$8*BaseLoad!$AM$9,0))</f>
        <v>79.953096570753061</v>
      </c>
      <c r="V235" s="173">
        <f t="shared" si="8"/>
        <v>530.5978226968158</v>
      </c>
      <c r="W235" s="173"/>
      <c r="X235" s="173"/>
      <c r="Y235" s="173"/>
    </row>
    <row r="236" spans="1:25" x14ac:dyDescent="0.2">
      <c r="A236" s="1">
        <f t="shared" si="9"/>
        <v>43414.242000000289</v>
      </c>
      <c r="B236" s="173">
        <f>IF($A$1="Peak","-",IF(BaseLoad!H235&gt;BaseLoad!$G235,B$8*BaseLoad!$AM$9,0))</f>
        <v>3.634231662306957</v>
      </c>
      <c r="C236" s="173">
        <f>IF($A$1="Peak","-",IF(BaseLoad!I235&gt;BaseLoad!$G235,C$8*BaseLoad!$AM$9,0))</f>
        <v>3.634231662306957</v>
      </c>
      <c r="D236" s="173">
        <f>IF($A$1="Peak","-",IF(BaseLoad!J235&gt;BaseLoad!$G235,D$8*BaseLoad!$AM$9,0))</f>
        <v>7.2684633246139141</v>
      </c>
      <c r="E236" s="173">
        <f>IF($A$1="Peak","-",IF(BaseLoad!K235&gt;BaseLoad!$G235,E$8*BaseLoad!$AM$9,0))</f>
        <v>14.536926649227828</v>
      </c>
      <c r="F236" s="173">
        <f>IF($A$1="Peak","-",IF(BaseLoad!L235&gt;BaseLoad!$G235,F$8*BaseLoad!$AM$9,0))</f>
        <v>14.536926649227828</v>
      </c>
      <c r="G236" s="173">
        <f>IF($A$1="Peak","-",IF(BaseLoad!M235&gt;BaseLoad!$G235,G$8*BaseLoad!$AM$9,0))</f>
        <v>29.073853298455656</v>
      </c>
      <c r="H236" s="173">
        <f>IF($A$1="Peak","-",IF(BaseLoad!N235&gt;BaseLoad!$G235,H$8*BaseLoad!$AM$9,0))</f>
        <v>29.073853298455656</v>
      </c>
      <c r="I236" s="173">
        <f>IF($A$1="Peak","-",IF(BaseLoad!O235&gt;BaseLoad!$G235,I$8*BaseLoad!$AM$9,0))</f>
        <v>29.073853298455656</v>
      </c>
      <c r="J236" s="173">
        <f>IF($A$1="Peak","-",IF(BaseLoad!P235&gt;BaseLoad!$G235,J$8*BaseLoad!$AM$9,0))</f>
        <v>29.073853298455656</v>
      </c>
      <c r="K236" s="173">
        <f>IF($A$1="Peak","-",IF(BaseLoad!Q235&gt;BaseLoad!$G235,K$8*BaseLoad!$AM$9,0))</f>
        <v>29.073853298455656</v>
      </c>
      <c r="L236" s="173">
        <f>IF($A$1="Peak","-",IF(BaseLoad!R235&gt;BaseLoad!$G235,L$8*BaseLoad!$AM$9,0))</f>
        <v>29.073853298455656</v>
      </c>
      <c r="M236" s="173">
        <f>IF($A$1="Peak","-",IF(BaseLoad!S235&gt;BaseLoad!$G235,M$8*BaseLoad!$AM$9,0))</f>
        <v>29.073853298455656</v>
      </c>
      <c r="N236" s="173">
        <f>IF($A$1="Peak","-",IF(BaseLoad!T235&gt;BaseLoad!$G235,N$8*BaseLoad!$AM$9,0))</f>
        <v>29.073853298455656</v>
      </c>
      <c r="O236" s="173">
        <f>IF($A$1="Peak","-",IF(BaseLoad!U235&gt;BaseLoad!$G235,O$8*BaseLoad!$AM$9,0))</f>
        <v>29.073853298455656</v>
      </c>
      <c r="P236" s="173">
        <f>IF($A$1="Peak","-",IF(BaseLoad!V235&gt;BaseLoad!$G235,P$8*BaseLoad!$AM$9,0))</f>
        <v>29.073853298455656</v>
      </c>
      <c r="Q236" s="173">
        <f>IF($A$1="Peak","-",IF(BaseLoad!W235&gt;BaseLoad!$G235,Q$8*BaseLoad!$AM$9,0))</f>
        <v>29.073853298455656</v>
      </c>
      <c r="R236" s="173">
        <f>IF($A$1="Peak","-",IF(BaseLoad!X235&gt;BaseLoad!$G235,R$8*BaseLoad!$AM$9,0))</f>
        <v>29.073853298455656</v>
      </c>
      <c r="S236" s="173">
        <f>IF($A$1="Peak","-",IF(BaseLoad!Y235&gt;BaseLoad!$G235,S$8*BaseLoad!$AM$9,0))</f>
        <v>29.073853298455656</v>
      </c>
      <c r="T236" s="173">
        <f>IF($A$1="Peak","-",IF(BaseLoad!Z235&gt;BaseLoad!$G235,T$8*BaseLoad!$AM$9,0))</f>
        <v>29.073853298455656</v>
      </c>
      <c r="U236" s="173">
        <f>IF($A$1="Peak","-",IF(BaseLoad!AA235&gt;BaseLoad!$G235,U$8*BaseLoad!$AM$9,0))</f>
        <v>79.953096570753061</v>
      </c>
      <c r="V236" s="173">
        <f t="shared" si="8"/>
        <v>530.5978226968158</v>
      </c>
      <c r="W236" s="173"/>
      <c r="X236" s="173"/>
      <c r="Y236" s="173"/>
    </row>
    <row r="237" spans="1:25" x14ac:dyDescent="0.2">
      <c r="A237" s="1">
        <f t="shared" si="9"/>
        <v>43444.659000000291</v>
      </c>
      <c r="B237" s="173">
        <f>IF($A$1="Peak","-",IF(BaseLoad!H236&gt;BaseLoad!$G236,B$8*BaseLoad!$AM$9,0))</f>
        <v>3.634231662306957</v>
      </c>
      <c r="C237" s="173">
        <f>IF($A$1="Peak","-",IF(BaseLoad!I236&gt;BaseLoad!$G236,C$8*BaseLoad!$AM$9,0))</f>
        <v>3.634231662306957</v>
      </c>
      <c r="D237" s="173">
        <f>IF($A$1="Peak","-",IF(BaseLoad!J236&gt;BaseLoad!$G236,D$8*BaseLoad!$AM$9,0))</f>
        <v>7.2684633246139141</v>
      </c>
      <c r="E237" s="173">
        <f>IF($A$1="Peak","-",IF(BaseLoad!K236&gt;BaseLoad!$G236,E$8*BaseLoad!$AM$9,0))</f>
        <v>14.536926649227828</v>
      </c>
      <c r="F237" s="173">
        <f>IF($A$1="Peak","-",IF(BaseLoad!L236&gt;BaseLoad!$G236,F$8*BaseLoad!$AM$9,0))</f>
        <v>14.536926649227828</v>
      </c>
      <c r="G237" s="173">
        <f>IF($A$1="Peak","-",IF(BaseLoad!M236&gt;BaseLoad!$G236,G$8*BaseLoad!$AM$9,0))</f>
        <v>29.073853298455656</v>
      </c>
      <c r="H237" s="173">
        <f>IF($A$1="Peak","-",IF(BaseLoad!N236&gt;BaseLoad!$G236,H$8*BaseLoad!$AM$9,0))</f>
        <v>29.073853298455656</v>
      </c>
      <c r="I237" s="173">
        <f>IF($A$1="Peak","-",IF(BaseLoad!O236&gt;BaseLoad!$G236,I$8*BaseLoad!$AM$9,0))</f>
        <v>29.073853298455656</v>
      </c>
      <c r="J237" s="173">
        <f>IF($A$1="Peak","-",IF(BaseLoad!P236&gt;BaseLoad!$G236,J$8*BaseLoad!$AM$9,0))</f>
        <v>29.073853298455656</v>
      </c>
      <c r="K237" s="173">
        <f>IF($A$1="Peak","-",IF(BaseLoad!Q236&gt;BaseLoad!$G236,K$8*BaseLoad!$AM$9,0))</f>
        <v>29.073853298455656</v>
      </c>
      <c r="L237" s="173">
        <f>IF($A$1="Peak","-",IF(BaseLoad!R236&gt;BaseLoad!$G236,L$8*BaseLoad!$AM$9,0))</f>
        <v>29.073853298455656</v>
      </c>
      <c r="M237" s="173">
        <f>IF($A$1="Peak","-",IF(BaseLoad!S236&gt;BaseLoad!$G236,M$8*BaseLoad!$AM$9,0))</f>
        <v>29.073853298455656</v>
      </c>
      <c r="N237" s="173">
        <f>IF($A$1="Peak","-",IF(BaseLoad!T236&gt;BaseLoad!$G236,N$8*BaseLoad!$AM$9,0))</f>
        <v>29.073853298455656</v>
      </c>
      <c r="O237" s="173">
        <f>IF($A$1="Peak","-",IF(BaseLoad!U236&gt;BaseLoad!$G236,O$8*BaseLoad!$AM$9,0))</f>
        <v>29.073853298455656</v>
      </c>
      <c r="P237" s="173">
        <f>IF($A$1="Peak","-",IF(BaseLoad!V236&gt;BaseLoad!$G236,P$8*BaseLoad!$AM$9,0))</f>
        <v>29.073853298455656</v>
      </c>
      <c r="Q237" s="173">
        <f>IF($A$1="Peak","-",IF(BaseLoad!W236&gt;BaseLoad!$G236,Q$8*BaseLoad!$AM$9,0))</f>
        <v>29.073853298455656</v>
      </c>
      <c r="R237" s="173">
        <f>IF($A$1="Peak","-",IF(BaseLoad!X236&gt;BaseLoad!$G236,R$8*BaseLoad!$AM$9,0))</f>
        <v>29.073853298455656</v>
      </c>
      <c r="S237" s="173">
        <f>IF($A$1="Peak","-",IF(BaseLoad!Y236&gt;BaseLoad!$G236,S$8*BaseLoad!$AM$9,0))</f>
        <v>29.073853298455656</v>
      </c>
      <c r="T237" s="173">
        <f>IF($A$1="Peak","-",IF(BaseLoad!Z236&gt;BaseLoad!$G236,T$8*BaseLoad!$AM$9,0))</f>
        <v>29.073853298455656</v>
      </c>
      <c r="U237" s="173">
        <f>IF($A$1="Peak","-",IF(BaseLoad!AA236&gt;BaseLoad!$G236,U$8*BaseLoad!$AM$9,0))</f>
        <v>79.953096570753061</v>
      </c>
      <c r="V237" s="173">
        <f t="shared" si="8"/>
        <v>530.5978226968158</v>
      </c>
      <c r="W237" s="173"/>
      <c r="X237" s="173"/>
      <c r="Y237" s="173">
        <f>SUM(V226:V237)</f>
        <v>6367.1738723617882</v>
      </c>
    </row>
    <row r="238" spans="1:25" x14ac:dyDescent="0.2">
      <c r="A238" s="1">
        <f t="shared" si="9"/>
        <v>43475.076000000292</v>
      </c>
      <c r="B238" s="173">
        <f>IF($A$1="Peak","-",IF(BaseLoad!H237&gt;BaseLoad!$G237,B$8*BaseLoad!$AM$9,0))</f>
        <v>3.634231662306957</v>
      </c>
      <c r="C238" s="173">
        <f>IF($A$1="Peak","-",IF(BaseLoad!I237&gt;BaseLoad!$G237,C$8*BaseLoad!$AM$9,0))</f>
        <v>3.634231662306957</v>
      </c>
      <c r="D238" s="173">
        <f>IF($A$1="Peak","-",IF(BaseLoad!J237&gt;BaseLoad!$G237,D$8*BaseLoad!$AM$9,0))</f>
        <v>7.2684633246139141</v>
      </c>
      <c r="E238" s="173">
        <f>IF($A$1="Peak","-",IF(BaseLoad!K237&gt;BaseLoad!$G237,E$8*BaseLoad!$AM$9,0))</f>
        <v>14.536926649227828</v>
      </c>
      <c r="F238" s="173">
        <f>IF($A$1="Peak","-",IF(BaseLoad!L237&gt;BaseLoad!$G237,F$8*BaseLoad!$AM$9,0))</f>
        <v>14.536926649227828</v>
      </c>
      <c r="G238" s="173">
        <f>IF($A$1="Peak","-",IF(BaseLoad!M237&gt;BaseLoad!$G237,G$8*BaseLoad!$AM$9,0))</f>
        <v>29.073853298455656</v>
      </c>
      <c r="H238" s="173">
        <f>IF($A$1="Peak","-",IF(BaseLoad!N237&gt;BaseLoad!$G237,H$8*BaseLoad!$AM$9,0))</f>
        <v>29.073853298455656</v>
      </c>
      <c r="I238" s="173">
        <f>IF($A$1="Peak","-",IF(BaseLoad!O237&gt;BaseLoad!$G237,I$8*BaseLoad!$AM$9,0))</f>
        <v>29.073853298455656</v>
      </c>
      <c r="J238" s="173">
        <f>IF($A$1="Peak","-",IF(BaseLoad!P237&gt;BaseLoad!$G237,J$8*BaseLoad!$AM$9,0))</f>
        <v>29.073853298455656</v>
      </c>
      <c r="K238" s="173">
        <f>IF($A$1="Peak","-",IF(BaseLoad!Q237&gt;BaseLoad!$G237,K$8*BaseLoad!$AM$9,0))</f>
        <v>29.073853298455656</v>
      </c>
      <c r="L238" s="173">
        <f>IF($A$1="Peak","-",IF(BaseLoad!R237&gt;BaseLoad!$G237,L$8*BaseLoad!$AM$9,0))</f>
        <v>29.073853298455656</v>
      </c>
      <c r="M238" s="173">
        <f>IF($A$1="Peak","-",IF(BaseLoad!S237&gt;BaseLoad!$G237,M$8*BaseLoad!$AM$9,0))</f>
        <v>29.073853298455656</v>
      </c>
      <c r="N238" s="173">
        <f>IF($A$1="Peak","-",IF(BaseLoad!T237&gt;BaseLoad!$G237,N$8*BaseLoad!$AM$9,0))</f>
        <v>29.073853298455656</v>
      </c>
      <c r="O238" s="173">
        <f>IF($A$1="Peak","-",IF(BaseLoad!U237&gt;BaseLoad!$G237,O$8*BaseLoad!$AM$9,0))</f>
        <v>29.073853298455656</v>
      </c>
      <c r="P238" s="173">
        <f>IF($A$1="Peak","-",IF(BaseLoad!V237&gt;BaseLoad!$G237,P$8*BaseLoad!$AM$9,0))</f>
        <v>29.073853298455656</v>
      </c>
      <c r="Q238" s="173">
        <f>IF($A$1="Peak","-",IF(BaseLoad!W237&gt;BaseLoad!$G237,Q$8*BaseLoad!$AM$9,0))</f>
        <v>29.073853298455656</v>
      </c>
      <c r="R238" s="173">
        <f>IF($A$1="Peak","-",IF(BaseLoad!X237&gt;BaseLoad!$G237,R$8*BaseLoad!$AM$9,0))</f>
        <v>29.073853298455656</v>
      </c>
      <c r="S238" s="173">
        <f>IF($A$1="Peak","-",IF(BaseLoad!Y237&gt;BaseLoad!$G237,S$8*BaseLoad!$AM$9,0))</f>
        <v>29.073853298455656</v>
      </c>
      <c r="T238" s="173">
        <f>IF($A$1="Peak","-",IF(BaseLoad!Z237&gt;BaseLoad!$G237,T$8*BaseLoad!$AM$9,0))</f>
        <v>29.073853298455656</v>
      </c>
      <c r="U238" s="173">
        <f>IF($A$1="Peak","-",IF(BaseLoad!AA237&gt;BaseLoad!$G237,U$8*BaseLoad!$AM$9,0))</f>
        <v>79.953096570753061</v>
      </c>
      <c r="V238" s="173">
        <f t="shared" si="8"/>
        <v>530.5978226968158</v>
      </c>
      <c r="W238" s="173"/>
      <c r="X238" s="173"/>
      <c r="Y238" s="173"/>
    </row>
    <row r="239" spans="1:25" x14ac:dyDescent="0.2">
      <c r="A239" s="1">
        <f t="shared" si="9"/>
        <v>43505.493000000293</v>
      </c>
      <c r="B239" s="173">
        <f>IF($A$1="Peak","-",IF(BaseLoad!H238&gt;BaseLoad!$G238,B$8*BaseLoad!$AM$9,0))</f>
        <v>3.634231662306957</v>
      </c>
      <c r="C239" s="173">
        <f>IF($A$1="Peak","-",IF(BaseLoad!I238&gt;BaseLoad!$G238,C$8*BaseLoad!$AM$9,0))</f>
        <v>3.634231662306957</v>
      </c>
      <c r="D239" s="173">
        <f>IF($A$1="Peak","-",IF(BaseLoad!J238&gt;BaseLoad!$G238,D$8*BaseLoad!$AM$9,0))</f>
        <v>7.2684633246139141</v>
      </c>
      <c r="E239" s="173">
        <f>IF($A$1="Peak","-",IF(BaseLoad!K238&gt;BaseLoad!$G238,E$8*BaseLoad!$AM$9,0))</f>
        <v>14.536926649227828</v>
      </c>
      <c r="F239" s="173">
        <f>IF($A$1="Peak","-",IF(BaseLoad!L238&gt;BaseLoad!$G238,F$8*BaseLoad!$AM$9,0))</f>
        <v>14.536926649227828</v>
      </c>
      <c r="G239" s="173">
        <f>IF($A$1="Peak","-",IF(BaseLoad!M238&gt;BaseLoad!$G238,G$8*BaseLoad!$AM$9,0))</f>
        <v>29.073853298455656</v>
      </c>
      <c r="H239" s="173">
        <f>IF($A$1="Peak","-",IF(BaseLoad!N238&gt;BaseLoad!$G238,H$8*BaseLoad!$AM$9,0))</f>
        <v>29.073853298455656</v>
      </c>
      <c r="I239" s="173">
        <f>IF($A$1="Peak","-",IF(BaseLoad!O238&gt;BaseLoad!$G238,I$8*BaseLoad!$AM$9,0))</f>
        <v>29.073853298455656</v>
      </c>
      <c r="J239" s="173">
        <f>IF($A$1="Peak","-",IF(BaseLoad!P238&gt;BaseLoad!$G238,J$8*BaseLoad!$AM$9,0))</f>
        <v>29.073853298455656</v>
      </c>
      <c r="K239" s="173">
        <f>IF($A$1="Peak","-",IF(BaseLoad!Q238&gt;BaseLoad!$G238,K$8*BaseLoad!$AM$9,0))</f>
        <v>29.073853298455656</v>
      </c>
      <c r="L239" s="173">
        <f>IF($A$1="Peak","-",IF(BaseLoad!R238&gt;BaseLoad!$G238,L$8*BaseLoad!$AM$9,0))</f>
        <v>29.073853298455656</v>
      </c>
      <c r="M239" s="173">
        <f>IF($A$1="Peak","-",IF(BaseLoad!S238&gt;BaseLoad!$G238,M$8*BaseLoad!$AM$9,0))</f>
        <v>29.073853298455656</v>
      </c>
      <c r="N239" s="173">
        <f>IF($A$1="Peak","-",IF(BaseLoad!T238&gt;BaseLoad!$G238,N$8*BaseLoad!$AM$9,0))</f>
        <v>29.073853298455656</v>
      </c>
      <c r="O239" s="173">
        <f>IF($A$1="Peak","-",IF(BaseLoad!U238&gt;BaseLoad!$G238,O$8*BaseLoad!$AM$9,0))</f>
        <v>29.073853298455656</v>
      </c>
      <c r="P239" s="173">
        <f>IF($A$1="Peak","-",IF(BaseLoad!V238&gt;BaseLoad!$G238,P$8*BaseLoad!$AM$9,0))</f>
        <v>29.073853298455656</v>
      </c>
      <c r="Q239" s="173">
        <f>IF($A$1="Peak","-",IF(BaseLoad!W238&gt;BaseLoad!$G238,Q$8*BaseLoad!$AM$9,0))</f>
        <v>29.073853298455656</v>
      </c>
      <c r="R239" s="173">
        <f>IF($A$1="Peak","-",IF(BaseLoad!X238&gt;BaseLoad!$G238,R$8*BaseLoad!$AM$9,0))</f>
        <v>29.073853298455656</v>
      </c>
      <c r="S239" s="173">
        <f>IF($A$1="Peak","-",IF(BaseLoad!Y238&gt;BaseLoad!$G238,S$8*BaseLoad!$AM$9,0))</f>
        <v>29.073853298455656</v>
      </c>
      <c r="T239" s="173">
        <f>IF($A$1="Peak","-",IF(BaseLoad!Z238&gt;BaseLoad!$G238,T$8*BaseLoad!$AM$9,0))</f>
        <v>29.073853298455656</v>
      </c>
      <c r="U239" s="173">
        <f>IF($A$1="Peak","-",IF(BaseLoad!AA238&gt;BaseLoad!$G238,U$8*BaseLoad!$AM$9,0))</f>
        <v>79.953096570753061</v>
      </c>
      <c r="V239" s="173">
        <f t="shared" si="8"/>
        <v>530.5978226968158</v>
      </c>
      <c r="W239" s="173"/>
      <c r="X239" s="173"/>
      <c r="Y239" s="173"/>
    </row>
    <row r="240" spans="1:25" x14ac:dyDescent="0.2">
      <c r="A240" s="1">
        <f t="shared" si="9"/>
        <v>43535.910000000295</v>
      </c>
      <c r="B240" s="173">
        <f>IF($A$1="Peak","-",IF(BaseLoad!H239&gt;BaseLoad!$G239,B$8*BaseLoad!$AM$9,0))</f>
        <v>3.634231662306957</v>
      </c>
      <c r="C240" s="173">
        <f>IF($A$1="Peak","-",IF(BaseLoad!I239&gt;BaseLoad!$G239,C$8*BaseLoad!$AM$9,0))</f>
        <v>3.634231662306957</v>
      </c>
      <c r="D240" s="173">
        <f>IF($A$1="Peak","-",IF(BaseLoad!J239&gt;BaseLoad!$G239,D$8*BaseLoad!$AM$9,0))</f>
        <v>7.2684633246139141</v>
      </c>
      <c r="E240" s="173">
        <f>IF($A$1="Peak","-",IF(BaseLoad!K239&gt;BaseLoad!$G239,E$8*BaseLoad!$AM$9,0))</f>
        <v>14.536926649227828</v>
      </c>
      <c r="F240" s="173">
        <f>IF($A$1="Peak","-",IF(BaseLoad!L239&gt;BaseLoad!$G239,F$8*BaseLoad!$AM$9,0))</f>
        <v>14.536926649227828</v>
      </c>
      <c r="G240" s="173">
        <f>IF($A$1="Peak","-",IF(BaseLoad!M239&gt;BaseLoad!$G239,G$8*BaseLoad!$AM$9,0))</f>
        <v>29.073853298455656</v>
      </c>
      <c r="H240" s="173">
        <f>IF($A$1="Peak","-",IF(BaseLoad!N239&gt;BaseLoad!$G239,H$8*BaseLoad!$AM$9,0))</f>
        <v>29.073853298455656</v>
      </c>
      <c r="I240" s="173">
        <f>IF($A$1="Peak","-",IF(BaseLoad!O239&gt;BaseLoad!$G239,I$8*BaseLoad!$AM$9,0))</f>
        <v>29.073853298455656</v>
      </c>
      <c r="J240" s="173">
        <f>IF($A$1="Peak","-",IF(BaseLoad!P239&gt;BaseLoad!$G239,J$8*BaseLoad!$AM$9,0))</f>
        <v>29.073853298455656</v>
      </c>
      <c r="K240" s="173">
        <f>IF($A$1="Peak","-",IF(BaseLoad!Q239&gt;BaseLoad!$G239,K$8*BaseLoad!$AM$9,0))</f>
        <v>29.073853298455656</v>
      </c>
      <c r="L240" s="173">
        <f>IF($A$1="Peak","-",IF(BaseLoad!R239&gt;BaseLoad!$G239,L$8*BaseLoad!$AM$9,0))</f>
        <v>29.073853298455656</v>
      </c>
      <c r="M240" s="173">
        <f>IF($A$1="Peak","-",IF(BaseLoad!S239&gt;BaseLoad!$G239,M$8*BaseLoad!$AM$9,0))</f>
        <v>29.073853298455656</v>
      </c>
      <c r="N240" s="173">
        <f>IF($A$1="Peak","-",IF(BaseLoad!T239&gt;BaseLoad!$G239,N$8*BaseLoad!$AM$9,0))</f>
        <v>29.073853298455656</v>
      </c>
      <c r="O240" s="173">
        <f>IF($A$1="Peak","-",IF(BaseLoad!U239&gt;BaseLoad!$G239,O$8*BaseLoad!$AM$9,0))</f>
        <v>29.073853298455656</v>
      </c>
      <c r="P240" s="173">
        <f>IF($A$1="Peak","-",IF(BaseLoad!V239&gt;BaseLoad!$G239,P$8*BaseLoad!$AM$9,0))</f>
        <v>29.073853298455656</v>
      </c>
      <c r="Q240" s="173">
        <f>IF($A$1="Peak","-",IF(BaseLoad!W239&gt;BaseLoad!$G239,Q$8*BaseLoad!$AM$9,0))</f>
        <v>29.073853298455656</v>
      </c>
      <c r="R240" s="173">
        <f>IF($A$1="Peak","-",IF(BaseLoad!X239&gt;BaseLoad!$G239,R$8*BaseLoad!$AM$9,0))</f>
        <v>29.073853298455656</v>
      </c>
      <c r="S240" s="173">
        <f>IF($A$1="Peak","-",IF(BaseLoad!Y239&gt;BaseLoad!$G239,S$8*BaseLoad!$AM$9,0))</f>
        <v>29.073853298455656</v>
      </c>
      <c r="T240" s="173">
        <f>IF($A$1="Peak","-",IF(BaseLoad!Z239&gt;BaseLoad!$G239,T$8*BaseLoad!$AM$9,0))</f>
        <v>29.073853298455656</v>
      </c>
      <c r="U240" s="173">
        <f>IF($A$1="Peak","-",IF(BaseLoad!AA239&gt;BaseLoad!$G239,U$8*BaseLoad!$AM$9,0))</f>
        <v>79.953096570753061</v>
      </c>
      <c r="V240" s="173">
        <f t="shared" si="8"/>
        <v>530.5978226968158</v>
      </c>
      <c r="W240" s="173"/>
      <c r="X240" s="173"/>
      <c r="Y240" s="173"/>
    </row>
    <row r="241" spans="1:25" x14ac:dyDescent="0.2">
      <c r="A241" s="1">
        <f t="shared" si="9"/>
        <v>43566.327000000296</v>
      </c>
      <c r="B241" s="173">
        <f>IF($A$1="Peak","-",IF(BaseLoad!H240&gt;BaseLoad!$G240,B$8*BaseLoad!$AM$9,0))</f>
        <v>3.634231662306957</v>
      </c>
      <c r="C241" s="173">
        <f>IF($A$1="Peak","-",IF(BaseLoad!I240&gt;BaseLoad!$G240,C$8*BaseLoad!$AM$9,0))</f>
        <v>3.634231662306957</v>
      </c>
      <c r="D241" s="173">
        <f>IF($A$1="Peak","-",IF(BaseLoad!J240&gt;BaseLoad!$G240,D$8*BaseLoad!$AM$9,0))</f>
        <v>7.2684633246139141</v>
      </c>
      <c r="E241" s="173">
        <f>IF($A$1="Peak","-",IF(BaseLoad!K240&gt;BaseLoad!$G240,E$8*BaseLoad!$AM$9,0))</f>
        <v>14.536926649227828</v>
      </c>
      <c r="F241" s="173">
        <f>IF($A$1="Peak","-",IF(BaseLoad!L240&gt;BaseLoad!$G240,F$8*BaseLoad!$AM$9,0))</f>
        <v>14.536926649227828</v>
      </c>
      <c r="G241" s="173">
        <f>IF($A$1="Peak","-",IF(BaseLoad!M240&gt;BaseLoad!$G240,G$8*BaseLoad!$AM$9,0))</f>
        <v>29.073853298455656</v>
      </c>
      <c r="H241" s="173">
        <f>IF($A$1="Peak","-",IF(BaseLoad!N240&gt;BaseLoad!$G240,H$8*BaseLoad!$AM$9,0))</f>
        <v>29.073853298455656</v>
      </c>
      <c r="I241" s="173">
        <f>IF($A$1="Peak","-",IF(BaseLoad!O240&gt;BaseLoad!$G240,I$8*BaseLoad!$AM$9,0))</f>
        <v>29.073853298455656</v>
      </c>
      <c r="J241" s="173">
        <f>IF($A$1="Peak","-",IF(BaseLoad!P240&gt;BaseLoad!$G240,J$8*BaseLoad!$AM$9,0))</f>
        <v>29.073853298455656</v>
      </c>
      <c r="K241" s="173">
        <f>IF($A$1="Peak","-",IF(BaseLoad!Q240&gt;BaseLoad!$G240,K$8*BaseLoad!$AM$9,0))</f>
        <v>29.073853298455656</v>
      </c>
      <c r="L241" s="173">
        <f>IF($A$1="Peak","-",IF(BaseLoad!R240&gt;BaseLoad!$G240,L$8*BaseLoad!$AM$9,0))</f>
        <v>29.073853298455656</v>
      </c>
      <c r="M241" s="173">
        <f>IF($A$1="Peak","-",IF(BaseLoad!S240&gt;BaseLoad!$G240,M$8*BaseLoad!$AM$9,0))</f>
        <v>29.073853298455656</v>
      </c>
      <c r="N241" s="173">
        <f>IF($A$1="Peak","-",IF(BaseLoad!T240&gt;BaseLoad!$G240,N$8*BaseLoad!$AM$9,0))</f>
        <v>29.073853298455656</v>
      </c>
      <c r="O241" s="173">
        <f>IF($A$1="Peak","-",IF(BaseLoad!U240&gt;BaseLoad!$G240,O$8*BaseLoad!$AM$9,0))</f>
        <v>29.073853298455656</v>
      </c>
      <c r="P241" s="173">
        <f>IF($A$1="Peak","-",IF(BaseLoad!V240&gt;BaseLoad!$G240,P$8*BaseLoad!$AM$9,0))</f>
        <v>29.073853298455656</v>
      </c>
      <c r="Q241" s="173">
        <f>IF($A$1="Peak","-",IF(BaseLoad!W240&gt;BaseLoad!$G240,Q$8*BaseLoad!$AM$9,0))</f>
        <v>29.073853298455656</v>
      </c>
      <c r="R241" s="173">
        <f>IF($A$1="Peak","-",IF(BaseLoad!X240&gt;BaseLoad!$G240,R$8*BaseLoad!$AM$9,0))</f>
        <v>29.073853298455656</v>
      </c>
      <c r="S241" s="173">
        <f>IF($A$1="Peak","-",IF(BaseLoad!Y240&gt;BaseLoad!$G240,S$8*BaseLoad!$AM$9,0))</f>
        <v>29.073853298455656</v>
      </c>
      <c r="T241" s="173">
        <f>IF($A$1="Peak","-",IF(BaseLoad!Z240&gt;BaseLoad!$G240,T$8*BaseLoad!$AM$9,0))</f>
        <v>29.073853298455656</v>
      </c>
      <c r="U241" s="173">
        <f>IF($A$1="Peak","-",IF(BaseLoad!AA240&gt;BaseLoad!$G240,U$8*BaseLoad!$AM$9,0))</f>
        <v>79.953096570753061</v>
      </c>
      <c r="V241" s="173">
        <f t="shared" si="8"/>
        <v>530.5978226968158</v>
      </c>
      <c r="W241" s="173"/>
      <c r="X241" s="173"/>
      <c r="Y241" s="173"/>
    </row>
    <row r="242" spans="1:25" x14ac:dyDescent="0.2">
      <c r="A242" s="1">
        <f t="shared" si="9"/>
        <v>43596.744000000297</v>
      </c>
      <c r="B242" s="173">
        <f>IF($A$1="Peak","-",IF(BaseLoad!H241&gt;BaseLoad!$G241,B$8*BaseLoad!$AM$9,0))</f>
        <v>3.634231662306957</v>
      </c>
      <c r="C242" s="173">
        <f>IF($A$1="Peak","-",IF(BaseLoad!I241&gt;BaseLoad!$G241,C$8*BaseLoad!$AM$9,0))</f>
        <v>3.634231662306957</v>
      </c>
      <c r="D242" s="173">
        <f>IF($A$1="Peak","-",IF(BaseLoad!J241&gt;BaseLoad!$G241,D$8*BaseLoad!$AM$9,0))</f>
        <v>7.2684633246139141</v>
      </c>
      <c r="E242" s="173">
        <f>IF($A$1="Peak","-",IF(BaseLoad!K241&gt;BaseLoad!$G241,E$8*BaseLoad!$AM$9,0))</f>
        <v>14.536926649227828</v>
      </c>
      <c r="F242" s="173">
        <f>IF($A$1="Peak","-",IF(BaseLoad!L241&gt;BaseLoad!$G241,F$8*BaseLoad!$AM$9,0))</f>
        <v>14.536926649227828</v>
      </c>
      <c r="G242" s="173">
        <f>IF($A$1="Peak","-",IF(BaseLoad!M241&gt;BaseLoad!$G241,G$8*BaseLoad!$AM$9,0))</f>
        <v>29.073853298455656</v>
      </c>
      <c r="H242" s="173">
        <f>IF($A$1="Peak","-",IF(BaseLoad!N241&gt;BaseLoad!$G241,H$8*BaseLoad!$AM$9,0))</f>
        <v>29.073853298455656</v>
      </c>
      <c r="I242" s="173">
        <f>IF($A$1="Peak","-",IF(BaseLoad!O241&gt;BaseLoad!$G241,I$8*BaseLoad!$AM$9,0))</f>
        <v>29.073853298455656</v>
      </c>
      <c r="J242" s="173">
        <f>IF($A$1="Peak","-",IF(BaseLoad!P241&gt;BaseLoad!$G241,J$8*BaseLoad!$AM$9,0))</f>
        <v>29.073853298455656</v>
      </c>
      <c r="K242" s="173">
        <f>IF($A$1="Peak","-",IF(BaseLoad!Q241&gt;BaseLoad!$G241,K$8*BaseLoad!$AM$9,0))</f>
        <v>29.073853298455656</v>
      </c>
      <c r="L242" s="173">
        <f>IF($A$1="Peak","-",IF(BaseLoad!R241&gt;BaseLoad!$G241,L$8*BaseLoad!$AM$9,0))</f>
        <v>29.073853298455656</v>
      </c>
      <c r="M242" s="173">
        <f>IF($A$1="Peak","-",IF(BaseLoad!S241&gt;BaseLoad!$G241,M$8*BaseLoad!$AM$9,0))</f>
        <v>29.073853298455656</v>
      </c>
      <c r="N242" s="173">
        <f>IF($A$1="Peak","-",IF(BaseLoad!T241&gt;BaseLoad!$G241,N$8*BaseLoad!$AM$9,0))</f>
        <v>29.073853298455656</v>
      </c>
      <c r="O242" s="173">
        <f>IF($A$1="Peak","-",IF(BaseLoad!U241&gt;BaseLoad!$G241,O$8*BaseLoad!$AM$9,0))</f>
        <v>29.073853298455656</v>
      </c>
      <c r="P242" s="173">
        <f>IF($A$1="Peak","-",IF(BaseLoad!V241&gt;BaseLoad!$G241,P$8*BaseLoad!$AM$9,0))</f>
        <v>29.073853298455656</v>
      </c>
      <c r="Q242" s="173">
        <f>IF($A$1="Peak","-",IF(BaseLoad!W241&gt;BaseLoad!$G241,Q$8*BaseLoad!$AM$9,0))</f>
        <v>29.073853298455656</v>
      </c>
      <c r="R242" s="173">
        <f>IF($A$1="Peak","-",IF(BaseLoad!X241&gt;BaseLoad!$G241,R$8*BaseLoad!$AM$9,0))</f>
        <v>29.073853298455656</v>
      </c>
      <c r="S242" s="173">
        <f>IF($A$1="Peak","-",IF(BaseLoad!Y241&gt;BaseLoad!$G241,S$8*BaseLoad!$AM$9,0))</f>
        <v>29.073853298455656</v>
      </c>
      <c r="T242" s="173">
        <f>IF($A$1="Peak","-",IF(BaseLoad!Z241&gt;BaseLoad!$G241,T$8*BaseLoad!$AM$9,0))</f>
        <v>29.073853298455656</v>
      </c>
      <c r="U242" s="173">
        <f>IF($A$1="Peak","-",IF(BaseLoad!AA241&gt;BaseLoad!$G241,U$8*BaseLoad!$AM$9,0))</f>
        <v>79.953096570753061</v>
      </c>
      <c r="V242" s="173">
        <f t="shared" si="8"/>
        <v>530.5978226968158</v>
      </c>
      <c r="W242" s="173"/>
      <c r="X242" s="173"/>
      <c r="Y242" s="173"/>
    </row>
    <row r="243" spans="1:25" x14ac:dyDescent="0.2">
      <c r="A243" s="1">
        <f t="shared" si="9"/>
        <v>43627.161000000298</v>
      </c>
      <c r="B243" s="173">
        <f>IF($A$1="Peak","-",IF(BaseLoad!H242&gt;BaseLoad!$G242,B$8*BaseLoad!$AM$9,0))</f>
        <v>3.634231662306957</v>
      </c>
      <c r="C243" s="173">
        <f>IF($A$1="Peak","-",IF(BaseLoad!I242&gt;BaseLoad!$G242,C$8*BaseLoad!$AM$9,0))</f>
        <v>3.634231662306957</v>
      </c>
      <c r="D243" s="173">
        <f>IF($A$1="Peak","-",IF(BaseLoad!J242&gt;BaseLoad!$G242,D$8*BaseLoad!$AM$9,0))</f>
        <v>7.2684633246139141</v>
      </c>
      <c r="E243" s="173">
        <f>IF($A$1="Peak","-",IF(BaseLoad!K242&gt;BaseLoad!$G242,E$8*BaseLoad!$AM$9,0))</f>
        <v>14.536926649227828</v>
      </c>
      <c r="F243" s="173">
        <f>IF($A$1="Peak","-",IF(BaseLoad!L242&gt;BaseLoad!$G242,F$8*BaseLoad!$AM$9,0))</f>
        <v>14.536926649227828</v>
      </c>
      <c r="G243" s="173">
        <f>IF($A$1="Peak","-",IF(BaseLoad!M242&gt;BaseLoad!$G242,G$8*BaseLoad!$AM$9,0))</f>
        <v>29.073853298455656</v>
      </c>
      <c r="H243" s="173">
        <f>IF($A$1="Peak","-",IF(BaseLoad!N242&gt;BaseLoad!$G242,H$8*BaseLoad!$AM$9,0))</f>
        <v>29.073853298455656</v>
      </c>
      <c r="I243" s="173">
        <f>IF($A$1="Peak","-",IF(BaseLoad!O242&gt;BaseLoad!$G242,I$8*BaseLoad!$AM$9,0))</f>
        <v>29.073853298455656</v>
      </c>
      <c r="J243" s="173">
        <f>IF($A$1="Peak","-",IF(BaseLoad!P242&gt;BaseLoad!$G242,J$8*BaseLoad!$AM$9,0))</f>
        <v>29.073853298455656</v>
      </c>
      <c r="K243" s="173">
        <f>IF($A$1="Peak","-",IF(BaseLoad!Q242&gt;BaseLoad!$G242,K$8*BaseLoad!$AM$9,0))</f>
        <v>29.073853298455656</v>
      </c>
      <c r="L243" s="173">
        <f>IF($A$1="Peak","-",IF(BaseLoad!R242&gt;BaseLoad!$G242,L$8*BaseLoad!$AM$9,0))</f>
        <v>29.073853298455656</v>
      </c>
      <c r="M243" s="173">
        <f>IF($A$1="Peak","-",IF(BaseLoad!S242&gt;BaseLoad!$G242,M$8*BaseLoad!$AM$9,0))</f>
        <v>29.073853298455656</v>
      </c>
      <c r="N243" s="173">
        <f>IF($A$1="Peak","-",IF(BaseLoad!T242&gt;BaseLoad!$G242,N$8*BaseLoad!$AM$9,0))</f>
        <v>29.073853298455656</v>
      </c>
      <c r="O243" s="173">
        <f>IF($A$1="Peak","-",IF(BaseLoad!U242&gt;BaseLoad!$G242,O$8*BaseLoad!$AM$9,0))</f>
        <v>29.073853298455656</v>
      </c>
      <c r="P243" s="173">
        <f>IF($A$1="Peak","-",IF(BaseLoad!V242&gt;BaseLoad!$G242,P$8*BaseLoad!$AM$9,0))</f>
        <v>29.073853298455656</v>
      </c>
      <c r="Q243" s="173">
        <f>IF($A$1="Peak","-",IF(BaseLoad!W242&gt;BaseLoad!$G242,Q$8*BaseLoad!$AM$9,0))</f>
        <v>29.073853298455656</v>
      </c>
      <c r="R243" s="173">
        <f>IF($A$1="Peak","-",IF(BaseLoad!X242&gt;BaseLoad!$G242,R$8*BaseLoad!$AM$9,0))</f>
        <v>29.073853298455656</v>
      </c>
      <c r="S243" s="173">
        <f>IF($A$1="Peak","-",IF(BaseLoad!Y242&gt;BaseLoad!$G242,S$8*BaseLoad!$AM$9,0))</f>
        <v>29.073853298455656</v>
      </c>
      <c r="T243" s="173">
        <f>IF($A$1="Peak","-",IF(BaseLoad!Z242&gt;BaseLoad!$G242,T$8*BaseLoad!$AM$9,0))</f>
        <v>29.073853298455656</v>
      </c>
      <c r="U243" s="173">
        <f>IF($A$1="Peak","-",IF(BaseLoad!AA242&gt;BaseLoad!$G242,U$8*BaseLoad!$AM$9,0))</f>
        <v>79.953096570753061</v>
      </c>
      <c r="V243" s="173">
        <f t="shared" si="8"/>
        <v>530.5978226968158</v>
      </c>
      <c r="W243" s="173"/>
      <c r="X243" s="173"/>
      <c r="Y243" s="173"/>
    </row>
    <row r="244" spans="1:25" x14ac:dyDescent="0.2">
      <c r="A244" s="1">
        <f t="shared" si="9"/>
        <v>43657.5780000003</v>
      </c>
      <c r="B244" s="173">
        <f>IF($A$1="Peak","-",IF(BaseLoad!H243&gt;BaseLoad!$G243,B$8*BaseLoad!$AM$9,0))</f>
        <v>3.634231662306957</v>
      </c>
      <c r="C244" s="173">
        <f>IF($A$1="Peak","-",IF(BaseLoad!I243&gt;BaseLoad!$G243,C$8*BaseLoad!$AM$9,0))</f>
        <v>3.634231662306957</v>
      </c>
      <c r="D244" s="173">
        <f>IF($A$1="Peak","-",IF(BaseLoad!J243&gt;BaseLoad!$G243,D$8*BaseLoad!$AM$9,0))</f>
        <v>7.2684633246139141</v>
      </c>
      <c r="E244" s="173">
        <f>IF($A$1="Peak","-",IF(BaseLoad!K243&gt;BaseLoad!$G243,E$8*BaseLoad!$AM$9,0))</f>
        <v>14.536926649227828</v>
      </c>
      <c r="F244" s="173">
        <f>IF($A$1="Peak","-",IF(BaseLoad!L243&gt;BaseLoad!$G243,F$8*BaseLoad!$AM$9,0))</f>
        <v>14.536926649227828</v>
      </c>
      <c r="G244" s="173">
        <f>IF($A$1="Peak","-",IF(BaseLoad!M243&gt;BaseLoad!$G243,G$8*BaseLoad!$AM$9,0))</f>
        <v>29.073853298455656</v>
      </c>
      <c r="H244" s="173">
        <f>IF($A$1="Peak","-",IF(BaseLoad!N243&gt;BaseLoad!$G243,H$8*BaseLoad!$AM$9,0))</f>
        <v>29.073853298455656</v>
      </c>
      <c r="I244" s="173">
        <f>IF($A$1="Peak","-",IF(BaseLoad!O243&gt;BaseLoad!$G243,I$8*BaseLoad!$AM$9,0))</f>
        <v>29.073853298455656</v>
      </c>
      <c r="J244" s="173">
        <f>IF($A$1="Peak","-",IF(BaseLoad!P243&gt;BaseLoad!$G243,J$8*BaseLoad!$AM$9,0))</f>
        <v>29.073853298455656</v>
      </c>
      <c r="K244" s="173">
        <f>IF($A$1="Peak","-",IF(BaseLoad!Q243&gt;BaseLoad!$G243,K$8*BaseLoad!$AM$9,0))</f>
        <v>29.073853298455656</v>
      </c>
      <c r="L244" s="173">
        <f>IF($A$1="Peak","-",IF(BaseLoad!R243&gt;BaseLoad!$G243,L$8*BaseLoad!$AM$9,0))</f>
        <v>29.073853298455656</v>
      </c>
      <c r="M244" s="173">
        <f>IF($A$1="Peak","-",IF(BaseLoad!S243&gt;BaseLoad!$G243,M$8*BaseLoad!$AM$9,0))</f>
        <v>29.073853298455656</v>
      </c>
      <c r="N244" s="173">
        <f>IF($A$1="Peak","-",IF(BaseLoad!T243&gt;BaseLoad!$G243,N$8*BaseLoad!$AM$9,0))</f>
        <v>29.073853298455656</v>
      </c>
      <c r="O244" s="173">
        <f>IF($A$1="Peak","-",IF(BaseLoad!U243&gt;BaseLoad!$G243,O$8*BaseLoad!$AM$9,0))</f>
        <v>29.073853298455656</v>
      </c>
      <c r="P244" s="173">
        <f>IF($A$1="Peak","-",IF(BaseLoad!V243&gt;BaseLoad!$G243,P$8*BaseLoad!$AM$9,0))</f>
        <v>29.073853298455656</v>
      </c>
      <c r="Q244" s="173">
        <f>IF($A$1="Peak","-",IF(BaseLoad!W243&gt;BaseLoad!$G243,Q$8*BaseLoad!$AM$9,0))</f>
        <v>29.073853298455656</v>
      </c>
      <c r="R244" s="173">
        <f>IF($A$1="Peak","-",IF(BaseLoad!X243&gt;BaseLoad!$G243,R$8*BaseLoad!$AM$9,0))</f>
        <v>29.073853298455656</v>
      </c>
      <c r="S244" s="173">
        <f>IF($A$1="Peak","-",IF(BaseLoad!Y243&gt;BaseLoad!$G243,S$8*BaseLoad!$AM$9,0))</f>
        <v>29.073853298455656</v>
      </c>
      <c r="T244" s="173">
        <f>IF($A$1="Peak","-",IF(BaseLoad!Z243&gt;BaseLoad!$G243,T$8*BaseLoad!$AM$9,0))</f>
        <v>29.073853298455656</v>
      </c>
      <c r="U244" s="173">
        <f>IF($A$1="Peak","-",IF(BaseLoad!AA243&gt;BaseLoad!$G243,U$8*BaseLoad!$AM$9,0))</f>
        <v>79.953096570753061</v>
      </c>
      <c r="V244" s="173">
        <f t="shared" si="8"/>
        <v>530.5978226968158</v>
      </c>
      <c r="W244" s="173"/>
      <c r="X244" s="173"/>
      <c r="Y244" s="173"/>
    </row>
    <row r="245" spans="1:25" x14ac:dyDescent="0.2">
      <c r="A245" s="1">
        <f t="shared" si="9"/>
        <v>43687.995000000301</v>
      </c>
      <c r="B245" s="173">
        <f>IF($A$1="Peak","-",IF(BaseLoad!H244&gt;BaseLoad!$G244,B$8*BaseLoad!$AM$9,0))</f>
        <v>3.634231662306957</v>
      </c>
      <c r="C245" s="173">
        <f>IF($A$1="Peak","-",IF(BaseLoad!I244&gt;BaseLoad!$G244,C$8*BaseLoad!$AM$9,0))</f>
        <v>3.634231662306957</v>
      </c>
      <c r="D245" s="173">
        <f>IF($A$1="Peak","-",IF(BaseLoad!J244&gt;BaseLoad!$G244,D$8*BaseLoad!$AM$9,0))</f>
        <v>7.2684633246139141</v>
      </c>
      <c r="E245" s="173">
        <f>IF($A$1="Peak","-",IF(BaseLoad!K244&gt;BaseLoad!$G244,E$8*BaseLoad!$AM$9,0))</f>
        <v>14.536926649227828</v>
      </c>
      <c r="F245" s="173">
        <f>IF($A$1="Peak","-",IF(BaseLoad!L244&gt;BaseLoad!$G244,F$8*BaseLoad!$AM$9,0))</f>
        <v>14.536926649227828</v>
      </c>
      <c r="G245" s="173">
        <f>IF($A$1="Peak","-",IF(BaseLoad!M244&gt;BaseLoad!$G244,G$8*BaseLoad!$AM$9,0))</f>
        <v>29.073853298455656</v>
      </c>
      <c r="H245" s="173">
        <f>IF($A$1="Peak","-",IF(BaseLoad!N244&gt;BaseLoad!$G244,H$8*BaseLoad!$AM$9,0))</f>
        <v>29.073853298455656</v>
      </c>
      <c r="I245" s="173">
        <f>IF($A$1="Peak","-",IF(BaseLoad!O244&gt;BaseLoad!$G244,I$8*BaseLoad!$AM$9,0))</f>
        <v>29.073853298455656</v>
      </c>
      <c r="J245" s="173">
        <f>IF($A$1="Peak","-",IF(BaseLoad!P244&gt;BaseLoad!$G244,J$8*BaseLoad!$AM$9,0))</f>
        <v>29.073853298455656</v>
      </c>
      <c r="K245" s="173">
        <f>IF($A$1="Peak","-",IF(BaseLoad!Q244&gt;BaseLoad!$G244,K$8*BaseLoad!$AM$9,0))</f>
        <v>29.073853298455656</v>
      </c>
      <c r="L245" s="173">
        <f>IF($A$1="Peak","-",IF(BaseLoad!R244&gt;BaseLoad!$G244,L$8*BaseLoad!$AM$9,0))</f>
        <v>29.073853298455656</v>
      </c>
      <c r="M245" s="173">
        <f>IF($A$1="Peak","-",IF(BaseLoad!S244&gt;BaseLoad!$G244,M$8*BaseLoad!$AM$9,0))</f>
        <v>29.073853298455656</v>
      </c>
      <c r="N245" s="173">
        <f>IF($A$1="Peak","-",IF(BaseLoad!T244&gt;BaseLoad!$G244,N$8*BaseLoad!$AM$9,0))</f>
        <v>29.073853298455656</v>
      </c>
      <c r="O245" s="173">
        <f>IF($A$1="Peak","-",IF(BaseLoad!U244&gt;BaseLoad!$G244,O$8*BaseLoad!$AM$9,0))</f>
        <v>29.073853298455656</v>
      </c>
      <c r="P245" s="173">
        <f>IF($A$1="Peak","-",IF(BaseLoad!V244&gt;BaseLoad!$G244,P$8*BaseLoad!$AM$9,0))</f>
        <v>29.073853298455656</v>
      </c>
      <c r="Q245" s="173">
        <f>IF($A$1="Peak","-",IF(BaseLoad!W244&gt;BaseLoad!$G244,Q$8*BaseLoad!$AM$9,0))</f>
        <v>29.073853298455656</v>
      </c>
      <c r="R245" s="173">
        <f>IF($A$1="Peak","-",IF(BaseLoad!X244&gt;BaseLoad!$G244,R$8*BaseLoad!$AM$9,0))</f>
        <v>29.073853298455656</v>
      </c>
      <c r="S245" s="173">
        <f>IF($A$1="Peak","-",IF(BaseLoad!Y244&gt;BaseLoad!$G244,S$8*BaseLoad!$AM$9,0))</f>
        <v>29.073853298455656</v>
      </c>
      <c r="T245" s="173">
        <f>IF($A$1="Peak","-",IF(BaseLoad!Z244&gt;BaseLoad!$G244,T$8*BaseLoad!$AM$9,0))</f>
        <v>29.073853298455656</v>
      </c>
      <c r="U245" s="173">
        <f>IF($A$1="Peak","-",IF(BaseLoad!AA244&gt;BaseLoad!$G244,U$8*BaseLoad!$AM$9,0))</f>
        <v>79.953096570753061</v>
      </c>
      <c r="V245" s="173">
        <f t="shared" si="8"/>
        <v>530.5978226968158</v>
      </c>
      <c r="W245" s="173"/>
      <c r="X245" s="173"/>
      <c r="Y245" s="173"/>
    </row>
    <row r="246" spans="1:25" x14ac:dyDescent="0.2">
      <c r="A246" s="1">
        <f t="shared" si="9"/>
        <v>43718.412000000302</v>
      </c>
      <c r="B246" s="173">
        <f>IF($A$1="Peak","-",IF(BaseLoad!H245&gt;BaseLoad!$G245,B$8*BaseLoad!$AM$9,0))</f>
        <v>3.634231662306957</v>
      </c>
      <c r="C246" s="173">
        <f>IF($A$1="Peak","-",IF(BaseLoad!I245&gt;BaseLoad!$G245,C$8*BaseLoad!$AM$9,0))</f>
        <v>3.634231662306957</v>
      </c>
      <c r="D246" s="173">
        <f>IF($A$1="Peak","-",IF(BaseLoad!J245&gt;BaseLoad!$G245,D$8*BaseLoad!$AM$9,0))</f>
        <v>7.2684633246139141</v>
      </c>
      <c r="E246" s="173">
        <f>IF($A$1="Peak","-",IF(BaseLoad!K245&gt;BaseLoad!$G245,E$8*BaseLoad!$AM$9,0))</f>
        <v>14.536926649227828</v>
      </c>
      <c r="F246" s="173">
        <f>IF($A$1="Peak","-",IF(BaseLoad!L245&gt;BaseLoad!$G245,F$8*BaseLoad!$AM$9,0))</f>
        <v>14.536926649227828</v>
      </c>
      <c r="G246" s="173">
        <f>IF($A$1="Peak","-",IF(BaseLoad!M245&gt;BaseLoad!$G245,G$8*BaseLoad!$AM$9,0))</f>
        <v>29.073853298455656</v>
      </c>
      <c r="H246" s="173">
        <f>IF($A$1="Peak","-",IF(BaseLoad!N245&gt;BaseLoad!$G245,H$8*BaseLoad!$AM$9,0))</f>
        <v>29.073853298455656</v>
      </c>
      <c r="I246" s="173">
        <f>IF($A$1="Peak","-",IF(BaseLoad!O245&gt;BaseLoad!$G245,I$8*BaseLoad!$AM$9,0))</f>
        <v>29.073853298455656</v>
      </c>
      <c r="J246" s="173">
        <f>IF($A$1="Peak","-",IF(BaseLoad!P245&gt;BaseLoad!$G245,J$8*BaseLoad!$AM$9,0))</f>
        <v>29.073853298455656</v>
      </c>
      <c r="K246" s="173">
        <f>IF($A$1="Peak","-",IF(BaseLoad!Q245&gt;BaseLoad!$G245,K$8*BaseLoad!$AM$9,0))</f>
        <v>29.073853298455656</v>
      </c>
      <c r="L246" s="173">
        <f>IF($A$1="Peak","-",IF(BaseLoad!R245&gt;BaseLoad!$G245,L$8*BaseLoad!$AM$9,0))</f>
        <v>29.073853298455656</v>
      </c>
      <c r="M246" s="173">
        <f>IF($A$1="Peak","-",IF(BaseLoad!S245&gt;BaseLoad!$G245,M$8*BaseLoad!$AM$9,0))</f>
        <v>29.073853298455656</v>
      </c>
      <c r="N246" s="173">
        <f>IF($A$1="Peak","-",IF(BaseLoad!T245&gt;BaseLoad!$G245,N$8*BaseLoad!$AM$9,0))</f>
        <v>29.073853298455656</v>
      </c>
      <c r="O246" s="173">
        <f>IF($A$1="Peak","-",IF(BaseLoad!U245&gt;BaseLoad!$G245,O$8*BaseLoad!$AM$9,0))</f>
        <v>29.073853298455656</v>
      </c>
      <c r="P246" s="173">
        <f>IF($A$1="Peak","-",IF(BaseLoad!V245&gt;BaseLoad!$G245,P$8*BaseLoad!$AM$9,0))</f>
        <v>29.073853298455656</v>
      </c>
      <c r="Q246" s="173">
        <f>IF($A$1="Peak","-",IF(BaseLoad!W245&gt;BaseLoad!$G245,Q$8*BaseLoad!$AM$9,0))</f>
        <v>29.073853298455656</v>
      </c>
      <c r="R246" s="173">
        <f>IF($A$1="Peak","-",IF(BaseLoad!X245&gt;BaseLoad!$G245,R$8*BaseLoad!$AM$9,0))</f>
        <v>29.073853298455656</v>
      </c>
      <c r="S246" s="173">
        <f>IF($A$1="Peak","-",IF(BaseLoad!Y245&gt;BaseLoad!$G245,S$8*BaseLoad!$AM$9,0))</f>
        <v>29.073853298455656</v>
      </c>
      <c r="T246" s="173">
        <f>IF($A$1="Peak","-",IF(BaseLoad!Z245&gt;BaseLoad!$G245,T$8*BaseLoad!$AM$9,0))</f>
        <v>29.073853298455656</v>
      </c>
      <c r="U246" s="173">
        <f>IF($A$1="Peak","-",IF(BaseLoad!AA245&gt;BaseLoad!$G245,U$8*BaseLoad!$AM$9,0))</f>
        <v>79.953096570753061</v>
      </c>
      <c r="V246" s="173">
        <f t="shared" si="8"/>
        <v>530.5978226968158</v>
      </c>
      <c r="W246" s="173"/>
      <c r="X246" s="173"/>
      <c r="Y246" s="173"/>
    </row>
    <row r="247" spans="1:25" x14ac:dyDescent="0.2">
      <c r="A247" s="1">
        <f t="shared" si="9"/>
        <v>43748.829000000303</v>
      </c>
      <c r="B247" s="173">
        <f>IF($A$1="Peak","-",IF(BaseLoad!H246&gt;BaseLoad!$G246,B$8*BaseLoad!$AM$9,0))</f>
        <v>3.634231662306957</v>
      </c>
      <c r="C247" s="173">
        <f>IF($A$1="Peak","-",IF(BaseLoad!I246&gt;BaseLoad!$G246,C$8*BaseLoad!$AM$9,0))</f>
        <v>3.634231662306957</v>
      </c>
      <c r="D247" s="173">
        <f>IF($A$1="Peak","-",IF(BaseLoad!J246&gt;BaseLoad!$G246,D$8*BaseLoad!$AM$9,0))</f>
        <v>7.2684633246139141</v>
      </c>
      <c r="E247" s="173">
        <f>IF($A$1="Peak","-",IF(BaseLoad!K246&gt;BaseLoad!$G246,E$8*BaseLoad!$AM$9,0))</f>
        <v>14.536926649227828</v>
      </c>
      <c r="F247" s="173">
        <f>IF($A$1="Peak","-",IF(BaseLoad!L246&gt;BaseLoad!$G246,F$8*BaseLoad!$AM$9,0))</f>
        <v>14.536926649227828</v>
      </c>
      <c r="G247" s="173">
        <f>IF($A$1="Peak","-",IF(BaseLoad!M246&gt;BaseLoad!$G246,G$8*BaseLoad!$AM$9,0))</f>
        <v>29.073853298455656</v>
      </c>
      <c r="H247" s="173">
        <f>IF($A$1="Peak","-",IF(BaseLoad!N246&gt;BaseLoad!$G246,H$8*BaseLoad!$AM$9,0))</f>
        <v>29.073853298455656</v>
      </c>
      <c r="I247" s="173">
        <f>IF($A$1="Peak","-",IF(BaseLoad!O246&gt;BaseLoad!$G246,I$8*BaseLoad!$AM$9,0))</f>
        <v>29.073853298455656</v>
      </c>
      <c r="J247" s="173">
        <f>IF($A$1="Peak","-",IF(BaseLoad!P246&gt;BaseLoad!$G246,J$8*BaseLoad!$AM$9,0))</f>
        <v>29.073853298455656</v>
      </c>
      <c r="K247" s="173">
        <f>IF($A$1="Peak","-",IF(BaseLoad!Q246&gt;BaseLoad!$G246,K$8*BaseLoad!$AM$9,0))</f>
        <v>29.073853298455656</v>
      </c>
      <c r="L247" s="173">
        <f>IF($A$1="Peak","-",IF(BaseLoad!R246&gt;BaseLoad!$G246,L$8*BaseLoad!$AM$9,0))</f>
        <v>29.073853298455656</v>
      </c>
      <c r="M247" s="173">
        <f>IF($A$1="Peak","-",IF(BaseLoad!S246&gt;BaseLoad!$G246,M$8*BaseLoad!$AM$9,0))</f>
        <v>29.073853298455656</v>
      </c>
      <c r="N247" s="173">
        <f>IF($A$1="Peak","-",IF(BaseLoad!T246&gt;BaseLoad!$G246,N$8*BaseLoad!$AM$9,0))</f>
        <v>29.073853298455656</v>
      </c>
      <c r="O247" s="173">
        <f>IF($A$1="Peak","-",IF(BaseLoad!U246&gt;BaseLoad!$G246,O$8*BaseLoad!$AM$9,0))</f>
        <v>29.073853298455656</v>
      </c>
      <c r="P247" s="173">
        <f>IF($A$1="Peak","-",IF(BaseLoad!V246&gt;BaseLoad!$G246,P$8*BaseLoad!$AM$9,0))</f>
        <v>29.073853298455656</v>
      </c>
      <c r="Q247" s="173">
        <f>IF($A$1="Peak","-",IF(BaseLoad!W246&gt;BaseLoad!$G246,Q$8*BaseLoad!$AM$9,0))</f>
        <v>29.073853298455656</v>
      </c>
      <c r="R247" s="173">
        <f>IF($A$1="Peak","-",IF(BaseLoad!X246&gt;BaseLoad!$G246,R$8*BaseLoad!$AM$9,0))</f>
        <v>29.073853298455656</v>
      </c>
      <c r="S247" s="173">
        <f>IF($A$1="Peak","-",IF(BaseLoad!Y246&gt;BaseLoad!$G246,S$8*BaseLoad!$AM$9,0))</f>
        <v>29.073853298455656</v>
      </c>
      <c r="T247" s="173">
        <f>IF($A$1="Peak","-",IF(BaseLoad!Z246&gt;BaseLoad!$G246,T$8*BaseLoad!$AM$9,0))</f>
        <v>29.073853298455656</v>
      </c>
      <c r="U247" s="173">
        <f>IF($A$1="Peak","-",IF(BaseLoad!AA246&gt;BaseLoad!$G246,U$8*BaseLoad!$AM$9,0))</f>
        <v>79.953096570753061</v>
      </c>
      <c r="V247" s="173">
        <f t="shared" si="8"/>
        <v>530.5978226968158</v>
      </c>
      <c r="W247" s="173"/>
      <c r="X247" s="173"/>
      <c r="Y247" s="173"/>
    </row>
    <row r="248" spans="1:25" x14ac:dyDescent="0.2">
      <c r="A248" s="1">
        <f t="shared" si="9"/>
        <v>43779.246000000305</v>
      </c>
      <c r="B248" s="173">
        <f>IF($A$1="Peak","-",IF(BaseLoad!H247&gt;BaseLoad!$G247,B$8*BaseLoad!$AM$9,0))</f>
        <v>3.634231662306957</v>
      </c>
      <c r="C248" s="173">
        <f>IF($A$1="Peak","-",IF(BaseLoad!I247&gt;BaseLoad!$G247,C$8*BaseLoad!$AM$9,0))</f>
        <v>3.634231662306957</v>
      </c>
      <c r="D248" s="173">
        <f>IF($A$1="Peak","-",IF(BaseLoad!J247&gt;BaseLoad!$G247,D$8*BaseLoad!$AM$9,0))</f>
        <v>7.2684633246139141</v>
      </c>
      <c r="E248" s="173">
        <f>IF($A$1="Peak","-",IF(BaseLoad!K247&gt;BaseLoad!$G247,E$8*BaseLoad!$AM$9,0))</f>
        <v>14.536926649227828</v>
      </c>
      <c r="F248" s="173">
        <f>IF($A$1="Peak","-",IF(BaseLoad!L247&gt;BaseLoad!$G247,F$8*BaseLoad!$AM$9,0))</f>
        <v>14.536926649227828</v>
      </c>
      <c r="G248" s="173">
        <f>IF($A$1="Peak","-",IF(BaseLoad!M247&gt;BaseLoad!$G247,G$8*BaseLoad!$AM$9,0))</f>
        <v>29.073853298455656</v>
      </c>
      <c r="H248" s="173">
        <f>IF($A$1="Peak","-",IF(BaseLoad!N247&gt;BaseLoad!$G247,H$8*BaseLoad!$AM$9,0))</f>
        <v>29.073853298455656</v>
      </c>
      <c r="I248" s="173">
        <f>IF($A$1="Peak","-",IF(BaseLoad!O247&gt;BaseLoad!$G247,I$8*BaseLoad!$AM$9,0))</f>
        <v>29.073853298455656</v>
      </c>
      <c r="J248" s="173">
        <f>IF($A$1="Peak","-",IF(BaseLoad!P247&gt;BaseLoad!$G247,J$8*BaseLoad!$AM$9,0))</f>
        <v>29.073853298455656</v>
      </c>
      <c r="K248" s="173">
        <f>IF($A$1="Peak","-",IF(BaseLoad!Q247&gt;BaseLoad!$G247,K$8*BaseLoad!$AM$9,0))</f>
        <v>29.073853298455656</v>
      </c>
      <c r="L248" s="173">
        <f>IF($A$1="Peak","-",IF(BaseLoad!R247&gt;BaseLoad!$G247,L$8*BaseLoad!$AM$9,0))</f>
        <v>29.073853298455656</v>
      </c>
      <c r="M248" s="173">
        <f>IF($A$1="Peak","-",IF(BaseLoad!S247&gt;BaseLoad!$G247,M$8*BaseLoad!$AM$9,0))</f>
        <v>29.073853298455656</v>
      </c>
      <c r="N248" s="173">
        <f>IF($A$1="Peak","-",IF(BaseLoad!T247&gt;BaseLoad!$G247,N$8*BaseLoad!$AM$9,0))</f>
        <v>29.073853298455656</v>
      </c>
      <c r="O248" s="173">
        <f>IF($A$1="Peak","-",IF(BaseLoad!U247&gt;BaseLoad!$G247,O$8*BaseLoad!$AM$9,0))</f>
        <v>29.073853298455656</v>
      </c>
      <c r="P248" s="173">
        <f>IF($A$1="Peak","-",IF(BaseLoad!V247&gt;BaseLoad!$G247,P$8*BaseLoad!$AM$9,0))</f>
        <v>29.073853298455656</v>
      </c>
      <c r="Q248" s="173">
        <f>IF($A$1="Peak","-",IF(BaseLoad!W247&gt;BaseLoad!$G247,Q$8*BaseLoad!$AM$9,0))</f>
        <v>29.073853298455656</v>
      </c>
      <c r="R248" s="173">
        <f>IF($A$1="Peak","-",IF(BaseLoad!X247&gt;BaseLoad!$G247,R$8*BaseLoad!$AM$9,0))</f>
        <v>29.073853298455656</v>
      </c>
      <c r="S248" s="173">
        <f>IF($A$1="Peak","-",IF(BaseLoad!Y247&gt;BaseLoad!$G247,S$8*BaseLoad!$AM$9,0))</f>
        <v>29.073853298455656</v>
      </c>
      <c r="T248" s="173">
        <f>IF($A$1="Peak","-",IF(BaseLoad!Z247&gt;BaseLoad!$G247,T$8*BaseLoad!$AM$9,0))</f>
        <v>29.073853298455656</v>
      </c>
      <c r="U248" s="173">
        <f>IF($A$1="Peak","-",IF(BaseLoad!AA247&gt;BaseLoad!$G247,U$8*BaseLoad!$AM$9,0))</f>
        <v>79.953096570753061</v>
      </c>
      <c r="V248" s="173">
        <f t="shared" si="8"/>
        <v>530.5978226968158</v>
      </c>
      <c r="W248" s="173"/>
      <c r="X248" s="173"/>
      <c r="Y248" s="173"/>
    </row>
    <row r="249" spans="1:25" x14ac:dyDescent="0.2">
      <c r="A249" s="1">
        <f t="shared" si="9"/>
        <v>43809.663000000306</v>
      </c>
      <c r="B249" s="173">
        <f>IF($A$1="Peak","-",IF(BaseLoad!H248&gt;BaseLoad!$G248,B$8*BaseLoad!$AM$9,0))</f>
        <v>3.634231662306957</v>
      </c>
      <c r="C249" s="173">
        <f>IF($A$1="Peak","-",IF(BaseLoad!I248&gt;BaseLoad!$G248,C$8*BaseLoad!$AM$9,0))</f>
        <v>3.634231662306957</v>
      </c>
      <c r="D249" s="173">
        <f>IF($A$1="Peak","-",IF(BaseLoad!J248&gt;BaseLoad!$G248,D$8*BaseLoad!$AM$9,0))</f>
        <v>7.2684633246139141</v>
      </c>
      <c r="E249" s="173">
        <f>IF($A$1="Peak","-",IF(BaseLoad!K248&gt;BaseLoad!$G248,E$8*BaseLoad!$AM$9,0))</f>
        <v>14.536926649227828</v>
      </c>
      <c r="F249" s="173">
        <f>IF($A$1="Peak","-",IF(BaseLoad!L248&gt;BaseLoad!$G248,F$8*BaseLoad!$AM$9,0))</f>
        <v>14.536926649227828</v>
      </c>
      <c r="G249" s="173">
        <f>IF($A$1="Peak","-",IF(BaseLoad!M248&gt;BaseLoad!$G248,G$8*BaseLoad!$AM$9,0))</f>
        <v>29.073853298455656</v>
      </c>
      <c r="H249" s="173">
        <f>IF($A$1="Peak","-",IF(BaseLoad!N248&gt;BaseLoad!$G248,H$8*BaseLoad!$AM$9,0))</f>
        <v>29.073853298455656</v>
      </c>
      <c r="I249" s="173">
        <f>IF($A$1="Peak","-",IF(BaseLoad!O248&gt;BaseLoad!$G248,I$8*BaseLoad!$AM$9,0))</f>
        <v>29.073853298455656</v>
      </c>
      <c r="J249" s="173">
        <f>IF($A$1="Peak","-",IF(BaseLoad!P248&gt;BaseLoad!$G248,J$8*BaseLoad!$AM$9,0))</f>
        <v>29.073853298455656</v>
      </c>
      <c r="K249" s="173">
        <f>IF($A$1="Peak","-",IF(BaseLoad!Q248&gt;BaseLoad!$G248,K$8*BaseLoad!$AM$9,0))</f>
        <v>29.073853298455656</v>
      </c>
      <c r="L249" s="173">
        <f>IF($A$1="Peak","-",IF(BaseLoad!R248&gt;BaseLoad!$G248,L$8*BaseLoad!$AM$9,0))</f>
        <v>29.073853298455656</v>
      </c>
      <c r="M249" s="173">
        <f>IF($A$1="Peak","-",IF(BaseLoad!S248&gt;BaseLoad!$G248,M$8*BaseLoad!$AM$9,0))</f>
        <v>29.073853298455656</v>
      </c>
      <c r="N249" s="173">
        <f>IF($A$1="Peak","-",IF(BaseLoad!T248&gt;BaseLoad!$G248,N$8*BaseLoad!$AM$9,0))</f>
        <v>29.073853298455656</v>
      </c>
      <c r="O249" s="173">
        <f>IF($A$1="Peak","-",IF(BaseLoad!U248&gt;BaseLoad!$G248,O$8*BaseLoad!$AM$9,0))</f>
        <v>29.073853298455656</v>
      </c>
      <c r="P249" s="173">
        <f>IF($A$1="Peak","-",IF(BaseLoad!V248&gt;BaseLoad!$G248,P$8*BaseLoad!$AM$9,0))</f>
        <v>29.073853298455656</v>
      </c>
      <c r="Q249" s="173">
        <f>IF($A$1="Peak","-",IF(BaseLoad!W248&gt;BaseLoad!$G248,Q$8*BaseLoad!$AM$9,0))</f>
        <v>29.073853298455656</v>
      </c>
      <c r="R249" s="173">
        <f>IF($A$1="Peak","-",IF(BaseLoad!X248&gt;BaseLoad!$G248,R$8*BaseLoad!$AM$9,0))</f>
        <v>29.073853298455656</v>
      </c>
      <c r="S249" s="173">
        <f>IF($A$1="Peak","-",IF(BaseLoad!Y248&gt;BaseLoad!$G248,S$8*BaseLoad!$AM$9,0))</f>
        <v>29.073853298455656</v>
      </c>
      <c r="T249" s="173">
        <f>IF($A$1="Peak","-",IF(BaseLoad!Z248&gt;BaseLoad!$G248,T$8*BaseLoad!$AM$9,0))</f>
        <v>29.073853298455656</v>
      </c>
      <c r="U249" s="173">
        <f>IF($A$1="Peak","-",IF(BaseLoad!AA248&gt;BaseLoad!$G248,U$8*BaseLoad!$AM$9,0))</f>
        <v>79.953096570753061</v>
      </c>
      <c r="V249" s="173">
        <f t="shared" si="8"/>
        <v>530.5978226968158</v>
      </c>
      <c r="W249" s="173"/>
      <c r="X249" s="173"/>
      <c r="Y249" s="173">
        <f>SUM(V238:V249)</f>
        <v>6367.1738723617882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7"/>
  <sheetViews>
    <sheetView zoomScaleNormal="75" workbookViewId="0"/>
  </sheetViews>
  <sheetFormatPr defaultRowHeight="12.75" x14ac:dyDescent="0.2"/>
  <cols>
    <col min="1" max="1" width="12.140625" customWidth="1"/>
    <col min="2" max="2" width="25.42578125" style="4" bestFit="1" customWidth="1"/>
    <col min="3" max="3" width="17.85546875" bestFit="1" customWidth="1"/>
    <col min="4" max="4" width="16.85546875" bestFit="1" customWidth="1"/>
    <col min="5" max="6" width="16.5703125" bestFit="1" customWidth="1"/>
    <col min="7" max="7" width="18" bestFit="1" customWidth="1"/>
    <col min="8" max="8" width="16" bestFit="1" customWidth="1"/>
    <col min="9" max="9" width="16.7109375" bestFit="1" customWidth="1"/>
    <col min="10" max="10" width="16.28515625" bestFit="1" customWidth="1"/>
    <col min="11" max="11" width="16.7109375" bestFit="1" customWidth="1"/>
    <col min="12" max="12" width="16.28515625" bestFit="1" customWidth="1"/>
    <col min="13" max="14" width="16.140625" bestFit="1" customWidth="1"/>
    <col min="15" max="15" width="16.7109375" bestFit="1" customWidth="1"/>
    <col min="16" max="16" width="16.140625" bestFit="1" customWidth="1"/>
    <col min="17" max="17" width="17.140625" bestFit="1" customWidth="1"/>
    <col min="18" max="18" width="16.7109375" bestFit="1" customWidth="1"/>
    <col min="19" max="19" width="16.5703125" bestFit="1" customWidth="1"/>
    <col min="20" max="20" width="16" bestFit="1" customWidth="1"/>
    <col min="21" max="21" width="16.28515625" bestFit="1" customWidth="1"/>
    <col min="22" max="22" width="11.28515625" bestFit="1" customWidth="1"/>
    <col min="23" max="23" width="11.5703125" bestFit="1" customWidth="1"/>
  </cols>
  <sheetData>
    <row r="1" spans="1:23" s="9" customFormat="1" x14ac:dyDescent="0.2">
      <c r="A1" s="265" t="s">
        <v>30</v>
      </c>
      <c r="B1" s="361">
        <v>1</v>
      </c>
      <c r="C1" s="362" t="s">
        <v>164</v>
      </c>
      <c r="F1" s="476" t="s">
        <v>138</v>
      </c>
      <c r="G1" s="476"/>
      <c r="H1" s="476"/>
      <c r="I1" s="476"/>
    </row>
    <row r="2" spans="1:23" s="9" customFormat="1" x14ac:dyDescent="0.2">
      <c r="A2" s="265" t="s">
        <v>26</v>
      </c>
      <c r="B2" s="361">
        <f>VLOOKUP($B$1,UnitData,3)</f>
        <v>312</v>
      </c>
      <c r="C2" s="363" t="str">
        <f>VLOOKUP($B$1,UnitData,15)</f>
        <v>BL</v>
      </c>
    </row>
    <row r="3" spans="1:23" s="9" customFormat="1" x14ac:dyDescent="0.2">
      <c r="A3" s="265" t="s">
        <v>99</v>
      </c>
      <c r="B3" s="364">
        <f>Assumptions!L16</f>
        <v>0.1</v>
      </c>
      <c r="C3" s="365"/>
    </row>
    <row r="4" spans="1:23" s="9" customFormat="1" x14ac:dyDescent="0.2">
      <c r="A4" s="265" t="s">
        <v>100</v>
      </c>
      <c r="B4" s="361">
        <f>VLOOKUP($B$1,UnitData,14)</f>
        <v>30</v>
      </c>
      <c r="C4" s="365"/>
    </row>
    <row r="5" spans="1:23" s="9" customFormat="1" x14ac:dyDescent="0.2">
      <c r="B5" s="69"/>
    </row>
    <row r="6" spans="1:23" s="9" customFormat="1" ht="15.75" x14ac:dyDescent="0.25">
      <c r="A6" s="308" t="s">
        <v>29</v>
      </c>
      <c r="B6" s="311" t="str">
        <f>VLOOKUP($B$1,UnitData,2)</f>
        <v>Conesville 4</v>
      </c>
      <c r="C6" s="312">
        <v>2000</v>
      </c>
      <c r="D6" s="312">
        <v>2001</v>
      </c>
      <c r="E6" s="312">
        <v>2002</v>
      </c>
      <c r="F6" s="312">
        <v>2003</v>
      </c>
      <c r="G6" s="312">
        <v>2004</v>
      </c>
      <c r="H6" s="312">
        <v>2005</v>
      </c>
      <c r="I6" s="312">
        <v>2006</v>
      </c>
      <c r="J6" s="312">
        <v>2007</v>
      </c>
      <c r="K6" s="312">
        <v>2008</v>
      </c>
      <c r="L6" s="312">
        <v>2009</v>
      </c>
      <c r="M6" s="312">
        <v>2010</v>
      </c>
      <c r="N6" s="312">
        <v>2011</v>
      </c>
      <c r="O6" s="312">
        <v>2012</v>
      </c>
      <c r="P6" s="312">
        <v>2013</v>
      </c>
      <c r="Q6" s="312">
        <v>2014</v>
      </c>
      <c r="R6" s="312">
        <v>2015</v>
      </c>
      <c r="S6" s="312">
        <v>2016</v>
      </c>
      <c r="T6" s="312">
        <v>2017</v>
      </c>
      <c r="U6" s="312">
        <v>2018</v>
      </c>
      <c r="V6" s="312">
        <v>2019</v>
      </c>
      <c r="W6" s="312" t="s">
        <v>154</v>
      </c>
    </row>
    <row r="7" spans="1:23" s="9" customFormat="1" x14ac:dyDescent="0.2">
      <c r="A7" s="308" t="s">
        <v>26</v>
      </c>
      <c r="B7" s="309">
        <f>VLOOKUP($B$1,UnitData,3)</f>
        <v>312</v>
      </c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</row>
    <row r="8" spans="1:23" s="333" customFormat="1" x14ac:dyDescent="0.2">
      <c r="A8" s="9"/>
      <c r="B8" s="315" t="s">
        <v>27</v>
      </c>
      <c r="C8" s="449">
        <v>0</v>
      </c>
      <c r="D8" s="410">
        <f>IF($C$2="BL",'Base Revenue'!$Y$33,'Peak Revenue'!$V$33)</f>
        <v>83553345.423057586</v>
      </c>
      <c r="E8" s="410">
        <f>IF($C$2="BL",'Base Revenue'!$Y$45,'Peak Revenue'!$V$45)</f>
        <v>81455293.239360765</v>
      </c>
      <c r="F8" s="410">
        <f>IF($C$2="BL",'Base Revenue'!$Y$57,'Peak Revenue'!$V$57)</f>
        <v>81604215.393844426</v>
      </c>
      <c r="G8" s="410">
        <f>IF($C$2="BL",'Base Revenue'!$Y$69,'Peak Revenue'!$V$69)</f>
        <v>79490240.869969279</v>
      </c>
      <c r="H8" s="410">
        <f>IF($C$2="BL",'Base Revenue'!$Y$81,'Peak Revenue'!$V$81)</f>
        <v>78769564.942997307</v>
      </c>
      <c r="I8" s="410">
        <f>IF($C$2="BL",'Base Revenue'!$Y$93,'Peak Revenue'!$V$93)</f>
        <v>83162142.739634067</v>
      </c>
      <c r="J8" s="410">
        <f>IF($C$2="BL",'Base Revenue'!$Y$105,'Peak Revenue'!$V$105)</f>
        <v>89448484.441775069</v>
      </c>
      <c r="K8" s="410">
        <f>IF($C$2="BL",'Base Revenue'!$Y$117,'Peak Revenue'!$V$117)</f>
        <v>91857512.598750517</v>
      </c>
      <c r="L8" s="410">
        <f>IF($C$2="BL",'Base Revenue'!$Y$129,'Peak Revenue'!$V$129)</f>
        <v>93754319.407489449</v>
      </c>
      <c r="M8" s="410">
        <f>IF($C$2="BL",'Base Revenue'!$Y$141,'Peak Revenue'!$V$141)</f>
        <v>94090638.822079167</v>
      </c>
      <c r="N8" s="410">
        <f>IF($C$2="BL",'Base Revenue'!$Y$153,'Peak Revenue'!$V$153)</f>
        <v>96147458.275171414</v>
      </c>
      <c r="O8" s="410">
        <f>IF($C$2="BL",'Base Revenue'!$Y$165,'Peak Revenue'!$V$165)</f>
        <v>97187649.637464851</v>
      </c>
      <c r="P8" s="410">
        <f>IF($C$2="BL",'Base Revenue'!$Y$177,'Peak Revenue'!$V$177)</f>
        <v>98357144.577067524</v>
      </c>
      <c r="Q8" s="410">
        <f>IF($C$2="BL",'Base Revenue'!$Y$189,'Peak Revenue'!$V$189)</f>
        <v>101872254.67747612</v>
      </c>
      <c r="R8" s="410">
        <f>IF($C$2="BL",'Base Revenue'!$Y$201,'Peak Revenue'!$V$201)</f>
        <v>109058475.75389129</v>
      </c>
      <c r="S8" s="410">
        <f>IF($C$2="BL",'Base Revenue'!$Y$213,'Peak Revenue'!$V$213)</f>
        <v>108497313.61131331</v>
      </c>
      <c r="T8" s="410">
        <f>IF($C$2="BL",'Base Revenue'!$Y$225,'Peak Revenue'!$V$225)</f>
        <v>109970463.20199102</v>
      </c>
      <c r="U8" s="410">
        <f>IF($C$2="BL",'Base Revenue'!$Y$237,'Peak Revenue'!$V$237)</f>
        <v>115220611.65315066</v>
      </c>
      <c r="V8" s="410">
        <f>IF($C$2="BL",'Base Revenue'!$Y$249,'Peak Revenue'!$V$249)</f>
        <v>118673460.61548896</v>
      </c>
    </row>
    <row r="9" spans="1:23" s="333" customFormat="1" x14ac:dyDescent="0.2">
      <c r="A9" s="9"/>
      <c r="B9" s="315" t="s">
        <v>20</v>
      </c>
      <c r="C9" s="449">
        <v>0</v>
      </c>
      <c r="D9" s="410">
        <f>IF($C$2="BL",'Base Revenue'!$AA$33,'Peak Revenue'!$X$33)</f>
        <v>-22088859.019783523</v>
      </c>
      <c r="E9" s="410">
        <f>IF($C$2="BL",'Base Revenue'!$AA$45,'Peak Revenue'!$X$45)</f>
        <v>-21739048.588334706</v>
      </c>
      <c r="F9" s="410">
        <f>IF($C$2="BL",'Base Revenue'!$AA$57,'Peak Revenue'!$X$57)</f>
        <v>-21226939.271200512</v>
      </c>
      <c r="G9" s="410">
        <f>IF($C$2="BL",'Base Revenue'!$AA$69,'Peak Revenue'!$X$69)</f>
        <v>-20829291.016944539</v>
      </c>
      <c r="H9" s="410">
        <f>IF($C$2="BL",'Base Revenue'!$AA$81,'Peak Revenue'!$X$81)</f>
        <v>-20379838.867658511</v>
      </c>
      <c r="I9" s="410">
        <f>IF($C$2="BL",'Base Revenue'!$AA$93,'Peak Revenue'!$X$93)</f>
        <v>-20559664.478852704</v>
      </c>
      <c r="J9" s="410">
        <f>IF($C$2="BL",'Base Revenue'!$AA$105,'Peak Revenue'!$X$105)</f>
        <v>-21200283.028426737</v>
      </c>
      <c r="K9" s="410">
        <f>IF($C$2="BL",'Base Revenue'!$AA$117,'Peak Revenue'!$X$117)</f>
        <v>-21787017.774765581</v>
      </c>
      <c r="L9" s="410">
        <f>IF($C$2="BL",'Base Revenue'!$AA$129,'Peak Revenue'!$X$129)</f>
        <v>-22451584.681333032</v>
      </c>
      <c r="M9" s="410">
        <f>IF($C$2="BL",'Base Revenue'!$AA$141,'Peak Revenue'!$X$141)</f>
        <v>-22774887.500744235</v>
      </c>
      <c r="N9" s="410">
        <f>IF($C$2="BL",'Base Revenue'!$AA$153,'Peak Revenue'!$X$153)</f>
        <v>-23158061.212638985</v>
      </c>
      <c r="O9" s="410">
        <f>IF($C$2="BL",'Base Revenue'!$AA$165,'Peak Revenue'!$X$165)</f>
        <v>-23285785.783270556</v>
      </c>
      <c r="P9" s="410">
        <f>IF($C$2="BL",'Base Revenue'!$AA$177,'Peak Revenue'!$X$177)</f>
        <v>-23279798.69402222</v>
      </c>
      <c r="Q9" s="410">
        <f>IF($C$2="BL",'Base Revenue'!$AA$189,'Peak Revenue'!$X$189)</f>
        <v>-23449432.889392287</v>
      </c>
      <c r="R9" s="410">
        <f>IF($C$2="BL",'Base Revenue'!$AA$201,'Peak Revenue'!$X$201)</f>
        <v>-23551213.40661433</v>
      </c>
      <c r="S9" s="410">
        <f>IF($C$2="BL",'Base Revenue'!$AA$213,'Peak Revenue'!$X$213)</f>
        <v>-23736813.173313346</v>
      </c>
      <c r="T9" s="410">
        <f>IF($C$2="BL",'Base Revenue'!$AA$225,'Peak Revenue'!$X$225)</f>
        <v>-23934387.118509073</v>
      </c>
      <c r="U9" s="410">
        <f>IF($C$2="BL",'Base Revenue'!$AA$237,'Peak Revenue'!$X$237)</f>
        <v>-24094042.83179855</v>
      </c>
      <c r="V9" s="410">
        <f>IF($C$2="BL",'Base Revenue'!$AA$249,'Peak Revenue'!$X$249)</f>
        <v>-24219771.706014011</v>
      </c>
    </row>
    <row r="10" spans="1:23" s="333" customFormat="1" x14ac:dyDescent="0.2">
      <c r="A10" s="9"/>
      <c r="B10" s="315" t="s">
        <v>31</v>
      </c>
      <c r="C10" s="449">
        <v>0</v>
      </c>
      <c r="D10" s="410">
        <f>IF($C$2="BL",'Base Revenue'!$AC$33,'Peak Revenue'!$Z$33)</f>
        <v>-1909121.8326310592</v>
      </c>
      <c r="E10" s="410">
        <f>IF($C$2="BL",'Base Revenue'!$AC$45,'Peak Revenue'!$Z$45)</f>
        <v>-1921266.3996641547</v>
      </c>
      <c r="F10" s="410">
        <f>IF($C$2="BL",'Base Revenue'!$AC$57,'Peak Revenue'!$Z$57)</f>
        <v>-1932584.9855271252</v>
      </c>
      <c r="G10" s="410">
        <f>IF($C$2="BL",'Base Revenue'!$AC$69,'Peak Revenue'!$Z$69)</f>
        <v>-1943017.4440056582</v>
      </c>
      <c r="H10" s="410">
        <f>IF($C$2="BL",'Base Revenue'!$AC$81,'Peak Revenue'!$Z$81)</f>
        <v>-1952500.6503354358</v>
      </c>
      <c r="I10" s="410">
        <f>IF($C$2="BL",'Base Revenue'!$AC$93,'Peak Revenue'!$Z$93)</f>
        <v>-1973205.870061053</v>
      </c>
      <c r="J10" s="410">
        <f>IF($C$2="BL",'Base Revenue'!$AC$105,'Peak Revenue'!$Z$105)</f>
        <v>-2013033.7591751928</v>
      </c>
      <c r="K10" s="410">
        <f>IF($C$2="BL",'Base Revenue'!$AC$117,'Peak Revenue'!$Z$117)</f>
        <v>-2053665.5485692557</v>
      </c>
      <c r="L10" s="410">
        <f>IF($C$2="BL",'Base Revenue'!$AC$129,'Peak Revenue'!$Z$129)</f>
        <v>-2095117.4644524243</v>
      </c>
      <c r="M10" s="410">
        <f>IF($C$2="BL",'Base Revenue'!$AC$141,'Peak Revenue'!$Z$141)</f>
        <v>-2137406.0605494585</v>
      </c>
      <c r="N10" s="410">
        <f>IF($C$2="BL",'Base Revenue'!$AC$153,'Peak Revenue'!$Z$153)</f>
        <v>-2180548.224711386</v>
      </c>
      <c r="O10" s="410">
        <f>IF($C$2="BL",'Base Revenue'!$AC$165,'Peak Revenue'!$Z$165)</f>
        <v>-2224561.1856596284</v>
      </c>
      <c r="P10" s="410">
        <f>IF($C$2="BL",'Base Revenue'!$AC$177,'Peak Revenue'!$Z$177)</f>
        <v>-2269462.5198662449</v>
      </c>
      <c r="Q10" s="410">
        <f>IF($C$2="BL",'Base Revenue'!$AC$189,'Peak Revenue'!$Z$189)</f>
        <v>-2315270.1585730626</v>
      </c>
      <c r="R10" s="410">
        <f>IF($C$2="BL",'Base Revenue'!$AC$201,'Peak Revenue'!$Z$201)</f>
        <v>-2362002.3949524676</v>
      </c>
      <c r="S10" s="410">
        <f>IF($C$2="BL",'Base Revenue'!$AC$213,'Peak Revenue'!$Z$213)</f>
        <v>-2409677.8914127471</v>
      </c>
      <c r="T10" s="410">
        <f>IF($C$2="BL",'Base Revenue'!$AC$225,'Peak Revenue'!$Z$225)</f>
        <v>-2458315.6870508734</v>
      </c>
      <c r="U10" s="410">
        <f>IF($C$2="BL",'Base Revenue'!$AC$237,'Peak Revenue'!$Z$237)</f>
        <v>-2507935.205255724</v>
      </c>
      <c r="V10" s="410">
        <f>IF($C$2="BL",'Base Revenue'!$AC$249,'Peak Revenue'!$Z$249)</f>
        <v>-2558556.2614647653</v>
      </c>
    </row>
    <row r="11" spans="1:23" s="333" customFormat="1" x14ac:dyDescent="0.2">
      <c r="A11" s="9"/>
      <c r="B11" s="315" t="s">
        <v>32</v>
      </c>
      <c r="C11" s="449">
        <v>0</v>
      </c>
      <c r="D11" s="410">
        <f>IF($C$2="BL",'Base Revenue'!$AE$33,'Peak Revenue'!$AB$33)</f>
        <v>0</v>
      </c>
      <c r="E11" s="410">
        <f>IF($C$2="BL",'Base Revenue'!$AE$45,'Peak Revenue'!$AB$45)</f>
        <v>0</v>
      </c>
      <c r="F11" s="410">
        <f>IF($C$2="BL",'Base Revenue'!$AE$57,'Peak Revenue'!$AB$57)</f>
        <v>0</v>
      </c>
      <c r="G11" s="410">
        <f>IF($C$2="BL",'Base Revenue'!$AE$69,'Peak Revenue'!$AB$69)</f>
        <v>0</v>
      </c>
      <c r="H11" s="410">
        <f>IF($C$2="BL",'Base Revenue'!$AE$81,'Peak Revenue'!$AB$81)</f>
        <v>0</v>
      </c>
      <c r="I11" s="410">
        <f>IF($C$2="BL",'Base Revenue'!$AE$93,'Peak Revenue'!$AB$93)+VLOOKUP(IS!$B$1,allotval,I6-1997)</f>
        <v>-5125526.941979195</v>
      </c>
      <c r="J11" s="410">
        <f>IF($C$2="BL",'Base Revenue'!$AE$105,'Peak Revenue'!$AB$105)+VLOOKUP(IS!$B$1,allotval,J6-1997)</f>
        <v>-5681237.1678170143</v>
      </c>
      <c r="K11" s="410">
        <f>IF($C$2="BL",'Base Revenue'!$AE$117,'Peak Revenue'!$AB$117)+VLOOKUP(IS!$B$1,allotval,K6-1997)</f>
        <v>-6626852.8650779603</v>
      </c>
      <c r="L11" s="410">
        <f>IF($C$2="BL",'Base Revenue'!$AE$129,'Peak Revenue'!$AB$129)+VLOOKUP(IS!$B$1,allotval,L6-1997)</f>
        <v>-6885515.7634915747</v>
      </c>
      <c r="M11" s="410">
        <f>IF($C$2="BL",'Base Revenue'!$AE$141,'Peak Revenue'!$AB$141)+VLOOKUP(IS!$B$1,allotval,M6-1997)</f>
        <v>-7657752.1804011166</v>
      </c>
      <c r="N11" s="410">
        <f>IF($C$2="BL",'Base Revenue'!$AE$153,'Peak Revenue'!$AB$153)+VLOOKUP(IS!$B$1,allotval,N6-1997)</f>
        <v>-8435593.1347321328</v>
      </c>
      <c r="O11" s="410">
        <f>IF($C$2="BL",'Base Revenue'!$AE$165,'Peak Revenue'!$AB$165)+VLOOKUP(IS!$B$1,allotval,O6-1997)</f>
        <v>-9346384.2865533531</v>
      </c>
      <c r="P11" s="410">
        <f>IF($C$2="BL",'Base Revenue'!$AE$177,'Peak Revenue'!$AB$177)+VLOOKUP(IS!$B$1,allotval,P6-1997)</f>
        <v>-10479755.442534316</v>
      </c>
      <c r="Q11" s="410">
        <f>IF($C$2="BL",'Base Revenue'!$AE$189,'Peak Revenue'!$AB$189)+VLOOKUP(IS!$B$1,allotval,Q6-1997)</f>
        <v>-11665603.1421296</v>
      </c>
      <c r="R11" s="410">
        <f>IF($C$2="BL",'Base Revenue'!$AE$201,'Peak Revenue'!$AB$201)+VLOOKUP(IS!$B$1,allotval,R6-1997)</f>
        <v>-12921924.645865124</v>
      </c>
      <c r="S11" s="410">
        <f>IF($C$2="BL",'Base Revenue'!$AE$213,'Peak Revenue'!$AB$213)+VLOOKUP(IS!$B$1,allotval,S6-1997)</f>
        <v>-14188257.370286416</v>
      </c>
      <c r="T11" s="410">
        <f>IF($C$2="BL",'Base Revenue'!$AE$225,'Peak Revenue'!$AB$225)+VLOOKUP(IS!$B$1,allotval,T6-1997)</f>
        <v>-13939271.155415896</v>
      </c>
      <c r="U11" s="410">
        <f>IF($C$2="BL",'Base Revenue'!$AE$237,'Peak Revenue'!$AB$237)+VLOOKUP(IS!$B$1,allotval,U6-1997)</f>
        <v>-11925800.414014496</v>
      </c>
      <c r="V11" s="410">
        <f>IF($C$2="BL",'Base Revenue'!$AE$249,'Peak Revenue'!$AB$249)+VLOOKUP(IS!$B$1,allotval,V6-1997)</f>
        <v>-12364854.760452336</v>
      </c>
    </row>
    <row r="12" spans="1:23" s="333" customFormat="1" ht="13.5" thickBot="1" x14ac:dyDescent="0.25">
      <c r="A12" s="9"/>
      <c r="B12" s="316" t="s">
        <v>33</v>
      </c>
      <c r="C12" s="450">
        <v>0</v>
      </c>
      <c r="D12" s="412">
        <f>IF($C$2="BL",'Base Revenue'!$AG$33,'Peak Revenue'!$AB$33)</f>
        <v>0</v>
      </c>
      <c r="E12" s="412">
        <f>IF($C$2="BL",'Base Revenue'!$AG$45,'Peak Revenue'!$AB$45)</f>
        <v>0</v>
      </c>
      <c r="F12" s="412">
        <f>IF($C$2="BL",'Base Revenue'!$AG$57,'Peak Revenue'!$AB$57)</f>
        <v>-1330680.0396221192</v>
      </c>
      <c r="G12" s="412">
        <f>IF($C$2="BL",'Base Revenue'!$AG$69,'Peak Revenue'!$AB$69)</f>
        <v>-1117389.6051952583</v>
      </c>
      <c r="H12" s="412">
        <f>IF($C$2="BL",'Base Revenue'!$AG$81,'Peak Revenue'!$AB$81)</f>
        <v>-1142601.9637262186</v>
      </c>
      <c r="I12" s="412">
        <f>IF($C$2="BL",'Base Revenue'!$AG$93,'Peak Revenue'!$AB$93)</f>
        <v>-1175549.2762626898</v>
      </c>
      <c r="J12" s="412">
        <f>IF($C$2="BL",'Base Revenue'!$AG$105,'Peak Revenue'!$AB$105)</f>
        <v>-1542983.8140441023</v>
      </c>
      <c r="K12" s="412">
        <f>IF($C$2="BL",'Base Revenue'!$AG$117,'Peak Revenue'!$AB$117)</f>
        <v>-1347391.4264844002</v>
      </c>
      <c r="L12" s="412">
        <f>IF($C$2="BL",'Base Revenue'!$AG$129,'Peak Revenue'!$AB$129)</f>
        <v>-1426528.9162584736</v>
      </c>
      <c r="M12" s="412">
        <f>IF($C$2="BL",'Base Revenue'!$AG$141,'Peak Revenue'!$AB$141)</f>
        <v>-1357396.8983938277</v>
      </c>
      <c r="N12" s="412">
        <f>IF($C$2="BL",'Base Revenue'!$AG$153,'Peak Revenue'!$AB$153)</f>
        <v>-1396273.8643005183</v>
      </c>
      <c r="O12" s="412">
        <f>IF($C$2="BL",'Base Revenue'!$AG$165,'Peak Revenue'!$AB$165)</f>
        <v>-1432480.4631010399</v>
      </c>
      <c r="P12" s="412">
        <f>IF($C$2="BL",'Base Revenue'!$AG$177,'Peak Revenue'!$AB$177)</f>
        <v>-1279505.5979669364</v>
      </c>
      <c r="Q12" s="412">
        <f>IF($C$2="BL",'Base Revenue'!$AG$189,'Peak Revenue'!$AB$189)</f>
        <v>-1325253.9092989026</v>
      </c>
      <c r="R12" s="412">
        <f>IF($C$2="BL",'Base Revenue'!$AG$201,'Peak Revenue'!$AB$201)</f>
        <v>-1352640.7865235198</v>
      </c>
      <c r="S12" s="412">
        <f>IF($C$2="BL",'Base Revenue'!$AG$213,'Peak Revenue'!$AB$213)</f>
        <v>-1436409.4811158192</v>
      </c>
      <c r="T12" s="412">
        <f>IF($C$2="BL",'Base Revenue'!$AG$225,'Peak Revenue'!$AB$225)</f>
        <v>-1350373.8917779289</v>
      </c>
      <c r="U12" s="412">
        <f>IF($C$2="BL",'Base Revenue'!$AG$237,'Peak Revenue'!$AB$237)</f>
        <v>-1487270.8014858414</v>
      </c>
      <c r="V12" s="412">
        <f>IF($C$2="BL",'Base Revenue'!$AG$249,'Peak Revenue'!$AB$249)</f>
        <v>-809745.41239320685</v>
      </c>
    </row>
    <row r="13" spans="1:23" s="333" customFormat="1" ht="13.5" thickTop="1" x14ac:dyDescent="0.2">
      <c r="A13" s="9"/>
      <c r="B13" s="317" t="s">
        <v>38</v>
      </c>
      <c r="C13" s="451">
        <v>0</v>
      </c>
      <c r="D13" s="414">
        <f t="shared" ref="D13:V13" si="0">SUM(D8:D12)</f>
        <v>59555364.570643</v>
      </c>
      <c r="E13" s="414">
        <f t="shared" si="0"/>
        <v>57794978.251361899</v>
      </c>
      <c r="F13" s="414">
        <f t="shared" si="0"/>
        <v>57114011.097494669</v>
      </c>
      <c r="G13" s="414">
        <f t="shared" si="0"/>
        <v>55600542.803823814</v>
      </c>
      <c r="H13" s="414">
        <f t="shared" si="0"/>
        <v>55294623.461277142</v>
      </c>
      <c r="I13" s="414">
        <f t="shared" si="0"/>
        <v>54328196.172478423</v>
      </c>
      <c r="J13" s="414">
        <f t="shared" si="0"/>
        <v>59010946.672312021</v>
      </c>
      <c r="K13" s="414">
        <f t="shared" si="0"/>
        <v>60042584.983853318</v>
      </c>
      <c r="L13" s="414">
        <f t="shared" si="0"/>
        <v>60895572.581953935</v>
      </c>
      <c r="M13" s="414">
        <f t="shared" si="0"/>
        <v>60163196.181990534</v>
      </c>
      <c r="N13" s="414">
        <f t="shared" si="0"/>
        <v>60976981.838788383</v>
      </c>
      <c r="O13" s="414">
        <f t="shared" si="0"/>
        <v>60898437.918880276</v>
      </c>
      <c r="P13" s="414">
        <f t="shared" si="0"/>
        <v>61048622.322677806</v>
      </c>
      <c r="Q13" s="414">
        <f t="shared" si="0"/>
        <v>63116694.578082271</v>
      </c>
      <c r="R13" s="414">
        <f t="shared" si="0"/>
        <v>68870694.519935846</v>
      </c>
      <c r="S13" s="414">
        <f t="shared" si="0"/>
        <v>66726155.695184976</v>
      </c>
      <c r="T13" s="414">
        <f t="shared" si="0"/>
        <v>68288115.349237248</v>
      </c>
      <c r="U13" s="414">
        <f t="shared" si="0"/>
        <v>75205562.400596052</v>
      </c>
      <c r="V13" s="414">
        <f t="shared" si="0"/>
        <v>78720532.475164652</v>
      </c>
    </row>
    <row r="14" spans="1:23" s="333" customFormat="1" x14ac:dyDescent="0.2">
      <c r="A14" s="9"/>
      <c r="B14" s="315" t="s">
        <v>34</v>
      </c>
      <c r="C14" s="449">
        <v>0</v>
      </c>
      <c r="D14" s="410">
        <f t="shared" ref="D14:V14" si="1">-VLOOKUP($B$1,Costs,D6-1997)-VLOOKUP($B$1,EnvFOM,D6-1997)</f>
        <v>-4215278.3681715792</v>
      </c>
      <c r="E14" s="410">
        <f t="shared" si="1"/>
        <v>-4299583.9355350109</v>
      </c>
      <c r="F14" s="410">
        <f t="shared" si="1"/>
        <v>-4428651.6142457109</v>
      </c>
      <c r="G14" s="410">
        <f t="shared" si="1"/>
        <v>-4517440.0265306253</v>
      </c>
      <c r="H14" s="410">
        <f t="shared" si="1"/>
        <v>-4608009.5915612374</v>
      </c>
      <c r="I14" s="410">
        <f t="shared" si="1"/>
        <v>-4700396.0670049619</v>
      </c>
      <c r="J14" s="410">
        <f t="shared" si="1"/>
        <v>-4794635.9290478742</v>
      </c>
      <c r="K14" s="410">
        <f t="shared" si="1"/>
        <v>-4890766.3868492143</v>
      </c>
      <c r="L14" s="410">
        <f t="shared" si="1"/>
        <v>-4988825.3972870912</v>
      </c>
      <c r="M14" s="410">
        <f t="shared" si="1"/>
        <v>-5088851.6800012477</v>
      </c>
      <c r="N14" s="410">
        <f t="shared" si="1"/>
        <v>-5190884.7327388972</v>
      </c>
      <c r="O14" s="410">
        <f t="shared" si="1"/>
        <v>-5294964.8470097408</v>
      </c>
      <c r="P14" s="410">
        <f t="shared" si="1"/>
        <v>-5401133.1240564026</v>
      </c>
      <c r="Q14" s="410">
        <f t="shared" si="1"/>
        <v>-5509431.4911466595</v>
      </c>
      <c r="R14" s="410">
        <f t="shared" si="1"/>
        <v>-5619902.7181939501</v>
      </c>
      <c r="S14" s="410">
        <f t="shared" si="1"/>
        <v>-5732590.4347127946</v>
      </c>
      <c r="T14" s="410">
        <f t="shared" si="1"/>
        <v>-5847539.1471158909</v>
      </c>
      <c r="U14" s="410">
        <f t="shared" si="1"/>
        <v>-5964794.25635977</v>
      </c>
      <c r="V14" s="410">
        <f t="shared" si="1"/>
        <v>-6084402.0759460665</v>
      </c>
    </row>
    <row r="15" spans="1:23" s="333" customFormat="1" x14ac:dyDescent="0.2">
      <c r="A15" s="9"/>
      <c r="B15" s="315" t="s">
        <v>35</v>
      </c>
      <c r="C15" s="449">
        <v>0</v>
      </c>
      <c r="D15" s="410">
        <f t="shared" ref="D15:V15" si="2">-VLOOKUP($B$1,PTax,D6-1997)</f>
        <v>-381835.51400375203</v>
      </c>
      <c r="E15" s="410">
        <f t="shared" si="2"/>
        <v>-446848.79068212525</v>
      </c>
      <c r="F15" s="410">
        <f t="shared" si="2"/>
        <v>-457081.35811975488</v>
      </c>
      <c r="G15" s="410">
        <f t="shared" si="2"/>
        <v>-467545.18158147484</v>
      </c>
      <c r="H15" s="410">
        <f t="shared" si="2"/>
        <v>-478258.04404158378</v>
      </c>
      <c r="I15" s="410">
        <f t="shared" si="2"/>
        <v>-489735.03644411458</v>
      </c>
      <c r="J15" s="410">
        <f t="shared" si="2"/>
        <v>-500988.73183821165</v>
      </c>
      <c r="K15" s="410">
        <f t="shared" si="2"/>
        <v>-512527.28151932993</v>
      </c>
      <c r="L15" s="410">
        <f t="shared" si="2"/>
        <v>-524350.83337757189</v>
      </c>
      <c r="M15" s="410">
        <f t="shared" si="2"/>
        <v>-536475.88580819895</v>
      </c>
      <c r="N15" s="410">
        <f t="shared" si="2"/>
        <v>-548894.36450764723</v>
      </c>
      <c r="O15" s="410">
        <f t="shared" si="2"/>
        <v>-561625.78887032159</v>
      </c>
      <c r="P15" s="410">
        <f t="shared" si="2"/>
        <v>-574680.59141180781</v>
      </c>
      <c r="Q15" s="410">
        <f t="shared" si="2"/>
        <v>-588061.76401683118</v>
      </c>
      <c r="R15" s="410">
        <f t="shared" si="2"/>
        <v>-601778.8040542407</v>
      </c>
      <c r="S15" s="410">
        <f t="shared" si="2"/>
        <v>-615838.77009258547</v>
      </c>
      <c r="T15" s="410">
        <f t="shared" si="2"/>
        <v>-630247.4232886812</v>
      </c>
      <c r="U15" s="410">
        <f t="shared" si="2"/>
        <v>-645017.7336799989</v>
      </c>
      <c r="V15" s="410">
        <f t="shared" si="2"/>
        <v>-660158.77886213863</v>
      </c>
    </row>
    <row r="16" spans="1:23" s="333" customFormat="1" ht="13.5" thickBot="1" x14ac:dyDescent="0.25">
      <c r="A16" s="9"/>
      <c r="B16" s="316" t="s">
        <v>36</v>
      </c>
      <c r="C16" s="450">
        <v>0</v>
      </c>
      <c r="D16" s="412">
        <f t="shared" ref="D16:V16" si="3">-VLOOKUP($B$1,AGCost,D6-1997)</f>
        <v>-526501.97323171305</v>
      </c>
      <c r="E16" s="412">
        <f t="shared" si="3"/>
        <v>-537611.16486690496</v>
      </c>
      <c r="F16" s="412">
        <f t="shared" si="3"/>
        <v>-549384.84937749105</v>
      </c>
      <c r="G16" s="412">
        <f t="shared" si="3"/>
        <v>-561800.946973418</v>
      </c>
      <c r="H16" s="412">
        <f t="shared" si="3"/>
        <v>-575171.80951138702</v>
      </c>
      <c r="I16" s="412">
        <f t="shared" si="3"/>
        <v>-589585.672880798</v>
      </c>
      <c r="J16" s="412">
        <f t="shared" si="3"/>
        <v>-604209.04007825395</v>
      </c>
      <c r="K16" s="412">
        <f t="shared" si="3"/>
        <v>-619502.81952545105</v>
      </c>
      <c r="L16" s="412">
        <f t="shared" si="3"/>
        <v>-634804.53916773095</v>
      </c>
      <c r="M16" s="412">
        <f t="shared" si="3"/>
        <v>-650992.054916505</v>
      </c>
      <c r="N16" s="412">
        <f t="shared" si="3"/>
        <v>-666746.06264548795</v>
      </c>
      <c r="O16" s="412">
        <f t="shared" si="3"/>
        <v>-683548.06342415197</v>
      </c>
      <c r="P16" s="412">
        <f t="shared" si="3"/>
        <v>-700910.18423512403</v>
      </c>
      <c r="Q16" s="412">
        <f t="shared" si="3"/>
        <v>-718432.93884100195</v>
      </c>
      <c r="R16" s="412">
        <f t="shared" si="3"/>
        <v>-736465.605605911</v>
      </c>
      <c r="S16" s="412">
        <f t="shared" si="3"/>
        <v>-754877.24574606004</v>
      </c>
      <c r="T16" s="412">
        <f t="shared" si="3"/>
        <v>-773598.20144056203</v>
      </c>
      <c r="U16" s="412">
        <f t="shared" si="3"/>
        <v>-793015.51629672095</v>
      </c>
      <c r="V16" s="412">
        <f t="shared" si="3"/>
        <v>-812920.20575576904</v>
      </c>
    </row>
    <row r="17" spans="1:23" s="333" customFormat="1" ht="13.5" thickTop="1" x14ac:dyDescent="0.2">
      <c r="A17" s="9"/>
      <c r="B17" s="317" t="s">
        <v>221</v>
      </c>
      <c r="C17" s="452">
        <v>0</v>
      </c>
      <c r="D17" s="416">
        <f>SUM(D13:D16)</f>
        <v>54431748.715235956</v>
      </c>
      <c r="E17" s="416">
        <f t="shared" ref="E17:V17" si="4">SUM(E13:E16)</f>
        <v>52510934.360277861</v>
      </c>
      <c r="F17" s="416">
        <f t="shared" si="4"/>
        <v>51678893.27575171</v>
      </c>
      <c r="G17" s="416">
        <f t="shared" si="4"/>
        <v>50053756.648738295</v>
      </c>
      <c r="H17" s="416">
        <f t="shared" si="4"/>
        <v>49633184.016162939</v>
      </c>
      <c r="I17" s="416">
        <f t="shared" si="4"/>
        <v>48548479.396148548</v>
      </c>
      <c r="J17" s="416">
        <f t="shared" si="4"/>
        <v>53111112.971347682</v>
      </c>
      <c r="K17" s="416">
        <f t="shared" si="4"/>
        <v>54019788.495959319</v>
      </c>
      <c r="L17" s="416">
        <f t="shared" si="4"/>
        <v>54747591.81212154</v>
      </c>
      <c r="M17" s="416">
        <f t="shared" si="4"/>
        <v>53886876.561264582</v>
      </c>
      <c r="N17" s="416">
        <f t="shared" si="4"/>
        <v>54570456.678896353</v>
      </c>
      <c r="O17" s="416">
        <f t="shared" si="4"/>
        <v>54358299.219576061</v>
      </c>
      <c r="P17" s="416">
        <f t="shared" si="4"/>
        <v>54371898.422974475</v>
      </c>
      <c r="Q17" s="416">
        <f t="shared" si="4"/>
        <v>56300768.38407778</v>
      </c>
      <c r="R17" s="416">
        <f t="shared" si="4"/>
        <v>61912547.392081752</v>
      </c>
      <c r="S17" s="416">
        <f t="shared" si="4"/>
        <v>59622849.244633533</v>
      </c>
      <c r="T17" s="416">
        <f t="shared" si="4"/>
        <v>61036730.577392109</v>
      </c>
      <c r="U17" s="416">
        <f t="shared" si="4"/>
        <v>67802734.894259572</v>
      </c>
      <c r="V17" s="416">
        <f t="shared" si="4"/>
        <v>71163051.414600685</v>
      </c>
    </row>
    <row r="18" spans="1:23" s="333" customFormat="1" x14ac:dyDescent="0.2">
      <c r="A18" s="9"/>
      <c r="B18" s="315" t="s">
        <v>37</v>
      </c>
      <c r="C18" s="449">
        <v>0</v>
      </c>
      <c r="D18" s="410">
        <f>-'Tax Depr'!D$108</f>
        <v>-1434872.2601740002</v>
      </c>
      <c r="E18" s="410">
        <f>-'Tax Depr'!E$108</f>
        <v>-3155929.5261579999</v>
      </c>
      <c r="F18" s="410">
        <f>-'Tax Depr'!F$108</f>
        <v>-4939391.063348501</v>
      </c>
      <c r="G18" s="410">
        <f>-'Tax Depr'!G$108</f>
        <v>-5108167.5928593995</v>
      </c>
      <c r="H18" s="410">
        <f>-'Tax Depr'!H$108</f>
        <v>-5062073.5215890007</v>
      </c>
      <c r="I18" s="410">
        <f>-'Tax Depr'!I$108</f>
        <v>-4941076.9650851702</v>
      </c>
      <c r="J18" s="410">
        <f>-'Tax Depr'!J$108</f>
        <v>-3557780.8992803944</v>
      </c>
      <c r="K18" s="410">
        <f>-'Tax Depr'!K$108</f>
        <v>-1786747.972144224</v>
      </c>
      <c r="L18" s="410">
        <f>-'Tax Depr'!L$108</f>
        <v>-1294028.9634054825</v>
      </c>
      <c r="M18" s="410">
        <f>-'Tax Depr'!M$108</f>
        <v>-1310279.0760656982</v>
      </c>
      <c r="N18" s="410">
        <f>-'Tax Depr'!N$108</f>
        <v>-1190373.2136408901</v>
      </c>
      <c r="O18" s="410">
        <f>-'Tax Depr'!O$108</f>
        <v>-1071222.9967528018</v>
      </c>
      <c r="P18" s="410">
        <f>-'Tax Depr'!P$108</f>
        <v>-1099507.6173198787</v>
      </c>
      <c r="Q18" s="410">
        <f>-'Tax Depr'!Q$108</f>
        <v>-1128510.8565039681</v>
      </c>
      <c r="R18" s="410">
        <f>-'Tax Depr'!R$108</f>
        <v>-1048759.1128635802</v>
      </c>
      <c r="S18" s="410">
        <f>-'Tax Depr'!S$108</f>
        <v>-969829.54691398051</v>
      </c>
      <c r="T18" s="410">
        <f>-'Tax Depr'!T$108</f>
        <v>-1001607.103985893</v>
      </c>
      <c r="U18" s="410">
        <f>-'Tax Depr'!U$108</f>
        <v>-1034307.5377699627</v>
      </c>
      <c r="V18" s="410">
        <f>-'Tax Depr'!V$108</f>
        <v>-1034621.4345675546</v>
      </c>
    </row>
    <row r="19" spans="1:23" s="333" customFormat="1" ht="13.5" thickBot="1" x14ac:dyDescent="0.25">
      <c r="A19" s="9"/>
      <c r="B19" s="316" t="s">
        <v>222</v>
      </c>
      <c r="C19" s="450">
        <v>0</v>
      </c>
      <c r="D19" s="412">
        <f>-SUM(D17:D18)*Assumptions!$L$15</f>
        <v>-21198750.582024783</v>
      </c>
      <c r="E19" s="412">
        <f>-SUM(E17:E18)*Assumptions!$L$15</f>
        <v>-19742001.933647946</v>
      </c>
      <c r="F19" s="412">
        <f>-SUM(F17:F18)*Assumptions!$L$15</f>
        <v>-18695800.884961285</v>
      </c>
      <c r="G19" s="412">
        <f>-SUM(G17:G18)*Assumptions!$L$15</f>
        <v>-17978235.622351557</v>
      </c>
      <c r="H19" s="412">
        <f>-SUM(H17:H18)*Assumptions!$L$15</f>
        <v>-17828444.197829574</v>
      </c>
      <c r="I19" s="412">
        <f>-SUM(I17:I18)*Assumptions!$L$15</f>
        <v>-17442960.972425353</v>
      </c>
      <c r="J19" s="412">
        <f>-SUM(J17:J18)*Assumptions!$L$15</f>
        <v>-19821332.828826915</v>
      </c>
      <c r="K19" s="412">
        <f>-SUM(K17:K18)*Assumptions!$L$15</f>
        <v>-20893216.20952604</v>
      </c>
      <c r="L19" s="412">
        <f>-SUM(L17:L18)*Assumptions!$L$15</f>
        <v>-21381425.139486425</v>
      </c>
      <c r="M19" s="412">
        <f>-SUM(M17:M18)*Assumptions!$L$15</f>
        <v>-21030638.994079556</v>
      </c>
      <c r="N19" s="412">
        <f>-SUM(N17:N18)*Assumptions!$L$15</f>
        <v>-21352033.386102185</v>
      </c>
      <c r="O19" s="412">
        <f>-SUM(O17:O18)*Assumptions!$L$15</f>
        <v>-21314830.489129305</v>
      </c>
      <c r="P19" s="412">
        <f>-SUM(P17:P18)*Assumptions!$L$15</f>
        <v>-21308956.32226184</v>
      </c>
      <c r="Q19" s="412">
        <f>-SUM(Q17:Q18)*Assumptions!$L$15</f>
        <v>-22068903.011029527</v>
      </c>
      <c r="R19" s="412">
        <f>-SUM(R17:R18)*Assumptions!$L$15</f>
        <v>-24345515.311687272</v>
      </c>
      <c r="S19" s="412">
        <f>-SUM(S17:S18)*Assumptions!$L$15</f>
        <v>-23461207.879087821</v>
      </c>
      <c r="T19" s="412">
        <f>-SUM(T17:T18)*Assumptions!$L$15</f>
        <v>-24014049.389362488</v>
      </c>
      <c r="U19" s="412">
        <f>-SUM(U17:U18)*Assumptions!$L$15</f>
        <v>-26707370.942595843</v>
      </c>
      <c r="V19" s="412">
        <f>-SUM(V17:V18)*Assumptions!$L$15</f>
        <v>-28051371.992013253</v>
      </c>
    </row>
    <row r="20" spans="1:23" s="333" customFormat="1" ht="13.5" thickTop="1" x14ac:dyDescent="0.2">
      <c r="A20" s="9"/>
      <c r="B20" s="317" t="s">
        <v>183</v>
      </c>
      <c r="C20" s="452">
        <v>0</v>
      </c>
      <c r="D20" s="416">
        <f t="shared" ref="D20:V20" si="5">D17+D18+D19</f>
        <v>31798125.873037174</v>
      </c>
      <c r="E20" s="416">
        <f t="shared" si="5"/>
        <v>29613002.900471918</v>
      </c>
      <c r="F20" s="416">
        <f t="shared" si="5"/>
        <v>28043701.327441923</v>
      </c>
      <c r="G20" s="416">
        <f t="shared" si="5"/>
        <v>26967353.433527336</v>
      </c>
      <c r="H20" s="416">
        <f t="shared" si="5"/>
        <v>26742666.296744362</v>
      </c>
      <c r="I20" s="416">
        <f t="shared" si="5"/>
        <v>26164441.458638024</v>
      </c>
      <c r="J20" s="416">
        <f t="shared" si="5"/>
        <v>29731999.243240375</v>
      </c>
      <c r="K20" s="416">
        <f t="shared" si="5"/>
        <v>31339824.314289056</v>
      </c>
      <c r="L20" s="416">
        <f t="shared" si="5"/>
        <v>32072137.709229633</v>
      </c>
      <c r="M20" s="416">
        <f t="shared" si="5"/>
        <v>31545958.491119329</v>
      </c>
      <c r="N20" s="416">
        <f t="shared" si="5"/>
        <v>32028050.079153277</v>
      </c>
      <c r="O20" s="416">
        <f t="shared" si="5"/>
        <v>31972245.733693957</v>
      </c>
      <c r="P20" s="416">
        <f t="shared" si="5"/>
        <v>31963434.483392753</v>
      </c>
      <c r="Q20" s="416">
        <f t="shared" si="5"/>
        <v>33103354.516544282</v>
      </c>
      <c r="R20" s="416">
        <f t="shared" si="5"/>
        <v>36518272.967530906</v>
      </c>
      <c r="S20" s="416">
        <f t="shared" si="5"/>
        <v>35191811.818631731</v>
      </c>
      <c r="T20" s="416">
        <f t="shared" si="5"/>
        <v>36021074.084043726</v>
      </c>
      <c r="U20" s="416">
        <f t="shared" si="5"/>
        <v>40061056.413893759</v>
      </c>
      <c r="V20" s="416">
        <f t="shared" si="5"/>
        <v>42077057.988019876</v>
      </c>
    </row>
    <row r="21" spans="1:23" s="333" customFormat="1" x14ac:dyDescent="0.2">
      <c r="A21" s="9"/>
      <c r="B21" s="315" t="s">
        <v>37</v>
      </c>
      <c r="C21" s="449">
        <v>0</v>
      </c>
      <c r="D21" s="410">
        <f t="shared" ref="D21:V21" si="6">-D18</f>
        <v>1434872.2601740002</v>
      </c>
      <c r="E21" s="410">
        <f t="shared" si="6"/>
        <v>3155929.5261579999</v>
      </c>
      <c r="F21" s="410">
        <f t="shared" si="6"/>
        <v>4939391.063348501</v>
      </c>
      <c r="G21" s="410">
        <f t="shared" si="6"/>
        <v>5108167.5928593995</v>
      </c>
      <c r="H21" s="410">
        <f t="shared" si="6"/>
        <v>5062073.5215890007</v>
      </c>
      <c r="I21" s="410">
        <f t="shared" si="6"/>
        <v>4941076.9650851702</v>
      </c>
      <c r="J21" s="410">
        <f t="shared" si="6"/>
        <v>3557780.8992803944</v>
      </c>
      <c r="K21" s="410">
        <f t="shared" si="6"/>
        <v>1786747.972144224</v>
      </c>
      <c r="L21" s="410">
        <f t="shared" si="6"/>
        <v>1294028.9634054825</v>
      </c>
      <c r="M21" s="410">
        <f t="shared" si="6"/>
        <v>1310279.0760656982</v>
      </c>
      <c r="N21" s="410">
        <f t="shared" si="6"/>
        <v>1190373.2136408901</v>
      </c>
      <c r="O21" s="410">
        <f t="shared" si="6"/>
        <v>1071222.9967528018</v>
      </c>
      <c r="P21" s="410">
        <f t="shared" si="6"/>
        <v>1099507.6173198787</v>
      </c>
      <c r="Q21" s="410">
        <f t="shared" si="6"/>
        <v>1128510.8565039681</v>
      </c>
      <c r="R21" s="410">
        <f t="shared" si="6"/>
        <v>1048759.1128635802</v>
      </c>
      <c r="S21" s="410">
        <f t="shared" si="6"/>
        <v>969829.54691398051</v>
      </c>
      <c r="T21" s="410">
        <f t="shared" si="6"/>
        <v>1001607.103985893</v>
      </c>
      <c r="U21" s="410">
        <f t="shared" si="6"/>
        <v>1034307.5377699627</v>
      </c>
      <c r="V21" s="410">
        <f t="shared" si="6"/>
        <v>1034621.4345675546</v>
      </c>
    </row>
    <row r="22" spans="1:23" s="333" customFormat="1" x14ac:dyDescent="0.2">
      <c r="A22" s="9"/>
      <c r="B22" s="315" t="s">
        <v>39</v>
      </c>
      <c r="C22" s="449">
        <v>0</v>
      </c>
      <c r="D22" s="410">
        <f t="shared" ref="D22:V22" si="7">-VLOOKUP($B$1,CapAds,D6-1997)</f>
        <v>-1242599.8999999999</v>
      </c>
      <c r="E22" s="410">
        <f t="shared" si="7"/>
        <v>-239999.94999999925</v>
      </c>
      <c r="F22" s="410">
        <f t="shared" si="7"/>
        <v>-399999.96</v>
      </c>
      <c r="G22" s="410">
        <f t="shared" si="7"/>
        <v>-239999.88</v>
      </c>
      <c r="H22" s="410">
        <f t="shared" si="7"/>
        <v>-474999.93799999991</v>
      </c>
      <c r="I22" s="410">
        <f t="shared" si="7"/>
        <v>-489249.93613999989</v>
      </c>
      <c r="J22" s="410">
        <f t="shared" si="7"/>
        <v>-503927.43422419991</v>
      </c>
      <c r="K22" s="410">
        <f t="shared" si="7"/>
        <v>-519045.25725092593</v>
      </c>
      <c r="L22" s="410">
        <f t="shared" si="7"/>
        <v>-534616.61496845377</v>
      </c>
      <c r="M22" s="410">
        <f t="shared" si="7"/>
        <v>-550655.11341750738</v>
      </c>
      <c r="N22" s="410">
        <f t="shared" si="7"/>
        <v>-567174.76682003262</v>
      </c>
      <c r="O22" s="410">
        <f t="shared" si="7"/>
        <v>-584190.0098246336</v>
      </c>
      <c r="P22" s="410">
        <f t="shared" si="7"/>
        <v>-601715.71011937258</v>
      </c>
      <c r="Q22" s="410">
        <f t="shared" si="7"/>
        <v>-619767.18142295373</v>
      </c>
      <c r="R22" s="410">
        <f t="shared" si="7"/>
        <v>-638360.19686564233</v>
      </c>
      <c r="S22" s="410">
        <f t="shared" si="7"/>
        <v>-657511.00277161156</v>
      </c>
      <c r="T22" s="410">
        <f t="shared" si="7"/>
        <v>-677236.33285475988</v>
      </c>
      <c r="U22" s="410">
        <f t="shared" si="7"/>
        <v>-697553.42284040269</v>
      </c>
      <c r="V22" s="410">
        <f t="shared" si="7"/>
        <v>-718480.02552561474</v>
      </c>
    </row>
    <row r="23" spans="1:23" s="333" customFormat="1" ht="13.5" thickBot="1" x14ac:dyDescent="0.25">
      <c r="A23" s="9"/>
      <c r="B23" s="316" t="s">
        <v>40</v>
      </c>
      <c r="C23" s="450">
        <v>0</v>
      </c>
      <c r="D23" s="412">
        <f t="shared" ref="D23:V23" si="8">-VLOOKUP($B$1,ECapAds,D6-1997)</f>
        <v>-1471963.2</v>
      </c>
      <c r="E23" s="412">
        <f t="shared" si="8"/>
        <v>-21211947.960000001</v>
      </c>
      <c r="F23" s="412">
        <f t="shared" si="8"/>
        <v>-2835914.52</v>
      </c>
      <c r="G23" s="412">
        <f t="shared" si="8"/>
        <v>0</v>
      </c>
      <c r="H23" s="412">
        <f t="shared" si="8"/>
        <v>0</v>
      </c>
      <c r="I23" s="412">
        <f t="shared" si="8"/>
        <v>0</v>
      </c>
      <c r="J23" s="412">
        <f t="shared" si="8"/>
        <v>0</v>
      </c>
      <c r="K23" s="412">
        <f t="shared" si="8"/>
        <v>0</v>
      </c>
      <c r="L23" s="412">
        <f t="shared" si="8"/>
        <v>0</v>
      </c>
      <c r="M23" s="412">
        <f t="shared" si="8"/>
        <v>0</v>
      </c>
      <c r="N23" s="412">
        <f t="shared" si="8"/>
        <v>0</v>
      </c>
      <c r="O23" s="412">
        <f t="shared" si="8"/>
        <v>0</v>
      </c>
      <c r="P23" s="412">
        <f t="shared" si="8"/>
        <v>0</v>
      </c>
      <c r="Q23" s="412">
        <f t="shared" si="8"/>
        <v>0</v>
      </c>
      <c r="R23" s="412">
        <f t="shared" si="8"/>
        <v>0</v>
      </c>
      <c r="S23" s="412">
        <f t="shared" si="8"/>
        <v>0</v>
      </c>
      <c r="T23" s="412">
        <f t="shared" si="8"/>
        <v>0</v>
      </c>
      <c r="U23" s="412">
        <f t="shared" si="8"/>
        <v>0</v>
      </c>
      <c r="V23" s="412">
        <f t="shared" si="8"/>
        <v>0</v>
      </c>
    </row>
    <row r="24" spans="1:23" s="333" customFormat="1" ht="13.5" thickTop="1" x14ac:dyDescent="0.2">
      <c r="A24" s="9"/>
      <c r="B24" s="315"/>
      <c r="C24" s="453"/>
    </row>
    <row r="25" spans="1:23" s="333" customFormat="1" x14ac:dyDescent="0.2">
      <c r="A25" s="9"/>
      <c r="B25" s="317" t="s">
        <v>234</v>
      </c>
      <c r="C25" s="452">
        <f>SUM(C20:C23)</f>
        <v>0</v>
      </c>
      <c r="D25" s="416">
        <f t="shared" ref="D25:V25" si="9">SUM(D20:D23)</f>
        <v>30518435.033211175</v>
      </c>
      <c r="E25" s="416">
        <f t="shared" si="9"/>
        <v>11316984.516629919</v>
      </c>
      <c r="F25" s="416">
        <f t="shared" si="9"/>
        <v>29747177.910790425</v>
      </c>
      <c r="G25" s="416">
        <f t="shared" si="9"/>
        <v>31835521.146386735</v>
      </c>
      <c r="H25" s="416">
        <f t="shared" si="9"/>
        <v>31329739.88033336</v>
      </c>
      <c r="I25" s="416">
        <f t="shared" si="9"/>
        <v>30616268.487583194</v>
      </c>
      <c r="J25" s="416">
        <f t="shared" si="9"/>
        <v>32785852.708296571</v>
      </c>
      <c r="K25" s="416">
        <f t="shared" si="9"/>
        <v>32607527.029182352</v>
      </c>
      <c r="L25" s="416">
        <f t="shared" si="9"/>
        <v>32831550.057666663</v>
      </c>
      <c r="M25" s="416">
        <f t="shared" si="9"/>
        <v>32305582.453767519</v>
      </c>
      <c r="N25" s="416">
        <f t="shared" si="9"/>
        <v>32651248.525974136</v>
      </c>
      <c r="O25" s="416">
        <f t="shared" si="9"/>
        <v>32459278.720622126</v>
      </c>
      <c r="P25" s="416">
        <f t="shared" si="9"/>
        <v>32461226.390593257</v>
      </c>
      <c r="Q25" s="416">
        <f t="shared" si="9"/>
        <v>33612098.191625297</v>
      </c>
      <c r="R25" s="416">
        <f t="shared" si="9"/>
        <v>36928671.883528844</v>
      </c>
      <c r="S25" s="416">
        <f t="shared" si="9"/>
        <v>35504130.362774104</v>
      </c>
      <c r="T25" s="416">
        <f t="shared" si="9"/>
        <v>36345444.855174854</v>
      </c>
      <c r="U25" s="416">
        <f t="shared" si="9"/>
        <v>40397810.528823324</v>
      </c>
      <c r="V25" s="416">
        <f t="shared" si="9"/>
        <v>42393199.397061817</v>
      </c>
      <c r="W25" s="414">
        <f>(AVERAGE(M25:V25)*(1/$B$3-1/($B$3*(1+$B$3)^($B$4-20))))</f>
        <v>218168195.52176437</v>
      </c>
    </row>
    <row r="26" spans="1:23" s="9" customFormat="1" x14ac:dyDescent="0.2">
      <c r="B26" s="292"/>
    </row>
    <row r="27" spans="1:23" s="9" customFormat="1" x14ac:dyDescent="0.2">
      <c r="A27" s="308" t="s">
        <v>219</v>
      </c>
      <c r="B27" s="306" t="s">
        <v>170</v>
      </c>
      <c r="C27" s="439">
        <f>NPV($B$3,D25:H25)*(1+Assumptions!$L$16)^0.5</f>
        <v>105556107.43194699</v>
      </c>
      <c r="E27" s="137" t="s">
        <v>220</v>
      </c>
      <c r="F27" s="319" t="str">
        <f t="shared" ref="F27:G31" si="10">B65</f>
        <v>NPV ('00-'05)</v>
      </c>
      <c r="G27" s="443">
        <f t="shared" si="10"/>
        <v>105556107.43194699</v>
      </c>
    </row>
    <row r="28" spans="1:23" s="9" customFormat="1" x14ac:dyDescent="0.2">
      <c r="B28" s="306" t="s">
        <v>180</v>
      </c>
      <c r="C28" s="439">
        <f>(NPV($B$3,I25:V25)/(1+$B$3)^5)*(1+Assumptions!$L$16)^0.5</f>
        <v>161194638.9784508</v>
      </c>
      <c r="E28" s="321"/>
      <c r="F28" s="319" t="str">
        <f t="shared" si="10"/>
        <v>NPV ('06-'19)</v>
      </c>
      <c r="G28" s="443">
        <f t="shared" si="10"/>
        <v>161194638.9784508</v>
      </c>
    </row>
    <row r="29" spans="1:23" s="9" customFormat="1" ht="13.5" thickBot="1" x14ac:dyDescent="0.25">
      <c r="B29" s="322" t="s">
        <v>137</v>
      </c>
      <c r="C29" s="440">
        <f>(W25/(1+$B$3)^(20))*(1+Assumptions!$L$16)^0.5</f>
        <v>34012149.472476713</v>
      </c>
      <c r="D29" s="323"/>
      <c r="E29" s="321"/>
      <c r="F29" s="319" t="str">
        <f t="shared" si="10"/>
        <v>NPV (TV)</v>
      </c>
      <c r="G29" s="443">
        <f t="shared" si="10"/>
        <v>34012149.472476713</v>
      </c>
    </row>
    <row r="30" spans="1:23" s="9" customFormat="1" ht="14.25" thickTop="1" thickBot="1" x14ac:dyDescent="0.25">
      <c r="B30" s="306" t="s">
        <v>28</v>
      </c>
      <c r="C30" s="438">
        <f>NPV($B$3,D25:W25)*(1+Assumptions!$L$16)^0.5</f>
        <v>300762895.88287449</v>
      </c>
      <c r="D30" s="305"/>
      <c r="E30" s="321"/>
      <c r="F30" s="324" t="str">
        <f t="shared" si="10"/>
        <v xml:space="preserve">Plus Leverage </v>
      </c>
      <c r="G30" s="325">
        <f t="shared" si="10"/>
        <v>0</v>
      </c>
    </row>
    <row r="31" spans="1:23" s="9" customFormat="1" ht="13.5" thickTop="1" x14ac:dyDescent="0.2">
      <c r="B31" s="292"/>
      <c r="C31" s="326"/>
      <c r="E31" s="327"/>
      <c r="F31" s="319" t="str">
        <f t="shared" si="10"/>
        <v>NPV</v>
      </c>
      <c r="G31" s="368">
        <f t="shared" si="10"/>
        <v>300762895.88287449</v>
      </c>
    </row>
    <row r="32" spans="1:23" s="9" customFormat="1" x14ac:dyDescent="0.2">
      <c r="B32" s="292"/>
      <c r="C32" s="326"/>
      <c r="E32" s="327"/>
      <c r="F32" s="319"/>
      <c r="G32" s="328"/>
    </row>
    <row r="33" spans="1:23" s="9" customFormat="1" x14ac:dyDescent="0.2">
      <c r="B33" s="292"/>
      <c r="C33" s="326"/>
      <c r="E33" s="327"/>
      <c r="F33" s="319"/>
      <c r="G33" s="328"/>
    </row>
    <row r="34" spans="1:23" s="9" customFormat="1" x14ac:dyDescent="0.2">
      <c r="B34" s="329" t="s">
        <v>223</v>
      </c>
      <c r="C34" s="326"/>
      <c r="E34" s="327"/>
      <c r="F34" s="319"/>
      <c r="G34" s="328"/>
    </row>
    <row r="35" spans="1:23" s="9" customFormat="1" x14ac:dyDescent="0.2">
      <c r="A35" s="330" t="s">
        <v>225</v>
      </c>
      <c r="B35" s="329" t="s">
        <v>224</v>
      </c>
      <c r="C35" s="331"/>
      <c r="D35" s="332">
        <f>D20</f>
        <v>31798125.873037174</v>
      </c>
      <c r="E35" s="332">
        <f t="shared" ref="E35:V35" si="11">E20</f>
        <v>29613002.900471918</v>
      </c>
      <c r="F35" s="332">
        <f t="shared" si="11"/>
        <v>28043701.327441923</v>
      </c>
      <c r="G35" s="332">
        <f t="shared" si="11"/>
        <v>26967353.433527336</v>
      </c>
      <c r="H35" s="332">
        <f t="shared" si="11"/>
        <v>26742666.296744362</v>
      </c>
      <c r="I35" s="332">
        <f t="shared" si="11"/>
        <v>26164441.458638024</v>
      </c>
      <c r="J35" s="332">
        <f t="shared" si="11"/>
        <v>29731999.243240375</v>
      </c>
      <c r="K35" s="332">
        <f t="shared" si="11"/>
        <v>31339824.314289056</v>
      </c>
      <c r="L35" s="332">
        <f t="shared" si="11"/>
        <v>32072137.709229633</v>
      </c>
      <c r="M35" s="332">
        <f t="shared" si="11"/>
        <v>31545958.491119329</v>
      </c>
      <c r="N35" s="332">
        <f t="shared" si="11"/>
        <v>32028050.079153277</v>
      </c>
      <c r="O35" s="332">
        <f t="shared" si="11"/>
        <v>31972245.733693957</v>
      </c>
      <c r="P35" s="332">
        <f t="shared" si="11"/>
        <v>31963434.483392753</v>
      </c>
      <c r="Q35" s="332">
        <f t="shared" si="11"/>
        <v>33103354.516544282</v>
      </c>
      <c r="R35" s="332">
        <f t="shared" si="11"/>
        <v>36518272.967530906</v>
      </c>
      <c r="S35" s="332">
        <f t="shared" si="11"/>
        <v>35191811.818631731</v>
      </c>
      <c r="T35" s="332">
        <f t="shared" si="11"/>
        <v>36021074.084043726</v>
      </c>
      <c r="U35" s="332">
        <f t="shared" si="11"/>
        <v>40061056.413893759</v>
      </c>
      <c r="V35" s="332">
        <f t="shared" si="11"/>
        <v>42077057.988019876</v>
      </c>
    </row>
    <row r="36" spans="1:23" s="9" customFormat="1" x14ac:dyDescent="0.2">
      <c r="B36" s="292" t="s">
        <v>226</v>
      </c>
      <c r="C36" s="326"/>
      <c r="D36" s="333">
        <f>-D19</f>
        <v>21198750.582024783</v>
      </c>
      <c r="E36" s="333">
        <f t="shared" ref="E36:V36" si="12">-E19</f>
        <v>19742001.933647946</v>
      </c>
      <c r="F36" s="333">
        <f t="shared" si="12"/>
        <v>18695800.884961285</v>
      </c>
      <c r="G36" s="333">
        <f t="shared" si="12"/>
        <v>17978235.622351557</v>
      </c>
      <c r="H36" s="333">
        <f t="shared" si="12"/>
        <v>17828444.197829574</v>
      </c>
      <c r="I36" s="333">
        <f t="shared" si="12"/>
        <v>17442960.972425353</v>
      </c>
      <c r="J36" s="333">
        <f t="shared" si="12"/>
        <v>19821332.828826915</v>
      </c>
      <c r="K36" s="333">
        <f t="shared" si="12"/>
        <v>20893216.20952604</v>
      </c>
      <c r="L36" s="333">
        <f t="shared" si="12"/>
        <v>21381425.139486425</v>
      </c>
      <c r="M36" s="333">
        <f t="shared" si="12"/>
        <v>21030638.994079556</v>
      </c>
      <c r="N36" s="333">
        <f t="shared" si="12"/>
        <v>21352033.386102185</v>
      </c>
      <c r="O36" s="333">
        <f t="shared" si="12"/>
        <v>21314830.489129305</v>
      </c>
      <c r="P36" s="333">
        <f t="shared" si="12"/>
        <v>21308956.32226184</v>
      </c>
      <c r="Q36" s="333">
        <f t="shared" si="12"/>
        <v>22068903.011029527</v>
      </c>
      <c r="R36" s="333">
        <f t="shared" si="12"/>
        <v>24345515.311687272</v>
      </c>
      <c r="S36" s="333">
        <f t="shared" si="12"/>
        <v>23461207.879087821</v>
      </c>
      <c r="T36" s="333">
        <f t="shared" si="12"/>
        <v>24014049.389362488</v>
      </c>
      <c r="U36" s="333">
        <f t="shared" si="12"/>
        <v>26707370.942595843</v>
      </c>
      <c r="V36" s="333">
        <f t="shared" si="12"/>
        <v>28051371.992013253</v>
      </c>
    </row>
    <row r="37" spans="1:23" s="9" customFormat="1" x14ac:dyDescent="0.2">
      <c r="B37" s="334" t="s">
        <v>227</v>
      </c>
      <c r="C37" s="335"/>
      <c r="D37" s="333">
        <f>D21</f>
        <v>1434872.2601740002</v>
      </c>
      <c r="E37" s="333">
        <f t="shared" ref="E37:V37" si="13">E21</f>
        <v>3155929.5261579999</v>
      </c>
      <c r="F37" s="333">
        <f t="shared" si="13"/>
        <v>4939391.063348501</v>
      </c>
      <c r="G37" s="333">
        <f t="shared" si="13"/>
        <v>5108167.5928593995</v>
      </c>
      <c r="H37" s="333">
        <f t="shared" si="13"/>
        <v>5062073.5215890007</v>
      </c>
      <c r="I37" s="333">
        <f t="shared" si="13"/>
        <v>4941076.9650851702</v>
      </c>
      <c r="J37" s="333">
        <f t="shared" si="13"/>
        <v>3557780.8992803944</v>
      </c>
      <c r="K37" s="333">
        <f t="shared" si="13"/>
        <v>1786747.972144224</v>
      </c>
      <c r="L37" s="333">
        <f t="shared" si="13"/>
        <v>1294028.9634054825</v>
      </c>
      <c r="M37" s="333">
        <f t="shared" si="13"/>
        <v>1310279.0760656982</v>
      </c>
      <c r="N37" s="333">
        <f t="shared" si="13"/>
        <v>1190373.2136408901</v>
      </c>
      <c r="O37" s="333">
        <f t="shared" si="13"/>
        <v>1071222.9967528018</v>
      </c>
      <c r="P37" s="333">
        <f t="shared" si="13"/>
        <v>1099507.6173198787</v>
      </c>
      <c r="Q37" s="333">
        <f t="shared" si="13"/>
        <v>1128510.8565039681</v>
      </c>
      <c r="R37" s="333">
        <f t="shared" si="13"/>
        <v>1048759.1128635802</v>
      </c>
      <c r="S37" s="333">
        <f t="shared" si="13"/>
        <v>969829.54691398051</v>
      </c>
      <c r="T37" s="333">
        <f t="shared" si="13"/>
        <v>1001607.103985893</v>
      </c>
      <c r="U37" s="333">
        <f t="shared" si="13"/>
        <v>1034307.5377699627</v>
      </c>
      <c r="V37" s="333">
        <f t="shared" si="13"/>
        <v>1034621.4345675546</v>
      </c>
    </row>
    <row r="38" spans="1:23" s="9" customFormat="1" ht="13.5" thickBot="1" x14ac:dyDescent="0.25">
      <c r="B38" s="336" t="s">
        <v>228</v>
      </c>
      <c r="C38" s="337"/>
      <c r="D38" s="338">
        <f>SUM(D35:D37)</f>
        <v>54431748.715235956</v>
      </c>
      <c r="E38" s="338">
        <f t="shared" ref="E38:V38" si="14">SUM(E35:E37)</f>
        <v>52510934.360277861</v>
      </c>
      <c r="F38" s="338">
        <f t="shared" si="14"/>
        <v>51678893.27575171</v>
      </c>
      <c r="G38" s="338">
        <f t="shared" si="14"/>
        <v>50053756.648738295</v>
      </c>
      <c r="H38" s="338">
        <f t="shared" si="14"/>
        <v>49633184.016162939</v>
      </c>
      <c r="I38" s="338">
        <f t="shared" si="14"/>
        <v>48548479.396148548</v>
      </c>
      <c r="J38" s="338">
        <f t="shared" si="14"/>
        <v>53111112.971347682</v>
      </c>
      <c r="K38" s="338">
        <f t="shared" si="14"/>
        <v>54019788.495959319</v>
      </c>
      <c r="L38" s="338">
        <f t="shared" si="14"/>
        <v>54747591.81212154</v>
      </c>
      <c r="M38" s="338">
        <f t="shared" si="14"/>
        <v>53886876.561264582</v>
      </c>
      <c r="N38" s="338">
        <f t="shared" si="14"/>
        <v>54570456.678896353</v>
      </c>
      <c r="O38" s="338">
        <f t="shared" si="14"/>
        <v>54358299.219576061</v>
      </c>
      <c r="P38" s="338">
        <f t="shared" si="14"/>
        <v>54371898.422974475</v>
      </c>
      <c r="Q38" s="338">
        <f t="shared" si="14"/>
        <v>56300768.38407778</v>
      </c>
      <c r="R38" s="338">
        <f t="shared" si="14"/>
        <v>61912547.39208176</v>
      </c>
      <c r="S38" s="338">
        <f t="shared" si="14"/>
        <v>59622849.244633533</v>
      </c>
      <c r="T38" s="338">
        <f t="shared" si="14"/>
        <v>61036730.577392101</v>
      </c>
      <c r="U38" s="338">
        <f t="shared" si="14"/>
        <v>67802734.894259557</v>
      </c>
      <c r="V38" s="338">
        <f t="shared" si="14"/>
        <v>71163051.414600685</v>
      </c>
    </row>
    <row r="39" spans="1:23" s="9" customFormat="1" ht="13.5" thickTop="1" x14ac:dyDescent="0.2">
      <c r="A39" s="330" t="s">
        <v>229</v>
      </c>
      <c r="B39" s="292" t="s">
        <v>230</v>
      </c>
      <c r="C39" s="326"/>
      <c r="D39" s="333">
        <f>-'Book Depr'!D114</f>
        <v>-2592003.1630730298</v>
      </c>
      <c r="E39" s="333">
        <f>-'Book Depr'!E114</f>
        <v>-3664600.5585730299</v>
      </c>
      <c r="F39" s="333">
        <f>-'Book Depr'!F114</f>
        <v>-3684600.5565730296</v>
      </c>
      <c r="G39" s="333">
        <f>-'Book Depr'!G114</f>
        <v>-3696600.5505730296</v>
      </c>
      <c r="H39" s="333">
        <f>-'Book Depr'!H114</f>
        <v>-3720350.5474730302</v>
      </c>
      <c r="I39" s="333">
        <f>-'Book Depr'!I114</f>
        <v>-3744813.0442800298</v>
      </c>
      <c r="J39" s="333">
        <f>-'Book Depr'!J114</f>
        <v>-3770009.4159912402</v>
      </c>
      <c r="K39" s="333">
        <f>-'Book Depr'!K114</f>
        <v>-3795961.6788537866</v>
      </c>
      <c r="L39" s="333">
        <f>-'Book Depr'!L114</f>
        <v>-3822692.5096022086</v>
      </c>
      <c r="M39" s="333">
        <f>-'Book Depr'!M114</f>
        <v>-3850225.2652730839</v>
      </c>
      <c r="N39" s="333">
        <f>-'Book Depr'!N114</f>
        <v>-3878584.0036140857</v>
      </c>
      <c r="O39" s="333">
        <f>-'Book Depr'!O114</f>
        <v>-3907793.5041053174</v>
      </c>
      <c r="P39" s="333">
        <f>-'Book Depr'!P114</f>
        <v>-3935067.559611286</v>
      </c>
      <c r="Q39" s="333">
        <f>-'Book Depr'!Q114</f>
        <v>-1979920.4086824309</v>
      </c>
      <c r="R39" s="333">
        <f>-'Book Depr'!R114</f>
        <v>-1644004.4585257159</v>
      </c>
      <c r="S39" s="333">
        <f>-'Book Depr'!S114</f>
        <v>-1676880.0086642965</v>
      </c>
      <c r="T39" s="333">
        <f>-'Book Depr'!T114</f>
        <v>-1710741.8253070344</v>
      </c>
      <c r="U39" s="333">
        <f>-'Book Depr'!U114</f>
        <v>-1745619.4964490547</v>
      </c>
      <c r="V39" s="333">
        <f>-'Book Depr'!V114</f>
        <v>-1781543.4977253354</v>
      </c>
    </row>
    <row r="40" spans="1:23" s="9" customFormat="1" x14ac:dyDescent="0.2">
      <c r="B40" s="292" t="s">
        <v>231</v>
      </c>
      <c r="C40" s="326"/>
      <c r="D40" s="333">
        <f>-D53</f>
        <v>0</v>
      </c>
      <c r="E40" s="333">
        <f t="shared" ref="E40:V40" si="15">-E53</f>
        <v>0</v>
      </c>
      <c r="F40" s="333">
        <f t="shared" si="15"/>
        <v>0</v>
      </c>
      <c r="G40" s="333">
        <f t="shared" si="15"/>
        <v>0</v>
      </c>
      <c r="H40" s="333">
        <f t="shared" si="15"/>
        <v>0</v>
      </c>
      <c r="I40" s="333">
        <f t="shared" si="15"/>
        <v>0</v>
      </c>
      <c r="J40" s="333">
        <f t="shared" si="15"/>
        <v>0</v>
      </c>
      <c r="K40" s="333">
        <f t="shared" si="15"/>
        <v>0</v>
      </c>
      <c r="L40" s="333">
        <f t="shared" si="15"/>
        <v>0</v>
      </c>
      <c r="M40" s="333">
        <f t="shared" si="15"/>
        <v>0</v>
      </c>
      <c r="N40" s="333">
        <f t="shared" si="15"/>
        <v>0</v>
      </c>
      <c r="O40" s="333">
        <f t="shared" si="15"/>
        <v>0</v>
      </c>
      <c r="P40" s="333">
        <f t="shared" si="15"/>
        <v>0</v>
      </c>
      <c r="Q40" s="333">
        <f t="shared" si="15"/>
        <v>0</v>
      </c>
      <c r="R40" s="333">
        <f t="shared" si="15"/>
        <v>0</v>
      </c>
      <c r="S40" s="333">
        <f t="shared" si="15"/>
        <v>0</v>
      </c>
      <c r="T40" s="333">
        <f t="shared" si="15"/>
        <v>0</v>
      </c>
      <c r="U40" s="333">
        <f t="shared" si="15"/>
        <v>0</v>
      </c>
      <c r="V40" s="333">
        <f t="shared" si="15"/>
        <v>0</v>
      </c>
    </row>
    <row r="41" spans="1:23" s="9" customFormat="1" x14ac:dyDescent="0.2">
      <c r="B41" s="329" t="s">
        <v>232</v>
      </c>
      <c r="C41" s="331"/>
      <c r="D41" s="332">
        <f>SUM(D38:D40)</f>
        <v>51839745.552162923</v>
      </c>
      <c r="E41" s="332">
        <f t="shared" ref="E41:V41" si="16">SUM(E38:E40)</f>
        <v>48846333.801704831</v>
      </c>
      <c r="F41" s="332">
        <f t="shared" si="16"/>
        <v>47994292.719178677</v>
      </c>
      <c r="G41" s="332">
        <f t="shared" si="16"/>
        <v>46357156.098165266</v>
      </c>
      <c r="H41" s="332">
        <f t="shared" si="16"/>
        <v>45912833.468689911</v>
      </c>
      <c r="I41" s="332">
        <f t="shared" si="16"/>
        <v>44803666.351868518</v>
      </c>
      <c r="J41" s="332">
        <f t="shared" si="16"/>
        <v>49341103.555356443</v>
      </c>
      <c r="K41" s="332">
        <f t="shared" si="16"/>
        <v>50223826.817105532</v>
      </c>
      <c r="L41" s="332">
        <f t="shared" si="16"/>
        <v>50924899.302519329</v>
      </c>
      <c r="M41" s="332">
        <f t="shared" si="16"/>
        <v>50036651.295991495</v>
      </c>
      <c r="N41" s="332">
        <f t="shared" si="16"/>
        <v>50691872.67528227</v>
      </c>
      <c r="O41" s="332">
        <f t="shared" si="16"/>
        <v>50450505.715470746</v>
      </c>
      <c r="P41" s="332">
        <f t="shared" si="16"/>
        <v>50436830.863363191</v>
      </c>
      <c r="Q41" s="332">
        <f t="shared" si="16"/>
        <v>54320847.975395352</v>
      </c>
      <c r="R41" s="332">
        <f t="shared" si="16"/>
        <v>60268542.933556043</v>
      </c>
      <c r="S41" s="332">
        <f t="shared" si="16"/>
        <v>57945969.235969238</v>
      </c>
      <c r="T41" s="332">
        <f t="shared" si="16"/>
        <v>59325988.752085067</v>
      </c>
      <c r="U41" s="332">
        <f t="shared" si="16"/>
        <v>66057115.397810504</v>
      </c>
      <c r="V41" s="332">
        <f t="shared" si="16"/>
        <v>69381507.916875347</v>
      </c>
    </row>
    <row r="42" spans="1:23" s="9" customFormat="1" ht="13.5" thickBot="1" x14ac:dyDescent="0.25">
      <c r="B42" s="339" t="s">
        <v>238</v>
      </c>
      <c r="C42" s="340"/>
      <c r="D42" s="341">
        <f>-D41*Assumptions!$L$15</f>
        <v>-20735898.220865171</v>
      </c>
      <c r="E42" s="341">
        <f>-E41*Assumptions!$L$15</f>
        <v>-19538533.520681933</v>
      </c>
      <c r="F42" s="341">
        <f>-F41*Assumptions!$L$15</f>
        <v>-19197717.08767147</v>
      </c>
      <c r="G42" s="341">
        <f>-G41*Assumptions!$L$15</f>
        <v>-18542862.439266108</v>
      </c>
      <c r="H42" s="341">
        <f>-H41*Assumptions!$L$15</f>
        <v>-18365133.387475964</v>
      </c>
      <c r="I42" s="341">
        <f>-I41*Assumptions!$L$15</f>
        <v>-17921466.540747408</v>
      </c>
      <c r="J42" s="341">
        <f>-J41*Assumptions!$L$15</f>
        <v>-19736441.422142576</v>
      </c>
      <c r="K42" s="341">
        <f>-K41*Assumptions!$L$15</f>
        <v>-20089530.726842213</v>
      </c>
      <c r="L42" s="341">
        <f>-L41*Assumptions!$L$15</f>
        <v>-20369959.721007735</v>
      </c>
      <c r="M42" s="341">
        <f>-M41*Assumptions!$L$15</f>
        <v>-20014660.518396597</v>
      </c>
      <c r="N42" s="341">
        <f>-N41*Assumptions!$L$15</f>
        <v>-20276749.07011291</v>
      </c>
      <c r="O42" s="341">
        <f>-O41*Assumptions!$L$15</f>
        <v>-20180202.286188301</v>
      </c>
      <c r="P42" s="341">
        <f>-P41*Assumptions!$L$15</f>
        <v>-20174732.345345277</v>
      </c>
      <c r="Q42" s="341">
        <f>-Q41*Assumptions!$L$15</f>
        <v>-21728339.190158144</v>
      </c>
      <c r="R42" s="341">
        <f>-R41*Assumptions!$L$15</f>
        <v>-24107417.173422419</v>
      </c>
      <c r="S42" s="341">
        <f>-S41*Assumptions!$L$15</f>
        <v>-23178387.694387697</v>
      </c>
      <c r="T42" s="341">
        <f>-T41*Assumptions!$L$15</f>
        <v>-23730395.500834029</v>
      </c>
      <c r="U42" s="341">
        <f>-U41*Assumptions!$L$15</f>
        <v>-26422846.159124203</v>
      </c>
      <c r="V42" s="341">
        <f>-V41*Assumptions!$L$15</f>
        <v>-27752603.16675014</v>
      </c>
    </row>
    <row r="43" spans="1:23" s="9" customFormat="1" ht="13.5" thickTop="1" x14ac:dyDescent="0.2">
      <c r="B43" s="329" t="s">
        <v>233</v>
      </c>
      <c r="C43" s="331"/>
      <c r="D43" s="332">
        <f>SUM(D41:D42)</f>
        <v>31103847.331297752</v>
      </c>
      <c r="E43" s="332">
        <f t="shared" ref="E43:V43" si="17">SUM(E41:E42)</f>
        <v>29307800.281022899</v>
      </c>
      <c r="F43" s="332">
        <f t="shared" si="17"/>
        <v>28796575.631507207</v>
      </c>
      <c r="G43" s="332">
        <f t="shared" si="17"/>
        <v>27814293.658899158</v>
      </c>
      <c r="H43" s="332">
        <f t="shared" si="17"/>
        <v>27547700.081213947</v>
      </c>
      <c r="I43" s="332">
        <f t="shared" si="17"/>
        <v>26882199.81112111</v>
      </c>
      <c r="J43" s="332">
        <f t="shared" si="17"/>
        <v>29604662.133213867</v>
      </c>
      <c r="K43" s="332">
        <f t="shared" si="17"/>
        <v>30134296.090263318</v>
      </c>
      <c r="L43" s="332">
        <f t="shared" si="17"/>
        <v>30554939.581511594</v>
      </c>
      <c r="M43" s="332">
        <f t="shared" si="17"/>
        <v>30021990.777594898</v>
      </c>
      <c r="N43" s="332">
        <f t="shared" si="17"/>
        <v>30415123.60516936</v>
      </c>
      <c r="O43" s="332">
        <f t="shared" si="17"/>
        <v>30270303.429282445</v>
      </c>
      <c r="P43" s="332">
        <f t="shared" si="17"/>
        <v>30262098.518017914</v>
      </c>
      <c r="Q43" s="332">
        <f t="shared" si="17"/>
        <v>32592508.785237208</v>
      </c>
      <c r="R43" s="332">
        <f t="shared" si="17"/>
        <v>36161125.760133624</v>
      </c>
      <c r="S43" s="332">
        <f t="shared" si="17"/>
        <v>34767581.541581541</v>
      </c>
      <c r="T43" s="332">
        <f t="shared" si="17"/>
        <v>35595593.251251042</v>
      </c>
      <c r="U43" s="332">
        <f t="shared" si="17"/>
        <v>39634269.238686301</v>
      </c>
      <c r="V43" s="332">
        <f t="shared" si="17"/>
        <v>41628904.750125207</v>
      </c>
    </row>
    <row r="44" spans="1:23" s="9" customFormat="1" x14ac:dyDescent="0.2">
      <c r="C44" s="326"/>
      <c r="E44" s="327"/>
      <c r="F44" s="319"/>
      <c r="G44" s="328"/>
    </row>
    <row r="45" spans="1:23" s="9" customFormat="1" ht="15.75" x14ac:dyDescent="0.25">
      <c r="A45" s="342" t="s">
        <v>206</v>
      </c>
      <c r="B45" s="343"/>
    </row>
    <row r="46" spans="1:23" s="9" customFormat="1" x14ac:dyDescent="0.2">
      <c r="A46" s="290" t="s">
        <v>191</v>
      </c>
      <c r="B46" s="309"/>
      <c r="C46" s="344">
        <f>Assumptions!$L$17</f>
        <v>0</v>
      </c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</row>
    <row r="47" spans="1:23" s="9" customFormat="1" x14ac:dyDescent="0.2">
      <c r="A47" s="290" t="s">
        <v>192</v>
      </c>
      <c r="B47" s="309"/>
      <c r="C47" s="345">
        <f>+C30*C46</f>
        <v>0</v>
      </c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</row>
    <row r="48" spans="1:23" s="9" customFormat="1" x14ac:dyDescent="0.2">
      <c r="A48" s="290" t="s">
        <v>202</v>
      </c>
      <c r="B48" s="309"/>
      <c r="C48" s="290">
        <f>Assumptions!$L$18</f>
        <v>15</v>
      </c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</row>
    <row r="49" spans="1:23" s="9" customFormat="1" x14ac:dyDescent="0.2">
      <c r="A49" s="290" t="s">
        <v>193</v>
      </c>
      <c r="B49" s="309"/>
      <c r="C49" s="345">
        <f>C47/C48</f>
        <v>0</v>
      </c>
      <c r="D49" s="283"/>
      <c r="E49" s="283"/>
      <c r="F49" s="283"/>
      <c r="G49" s="2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</row>
    <row r="50" spans="1:23" s="9" customFormat="1" x14ac:dyDescent="0.2">
      <c r="A50" s="290" t="s">
        <v>194</v>
      </c>
      <c r="B50" s="309"/>
      <c r="C50" s="346">
        <f>Assumptions!L19</f>
        <v>8.7499999999999994E-2</v>
      </c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</row>
    <row r="51" spans="1:23" s="9" customFormat="1" x14ac:dyDescent="0.2">
      <c r="A51" s="290"/>
      <c r="B51" s="309"/>
      <c r="C51" s="283"/>
      <c r="D51" s="312">
        <f t="shared" ref="D51:W51" si="18">D6</f>
        <v>2001</v>
      </c>
      <c r="E51" s="312">
        <f t="shared" si="18"/>
        <v>2002</v>
      </c>
      <c r="F51" s="312">
        <f t="shared" si="18"/>
        <v>2003</v>
      </c>
      <c r="G51" s="312">
        <f t="shared" si="18"/>
        <v>2004</v>
      </c>
      <c r="H51" s="312">
        <f t="shared" si="18"/>
        <v>2005</v>
      </c>
      <c r="I51" s="312">
        <f t="shared" si="18"/>
        <v>2006</v>
      </c>
      <c r="J51" s="312">
        <f t="shared" si="18"/>
        <v>2007</v>
      </c>
      <c r="K51" s="312">
        <f t="shared" si="18"/>
        <v>2008</v>
      </c>
      <c r="L51" s="312">
        <f t="shared" si="18"/>
        <v>2009</v>
      </c>
      <c r="M51" s="312">
        <f t="shared" si="18"/>
        <v>2010</v>
      </c>
      <c r="N51" s="312">
        <f t="shared" si="18"/>
        <v>2011</v>
      </c>
      <c r="O51" s="312">
        <f t="shared" si="18"/>
        <v>2012</v>
      </c>
      <c r="P51" s="312">
        <f t="shared" si="18"/>
        <v>2013</v>
      </c>
      <c r="Q51" s="312">
        <f t="shared" si="18"/>
        <v>2014</v>
      </c>
      <c r="R51" s="312">
        <f t="shared" si="18"/>
        <v>2015</v>
      </c>
      <c r="S51" s="312">
        <f t="shared" si="18"/>
        <v>2016</v>
      </c>
      <c r="T51" s="312">
        <f t="shared" si="18"/>
        <v>2017</v>
      </c>
      <c r="U51" s="312">
        <f t="shared" si="18"/>
        <v>2018</v>
      </c>
      <c r="V51" s="312">
        <f t="shared" si="18"/>
        <v>2019</v>
      </c>
      <c r="W51" s="312" t="str">
        <f t="shared" si="18"/>
        <v>TV</v>
      </c>
    </row>
    <row r="52" spans="1:23" s="9" customFormat="1" x14ac:dyDescent="0.2">
      <c r="A52" s="290" t="s">
        <v>195</v>
      </c>
      <c r="B52" s="309"/>
      <c r="C52" s="283"/>
      <c r="D52" s="347">
        <f>+C47</f>
        <v>0</v>
      </c>
      <c r="E52" s="347">
        <f t="shared" ref="E52:R52" si="19">+D56</f>
        <v>0</v>
      </c>
      <c r="F52" s="347">
        <f t="shared" si="19"/>
        <v>0</v>
      </c>
      <c r="G52" s="347">
        <f t="shared" si="19"/>
        <v>0</v>
      </c>
      <c r="H52" s="347">
        <f t="shared" si="19"/>
        <v>0</v>
      </c>
      <c r="I52" s="347">
        <f t="shared" si="19"/>
        <v>0</v>
      </c>
      <c r="J52" s="347">
        <f t="shared" si="19"/>
        <v>0</v>
      </c>
      <c r="K52" s="347">
        <f t="shared" si="19"/>
        <v>0</v>
      </c>
      <c r="L52" s="347">
        <f t="shared" si="19"/>
        <v>0</v>
      </c>
      <c r="M52" s="347">
        <f t="shared" si="19"/>
        <v>0</v>
      </c>
      <c r="N52" s="347">
        <f t="shared" si="19"/>
        <v>0</v>
      </c>
      <c r="O52" s="347">
        <f t="shared" si="19"/>
        <v>0</v>
      </c>
      <c r="P52" s="347">
        <f t="shared" si="19"/>
        <v>0</v>
      </c>
      <c r="Q52" s="347">
        <f t="shared" si="19"/>
        <v>0</v>
      </c>
      <c r="R52" s="347">
        <f t="shared" si="19"/>
        <v>0</v>
      </c>
      <c r="S52" s="347">
        <f>+R56</f>
        <v>0</v>
      </c>
      <c r="T52" s="347">
        <f>+S56</f>
        <v>0</v>
      </c>
      <c r="U52" s="347">
        <f>+T56</f>
        <v>0</v>
      </c>
      <c r="V52" s="347">
        <f>+U56</f>
        <v>0</v>
      </c>
      <c r="W52" s="347">
        <f>+V56</f>
        <v>0</v>
      </c>
    </row>
    <row r="53" spans="1:23" s="9" customFormat="1" x14ac:dyDescent="0.2">
      <c r="A53" s="290" t="s">
        <v>196</v>
      </c>
      <c r="B53" s="309"/>
      <c r="C53" s="283"/>
      <c r="D53" s="347">
        <f t="shared" ref="D53:W53" si="20">+D52*$C$50</f>
        <v>0</v>
      </c>
      <c r="E53" s="347">
        <f t="shared" si="20"/>
        <v>0</v>
      </c>
      <c r="F53" s="347">
        <f t="shared" si="20"/>
        <v>0</v>
      </c>
      <c r="G53" s="347">
        <f t="shared" si="20"/>
        <v>0</v>
      </c>
      <c r="H53" s="347">
        <f t="shared" si="20"/>
        <v>0</v>
      </c>
      <c r="I53" s="347">
        <f t="shared" si="20"/>
        <v>0</v>
      </c>
      <c r="J53" s="347">
        <f t="shared" si="20"/>
        <v>0</v>
      </c>
      <c r="K53" s="347">
        <f t="shared" si="20"/>
        <v>0</v>
      </c>
      <c r="L53" s="347">
        <f t="shared" si="20"/>
        <v>0</v>
      </c>
      <c r="M53" s="347">
        <f t="shared" si="20"/>
        <v>0</v>
      </c>
      <c r="N53" s="347">
        <f t="shared" si="20"/>
        <v>0</v>
      </c>
      <c r="O53" s="347">
        <f t="shared" si="20"/>
        <v>0</v>
      </c>
      <c r="P53" s="347">
        <f t="shared" si="20"/>
        <v>0</v>
      </c>
      <c r="Q53" s="347">
        <f t="shared" si="20"/>
        <v>0</v>
      </c>
      <c r="R53" s="347">
        <f t="shared" si="20"/>
        <v>0</v>
      </c>
      <c r="S53" s="347">
        <f t="shared" si="20"/>
        <v>0</v>
      </c>
      <c r="T53" s="347">
        <f t="shared" si="20"/>
        <v>0</v>
      </c>
      <c r="U53" s="347">
        <f t="shared" si="20"/>
        <v>0</v>
      </c>
      <c r="V53" s="347">
        <f t="shared" si="20"/>
        <v>0</v>
      </c>
      <c r="W53" s="347">
        <f t="shared" si="20"/>
        <v>0</v>
      </c>
    </row>
    <row r="54" spans="1:23" s="9" customFormat="1" x14ac:dyDescent="0.2">
      <c r="A54" s="290" t="s">
        <v>197</v>
      </c>
      <c r="B54" s="309"/>
      <c r="C54" s="283"/>
      <c r="D54" s="347">
        <f t="shared" ref="D54:R54" si="21">IF((D51-$D$51)&gt;=$C$48,0,$C$49)</f>
        <v>0</v>
      </c>
      <c r="E54" s="347">
        <f t="shared" si="21"/>
        <v>0</v>
      </c>
      <c r="F54" s="347">
        <f t="shared" si="21"/>
        <v>0</v>
      </c>
      <c r="G54" s="347">
        <f t="shared" si="21"/>
        <v>0</v>
      </c>
      <c r="H54" s="347">
        <f t="shared" si="21"/>
        <v>0</v>
      </c>
      <c r="I54" s="347">
        <f t="shared" si="21"/>
        <v>0</v>
      </c>
      <c r="J54" s="347">
        <f t="shared" si="21"/>
        <v>0</v>
      </c>
      <c r="K54" s="347">
        <f t="shared" si="21"/>
        <v>0</v>
      </c>
      <c r="L54" s="347">
        <f t="shared" si="21"/>
        <v>0</v>
      </c>
      <c r="M54" s="347">
        <f t="shared" si="21"/>
        <v>0</v>
      </c>
      <c r="N54" s="347">
        <f t="shared" si="21"/>
        <v>0</v>
      </c>
      <c r="O54" s="347">
        <f t="shared" si="21"/>
        <v>0</v>
      </c>
      <c r="P54" s="347">
        <f t="shared" si="21"/>
        <v>0</v>
      </c>
      <c r="Q54" s="347">
        <f t="shared" si="21"/>
        <v>0</v>
      </c>
      <c r="R54" s="347">
        <f t="shared" si="21"/>
        <v>0</v>
      </c>
      <c r="S54" s="347">
        <f>IF((S51-$D$51)&gt;=$C$48,0,$C$49)</f>
        <v>0</v>
      </c>
      <c r="T54" s="347">
        <f>IF((T51-$D$51)&gt;=$C$48,0,$C$49)</f>
        <v>0</v>
      </c>
      <c r="U54" s="347">
        <f>IF((U51-$D$51)&gt;=$C$48,0,$C$49)</f>
        <v>0</v>
      </c>
      <c r="V54" s="347">
        <f>IF((V51-$D$51)&gt;=$C$48,0,$C$49)</f>
        <v>0</v>
      </c>
      <c r="W54" s="347">
        <f>V54</f>
        <v>0</v>
      </c>
    </row>
    <row r="55" spans="1:23" s="9" customFormat="1" x14ac:dyDescent="0.2">
      <c r="A55" s="290" t="s">
        <v>198</v>
      </c>
      <c r="B55" s="309"/>
      <c r="C55" s="283"/>
      <c r="D55" s="348">
        <f t="shared" ref="D55:R55" si="22">SUM(D53:D54)</f>
        <v>0</v>
      </c>
      <c r="E55" s="348">
        <f t="shared" si="22"/>
        <v>0</v>
      </c>
      <c r="F55" s="348">
        <f t="shared" si="22"/>
        <v>0</v>
      </c>
      <c r="G55" s="348">
        <f t="shared" si="22"/>
        <v>0</v>
      </c>
      <c r="H55" s="348">
        <f t="shared" si="22"/>
        <v>0</v>
      </c>
      <c r="I55" s="348">
        <f t="shared" si="22"/>
        <v>0</v>
      </c>
      <c r="J55" s="348">
        <f t="shared" si="22"/>
        <v>0</v>
      </c>
      <c r="K55" s="348">
        <f t="shared" si="22"/>
        <v>0</v>
      </c>
      <c r="L55" s="348">
        <f t="shared" si="22"/>
        <v>0</v>
      </c>
      <c r="M55" s="348">
        <f t="shared" si="22"/>
        <v>0</v>
      </c>
      <c r="N55" s="348">
        <f t="shared" si="22"/>
        <v>0</v>
      </c>
      <c r="O55" s="348">
        <f t="shared" si="22"/>
        <v>0</v>
      </c>
      <c r="P55" s="348">
        <f t="shared" si="22"/>
        <v>0</v>
      </c>
      <c r="Q55" s="348">
        <f t="shared" si="22"/>
        <v>0</v>
      </c>
      <c r="R55" s="348">
        <f t="shared" si="22"/>
        <v>0</v>
      </c>
      <c r="S55" s="348">
        <f>SUM(S53:S54)</f>
        <v>0</v>
      </c>
      <c r="T55" s="348">
        <f>SUM(T53:T54)</f>
        <v>0</v>
      </c>
      <c r="U55" s="348">
        <f>SUM(U53:U54)</f>
        <v>0</v>
      </c>
      <c r="V55" s="348">
        <f>SUM(V53:V54)</f>
        <v>0</v>
      </c>
      <c r="W55" s="348">
        <f>SUM(W53:W54)</f>
        <v>0</v>
      </c>
    </row>
    <row r="56" spans="1:23" s="9" customFormat="1" ht="13.5" thickBot="1" x14ac:dyDescent="0.25">
      <c r="A56" s="290" t="s">
        <v>199</v>
      </c>
      <c r="B56" s="309"/>
      <c r="C56" s="283"/>
      <c r="D56" s="349">
        <f t="shared" ref="D56:R56" si="23">+D52-D54</f>
        <v>0</v>
      </c>
      <c r="E56" s="349">
        <f t="shared" si="23"/>
        <v>0</v>
      </c>
      <c r="F56" s="349">
        <f t="shared" si="23"/>
        <v>0</v>
      </c>
      <c r="G56" s="349">
        <f t="shared" si="23"/>
        <v>0</v>
      </c>
      <c r="H56" s="349">
        <f t="shared" si="23"/>
        <v>0</v>
      </c>
      <c r="I56" s="349">
        <f t="shared" si="23"/>
        <v>0</v>
      </c>
      <c r="J56" s="349">
        <f t="shared" si="23"/>
        <v>0</v>
      </c>
      <c r="K56" s="349">
        <f t="shared" si="23"/>
        <v>0</v>
      </c>
      <c r="L56" s="349">
        <f t="shared" si="23"/>
        <v>0</v>
      </c>
      <c r="M56" s="349">
        <f t="shared" si="23"/>
        <v>0</v>
      </c>
      <c r="N56" s="349">
        <f t="shared" si="23"/>
        <v>0</v>
      </c>
      <c r="O56" s="349">
        <f t="shared" si="23"/>
        <v>0</v>
      </c>
      <c r="P56" s="349">
        <f t="shared" si="23"/>
        <v>0</v>
      </c>
      <c r="Q56" s="349">
        <f t="shared" si="23"/>
        <v>0</v>
      </c>
      <c r="R56" s="349">
        <f t="shared" si="23"/>
        <v>0</v>
      </c>
      <c r="S56" s="349">
        <f>+S52-S54</f>
        <v>0</v>
      </c>
      <c r="T56" s="349">
        <f>+T52-T54</f>
        <v>0</v>
      </c>
      <c r="U56" s="349">
        <f>+U52-U54</f>
        <v>0</v>
      </c>
      <c r="V56" s="349">
        <f>+V52-V54</f>
        <v>0</v>
      </c>
      <c r="W56" s="349">
        <f>+W52-W54</f>
        <v>0</v>
      </c>
    </row>
    <row r="57" spans="1:23" s="9" customFormat="1" ht="13.5" thickTop="1" x14ac:dyDescent="0.2">
      <c r="A57" s="290"/>
      <c r="B57" s="309"/>
      <c r="C57" s="283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V57" s="347"/>
      <c r="W57" s="347"/>
    </row>
    <row r="58" spans="1:23" s="9" customFormat="1" x14ac:dyDescent="0.2">
      <c r="A58" s="290" t="s">
        <v>200</v>
      </c>
      <c r="B58" s="309"/>
      <c r="C58" s="283"/>
      <c r="D58" s="347">
        <f t="shared" ref="D58:R58" si="24">+D53*0.4</f>
        <v>0</v>
      </c>
      <c r="E58" s="347">
        <f t="shared" si="24"/>
        <v>0</v>
      </c>
      <c r="F58" s="347">
        <f t="shared" si="24"/>
        <v>0</v>
      </c>
      <c r="G58" s="347">
        <f t="shared" si="24"/>
        <v>0</v>
      </c>
      <c r="H58" s="347">
        <f t="shared" si="24"/>
        <v>0</v>
      </c>
      <c r="I58" s="347">
        <f t="shared" si="24"/>
        <v>0</v>
      </c>
      <c r="J58" s="347">
        <f t="shared" si="24"/>
        <v>0</v>
      </c>
      <c r="K58" s="347">
        <f t="shared" si="24"/>
        <v>0</v>
      </c>
      <c r="L58" s="347">
        <f t="shared" si="24"/>
        <v>0</v>
      </c>
      <c r="M58" s="347">
        <f t="shared" si="24"/>
        <v>0</v>
      </c>
      <c r="N58" s="347">
        <f t="shared" si="24"/>
        <v>0</v>
      </c>
      <c r="O58" s="347">
        <f t="shared" si="24"/>
        <v>0</v>
      </c>
      <c r="P58" s="347">
        <f t="shared" si="24"/>
        <v>0</v>
      </c>
      <c r="Q58" s="347">
        <f t="shared" si="24"/>
        <v>0</v>
      </c>
      <c r="R58" s="347">
        <f t="shared" si="24"/>
        <v>0</v>
      </c>
      <c r="S58" s="347">
        <f>+S53*0.4</f>
        <v>0</v>
      </c>
      <c r="T58" s="347">
        <f>+T53*0.4</f>
        <v>0</v>
      </c>
      <c r="U58" s="347">
        <f>+U53*0.4</f>
        <v>0</v>
      </c>
      <c r="V58" s="347">
        <f>+V53*0.4</f>
        <v>0</v>
      </c>
      <c r="W58" s="347">
        <f>+W53*0.4</f>
        <v>0</v>
      </c>
    </row>
    <row r="59" spans="1:23" s="9" customFormat="1" x14ac:dyDescent="0.2">
      <c r="A59" s="290"/>
      <c r="B59" s="30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3"/>
      <c r="P59" s="283"/>
      <c r="Q59" s="283"/>
      <c r="R59" s="283"/>
      <c r="S59" s="283"/>
      <c r="T59" s="283"/>
      <c r="U59" s="283"/>
      <c r="V59" s="283"/>
      <c r="W59" s="283"/>
    </row>
    <row r="60" spans="1:23" s="9" customFormat="1" x14ac:dyDescent="0.2">
      <c r="A60" s="290" t="s">
        <v>201</v>
      </c>
      <c r="B60" s="309"/>
      <c r="C60" s="283"/>
      <c r="D60" s="347">
        <f t="shared" ref="D60:R60" si="25">+D55-D58</f>
        <v>0</v>
      </c>
      <c r="E60" s="347">
        <f t="shared" si="25"/>
        <v>0</v>
      </c>
      <c r="F60" s="347">
        <f t="shared" si="25"/>
        <v>0</v>
      </c>
      <c r="G60" s="347">
        <f t="shared" si="25"/>
        <v>0</v>
      </c>
      <c r="H60" s="347">
        <f t="shared" si="25"/>
        <v>0</v>
      </c>
      <c r="I60" s="347">
        <f t="shared" si="25"/>
        <v>0</v>
      </c>
      <c r="J60" s="347">
        <f t="shared" si="25"/>
        <v>0</v>
      </c>
      <c r="K60" s="347">
        <f t="shared" si="25"/>
        <v>0</v>
      </c>
      <c r="L60" s="347">
        <f t="shared" si="25"/>
        <v>0</v>
      </c>
      <c r="M60" s="347">
        <f t="shared" si="25"/>
        <v>0</v>
      </c>
      <c r="N60" s="347">
        <f t="shared" si="25"/>
        <v>0</v>
      </c>
      <c r="O60" s="347">
        <f t="shared" si="25"/>
        <v>0</v>
      </c>
      <c r="P60" s="347">
        <f t="shared" si="25"/>
        <v>0</v>
      </c>
      <c r="Q60" s="347">
        <f t="shared" si="25"/>
        <v>0</v>
      </c>
      <c r="R60" s="347">
        <f t="shared" si="25"/>
        <v>0</v>
      </c>
      <c r="S60" s="347">
        <f>+S55-S58</f>
        <v>0</v>
      </c>
      <c r="T60" s="347">
        <f>+T55-T58</f>
        <v>0</v>
      </c>
      <c r="U60" s="347">
        <f>+U55-U58</f>
        <v>0</v>
      </c>
      <c r="V60" s="347">
        <f>+V55-V58</f>
        <v>0</v>
      </c>
      <c r="W60" s="347">
        <f>+W55-W58</f>
        <v>0</v>
      </c>
    </row>
    <row r="61" spans="1:23" s="9" customFormat="1" x14ac:dyDescent="0.2">
      <c r="A61" s="283"/>
      <c r="B61" s="30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</row>
    <row r="62" spans="1:23" s="9" customFormat="1" x14ac:dyDescent="0.2">
      <c r="A62" s="283"/>
      <c r="B62" s="30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</row>
    <row r="63" spans="1:23" s="9" customFormat="1" x14ac:dyDescent="0.2">
      <c r="A63" s="290" t="s">
        <v>203</v>
      </c>
      <c r="B63" s="285"/>
      <c r="C63" s="284"/>
      <c r="D63" s="441">
        <f t="shared" ref="D63:W63" si="26">+D25-D60</f>
        <v>30518435.033211175</v>
      </c>
      <c r="E63" s="441">
        <f t="shared" si="26"/>
        <v>11316984.516629919</v>
      </c>
      <c r="F63" s="441">
        <f t="shared" si="26"/>
        <v>29747177.910790425</v>
      </c>
      <c r="G63" s="441">
        <f t="shared" si="26"/>
        <v>31835521.146386735</v>
      </c>
      <c r="H63" s="441">
        <f t="shared" si="26"/>
        <v>31329739.88033336</v>
      </c>
      <c r="I63" s="441">
        <f t="shared" si="26"/>
        <v>30616268.487583194</v>
      </c>
      <c r="J63" s="441">
        <f t="shared" si="26"/>
        <v>32785852.708296571</v>
      </c>
      <c r="K63" s="441">
        <f t="shared" si="26"/>
        <v>32607527.029182352</v>
      </c>
      <c r="L63" s="441">
        <f t="shared" si="26"/>
        <v>32831550.057666663</v>
      </c>
      <c r="M63" s="441">
        <f t="shared" si="26"/>
        <v>32305582.453767519</v>
      </c>
      <c r="N63" s="441">
        <f t="shared" si="26"/>
        <v>32651248.525974136</v>
      </c>
      <c r="O63" s="441">
        <f t="shared" si="26"/>
        <v>32459278.720622126</v>
      </c>
      <c r="P63" s="441">
        <f t="shared" si="26"/>
        <v>32461226.390593257</v>
      </c>
      <c r="Q63" s="441">
        <f t="shared" si="26"/>
        <v>33612098.191625297</v>
      </c>
      <c r="R63" s="441">
        <f t="shared" si="26"/>
        <v>36928671.883528844</v>
      </c>
      <c r="S63" s="441">
        <f t="shared" si="26"/>
        <v>35504130.362774104</v>
      </c>
      <c r="T63" s="441">
        <f t="shared" si="26"/>
        <v>36345444.855174854</v>
      </c>
      <c r="U63" s="441">
        <f t="shared" si="26"/>
        <v>40397810.528823324</v>
      </c>
      <c r="V63" s="441">
        <f t="shared" si="26"/>
        <v>42393199.397061817</v>
      </c>
      <c r="W63" s="441">
        <f t="shared" si="26"/>
        <v>218168195.52176437</v>
      </c>
    </row>
    <row r="64" spans="1:23" s="9" customFormat="1" x14ac:dyDescent="0.2">
      <c r="B64" s="69"/>
    </row>
    <row r="65" spans="1:22" s="9" customFormat="1" x14ac:dyDescent="0.2">
      <c r="B65" s="319" t="s">
        <v>170</v>
      </c>
      <c r="C65" s="443">
        <f>NPV($B$3,D63:H63)*(1+Assumptions!$L$16)^0.5</f>
        <v>105556107.43194699</v>
      </c>
    </row>
    <row r="66" spans="1:22" s="9" customFormat="1" x14ac:dyDescent="0.2">
      <c r="B66" s="319" t="s">
        <v>180</v>
      </c>
      <c r="C66" s="443">
        <f>(NPV($B$3,I63:V63)/(1+$B$3)^5)*(1+Assumptions!$L$16)^0.5</f>
        <v>161194638.9784508</v>
      </c>
    </row>
    <row r="67" spans="1:22" s="9" customFormat="1" x14ac:dyDescent="0.2">
      <c r="B67" s="319" t="s">
        <v>137</v>
      </c>
      <c r="C67" s="443">
        <f>(W63/(1+$B$3)^(20))*(1+Assumptions!$L$16)^0.5</f>
        <v>34012149.472476713</v>
      </c>
    </row>
    <row r="68" spans="1:22" s="9" customFormat="1" ht="13.5" thickBot="1" x14ac:dyDescent="0.25">
      <c r="B68" s="324" t="s">
        <v>204</v>
      </c>
      <c r="C68" s="325">
        <f>$C$47</f>
        <v>0</v>
      </c>
    </row>
    <row r="69" spans="1:22" s="9" customFormat="1" ht="13.5" thickTop="1" x14ac:dyDescent="0.2">
      <c r="B69" s="319" t="s">
        <v>28</v>
      </c>
      <c r="C69" s="368">
        <f>NPV($B$3,C63:W63)*(1+Assumptions!$L$16)^0.5+C68</f>
        <v>300762895.88287449</v>
      </c>
      <c r="D69" s="305"/>
    </row>
    <row r="70" spans="1:22" s="9" customFormat="1" x14ac:dyDescent="0.2">
      <c r="B70" s="69"/>
    </row>
    <row r="74" spans="1:22" s="2" customFormat="1" ht="11.25" x14ac:dyDescent="0.2"/>
    <row r="77" spans="1:22" x14ac:dyDescent="0.2">
      <c r="A77" s="265" t="s">
        <v>98</v>
      </c>
      <c r="B77" s="266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</row>
    <row r="78" spans="1:22" x14ac:dyDescent="0.2">
      <c r="A78" s="268" t="str">
        <f>B6</f>
        <v>Conesville 4</v>
      </c>
      <c r="B78" s="266"/>
      <c r="C78" s="267"/>
      <c r="D78" s="267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</row>
    <row r="79" spans="1:22" x14ac:dyDescent="0.2">
      <c r="A79" s="267"/>
      <c r="B79" s="266"/>
      <c r="C79" s="267"/>
      <c r="D79" s="267"/>
      <c r="E79" s="267"/>
      <c r="F79" s="267"/>
      <c r="G79" s="267"/>
      <c r="H79" s="267"/>
      <c r="I79" s="267"/>
      <c r="J79" s="267"/>
      <c r="K79" s="267"/>
      <c r="L79" s="267"/>
      <c r="M79" s="267"/>
      <c r="N79" s="267"/>
      <c r="O79" s="267"/>
      <c r="P79" s="267"/>
      <c r="Q79" s="267"/>
      <c r="R79" s="267"/>
      <c r="S79" s="267"/>
      <c r="T79" s="267"/>
      <c r="U79" s="267"/>
      <c r="V79" s="267"/>
    </row>
    <row r="80" spans="1:22" x14ac:dyDescent="0.2">
      <c r="A80" s="267"/>
      <c r="B80" s="266"/>
      <c r="C80" s="271">
        <v>2000</v>
      </c>
      <c r="D80" s="272">
        <v>2001</v>
      </c>
      <c r="E80" s="272">
        <v>2002</v>
      </c>
      <c r="F80" s="272">
        <v>2003</v>
      </c>
      <c r="G80" s="272">
        <v>2004</v>
      </c>
      <c r="H80" s="272">
        <v>2005</v>
      </c>
      <c r="I80" s="272">
        <v>2006</v>
      </c>
      <c r="J80" s="272">
        <v>2007</v>
      </c>
      <c r="K80" s="272">
        <v>2008</v>
      </c>
      <c r="L80" s="272">
        <v>2009</v>
      </c>
      <c r="M80" s="272">
        <v>2010</v>
      </c>
      <c r="N80" s="272">
        <v>2011</v>
      </c>
      <c r="O80" s="272">
        <v>2012</v>
      </c>
      <c r="P80" s="272">
        <v>2013</v>
      </c>
      <c r="Q80" s="272">
        <v>2014</v>
      </c>
      <c r="R80" s="272">
        <v>2015</v>
      </c>
      <c r="S80" s="272">
        <v>2016</v>
      </c>
      <c r="T80" s="272">
        <v>2017</v>
      </c>
      <c r="U80" s="272">
        <v>2018</v>
      </c>
      <c r="V80" s="272">
        <v>2019</v>
      </c>
    </row>
    <row r="81" spans="1:22" x14ac:dyDescent="0.2">
      <c r="A81" s="269" t="s">
        <v>129</v>
      </c>
      <c r="B81" s="266"/>
      <c r="C81" s="273"/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  <c r="Q81" s="274"/>
      <c r="R81" s="274"/>
      <c r="S81" s="274"/>
      <c r="T81" s="274"/>
      <c r="U81" s="274"/>
      <c r="V81" s="274"/>
    </row>
    <row r="82" spans="1:22" x14ac:dyDescent="0.2">
      <c r="A82" s="267"/>
      <c r="B82" s="270" t="s">
        <v>97</v>
      </c>
      <c r="C82" s="275">
        <f t="shared" ref="C82:V82" si="27">C83*8760*$B$2</f>
        <v>0</v>
      </c>
      <c r="D82" s="276">
        <f t="shared" si="27"/>
        <v>2124006.5232180343</v>
      </c>
      <c r="E82" s="276">
        <f t="shared" si="27"/>
        <v>2095227.2324548278</v>
      </c>
      <c r="F82" s="276">
        <f t="shared" si="27"/>
        <v>2065872.3558763561</v>
      </c>
      <c r="G82" s="276">
        <f t="shared" si="27"/>
        <v>2035930.3817663151</v>
      </c>
      <c r="H82" s="276">
        <f t="shared" si="27"/>
        <v>2005389.5681740728</v>
      </c>
      <c r="I82" s="276">
        <f t="shared" si="27"/>
        <v>1986558.2481768779</v>
      </c>
      <c r="J82" s="276">
        <f t="shared" si="27"/>
        <v>1986558.2481768779</v>
      </c>
      <c r="K82" s="276">
        <f t="shared" si="27"/>
        <v>1986558.2481768779</v>
      </c>
      <c r="L82" s="276">
        <f t="shared" si="27"/>
        <v>1986558.2481768779</v>
      </c>
      <c r="M82" s="276">
        <f t="shared" si="27"/>
        <v>1986558.2481768779</v>
      </c>
      <c r="N82" s="276">
        <f t="shared" si="27"/>
        <v>1986558.2481768779</v>
      </c>
      <c r="O82" s="276">
        <f t="shared" si="27"/>
        <v>1986558.2481768779</v>
      </c>
      <c r="P82" s="276">
        <f t="shared" si="27"/>
        <v>1986558.2481768779</v>
      </c>
      <c r="Q82" s="276">
        <f t="shared" si="27"/>
        <v>1986558.2481768779</v>
      </c>
      <c r="R82" s="276">
        <f t="shared" si="27"/>
        <v>1986558.2481768779</v>
      </c>
      <c r="S82" s="276">
        <f t="shared" si="27"/>
        <v>1986558.2481768779</v>
      </c>
      <c r="T82" s="276">
        <f t="shared" si="27"/>
        <v>1986558.2481768779</v>
      </c>
      <c r="U82" s="276">
        <f t="shared" si="27"/>
        <v>1986558.2481768779</v>
      </c>
      <c r="V82" s="276">
        <f t="shared" si="27"/>
        <v>1986558.2481768779</v>
      </c>
    </row>
    <row r="83" spans="1:22" x14ac:dyDescent="0.2">
      <c r="A83" s="267"/>
      <c r="B83" s="270" t="s">
        <v>91</v>
      </c>
      <c r="C83" s="275">
        <f>IF(C2="BL",'Base Hours'!$Y$21/8760,'Peak Hours'!$W$21/8760)</f>
        <v>0</v>
      </c>
      <c r="D83" s="277">
        <f>IF(C2="BL",'Base Hours'!$Y$33/8760,'Peak Hours'!$W$33/8760)</f>
        <v>0.77713621180849524</v>
      </c>
      <c r="E83" s="277">
        <f>IF(C2="BL",'Base Hours'!$Y$45/8760,'Peak Hours'!$W$45/8760)</f>
        <v>0.76660638115224644</v>
      </c>
      <c r="F83" s="277">
        <f>IF(C2="BL",'Base Hours'!$Y$57/8760,'Peak Hours'!$W$57/8760)</f>
        <v>0.75586595388287237</v>
      </c>
      <c r="G83" s="277">
        <f>IF(C2="BL",'Base Hours'!$Y$69/8760,'Peak Hours'!$W$69/8760)</f>
        <v>0.74491071806811082</v>
      </c>
      <c r="H83" s="277">
        <f>IF(C2="BL",'Base Hours'!$Y$81/8760,'Peak Hours'!$W$81/8760)</f>
        <v>0.7337363775370539</v>
      </c>
      <c r="I83" s="277">
        <f>IF(C2="BL",'Base Hours'!$Y$93/8760,'Peak Hours'!$W$93/8760)</f>
        <v>0.7268463324613913</v>
      </c>
      <c r="J83" s="277">
        <f>IF(C2="BL",'Base Hours'!$Y$105/8760,'Peak Hours'!$W$105/8760)</f>
        <v>0.7268463324613913</v>
      </c>
      <c r="K83" s="277">
        <f>IF(C2="BL",'Base Hours'!$Y$117/8760,'Peak Hours'!$W$117/8760)</f>
        <v>0.7268463324613913</v>
      </c>
      <c r="L83" s="277">
        <f>IF(C2="BL",'Base Hours'!$Y$129/8760,'Peak Hours'!$W$129/8760)</f>
        <v>0.7268463324613913</v>
      </c>
      <c r="M83" s="277">
        <f>IF(C2="BL",'Base Hours'!$Y$141/8760,'Peak Hours'!$W$141/8760)</f>
        <v>0.7268463324613913</v>
      </c>
      <c r="N83" s="277">
        <f>IF(C2="BL",'Base Hours'!$Y$153/8760,'Peak Hours'!$W$153/8760)</f>
        <v>0.7268463324613913</v>
      </c>
      <c r="O83" s="277">
        <f>IF(C2="BL",'Base Hours'!$Y$165/8760,'Peak Hours'!$W$165/8760)</f>
        <v>0.7268463324613913</v>
      </c>
      <c r="P83" s="277">
        <f>IF(C2="BL",'Base Hours'!$Y$177/8760,'Peak Hours'!$W$177/8760)</f>
        <v>0.7268463324613913</v>
      </c>
      <c r="Q83" s="277">
        <f>IF(C2="BL",'Base Hours'!$Y$189/8760,'Peak Hours'!$W$189/8760)</f>
        <v>0.7268463324613913</v>
      </c>
      <c r="R83" s="277">
        <f>IF(C2="BL",'Base Hours'!$Y$201/8760,'Peak Hours'!$W$201/8760)</f>
        <v>0.7268463324613913</v>
      </c>
      <c r="S83" s="277">
        <f>IF(C2="BL",'Base Hours'!$Y$213/8760,'Peak Hours'!$W$213/8760)</f>
        <v>0.7268463324613913</v>
      </c>
      <c r="T83" s="277">
        <f>IF(C2="BL",'Base Hours'!$Y$225/8760,'Peak Hours'!$W$225/8760)</f>
        <v>0.7268463324613913</v>
      </c>
      <c r="U83" s="277">
        <f>IF(C2="BL",'Base Hours'!$Y$237/8760,'Peak Hours'!$W$237/8760)</f>
        <v>0.7268463324613913</v>
      </c>
      <c r="V83" s="277">
        <f>IF(C2="BL",'Base Hours'!$Y$249/8760,'Peak Hours'!$W$249/8760)</f>
        <v>0.7268463324613913</v>
      </c>
    </row>
    <row r="84" spans="1:22" x14ac:dyDescent="0.2">
      <c r="A84" s="269" t="s">
        <v>93</v>
      </c>
      <c r="B84" s="270"/>
      <c r="C84" s="273"/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  <c r="Q84" s="274"/>
      <c r="R84" s="274"/>
      <c r="S84" s="274"/>
      <c r="T84" s="274"/>
      <c r="U84" s="274"/>
      <c r="V84" s="274"/>
    </row>
    <row r="85" spans="1:22" x14ac:dyDescent="0.2">
      <c r="A85" s="267"/>
      <c r="B85" s="270" t="s">
        <v>27</v>
      </c>
      <c r="C85" s="278">
        <f t="shared" ref="C85:V85" si="28">IF(C83=0,0,C8/C82)</f>
        <v>0</v>
      </c>
      <c r="D85" s="279">
        <f t="shared" si="28"/>
        <v>39.337612436551183</v>
      </c>
      <c r="E85" s="279">
        <f t="shared" si="28"/>
        <v>38.876591511234523</v>
      </c>
      <c r="F85" s="279">
        <f t="shared" si="28"/>
        <v>39.50109267967207</v>
      </c>
      <c r="G85" s="279">
        <f t="shared" si="28"/>
        <v>39.043693036795204</v>
      </c>
      <c r="H85" s="279">
        <f t="shared" si="28"/>
        <v>39.278934224594465</v>
      </c>
      <c r="I85" s="279">
        <f t="shared" si="28"/>
        <v>41.862423523676881</v>
      </c>
      <c r="J85" s="279">
        <f t="shared" si="28"/>
        <v>45.026862174247618</v>
      </c>
      <c r="K85" s="279">
        <f t="shared" si="28"/>
        <v>46.239526418644317</v>
      </c>
      <c r="L85" s="279">
        <f t="shared" si="28"/>
        <v>47.194347054021954</v>
      </c>
      <c r="M85" s="279">
        <f t="shared" si="28"/>
        <v>47.363644589041812</v>
      </c>
      <c r="N85" s="279">
        <f t="shared" si="28"/>
        <v>48.39901289751193</v>
      </c>
      <c r="O85" s="279">
        <f t="shared" si="28"/>
        <v>48.922627728966305</v>
      </c>
      <c r="P85" s="279">
        <f t="shared" si="28"/>
        <v>49.511331805816781</v>
      </c>
      <c r="Q85" s="279">
        <f t="shared" si="28"/>
        <v>51.280779091661294</v>
      </c>
      <c r="R85" s="279">
        <f t="shared" si="28"/>
        <v>54.898201879545901</v>
      </c>
      <c r="S85" s="279">
        <f t="shared" si="28"/>
        <v>54.61572229804208</v>
      </c>
      <c r="T85" s="279">
        <f t="shared" si="28"/>
        <v>55.357281017515646</v>
      </c>
      <c r="U85" s="279">
        <f t="shared" si="28"/>
        <v>58.000117418601725</v>
      </c>
      <c r="V85" s="279">
        <f t="shared" si="28"/>
        <v>59.73822349503169</v>
      </c>
    </row>
    <row r="86" spans="1:22" x14ac:dyDescent="0.2">
      <c r="A86" s="267"/>
      <c r="B86" s="270" t="s">
        <v>20</v>
      </c>
      <c r="C86" s="278">
        <f t="shared" ref="C86:V86" si="29">IF(C83=0,0,-C9/C82)</f>
        <v>0</v>
      </c>
      <c r="D86" s="279">
        <f t="shared" si="29"/>
        <v>10.399619200000004</v>
      </c>
      <c r="E86" s="279">
        <f t="shared" si="29"/>
        <v>10.375508799999997</v>
      </c>
      <c r="F86" s="279">
        <f t="shared" si="29"/>
        <v>10.275048799999993</v>
      </c>
      <c r="G86" s="279">
        <f t="shared" si="29"/>
        <v>10.230846400000004</v>
      </c>
      <c r="H86" s="279">
        <f t="shared" si="29"/>
        <v>10.162533600000003</v>
      </c>
      <c r="I86" s="279">
        <f t="shared" si="29"/>
        <v>10.349389200000003</v>
      </c>
      <c r="J86" s="279">
        <f t="shared" si="29"/>
        <v>10.671865800000001</v>
      </c>
      <c r="K86" s="279">
        <f t="shared" si="29"/>
        <v>10.967218200000005</v>
      </c>
      <c r="L86" s="279">
        <f t="shared" si="29"/>
        <v>11.301750000000002</v>
      </c>
      <c r="M86" s="279">
        <f t="shared" si="29"/>
        <v>11.464495200000005</v>
      </c>
      <c r="N86" s="279">
        <f t="shared" si="29"/>
        <v>11.657378400000004</v>
      </c>
      <c r="O86" s="279">
        <f t="shared" si="29"/>
        <v>11.721672799999999</v>
      </c>
      <c r="P86" s="279">
        <f t="shared" si="29"/>
        <v>11.718659000000008</v>
      </c>
      <c r="Q86" s="279">
        <f t="shared" si="29"/>
        <v>11.804050000000005</v>
      </c>
      <c r="R86" s="279">
        <f t="shared" si="29"/>
        <v>11.855284600000006</v>
      </c>
      <c r="S86" s="279">
        <f t="shared" si="29"/>
        <v>11.948712400000003</v>
      </c>
      <c r="T86" s="279">
        <f t="shared" si="29"/>
        <v>12.048167800000002</v>
      </c>
      <c r="U86" s="279">
        <f t="shared" si="29"/>
        <v>12.128535800000002</v>
      </c>
      <c r="V86" s="279">
        <f t="shared" si="29"/>
        <v>12.1918256</v>
      </c>
    </row>
    <row r="87" spans="1:22" x14ac:dyDescent="0.2">
      <c r="A87" s="267"/>
      <c r="B87" s="270" t="s">
        <v>92</v>
      </c>
      <c r="C87" s="278">
        <f t="shared" ref="C87:V87" si="30">IF(C83=0,0,-C10/C82)</f>
        <v>0</v>
      </c>
      <c r="D87" s="279">
        <f t="shared" si="30"/>
        <v>0.89883049405073945</v>
      </c>
      <c r="E87" s="279">
        <f t="shared" si="30"/>
        <v>0.91697280844003948</v>
      </c>
      <c r="F87" s="279">
        <f t="shared" si="30"/>
        <v>0.93548131375585908</v>
      </c>
      <c r="G87" s="279">
        <f t="shared" si="30"/>
        <v>0.95436340132610609</v>
      </c>
      <c r="H87" s="279">
        <f t="shared" si="30"/>
        <v>0.97362661166788012</v>
      </c>
      <c r="I87" s="279">
        <f t="shared" si="30"/>
        <v>0.99327863749876011</v>
      </c>
      <c r="J87" s="279">
        <f t="shared" si="30"/>
        <v>1.0133273268088727</v>
      </c>
      <c r="K87" s="279">
        <f t="shared" si="30"/>
        <v>1.0337806859949685</v>
      </c>
      <c r="L87" s="279">
        <f t="shared" si="30"/>
        <v>1.054646883057758</v>
      </c>
      <c r="M87" s="279">
        <f t="shared" si="30"/>
        <v>1.0759342508637832</v>
      </c>
      <c r="N87" s="279">
        <f t="shared" si="30"/>
        <v>1.0976512904731277</v>
      </c>
      <c r="O87" s="279">
        <f t="shared" si="30"/>
        <v>1.1198066745342969</v>
      </c>
      <c r="P87" s="279">
        <f t="shared" si="30"/>
        <v>1.1424092507476167</v>
      </c>
      <c r="Q87" s="279">
        <f t="shared" si="30"/>
        <v>1.1654680453985446</v>
      </c>
      <c r="R87" s="279">
        <f t="shared" si="30"/>
        <v>1.188992266962293</v>
      </c>
      <c r="S87" s="279">
        <f t="shared" si="30"/>
        <v>1.2129913097812151</v>
      </c>
      <c r="T87" s="279">
        <f t="shared" si="30"/>
        <v>1.2374747578164098</v>
      </c>
      <c r="U87" s="279">
        <f t="shared" si="30"/>
        <v>1.2624523884750567</v>
      </c>
      <c r="V87" s="279">
        <f t="shared" si="30"/>
        <v>1.2879341765149985</v>
      </c>
    </row>
    <row r="88" spans="1:22" x14ac:dyDescent="0.2">
      <c r="A88" s="267"/>
      <c r="B88" s="270" t="s">
        <v>22</v>
      </c>
      <c r="C88" s="278">
        <f t="shared" ref="C88:V88" si="31">IF(C83=0,0,-C11/C82)</f>
        <v>0</v>
      </c>
      <c r="D88" s="279">
        <f t="shared" si="31"/>
        <v>0</v>
      </c>
      <c r="E88" s="279">
        <f t="shared" si="31"/>
        <v>0</v>
      </c>
      <c r="F88" s="279">
        <f t="shared" si="31"/>
        <v>0</v>
      </c>
      <c r="G88" s="279">
        <f t="shared" si="31"/>
        <v>0</v>
      </c>
      <c r="H88" s="279">
        <f t="shared" si="31"/>
        <v>0</v>
      </c>
      <c r="I88" s="279">
        <f t="shared" si="31"/>
        <v>2.5801040300142417</v>
      </c>
      <c r="J88" s="279">
        <f t="shared" si="31"/>
        <v>2.8598392083548774</v>
      </c>
      <c r="K88" s="279">
        <f t="shared" si="31"/>
        <v>3.3358462411860388</v>
      </c>
      <c r="L88" s="279">
        <f t="shared" si="31"/>
        <v>3.4660527924668769</v>
      </c>
      <c r="M88" s="279">
        <f t="shared" si="31"/>
        <v>3.8547836125262664</v>
      </c>
      <c r="N88" s="279">
        <f t="shared" si="31"/>
        <v>4.2463356624321094</v>
      </c>
      <c r="O88" s="279">
        <f t="shared" si="31"/>
        <v>4.7048126049819086</v>
      </c>
      <c r="P88" s="279">
        <f t="shared" si="31"/>
        <v>5.2753325769087782</v>
      </c>
      <c r="Q88" s="279">
        <f t="shared" si="31"/>
        <v>5.8722683580184283</v>
      </c>
      <c r="R88" s="279">
        <f t="shared" si="31"/>
        <v>6.5046794664711944</v>
      </c>
      <c r="S88" s="279">
        <f t="shared" si="31"/>
        <v>7.1421300549870068</v>
      </c>
      <c r="T88" s="279">
        <f t="shared" si="31"/>
        <v>7.0167945833998928</v>
      </c>
      <c r="U88" s="279">
        <f t="shared" si="31"/>
        <v>6.0032472870901969</v>
      </c>
      <c r="V88" s="279">
        <f t="shared" si="31"/>
        <v>6.2242598583756212</v>
      </c>
    </row>
    <row r="89" spans="1:22" x14ac:dyDescent="0.2">
      <c r="A89" s="267"/>
      <c r="B89" s="270" t="s">
        <v>23</v>
      </c>
      <c r="C89" s="278">
        <f t="shared" ref="C89:V89" si="32">IF(C83=0,0,-C12/C82)</f>
        <v>0</v>
      </c>
      <c r="D89" s="279">
        <f t="shared" si="32"/>
        <v>0</v>
      </c>
      <c r="E89" s="279">
        <f t="shared" si="32"/>
        <v>0</v>
      </c>
      <c r="F89" s="279">
        <f t="shared" si="32"/>
        <v>0.64412500406281692</v>
      </c>
      <c r="G89" s="279">
        <f t="shared" si="32"/>
        <v>0.54883487922894636</v>
      </c>
      <c r="H89" s="279">
        <f t="shared" si="32"/>
        <v>0.56976558662692611</v>
      </c>
      <c r="I89" s="279">
        <f t="shared" si="32"/>
        <v>0.59175172806612919</v>
      </c>
      <c r="J89" s="279">
        <f t="shared" si="32"/>
        <v>0.77671209261552909</v>
      </c>
      <c r="K89" s="279">
        <f t="shared" si="32"/>
        <v>0.67825417539150457</v>
      </c>
      <c r="L89" s="279">
        <f t="shared" si="32"/>
        <v>0.71809065632363944</v>
      </c>
      <c r="M89" s="279">
        <f t="shared" si="32"/>
        <v>0.68329076161725955</v>
      </c>
      <c r="N89" s="279">
        <f t="shared" si="32"/>
        <v>0.70286077218320653</v>
      </c>
      <c r="O89" s="279">
        <f t="shared" si="32"/>
        <v>0.72108656487453549</v>
      </c>
      <c r="P89" s="279">
        <f t="shared" si="32"/>
        <v>0.64408159143643329</v>
      </c>
      <c r="Q89" s="279">
        <f t="shared" si="32"/>
        <v>0.66711052168499296</v>
      </c>
      <c r="R89" s="279">
        <f t="shared" si="32"/>
        <v>0.68089661491923403</v>
      </c>
      <c r="S89" s="279">
        <f t="shared" si="32"/>
        <v>0.72306436644082994</v>
      </c>
      <c r="T89" s="279">
        <f t="shared" si="32"/>
        <v>0.67975549824285608</v>
      </c>
      <c r="U89" s="279">
        <f t="shared" si="32"/>
        <v>0.74866709941717191</v>
      </c>
      <c r="V89" s="279">
        <f t="shared" si="32"/>
        <v>0.40761221732930997</v>
      </c>
    </row>
    <row r="90" spans="1:22" x14ac:dyDescent="0.2">
      <c r="A90" s="269" t="s">
        <v>94</v>
      </c>
      <c r="B90" s="270"/>
      <c r="C90" s="273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4"/>
      <c r="U90" s="274"/>
      <c r="V90" s="274"/>
    </row>
    <row r="91" spans="1:22" x14ac:dyDescent="0.2">
      <c r="A91" s="267"/>
      <c r="B91" s="270" t="s">
        <v>34</v>
      </c>
      <c r="C91" s="278">
        <f t="shared" ref="C91:V91" si="33">IF(C83=0,0,-C14/($B$2*1000))</f>
        <v>0</v>
      </c>
      <c r="D91" s="279">
        <f t="shared" si="33"/>
        <v>13.510507590293523</v>
      </c>
      <c r="E91" s="279">
        <f t="shared" si="33"/>
        <v>13.780717742099394</v>
      </c>
      <c r="F91" s="279">
        <f t="shared" si="33"/>
        <v>14.194396199505483</v>
      </c>
      <c r="G91" s="279">
        <f t="shared" si="33"/>
        <v>14.478974444008415</v>
      </c>
      <c r="H91" s="279">
        <f t="shared" si="33"/>
        <v>14.769261511414221</v>
      </c>
      <c r="I91" s="279">
        <f t="shared" si="33"/>
        <v>15.065372009631288</v>
      </c>
      <c r="J91" s="279">
        <f t="shared" si="33"/>
        <v>15.367422849512417</v>
      </c>
      <c r="K91" s="279">
        <f t="shared" si="33"/>
        <v>15.675533291183379</v>
      </c>
      <c r="L91" s="279">
        <f t="shared" si="33"/>
        <v>15.989824991304779</v>
      </c>
      <c r="M91" s="279">
        <f t="shared" si="33"/>
        <v>16.31042205128605</v>
      </c>
      <c r="N91" s="279">
        <f t="shared" si="33"/>
        <v>16.637451066470824</v>
      </c>
      <c r="O91" s="279">
        <f t="shared" si="33"/>
        <v>16.971041176313271</v>
      </c>
      <c r="P91" s="279">
        <f t="shared" si="33"/>
        <v>17.311324115565395</v>
      </c>
      <c r="Q91" s="279">
        <f t="shared" si="33"/>
        <v>17.658434266495703</v>
      </c>
      <c r="R91" s="279">
        <f t="shared" si="33"/>
        <v>18.012508712160095</v>
      </c>
      <c r="S91" s="279">
        <f t="shared" si="33"/>
        <v>18.373687290746137</v>
      </c>
      <c r="T91" s="279">
        <f t="shared" si="33"/>
        <v>18.742112651012469</v>
      </c>
      <c r="U91" s="279">
        <f t="shared" si="33"/>
        <v>19.117930308845416</v>
      </c>
      <c r="V91" s="279">
        <f t="shared" si="33"/>
        <v>19.501288704955343</v>
      </c>
    </row>
    <row r="92" spans="1:22" x14ac:dyDescent="0.2">
      <c r="A92" s="267"/>
      <c r="B92" s="270" t="s">
        <v>95</v>
      </c>
      <c r="C92" s="278">
        <f t="shared" ref="C92:V92" si="34">IF(C83=0,0,-C15/($B$2*1000))</f>
        <v>0</v>
      </c>
      <c r="D92" s="279">
        <f t="shared" si="34"/>
        <v>1.2238317756530515</v>
      </c>
      <c r="E92" s="279">
        <f t="shared" si="34"/>
        <v>1.4322076624427091</v>
      </c>
      <c r="F92" s="279">
        <f t="shared" si="34"/>
        <v>1.4650043529479324</v>
      </c>
      <c r="G92" s="279">
        <f t="shared" si="34"/>
        <v>1.4985422486585731</v>
      </c>
      <c r="H92" s="279">
        <f t="shared" si="34"/>
        <v>1.5328783462871276</v>
      </c>
      <c r="I92" s="279">
        <f t="shared" si="34"/>
        <v>1.5696635783465211</v>
      </c>
      <c r="J92" s="279">
        <f t="shared" si="34"/>
        <v>1.605733114866063</v>
      </c>
      <c r="K92" s="279">
        <f t="shared" si="34"/>
        <v>1.6427156458952883</v>
      </c>
      <c r="L92" s="279">
        <f t="shared" si="34"/>
        <v>1.6806116454409357</v>
      </c>
      <c r="M92" s="279">
        <f t="shared" si="34"/>
        <v>1.7194739929749967</v>
      </c>
      <c r="N92" s="279">
        <f t="shared" si="34"/>
        <v>1.7592768093193822</v>
      </c>
      <c r="O92" s="279">
        <f t="shared" si="34"/>
        <v>1.800082656635646</v>
      </c>
      <c r="P92" s="279">
        <f t="shared" si="34"/>
        <v>1.841924972473743</v>
      </c>
      <c r="Q92" s="279">
        <f t="shared" si="34"/>
        <v>1.8848133462077923</v>
      </c>
      <c r="R92" s="279">
        <f t="shared" si="34"/>
        <v>1.9287782181225663</v>
      </c>
      <c r="S92" s="279">
        <f t="shared" si="34"/>
        <v>1.9738422118352099</v>
      </c>
      <c r="T92" s="279">
        <f t="shared" si="34"/>
        <v>2.0200237925919269</v>
      </c>
      <c r="U92" s="279">
        <f t="shared" si="34"/>
        <v>2.0673645310256377</v>
      </c>
      <c r="V92" s="279">
        <f t="shared" si="34"/>
        <v>2.115893521994034</v>
      </c>
    </row>
    <row r="93" spans="1:22" x14ac:dyDescent="0.2">
      <c r="A93" s="267"/>
      <c r="B93" s="270" t="s">
        <v>36</v>
      </c>
      <c r="C93" s="278">
        <f t="shared" ref="C93:V93" si="35">IF(C83=0,0,-C16/($B$2*1000))</f>
        <v>0</v>
      </c>
      <c r="D93" s="279">
        <f t="shared" si="35"/>
        <v>1.6875063244606188</v>
      </c>
      <c r="E93" s="279">
        <f t="shared" si="35"/>
        <v>1.7231127079067468</v>
      </c>
      <c r="F93" s="279">
        <f t="shared" si="35"/>
        <v>1.7608488762099073</v>
      </c>
      <c r="G93" s="279">
        <f t="shared" si="35"/>
        <v>1.8006440608122372</v>
      </c>
      <c r="H93" s="279">
        <f t="shared" si="35"/>
        <v>1.8434993894595737</v>
      </c>
      <c r="I93" s="279">
        <f t="shared" si="35"/>
        <v>1.8896976694897372</v>
      </c>
      <c r="J93" s="279">
        <f t="shared" si="35"/>
        <v>1.9365674361482499</v>
      </c>
      <c r="K93" s="279">
        <f t="shared" si="35"/>
        <v>1.9855859600174712</v>
      </c>
      <c r="L93" s="279">
        <f t="shared" si="35"/>
        <v>2.0346299332299069</v>
      </c>
      <c r="M93" s="279">
        <f t="shared" si="35"/>
        <v>2.0865129965272597</v>
      </c>
      <c r="N93" s="279">
        <f t="shared" si="35"/>
        <v>2.1370066110432306</v>
      </c>
      <c r="O93" s="279">
        <f t="shared" si="35"/>
        <v>2.1908591776415127</v>
      </c>
      <c r="P93" s="279">
        <f t="shared" si="35"/>
        <v>2.2465070007536028</v>
      </c>
      <c r="Q93" s="279">
        <f t="shared" si="35"/>
        <v>2.3026696757724423</v>
      </c>
      <c r="R93" s="279">
        <f t="shared" si="35"/>
        <v>2.3604666846343303</v>
      </c>
      <c r="S93" s="279">
        <f t="shared" si="35"/>
        <v>2.4194783517501923</v>
      </c>
      <c r="T93" s="279">
        <f t="shared" si="35"/>
        <v>2.4794814148735962</v>
      </c>
      <c r="U93" s="279">
        <f t="shared" si="35"/>
        <v>2.5417163983869262</v>
      </c>
      <c r="V93" s="279">
        <f t="shared" si="35"/>
        <v>2.6055134799864392</v>
      </c>
    </row>
    <row r="94" spans="1:22" x14ac:dyDescent="0.2">
      <c r="A94" s="267"/>
      <c r="B94" s="270" t="s">
        <v>39</v>
      </c>
      <c r="C94" s="278">
        <f t="shared" ref="C94:V94" si="36">IF(C83=0,0,-C22/($B$2*1000))</f>
        <v>0</v>
      </c>
      <c r="D94" s="279">
        <f t="shared" si="36"/>
        <v>3.982691987179487</v>
      </c>
      <c r="E94" s="279">
        <f t="shared" si="36"/>
        <v>0.76923060897435658</v>
      </c>
      <c r="F94" s="279">
        <f t="shared" si="36"/>
        <v>1.2820511538461539</v>
      </c>
      <c r="G94" s="279">
        <f t="shared" si="36"/>
        <v>0.76923038461538462</v>
      </c>
      <c r="H94" s="279">
        <f t="shared" si="36"/>
        <v>1.5224356987179484</v>
      </c>
      <c r="I94" s="279">
        <f t="shared" si="36"/>
        <v>1.5681087696794869</v>
      </c>
      <c r="J94" s="279">
        <f t="shared" si="36"/>
        <v>1.6151520327698714</v>
      </c>
      <c r="K94" s="279">
        <f t="shared" si="36"/>
        <v>1.6636065937529678</v>
      </c>
      <c r="L94" s="279">
        <f t="shared" si="36"/>
        <v>1.7135147915655569</v>
      </c>
      <c r="M94" s="279">
        <f t="shared" si="36"/>
        <v>1.7649202353125237</v>
      </c>
      <c r="N94" s="279">
        <f t="shared" si="36"/>
        <v>1.8178678423718995</v>
      </c>
      <c r="O94" s="279">
        <f t="shared" si="36"/>
        <v>1.8724038776430565</v>
      </c>
      <c r="P94" s="279">
        <f t="shared" si="36"/>
        <v>1.9285759939723479</v>
      </c>
      <c r="Q94" s="279">
        <f t="shared" si="36"/>
        <v>1.9864332737915185</v>
      </c>
      <c r="R94" s="279">
        <f t="shared" si="36"/>
        <v>2.046026272005264</v>
      </c>
      <c r="S94" s="279">
        <f t="shared" si="36"/>
        <v>2.1074070601654218</v>
      </c>
      <c r="T94" s="279">
        <f t="shared" si="36"/>
        <v>2.1706292719703844</v>
      </c>
      <c r="U94" s="279">
        <f t="shared" si="36"/>
        <v>2.235748150129496</v>
      </c>
      <c r="V94" s="279">
        <f t="shared" si="36"/>
        <v>2.3028205946333804</v>
      </c>
    </row>
    <row r="95" spans="1:22" x14ac:dyDescent="0.2">
      <c r="A95" s="267"/>
      <c r="B95" s="270" t="s">
        <v>96</v>
      </c>
      <c r="C95" s="280">
        <f t="shared" ref="C95:V95" si="37">IF(C83=0,0,-C23/($B$2*1000))</f>
        <v>0</v>
      </c>
      <c r="D95" s="281">
        <f t="shared" si="37"/>
        <v>4.7178307692307691</v>
      </c>
      <c r="E95" s="281">
        <f t="shared" si="37"/>
        <v>67.987012692307701</v>
      </c>
      <c r="F95" s="281">
        <f t="shared" si="37"/>
        <v>9.0894696153846155</v>
      </c>
      <c r="G95" s="281">
        <f t="shared" si="37"/>
        <v>0</v>
      </c>
      <c r="H95" s="281">
        <f t="shared" si="37"/>
        <v>0</v>
      </c>
      <c r="I95" s="281">
        <f t="shared" si="37"/>
        <v>0</v>
      </c>
      <c r="J95" s="281">
        <f t="shared" si="37"/>
        <v>0</v>
      </c>
      <c r="K95" s="281">
        <f t="shared" si="37"/>
        <v>0</v>
      </c>
      <c r="L95" s="281">
        <f t="shared" si="37"/>
        <v>0</v>
      </c>
      <c r="M95" s="281">
        <f t="shared" si="37"/>
        <v>0</v>
      </c>
      <c r="N95" s="281">
        <f t="shared" si="37"/>
        <v>0</v>
      </c>
      <c r="O95" s="281">
        <f t="shared" si="37"/>
        <v>0</v>
      </c>
      <c r="P95" s="281">
        <f t="shared" si="37"/>
        <v>0</v>
      </c>
      <c r="Q95" s="281">
        <f t="shared" si="37"/>
        <v>0</v>
      </c>
      <c r="R95" s="281">
        <f t="shared" si="37"/>
        <v>0</v>
      </c>
      <c r="S95" s="281">
        <f t="shared" si="37"/>
        <v>0</v>
      </c>
      <c r="T95" s="281">
        <f t="shared" si="37"/>
        <v>0</v>
      </c>
      <c r="U95" s="281">
        <f t="shared" si="37"/>
        <v>0</v>
      </c>
      <c r="V95" s="281">
        <f t="shared" si="37"/>
        <v>0</v>
      </c>
    </row>
    <row r="96" spans="1:22" x14ac:dyDescent="0.2">
      <c r="A96" s="267"/>
      <c r="B96" s="270"/>
      <c r="C96" s="267"/>
      <c r="D96" s="267"/>
      <c r="E96" s="267"/>
      <c r="F96" s="267"/>
      <c r="G96" s="267"/>
      <c r="H96" s="267"/>
      <c r="I96" s="267"/>
      <c r="J96" s="267"/>
      <c r="K96" s="267"/>
      <c r="L96" s="267"/>
      <c r="M96" s="267"/>
      <c r="N96" s="267"/>
      <c r="O96" s="267"/>
      <c r="P96" s="267"/>
      <c r="Q96" s="267"/>
      <c r="R96" s="267"/>
      <c r="S96" s="267"/>
      <c r="T96" s="267"/>
      <c r="U96" s="267"/>
      <c r="V96" s="267"/>
    </row>
    <row r="97" spans="1:22" x14ac:dyDescent="0.2">
      <c r="A97" s="267"/>
      <c r="B97" s="270"/>
      <c r="C97" s="267"/>
      <c r="D97" s="267"/>
      <c r="E97" s="267"/>
      <c r="F97" s="267"/>
      <c r="G97" s="267"/>
      <c r="H97" s="267"/>
      <c r="I97" s="267"/>
      <c r="J97" s="267"/>
      <c r="K97" s="267"/>
      <c r="L97" s="267"/>
      <c r="M97" s="267"/>
      <c r="N97" s="267"/>
      <c r="O97" s="267"/>
      <c r="P97" s="267"/>
      <c r="Q97" s="267"/>
      <c r="R97" s="267"/>
      <c r="S97" s="267"/>
      <c r="T97" s="267"/>
      <c r="U97" s="267"/>
      <c r="V97" s="267"/>
    </row>
  </sheetData>
  <mergeCells count="1">
    <mergeCell ref="F1:I1"/>
  </mergeCells>
  <pageMargins left="0.75" right="0.75" top="1" bottom="1" header="0.5" footer="0.5"/>
  <pageSetup paperSize="5" scale="70" orientation="landscape" r:id="rId1"/>
  <headerFooter alignWithMargins="0"/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8"/>
  <sheetViews>
    <sheetView tabSelected="1" workbookViewId="0">
      <selection activeCell="I28" sqref="I28"/>
    </sheetView>
  </sheetViews>
  <sheetFormatPr defaultRowHeight="12.75" x14ac:dyDescent="0.2"/>
  <cols>
    <col min="2" max="2" width="18.7109375" bestFit="1" customWidth="1"/>
    <col min="5" max="5" width="8.7109375" bestFit="1" customWidth="1"/>
    <col min="6" max="6" width="11.7109375" bestFit="1" customWidth="1"/>
    <col min="7" max="7" width="8.85546875" bestFit="1" customWidth="1"/>
    <col min="12" max="12" width="6.7109375" bestFit="1" customWidth="1"/>
    <col min="13" max="13" width="4.85546875" bestFit="1" customWidth="1"/>
    <col min="14" max="14" width="4" bestFit="1" customWidth="1"/>
    <col min="15" max="15" width="5.28515625" style="4" bestFit="1" customWidth="1"/>
  </cols>
  <sheetData>
    <row r="1" spans="1:15" x14ac:dyDescent="0.2">
      <c r="A1" s="138" t="s">
        <v>109</v>
      </c>
    </row>
    <row r="7" spans="1:15" ht="13.5" thickBot="1" x14ac:dyDescent="0.25"/>
    <row r="8" spans="1:15" ht="13.5" thickBot="1" x14ac:dyDescent="0.25">
      <c r="C8" s="477" t="s">
        <v>214</v>
      </c>
      <c r="D8" s="478"/>
      <c r="E8" s="479"/>
      <c r="F8" s="258" t="s">
        <v>215</v>
      </c>
      <c r="G8" s="110" t="s">
        <v>41</v>
      </c>
      <c r="H8" s="110" t="s">
        <v>52</v>
      </c>
      <c r="I8" s="110" t="s">
        <v>43</v>
      </c>
      <c r="J8" s="111"/>
      <c r="K8" s="112" t="s">
        <v>45</v>
      </c>
      <c r="L8" s="113"/>
      <c r="M8" s="110" t="s">
        <v>20</v>
      </c>
      <c r="N8" s="110" t="s">
        <v>29</v>
      </c>
      <c r="O8" s="110" t="s">
        <v>166</v>
      </c>
    </row>
    <row r="9" spans="1:15" ht="13.5" thickBot="1" x14ac:dyDescent="0.25">
      <c r="C9" s="114" t="s">
        <v>140</v>
      </c>
      <c r="D9" s="114" t="s">
        <v>141</v>
      </c>
      <c r="E9" s="114" t="s">
        <v>142</v>
      </c>
      <c r="F9" s="114" t="s">
        <v>216</v>
      </c>
      <c r="G9" s="115" t="s">
        <v>42</v>
      </c>
      <c r="H9" s="115" t="s">
        <v>42</v>
      </c>
      <c r="I9" s="115" t="s">
        <v>44</v>
      </c>
      <c r="J9" s="116" t="s">
        <v>140</v>
      </c>
      <c r="K9" s="116" t="s">
        <v>141</v>
      </c>
      <c r="L9" s="116" t="s">
        <v>142</v>
      </c>
      <c r="M9" s="115" t="s">
        <v>87</v>
      </c>
      <c r="N9" s="115" t="s">
        <v>100</v>
      </c>
      <c r="O9" s="115" t="s">
        <v>87</v>
      </c>
    </row>
    <row r="10" spans="1:15" x14ac:dyDescent="0.2">
      <c r="A10" s="65">
        <f>Summary!A17</f>
        <v>1</v>
      </c>
      <c r="B10" s="62" t="s">
        <v>55</v>
      </c>
      <c r="C10" s="117">
        <v>312</v>
      </c>
      <c r="D10" s="255">
        <v>312</v>
      </c>
      <c r="E10" s="255">
        <v>312</v>
      </c>
      <c r="F10" s="255">
        <f>AVERAGE(C10:E10)</f>
        <v>312</v>
      </c>
      <c r="G10" s="118">
        <v>0.873</v>
      </c>
      <c r="H10" s="118">
        <v>13.245595676758354</v>
      </c>
      <c r="I10" s="119">
        <v>10046</v>
      </c>
      <c r="J10" s="120">
        <v>0.85084917568927876</v>
      </c>
      <c r="K10" s="120">
        <v>0.72684633246139141</v>
      </c>
      <c r="L10" s="120">
        <v>0.80370000000000008</v>
      </c>
      <c r="M10" s="121" t="s">
        <v>101</v>
      </c>
      <c r="N10" s="122">
        <v>30</v>
      </c>
      <c r="O10" s="123" t="s">
        <v>165</v>
      </c>
    </row>
    <row r="11" spans="1:15" x14ac:dyDescent="0.2">
      <c r="A11" s="65">
        <f>Summary!A18</f>
        <v>2</v>
      </c>
      <c r="B11" s="62" t="s">
        <v>56</v>
      </c>
      <c r="C11" s="117">
        <v>414</v>
      </c>
      <c r="D11" s="255">
        <v>414</v>
      </c>
      <c r="E11" s="255">
        <v>414</v>
      </c>
      <c r="F11" s="255">
        <f>AVERAGE(C11:E11)</f>
        <v>414</v>
      </c>
      <c r="G11" s="118">
        <v>2.0609999999999999</v>
      </c>
      <c r="H11" s="118">
        <v>5.700138027347343</v>
      </c>
      <c r="I11" s="119">
        <v>10279</v>
      </c>
      <c r="J11" s="120">
        <v>0.91151068840172811</v>
      </c>
      <c r="K11" s="120">
        <v>0.77866703029645123</v>
      </c>
      <c r="L11" s="120">
        <v>0.86099999999999999</v>
      </c>
      <c r="M11" s="121" t="s">
        <v>101</v>
      </c>
      <c r="N11" s="122">
        <v>30</v>
      </c>
      <c r="O11" s="124" t="s">
        <v>165</v>
      </c>
    </row>
    <row r="12" spans="1:15" x14ac:dyDescent="0.2">
      <c r="A12" s="65">
        <f>Summary!A19</f>
        <v>3</v>
      </c>
      <c r="B12" s="63" t="s">
        <v>57</v>
      </c>
      <c r="C12" s="125">
        <v>228.15</v>
      </c>
      <c r="D12" s="256">
        <v>228.15</v>
      </c>
      <c r="E12" s="256">
        <v>228.15</v>
      </c>
      <c r="F12" s="255">
        <f t="shared" ref="F12:F42" si="0">AVERAGE(C12:E12)</f>
        <v>228.15</v>
      </c>
      <c r="G12" s="118">
        <v>0.85499999999999998</v>
      </c>
      <c r="H12" s="118">
        <v>11.880117362215271</v>
      </c>
      <c r="I12" s="119">
        <v>9809</v>
      </c>
      <c r="J12" s="120">
        <v>0.86861357679425089</v>
      </c>
      <c r="K12" s="120">
        <v>0.74202174798795861</v>
      </c>
      <c r="L12" s="120">
        <v>0.82047999999999999</v>
      </c>
      <c r="M12" s="121" t="s">
        <v>101</v>
      </c>
      <c r="N12" s="122">
        <v>30</v>
      </c>
      <c r="O12" s="124" t="s">
        <v>165</v>
      </c>
    </row>
    <row r="13" spans="1:15" x14ac:dyDescent="0.2">
      <c r="A13" s="65">
        <f>Summary!A20</f>
        <v>4</v>
      </c>
      <c r="B13" s="63" t="s">
        <v>58</v>
      </c>
      <c r="C13" s="125">
        <v>228.15</v>
      </c>
      <c r="D13" s="256">
        <v>228.15</v>
      </c>
      <c r="E13" s="256">
        <v>228.15</v>
      </c>
      <c r="F13" s="255">
        <f t="shared" si="0"/>
        <v>228.15</v>
      </c>
      <c r="G13" s="118">
        <v>0.82800000000000007</v>
      </c>
      <c r="H13" s="118">
        <v>12.073997757067776</v>
      </c>
      <c r="I13" s="119">
        <v>9646</v>
      </c>
      <c r="J13" s="120">
        <v>0.86861357679425089</v>
      </c>
      <c r="K13" s="120">
        <v>0.74202174798795861</v>
      </c>
      <c r="L13" s="120">
        <v>0.82047999999999999</v>
      </c>
      <c r="M13" s="121" t="s">
        <v>101</v>
      </c>
      <c r="N13" s="122">
        <v>30</v>
      </c>
      <c r="O13" s="124" t="s">
        <v>165</v>
      </c>
    </row>
    <row r="14" spans="1:15" x14ac:dyDescent="0.2">
      <c r="A14" s="65">
        <f>Summary!A21</f>
        <v>5</v>
      </c>
      <c r="B14" s="63" t="s">
        <v>59</v>
      </c>
      <c r="C14" s="125">
        <v>228.15</v>
      </c>
      <c r="D14" s="256">
        <v>228.15</v>
      </c>
      <c r="E14" s="256">
        <v>228.15</v>
      </c>
      <c r="F14" s="255">
        <f t="shared" si="0"/>
        <v>228.15</v>
      </c>
      <c r="G14" s="118">
        <v>0.83700000000000008</v>
      </c>
      <c r="H14" s="118">
        <v>12.009370958783595</v>
      </c>
      <c r="I14" s="119">
        <v>9802</v>
      </c>
      <c r="J14" s="120">
        <v>0.86861357679425089</v>
      </c>
      <c r="K14" s="120">
        <v>0.74202174798795861</v>
      </c>
      <c r="L14" s="120">
        <v>0.82047999999999999</v>
      </c>
      <c r="M14" s="121" t="s">
        <v>101</v>
      </c>
      <c r="N14" s="122">
        <v>30</v>
      </c>
      <c r="O14" s="124" t="s">
        <v>165</v>
      </c>
    </row>
    <row r="15" spans="1:15" x14ac:dyDescent="0.2">
      <c r="A15" s="65">
        <f>Summary!A22</f>
        <v>6</v>
      </c>
      <c r="B15" s="63" t="s">
        <v>60</v>
      </c>
      <c r="C15" s="125">
        <v>228.15</v>
      </c>
      <c r="D15" s="256">
        <v>228.15</v>
      </c>
      <c r="E15" s="256">
        <v>228.15</v>
      </c>
      <c r="F15" s="255">
        <f t="shared" si="0"/>
        <v>228.15</v>
      </c>
      <c r="G15" s="118">
        <v>0.83700000000000008</v>
      </c>
      <c r="H15" s="118">
        <v>12.009370958783595</v>
      </c>
      <c r="I15" s="119">
        <v>9785</v>
      </c>
      <c r="J15" s="120">
        <v>0.86861357679425089</v>
      </c>
      <c r="K15" s="120">
        <v>0.74202174798795861</v>
      </c>
      <c r="L15" s="120">
        <v>0.82047999999999999</v>
      </c>
      <c r="M15" s="121" t="s">
        <v>101</v>
      </c>
      <c r="N15" s="122">
        <v>30</v>
      </c>
      <c r="O15" s="124" t="s">
        <v>165</v>
      </c>
    </row>
    <row r="16" spans="1:15" x14ac:dyDescent="0.2">
      <c r="A16" s="65">
        <f>Summary!A23</f>
        <v>7</v>
      </c>
      <c r="B16" s="62" t="s">
        <v>61</v>
      </c>
      <c r="C16" s="255">
        <v>198</v>
      </c>
      <c r="D16" s="255">
        <v>198</v>
      </c>
      <c r="E16" s="255">
        <v>198</v>
      </c>
      <c r="F16" s="255">
        <f t="shared" si="0"/>
        <v>198</v>
      </c>
      <c r="G16" s="118">
        <v>0.78300000000000003</v>
      </c>
      <c r="H16" s="118">
        <v>11.501232618728956</v>
      </c>
      <c r="I16" s="119">
        <v>9951</v>
      </c>
      <c r="J16" s="120">
        <v>0.92103867469164169</v>
      </c>
      <c r="K16" s="120">
        <v>0.78680640691975923</v>
      </c>
      <c r="L16" s="120">
        <v>0.87</v>
      </c>
      <c r="M16" s="121" t="s">
        <v>101</v>
      </c>
      <c r="N16" s="122">
        <v>30</v>
      </c>
      <c r="O16" s="124" t="s">
        <v>165</v>
      </c>
    </row>
    <row r="17" spans="1:15" x14ac:dyDescent="0.2">
      <c r="A17" s="65">
        <f>Summary!A24</f>
        <v>8</v>
      </c>
      <c r="B17" s="62" t="s">
        <v>62</v>
      </c>
      <c r="C17" s="255">
        <v>80</v>
      </c>
      <c r="D17" s="255">
        <v>80</v>
      </c>
      <c r="E17" s="255">
        <v>80</v>
      </c>
      <c r="F17" s="255">
        <f t="shared" si="0"/>
        <v>80</v>
      </c>
      <c r="G17" s="118">
        <v>1.26</v>
      </c>
      <c r="H17" s="118">
        <v>11.416993477814385</v>
      </c>
      <c r="I17" s="119">
        <v>13623</v>
      </c>
      <c r="J17" s="120">
        <v>0.84820251283096948</v>
      </c>
      <c r="K17" s="120">
        <v>0.72458539451047244</v>
      </c>
      <c r="L17" s="120">
        <v>0.80120000000000002</v>
      </c>
      <c r="M17" s="121" t="s">
        <v>101</v>
      </c>
      <c r="N17" s="122">
        <v>30</v>
      </c>
      <c r="O17" s="124" t="s">
        <v>165</v>
      </c>
    </row>
    <row r="18" spans="1:15" x14ac:dyDescent="0.2">
      <c r="A18" s="65">
        <f>Summary!A25</f>
        <v>9</v>
      </c>
      <c r="B18" s="62" t="s">
        <v>63</v>
      </c>
      <c r="C18" s="256">
        <v>163</v>
      </c>
      <c r="D18" s="256">
        <v>163</v>
      </c>
      <c r="E18" s="256">
        <v>163</v>
      </c>
      <c r="F18" s="255">
        <f t="shared" si="0"/>
        <v>163</v>
      </c>
      <c r="G18" s="118">
        <v>0.56700000000000006</v>
      </c>
      <c r="H18" s="118">
        <v>16.358652314399947</v>
      </c>
      <c r="I18" s="119">
        <v>9945</v>
      </c>
      <c r="J18" s="120">
        <v>0.8401990043474421</v>
      </c>
      <c r="K18" s="120">
        <v>0.71774831814689388</v>
      </c>
      <c r="L18" s="120">
        <v>0.79364000000000001</v>
      </c>
      <c r="M18" s="121" t="s">
        <v>101</v>
      </c>
      <c r="N18" s="122">
        <v>30</v>
      </c>
      <c r="O18" s="124" t="s">
        <v>165</v>
      </c>
    </row>
    <row r="19" spans="1:15" x14ac:dyDescent="0.2">
      <c r="A19" s="65">
        <f>Summary!A26</f>
        <v>10</v>
      </c>
      <c r="B19" s="62" t="s">
        <v>64</v>
      </c>
      <c r="C19" s="256">
        <v>320</v>
      </c>
      <c r="D19" s="256">
        <v>320</v>
      </c>
      <c r="E19" s="256">
        <v>320</v>
      </c>
      <c r="F19" s="255">
        <f t="shared" si="0"/>
        <v>320</v>
      </c>
      <c r="G19" s="118">
        <v>0.76500000000000001</v>
      </c>
      <c r="H19" s="118">
        <v>11.715507582450382</v>
      </c>
      <c r="I19" s="119">
        <v>10118</v>
      </c>
      <c r="J19" s="120">
        <v>0.90507400433031993</v>
      </c>
      <c r="K19" s="120">
        <v>0.77316842919981654</v>
      </c>
      <c r="L19" s="120">
        <v>0.8549199999999999</v>
      </c>
      <c r="M19" s="121" t="s">
        <v>101</v>
      </c>
      <c r="N19" s="122">
        <v>30</v>
      </c>
      <c r="O19" s="124" t="s">
        <v>165</v>
      </c>
    </row>
    <row r="20" spans="1:15" x14ac:dyDescent="0.2">
      <c r="A20" s="65">
        <f>Summary!A27</f>
        <v>11</v>
      </c>
      <c r="B20" s="62" t="s">
        <v>65</v>
      </c>
      <c r="C20" s="256">
        <v>320</v>
      </c>
      <c r="D20" s="256">
        <v>320</v>
      </c>
      <c r="E20" s="256">
        <v>320</v>
      </c>
      <c r="F20" s="255">
        <f t="shared" si="0"/>
        <v>320</v>
      </c>
      <c r="G20" s="118">
        <v>0.64800000000000002</v>
      </c>
      <c r="H20" s="118">
        <v>14.439328837360701</v>
      </c>
      <c r="I20" s="119">
        <v>9922</v>
      </c>
      <c r="J20" s="120">
        <v>0.97064772330779159</v>
      </c>
      <c r="K20" s="120">
        <v>0.82918542787178207</v>
      </c>
      <c r="L20" s="120">
        <v>0.91686000000000012</v>
      </c>
      <c r="M20" s="121" t="s">
        <v>101</v>
      </c>
      <c r="N20" s="122">
        <v>30</v>
      </c>
      <c r="O20" s="124" t="s">
        <v>165</v>
      </c>
    </row>
    <row r="21" spans="1:15" x14ac:dyDescent="0.2">
      <c r="A21" s="65">
        <f>Summary!A28</f>
        <v>12</v>
      </c>
      <c r="B21" s="62" t="s">
        <v>66</v>
      </c>
      <c r="C21" s="255">
        <v>94</v>
      </c>
      <c r="D21" s="255">
        <v>94</v>
      </c>
      <c r="E21" s="255">
        <v>94</v>
      </c>
      <c r="F21" s="255">
        <f t="shared" si="0"/>
        <v>94</v>
      </c>
      <c r="G21" s="118">
        <v>1.0169999999999999</v>
      </c>
      <c r="H21" s="118">
        <v>30.065011862564315</v>
      </c>
      <c r="I21" s="119">
        <v>11016</v>
      </c>
      <c r="J21" s="120">
        <v>0.95411137376907496</v>
      </c>
      <c r="K21" s="120">
        <v>0.81505908755444112</v>
      </c>
      <c r="L21" s="120">
        <v>0.90123999999999993</v>
      </c>
      <c r="M21" s="121" t="s">
        <v>101</v>
      </c>
      <c r="N21" s="122">
        <v>30</v>
      </c>
      <c r="O21" s="124" t="s">
        <v>165</v>
      </c>
    </row>
    <row r="22" spans="1:15" x14ac:dyDescent="0.2">
      <c r="A22" s="65">
        <f>Summary!A29</f>
        <v>13</v>
      </c>
      <c r="B22" s="62" t="s">
        <v>67</v>
      </c>
      <c r="C22" s="255">
        <v>94</v>
      </c>
      <c r="D22" s="255">
        <v>94</v>
      </c>
      <c r="E22" s="255">
        <v>94</v>
      </c>
      <c r="F22" s="255">
        <f t="shared" si="0"/>
        <v>94</v>
      </c>
      <c r="G22" s="118">
        <v>1.0169999999999999</v>
      </c>
      <c r="H22" s="118">
        <v>32.492926710011531</v>
      </c>
      <c r="I22" s="119">
        <v>10626</v>
      </c>
      <c r="J22" s="120">
        <v>0.92118688781170699</v>
      </c>
      <c r="K22" s="120">
        <v>0.7869330194450106</v>
      </c>
      <c r="L22" s="120">
        <v>0.87013999999999991</v>
      </c>
      <c r="M22" s="121" t="s">
        <v>101</v>
      </c>
      <c r="N22" s="122">
        <v>30</v>
      </c>
      <c r="O22" s="124" t="s">
        <v>165</v>
      </c>
    </row>
    <row r="23" spans="1:15" x14ac:dyDescent="0.2">
      <c r="A23" s="65">
        <f>Summary!A30</f>
        <v>14</v>
      </c>
      <c r="B23" s="62" t="s">
        <v>70</v>
      </c>
      <c r="C23" s="256">
        <v>128</v>
      </c>
      <c r="D23" s="256">
        <v>128</v>
      </c>
      <c r="E23" s="256">
        <v>128</v>
      </c>
      <c r="F23" s="255">
        <f t="shared" si="0"/>
        <v>128</v>
      </c>
      <c r="G23" s="118">
        <v>1.0169999999999999</v>
      </c>
      <c r="H23" s="118">
        <v>22.128762060827789</v>
      </c>
      <c r="I23" s="119">
        <v>10172</v>
      </c>
      <c r="J23" s="120">
        <v>0.94747883664615185</v>
      </c>
      <c r="K23" s="120">
        <v>0.80939317704943847</v>
      </c>
      <c r="L23" s="120">
        <v>0.89497500000000008</v>
      </c>
      <c r="M23" s="121" t="s">
        <v>101</v>
      </c>
      <c r="N23" s="122">
        <v>30</v>
      </c>
      <c r="O23" s="124" t="s">
        <v>165</v>
      </c>
    </row>
    <row r="24" spans="1:15" x14ac:dyDescent="0.2">
      <c r="A24" s="65">
        <f>Summary!A31</f>
        <v>15</v>
      </c>
      <c r="B24" s="62" t="s">
        <v>68</v>
      </c>
      <c r="C24" s="256">
        <v>150</v>
      </c>
      <c r="D24" s="256">
        <v>150</v>
      </c>
      <c r="E24" s="256">
        <v>150</v>
      </c>
      <c r="F24" s="255">
        <f t="shared" si="0"/>
        <v>150</v>
      </c>
      <c r="G24" s="118">
        <v>1.0169999999999999</v>
      </c>
      <c r="H24" s="118">
        <v>23.949203681431438</v>
      </c>
      <c r="I24" s="119">
        <v>9936</v>
      </c>
      <c r="J24" s="120">
        <v>0.90433293872999332</v>
      </c>
      <c r="K24" s="120">
        <v>0.77253536657355937</v>
      </c>
      <c r="L24" s="120">
        <v>0.85421999999999998</v>
      </c>
      <c r="M24" s="121" t="s">
        <v>101</v>
      </c>
      <c r="N24" s="122">
        <v>30</v>
      </c>
      <c r="O24" s="124" t="s">
        <v>165</v>
      </c>
    </row>
    <row r="25" spans="1:15" x14ac:dyDescent="0.2">
      <c r="A25" s="65">
        <f>Summary!A32</f>
        <v>16</v>
      </c>
      <c r="B25" s="62" t="s">
        <v>69</v>
      </c>
      <c r="C25" s="256">
        <v>238</v>
      </c>
      <c r="D25" s="256">
        <v>238</v>
      </c>
      <c r="E25" s="256">
        <v>238</v>
      </c>
      <c r="F25" s="255">
        <f t="shared" si="0"/>
        <v>238</v>
      </c>
      <c r="G25" s="118">
        <v>0.99</v>
      </c>
      <c r="H25" s="118">
        <v>19.609706037173748</v>
      </c>
      <c r="I25" s="119">
        <v>10082</v>
      </c>
      <c r="J25" s="120">
        <v>0.89558836464613945</v>
      </c>
      <c r="K25" s="120">
        <v>0.76506522758372353</v>
      </c>
      <c r="L25" s="120">
        <v>0.84596000000000005</v>
      </c>
      <c r="M25" s="121" t="s">
        <v>101</v>
      </c>
      <c r="N25" s="122">
        <v>30</v>
      </c>
      <c r="O25" s="124" t="s">
        <v>165</v>
      </c>
    </row>
    <row r="26" spans="1:15" x14ac:dyDescent="0.2">
      <c r="A26" s="65">
        <f>Summary!A33</f>
        <v>17</v>
      </c>
      <c r="B26" s="62" t="s">
        <v>71</v>
      </c>
      <c r="C26" s="125">
        <v>155.25</v>
      </c>
      <c r="D26" s="256">
        <v>157.5</v>
      </c>
      <c r="E26" s="256">
        <v>157.5</v>
      </c>
      <c r="F26" s="255">
        <f t="shared" si="0"/>
        <v>156.75</v>
      </c>
      <c r="G26" s="118">
        <v>0.99</v>
      </c>
      <c r="H26" s="118">
        <v>11.482909154620735</v>
      </c>
      <c r="I26" s="119">
        <v>10123</v>
      </c>
      <c r="J26" s="120">
        <v>0.85959374977313274</v>
      </c>
      <c r="K26" s="120">
        <v>0.73431647145122725</v>
      </c>
      <c r="L26" s="120">
        <v>0.81196000000000002</v>
      </c>
      <c r="M26" s="121" t="s">
        <v>101</v>
      </c>
      <c r="N26" s="122">
        <v>30</v>
      </c>
      <c r="O26" s="124" t="s">
        <v>165</v>
      </c>
    </row>
    <row r="27" spans="1:15" x14ac:dyDescent="0.2">
      <c r="A27" s="65">
        <f>Summary!A34</f>
        <v>18</v>
      </c>
      <c r="B27" s="62" t="s">
        <v>72</v>
      </c>
      <c r="C27" s="117">
        <v>604.5</v>
      </c>
      <c r="D27" s="255">
        <v>604.5</v>
      </c>
      <c r="E27" s="255">
        <v>604.5</v>
      </c>
      <c r="F27" s="255">
        <f t="shared" si="0"/>
        <v>604.5</v>
      </c>
      <c r="G27" s="118">
        <v>0.93600000000000005</v>
      </c>
      <c r="H27" s="118">
        <v>17.697391099926911</v>
      </c>
      <c r="I27" s="119">
        <v>9558</v>
      </c>
      <c r="J27" s="120">
        <v>0.91038850334980514</v>
      </c>
      <c r="K27" s="120">
        <v>0.7777083926052617</v>
      </c>
      <c r="L27" s="120">
        <v>0.85994000000000004</v>
      </c>
      <c r="M27" s="121" t="s">
        <v>101</v>
      </c>
      <c r="N27" s="122">
        <v>30</v>
      </c>
      <c r="O27" s="124" t="s">
        <v>165</v>
      </c>
    </row>
    <row r="28" spans="1:15" x14ac:dyDescent="0.2">
      <c r="A28" s="65">
        <f>Summary!A35</f>
        <v>19</v>
      </c>
      <c r="B28" s="62" t="s">
        <v>73</v>
      </c>
      <c r="C28" s="117">
        <v>92</v>
      </c>
      <c r="D28" s="255">
        <v>110</v>
      </c>
      <c r="E28" s="255">
        <v>101</v>
      </c>
      <c r="F28" s="255">
        <f t="shared" si="0"/>
        <v>101</v>
      </c>
      <c r="G28" s="118">
        <v>3.609</v>
      </c>
      <c r="H28" s="118">
        <v>2.6216497424006047</v>
      </c>
      <c r="I28" s="119">
        <v>23281</v>
      </c>
      <c r="J28" s="120">
        <v>0.86442437392762939</v>
      </c>
      <c r="K28" s="120">
        <v>0.82698434312442104</v>
      </c>
      <c r="L28" s="120">
        <v>0.85</v>
      </c>
      <c r="M28" s="121" t="s">
        <v>102</v>
      </c>
      <c r="N28" s="122">
        <v>30</v>
      </c>
      <c r="O28" s="124" t="s">
        <v>167</v>
      </c>
    </row>
    <row r="29" spans="1:15" x14ac:dyDescent="0.2">
      <c r="A29" s="65">
        <f>Summary!A36</f>
        <v>20</v>
      </c>
      <c r="B29" s="62" t="s">
        <v>74</v>
      </c>
      <c r="C29" s="117">
        <v>14.2</v>
      </c>
      <c r="D29" s="255">
        <v>19.5</v>
      </c>
      <c r="E29" s="255">
        <v>15.25</v>
      </c>
      <c r="F29" s="255">
        <f t="shared" si="0"/>
        <v>16.316666666666666</v>
      </c>
      <c r="G29" s="118">
        <v>3.609</v>
      </c>
      <c r="H29" s="118">
        <v>2.6216497424006056</v>
      </c>
      <c r="I29" s="119">
        <v>23281</v>
      </c>
      <c r="J29" s="120">
        <v>0.86442437392762939</v>
      </c>
      <c r="K29" s="120">
        <v>0.82698434312442104</v>
      </c>
      <c r="L29" s="120">
        <v>0.85</v>
      </c>
      <c r="M29" s="121" t="s">
        <v>102</v>
      </c>
      <c r="N29" s="122">
        <v>30</v>
      </c>
      <c r="O29" s="124" t="s">
        <v>167</v>
      </c>
    </row>
    <row r="30" spans="1:15" x14ac:dyDescent="0.2">
      <c r="A30" s="65">
        <f>Summary!A37</f>
        <v>21</v>
      </c>
      <c r="B30" s="62" t="s">
        <v>75</v>
      </c>
      <c r="C30" s="117">
        <v>30</v>
      </c>
      <c r="D30" s="255">
        <v>42.8</v>
      </c>
      <c r="E30" s="255">
        <v>36</v>
      </c>
      <c r="F30" s="255">
        <f t="shared" si="0"/>
        <v>36.266666666666666</v>
      </c>
      <c r="G30" s="118">
        <v>3.609</v>
      </c>
      <c r="H30" s="118">
        <v>2.5919501180161935</v>
      </c>
      <c r="I30" s="119">
        <v>23281</v>
      </c>
      <c r="J30" s="120">
        <v>0.91527286651160766</v>
      </c>
      <c r="K30" s="120">
        <v>0.87563048095526941</v>
      </c>
      <c r="L30" s="120">
        <v>0.9</v>
      </c>
      <c r="M30" s="121" t="s">
        <v>102</v>
      </c>
      <c r="N30" s="122">
        <v>30</v>
      </c>
      <c r="O30" s="124" t="s">
        <v>167</v>
      </c>
    </row>
    <row r="31" spans="1:15" x14ac:dyDescent="0.2">
      <c r="A31" s="65">
        <f>Summary!A38</f>
        <v>22</v>
      </c>
      <c r="B31" s="62" t="s">
        <v>86</v>
      </c>
      <c r="C31" s="117">
        <v>56.8</v>
      </c>
      <c r="D31" s="255">
        <v>78</v>
      </c>
      <c r="E31" s="255">
        <v>61</v>
      </c>
      <c r="F31" s="255">
        <f t="shared" si="0"/>
        <v>65.266666666666666</v>
      </c>
      <c r="G31" s="118">
        <v>3.609</v>
      </c>
      <c r="H31" s="118">
        <v>2.8953601420342117</v>
      </c>
      <c r="I31" s="119">
        <v>20328</v>
      </c>
      <c r="J31" s="120">
        <v>0.86442437392762939</v>
      </c>
      <c r="K31" s="120">
        <v>0.82698434312442104</v>
      </c>
      <c r="L31" s="120">
        <v>0.85</v>
      </c>
      <c r="M31" s="121" t="s">
        <v>102</v>
      </c>
      <c r="N31" s="122">
        <v>30</v>
      </c>
      <c r="O31" s="124" t="s">
        <v>167</v>
      </c>
    </row>
    <row r="32" spans="1:15" x14ac:dyDescent="0.2">
      <c r="A32" s="65">
        <f>Summary!A39</f>
        <v>23</v>
      </c>
      <c r="B32" s="62" t="s">
        <v>76</v>
      </c>
      <c r="C32" s="117">
        <v>51.225000000000001</v>
      </c>
      <c r="D32" s="255">
        <v>61.2</v>
      </c>
      <c r="E32" s="255">
        <v>53.25</v>
      </c>
      <c r="F32" s="255">
        <f t="shared" si="0"/>
        <v>55.225000000000001</v>
      </c>
      <c r="G32" s="118">
        <v>2.16</v>
      </c>
      <c r="H32" s="118">
        <v>1.6255473842115529</v>
      </c>
      <c r="I32" s="119">
        <v>17496</v>
      </c>
      <c r="J32" s="120">
        <v>0.87713649707362396</v>
      </c>
      <c r="K32" s="120">
        <v>0.8391458775821331</v>
      </c>
      <c r="L32" s="120">
        <v>0.86250000000000004</v>
      </c>
      <c r="M32" s="121" t="s">
        <v>102</v>
      </c>
      <c r="N32" s="122">
        <v>30</v>
      </c>
      <c r="O32" s="124" t="s">
        <v>167</v>
      </c>
    </row>
    <row r="33" spans="1:16" x14ac:dyDescent="0.2">
      <c r="A33" s="65">
        <f>Summary!A40</f>
        <v>24</v>
      </c>
      <c r="B33" s="62" t="s">
        <v>77</v>
      </c>
      <c r="C33" s="117">
        <v>51.225000000000001</v>
      </c>
      <c r="D33" s="255">
        <v>61.2</v>
      </c>
      <c r="E33" s="255">
        <v>53.25</v>
      </c>
      <c r="F33" s="255">
        <f t="shared" si="0"/>
        <v>55.225000000000001</v>
      </c>
      <c r="G33" s="118">
        <v>2.16</v>
      </c>
      <c r="H33" s="118">
        <v>1.6255473842115529</v>
      </c>
      <c r="I33" s="119">
        <v>17496</v>
      </c>
      <c r="J33" s="120">
        <v>0.87713649707362396</v>
      </c>
      <c r="K33" s="120">
        <v>0.8391458775821331</v>
      </c>
      <c r="L33" s="120">
        <v>0.86250000000000004</v>
      </c>
      <c r="M33" s="121" t="s">
        <v>102</v>
      </c>
      <c r="N33" s="122">
        <v>30</v>
      </c>
      <c r="O33" s="124" t="s">
        <v>167</v>
      </c>
    </row>
    <row r="34" spans="1:16" x14ac:dyDescent="0.2">
      <c r="A34" s="65">
        <f>Summary!A41</f>
        <v>25</v>
      </c>
      <c r="B34" s="62" t="s">
        <v>78</v>
      </c>
      <c r="C34" s="117">
        <v>51.225000000000001</v>
      </c>
      <c r="D34" s="255">
        <v>61.2</v>
      </c>
      <c r="E34" s="255">
        <v>53.25</v>
      </c>
      <c r="F34" s="255">
        <f t="shared" si="0"/>
        <v>55.225000000000001</v>
      </c>
      <c r="G34" s="118">
        <v>2.16</v>
      </c>
      <c r="H34" s="118">
        <v>1.6255473842115529</v>
      </c>
      <c r="I34" s="119">
        <v>17496</v>
      </c>
      <c r="J34" s="120">
        <v>0.87713649707362396</v>
      </c>
      <c r="K34" s="120">
        <v>0.8391458775821331</v>
      </c>
      <c r="L34" s="120">
        <v>0.86250000000000004</v>
      </c>
      <c r="M34" s="121" t="s">
        <v>102</v>
      </c>
      <c r="N34" s="122">
        <v>30</v>
      </c>
      <c r="O34" s="124" t="s">
        <v>167</v>
      </c>
    </row>
    <row r="35" spans="1:16" x14ac:dyDescent="0.2">
      <c r="A35" s="65">
        <f>Summary!A42</f>
        <v>26</v>
      </c>
      <c r="B35" s="62" t="s">
        <v>79</v>
      </c>
      <c r="C35" s="117">
        <v>51.225000000000001</v>
      </c>
      <c r="D35" s="255">
        <v>61.2</v>
      </c>
      <c r="E35" s="255">
        <v>53.25</v>
      </c>
      <c r="F35" s="255">
        <f t="shared" si="0"/>
        <v>55.225000000000001</v>
      </c>
      <c r="G35" s="118">
        <v>2.16</v>
      </c>
      <c r="H35" s="118">
        <v>1.6255473842115529</v>
      </c>
      <c r="I35" s="119">
        <v>17496</v>
      </c>
      <c r="J35" s="120">
        <v>0.87713649707362396</v>
      </c>
      <c r="K35" s="120">
        <v>0.8391458775821331</v>
      </c>
      <c r="L35" s="120">
        <v>0.86250000000000004</v>
      </c>
      <c r="M35" s="121" t="s">
        <v>102</v>
      </c>
      <c r="N35" s="122">
        <v>30</v>
      </c>
      <c r="O35" s="124" t="s">
        <v>167</v>
      </c>
      <c r="P35" s="238"/>
    </row>
    <row r="36" spans="1:16" x14ac:dyDescent="0.2">
      <c r="A36" s="65">
        <f>Summary!A43</f>
        <v>27</v>
      </c>
      <c r="B36" s="62" t="s">
        <v>80</v>
      </c>
      <c r="C36" s="117">
        <v>83.433000000000007</v>
      </c>
      <c r="D36" s="255">
        <v>94</v>
      </c>
      <c r="E36" s="255">
        <v>86</v>
      </c>
      <c r="F36" s="255">
        <f t="shared" si="0"/>
        <v>87.810999999999993</v>
      </c>
      <c r="G36" s="118">
        <v>1.593</v>
      </c>
      <c r="H36" s="118">
        <v>3.9694785968659136</v>
      </c>
      <c r="I36" s="119">
        <v>16384</v>
      </c>
      <c r="J36" s="120">
        <v>0.96612135909558572</v>
      </c>
      <c r="K36" s="120">
        <v>0.92427661878611755</v>
      </c>
      <c r="L36" s="120">
        <v>0.95</v>
      </c>
      <c r="M36" s="121" t="s">
        <v>103</v>
      </c>
      <c r="N36" s="122">
        <v>30</v>
      </c>
      <c r="O36" s="124" t="s">
        <v>167</v>
      </c>
    </row>
    <row r="37" spans="1:16" x14ac:dyDescent="0.2">
      <c r="A37" s="65">
        <f>Summary!A44</f>
        <v>28</v>
      </c>
      <c r="B37" s="62" t="s">
        <v>81</v>
      </c>
      <c r="C37" s="117">
        <v>83.433000000000007</v>
      </c>
      <c r="D37" s="255">
        <v>94</v>
      </c>
      <c r="E37" s="255">
        <v>86</v>
      </c>
      <c r="F37" s="255">
        <f t="shared" si="0"/>
        <v>87.810999999999993</v>
      </c>
      <c r="G37" s="118">
        <v>1.593</v>
      </c>
      <c r="H37" s="118">
        <v>3.9694785968659136</v>
      </c>
      <c r="I37" s="119">
        <v>16384</v>
      </c>
      <c r="J37" s="120">
        <v>0.96612135909558572</v>
      </c>
      <c r="K37" s="120">
        <v>0.92427661878611755</v>
      </c>
      <c r="L37" s="120">
        <v>0.95</v>
      </c>
      <c r="M37" s="121" t="s">
        <v>103</v>
      </c>
      <c r="N37" s="122">
        <v>30</v>
      </c>
      <c r="O37" s="124" t="s">
        <v>167</v>
      </c>
    </row>
    <row r="38" spans="1:16" x14ac:dyDescent="0.2">
      <c r="A38" s="65">
        <f>Summary!A45</f>
        <v>29</v>
      </c>
      <c r="B38" s="62" t="s">
        <v>82</v>
      </c>
      <c r="C38" s="117">
        <v>83.433000000000007</v>
      </c>
      <c r="D38" s="255">
        <v>94</v>
      </c>
      <c r="E38" s="255">
        <v>86</v>
      </c>
      <c r="F38" s="255">
        <f t="shared" si="0"/>
        <v>87.810999999999993</v>
      </c>
      <c r="G38" s="118">
        <v>1.593</v>
      </c>
      <c r="H38" s="118">
        <v>3.9694785968659136</v>
      </c>
      <c r="I38" s="119">
        <v>16384</v>
      </c>
      <c r="J38" s="120">
        <v>0.96612135909558572</v>
      </c>
      <c r="K38" s="120">
        <v>0.92427661878611755</v>
      </c>
      <c r="L38" s="120">
        <v>0.95</v>
      </c>
      <c r="M38" s="121" t="s">
        <v>103</v>
      </c>
      <c r="N38" s="122">
        <v>30</v>
      </c>
      <c r="O38" s="124" t="s">
        <v>167</v>
      </c>
    </row>
    <row r="39" spans="1:16" x14ac:dyDescent="0.2">
      <c r="A39" s="65">
        <f>Summary!A46</f>
        <v>30</v>
      </c>
      <c r="B39" s="62" t="s">
        <v>83</v>
      </c>
      <c r="C39" s="117">
        <v>83.433000000000007</v>
      </c>
      <c r="D39" s="255">
        <v>94</v>
      </c>
      <c r="E39" s="255">
        <v>86</v>
      </c>
      <c r="F39" s="255">
        <f t="shared" si="0"/>
        <v>87.810999999999993</v>
      </c>
      <c r="G39" s="118">
        <v>1.593</v>
      </c>
      <c r="H39" s="118">
        <v>3.9694785968659136</v>
      </c>
      <c r="I39" s="119">
        <v>16384</v>
      </c>
      <c r="J39" s="120">
        <v>0.96612135909558572</v>
      </c>
      <c r="K39" s="120">
        <v>0.92427661878611755</v>
      </c>
      <c r="L39" s="120">
        <v>0.95</v>
      </c>
      <c r="M39" s="121" t="s">
        <v>103</v>
      </c>
      <c r="N39" s="122">
        <v>30</v>
      </c>
      <c r="O39" s="124" t="s">
        <v>167</v>
      </c>
    </row>
    <row r="40" spans="1:16" x14ac:dyDescent="0.2">
      <c r="A40" s="65">
        <f>Summary!A47</f>
        <v>31</v>
      </c>
      <c r="B40" s="62" t="s">
        <v>84</v>
      </c>
      <c r="C40" s="117">
        <v>83.433000000000007</v>
      </c>
      <c r="D40" s="255">
        <v>94</v>
      </c>
      <c r="E40" s="255">
        <v>86</v>
      </c>
      <c r="F40" s="255">
        <f t="shared" si="0"/>
        <v>87.810999999999993</v>
      </c>
      <c r="G40" s="118">
        <v>1.593</v>
      </c>
      <c r="H40" s="118">
        <v>3.9694785968659136</v>
      </c>
      <c r="I40" s="119">
        <v>16384</v>
      </c>
      <c r="J40" s="120">
        <v>0.96612135909558572</v>
      </c>
      <c r="K40" s="120">
        <v>0.92427661878611755</v>
      </c>
      <c r="L40" s="120">
        <v>0.95</v>
      </c>
      <c r="M40" s="121" t="s">
        <v>103</v>
      </c>
      <c r="N40" s="122">
        <v>30</v>
      </c>
      <c r="O40" s="124" t="s">
        <v>167</v>
      </c>
    </row>
    <row r="41" spans="1:16" x14ac:dyDescent="0.2">
      <c r="A41" s="65">
        <f>Summary!A48</f>
        <v>32</v>
      </c>
      <c r="B41" s="62" t="s">
        <v>85</v>
      </c>
      <c r="C41" s="117">
        <v>83.433000000000007</v>
      </c>
      <c r="D41" s="255">
        <v>94</v>
      </c>
      <c r="E41" s="255">
        <v>86</v>
      </c>
      <c r="F41" s="255">
        <f t="shared" si="0"/>
        <v>87.810999999999993</v>
      </c>
      <c r="G41" s="118">
        <v>1.593</v>
      </c>
      <c r="H41" s="118">
        <v>3.9694785968659136</v>
      </c>
      <c r="I41" s="119">
        <v>16384</v>
      </c>
      <c r="J41" s="120">
        <v>0.96612135909558572</v>
      </c>
      <c r="K41" s="120">
        <v>0.92427661878611755</v>
      </c>
      <c r="L41" s="120">
        <v>0.95</v>
      </c>
      <c r="M41" s="121" t="s">
        <v>103</v>
      </c>
      <c r="N41" s="122">
        <v>30</v>
      </c>
      <c r="O41" s="124" t="s">
        <v>167</v>
      </c>
    </row>
    <row r="42" spans="1:16" ht="13.5" thickBot="1" x14ac:dyDescent="0.25">
      <c r="A42" s="65">
        <f>Summary!A49</f>
        <v>33</v>
      </c>
      <c r="B42" s="64" t="s">
        <v>181</v>
      </c>
      <c r="C42" s="126">
        <v>705</v>
      </c>
      <c r="D42" s="257">
        <v>705</v>
      </c>
      <c r="E42" s="257">
        <v>705</v>
      </c>
      <c r="F42" s="255">
        <f t="shared" si="0"/>
        <v>705</v>
      </c>
      <c r="G42" s="127">
        <v>0.60300000000000009</v>
      </c>
      <c r="H42" s="127">
        <v>4.5</v>
      </c>
      <c r="I42" s="128">
        <v>11304.744680851063</v>
      </c>
      <c r="J42" s="129">
        <v>0.96612135909558572</v>
      </c>
      <c r="K42" s="129">
        <v>0.92427661878611755</v>
      </c>
      <c r="L42" s="129">
        <v>0.95</v>
      </c>
      <c r="M42" s="130" t="s">
        <v>103</v>
      </c>
      <c r="N42" s="131">
        <v>30</v>
      </c>
      <c r="O42" s="132" t="s">
        <v>167</v>
      </c>
      <c r="P42" s="238"/>
    </row>
    <row r="44" spans="1:16" ht="13.5" thickBot="1" x14ac:dyDescent="0.25">
      <c r="B44" t="s">
        <v>135</v>
      </c>
      <c r="C44" s="259">
        <f>SUM(C10:C43)</f>
        <v>5786.8480000000018</v>
      </c>
      <c r="D44" s="259">
        <f>SUM(D10:D43)</f>
        <v>5949.7</v>
      </c>
      <c r="E44" s="259">
        <f>SUM(E10:E43)</f>
        <v>5832.85</v>
      </c>
      <c r="F44" s="78"/>
    </row>
    <row r="46" spans="1:16" x14ac:dyDescent="0.2">
      <c r="B46" s="76"/>
    </row>
    <row r="47" spans="1:16" x14ac:dyDescent="0.2">
      <c r="B47" s="76"/>
      <c r="H47" s="15"/>
    </row>
    <row r="48" spans="1:16" x14ac:dyDescent="0.2">
      <c r="B48" s="76"/>
      <c r="H48" s="15"/>
    </row>
  </sheetData>
  <mergeCells count="1">
    <mergeCell ref="C8:E8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V813"/>
  <sheetViews>
    <sheetView workbookViewId="0"/>
  </sheetViews>
  <sheetFormatPr defaultRowHeight="12.75" x14ac:dyDescent="0.2"/>
  <cols>
    <col min="1" max="1" width="9.140625" style="22"/>
    <col min="2" max="2" width="16.5703125" style="22" bestFit="1" customWidth="1"/>
    <col min="3" max="3" width="12.28515625" style="22" bestFit="1" customWidth="1"/>
    <col min="4" max="4" width="23.5703125" style="22" customWidth="1"/>
    <col min="5" max="8" width="12.28515625" style="22" bestFit="1" customWidth="1"/>
    <col min="9" max="9" width="16.42578125" style="22" customWidth="1"/>
    <col min="10" max="21" width="12.28515625" style="22" bestFit="1" customWidth="1"/>
    <col min="22" max="22" width="9" style="22" bestFit="1" customWidth="1"/>
  </cols>
  <sheetData>
    <row r="1" spans="1:22" ht="15.75" x14ac:dyDescent="0.25">
      <c r="A1" s="216" t="s">
        <v>126</v>
      </c>
    </row>
    <row r="4" spans="1:22" x14ac:dyDescent="0.2">
      <c r="A4" s="44"/>
      <c r="C4" s="12">
        <v>2000</v>
      </c>
      <c r="D4" s="12">
        <v>2001</v>
      </c>
      <c r="E4" s="12">
        <v>2002</v>
      </c>
      <c r="F4" s="12">
        <v>2003</v>
      </c>
      <c r="G4" s="12">
        <v>2004</v>
      </c>
      <c r="H4" s="12">
        <v>2005</v>
      </c>
      <c r="I4" s="12">
        <v>2006</v>
      </c>
      <c r="J4" s="12">
        <v>2007</v>
      </c>
      <c r="K4" s="12">
        <v>2008</v>
      </c>
      <c r="L4" s="12">
        <v>2009</v>
      </c>
      <c r="M4" s="12">
        <v>2010</v>
      </c>
      <c r="N4" s="12">
        <v>2011</v>
      </c>
      <c r="O4" s="12">
        <v>2012</v>
      </c>
      <c r="P4" s="12">
        <v>2013</v>
      </c>
      <c r="Q4" s="12">
        <v>2014</v>
      </c>
      <c r="R4" s="12">
        <v>2015</v>
      </c>
      <c r="S4" s="12">
        <v>2016</v>
      </c>
      <c r="T4" s="12">
        <v>2017</v>
      </c>
      <c r="U4" s="12">
        <v>2018</v>
      </c>
      <c r="V4" s="12">
        <v>2019</v>
      </c>
    </row>
    <row r="6" spans="1:22" x14ac:dyDescent="0.2">
      <c r="B6" s="45"/>
      <c r="C6" s="47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x14ac:dyDescent="0.2">
      <c r="A7" s="23"/>
      <c r="B7" s="4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x14ac:dyDescent="0.2">
      <c r="A8" s="23"/>
      <c r="B8" s="45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x14ac:dyDescent="0.2">
      <c r="A9" s="23"/>
      <c r="B9" s="24"/>
      <c r="C9" s="24"/>
      <c r="D9" s="24"/>
      <c r="E9" s="24"/>
      <c r="F9" s="24"/>
      <c r="G9" s="24"/>
    </row>
    <row r="10" spans="1:22" x14ac:dyDescent="0.2">
      <c r="A10" s="23"/>
      <c r="B10" s="24"/>
      <c r="C10" s="24"/>
      <c r="D10" s="24"/>
      <c r="E10" s="24"/>
      <c r="F10" s="24"/>
      <c r="G10" s="24"/>
    </row>
    <row r="11" spans="1:22" ht="13.5" thickBot="1" x14ac:dyDescent="0.25">
      <c r="A11" s="23"/>
      <c r="B11" s="24"/>
      <c r="C11" s="24"/>
      <c r="D11" s="24"/>
      <c r="E11" s="24"/>
      <c r="F11" s="24"/>
      <c r="G11" s="24"/>
    </row>
    <row r="12" spans="1:22" x14ac:dyDescent="0.2">
      <c r="A12" s="23"/>
      <c r="B12" s="152"/>
      <c r="C12" s="153"/>
      <c r="D12" s="153"/>
      <c r="E12" s="153"/>
      <c r="F12" s="153"/>
      <c r="G12" s="154"/>
    </row>
    <row r="13" spans="1:22" x14ac:dyDescent="0.2">
      <c r="A13" s="23"/>
      <c r="B13" s="155"/>
      <c r="C13" s="156"/>
      <c r="D13" s="157" t="s">
        <v>127</v>
      </c>
      <c r="E13" s="156"/>
      <c r="F13" s="156"/>
      <c r="G13" s="158"/>
      <c r="I13" s="91"/>
      <c r="J13" s="91"/>
    </row>
    <row r="14" spans="1:22" x14ac:dyDescent="0.2">
      <c r="A14" s="23"/>
      <c r="B14" s="155"/>
      <c r="C14" s="156"/>
      <c r="D14" s="157" t="s">
        <v>128</v>
      </c>
      <c r="E14" s="156"/>
      <c r="F14" s="156"/>
      <c r="G14" s="158"/>
      <c r="I14" s="91"/>
      <c r="J14" s="91"/>
    </row>
    <row r="15" spans="1:22" x14ac:dyDescent="0.2">
      <c r="A15" s="23"/>
      <c r="B15" s="155"/>
      <c r="C15" s="156"/>
      <c r="D15" s="156"/>
      <c r="E15" s="156"/>
      <c r="F15" s="156"/>
      <c r="G15" s="158"/>
      <c r="I15" s="91"/>
      <c r="J15" s="91"/>
      <c r="K15" s="91"/>
      <c r="L15" s="91"/>
      <c r="M15" s="91"/>
    </row>
    <row r="16" spans="1:22" x14ac:dyDescent="0.2">
      <c r="A16" s="23"/>
      <c r="B16" s="155"/>
      <c r="C16" s="156"/>
      <c r="D16" s="156"/>
      <c r="E16" s="156"/>
      <c r="F16" s="156"/>
      <c r="G16" s="158"/>
      <c r="I16" s="91"/>
      <c r="J16" s="91"/>
      <c r="K16" s="91"/>
      <c r="L16" s="91"/>
      <c r="M16" s="91"/>
    </row>
    <row r="17" spans="1:22" x14ac:dyDescent="0.2">
      <c r="A17" s="23"/>
      <c r="B17" s="155"/>
      <c r="C17" s="156"/>
      <c r="D17" s="156"/>
      <c r="E17" s="156"/>
      <c r="F17" s="156"/>
      <c r="G17" s="158"/>
    </row>
    <row r="18" spans="1:22" ht="13.5" thickBot="1" x14ac:dyDescent="0.25">
      <c r="A18" s="23"/>
      <c r="B18" s="159"/>
      <c r="C18" s="162">
        <v>11</v>
      </c>
      <c r="D18" s="160"/>
      <c r="E18" s="160"/>
      <c r="F18" s="160"/>
      <c r="G18" s="161"/>
      <c r="H18" s="24"/>
      <c r="I18" s="24"/>
    </row>
    <row r="19" spans="1:22" x14ac:dyDescent="0.2">
      <c r="A19" s="23"/>
      <c r="B19" s="24"/>
      <c r="C19" s="24"/>
      <c r="D19" s="24"/>
      <c r="E19" s="24"/>
      <c r="F19" s="24"/>
      <c r="G19" s="24"/>
      <c r="H19" s="24"/>
      <c r="I19" s="24"/>
    </row>
    <row r="20" spans="1:22" x14ac:dyDescent="0.2">
      <c r="A20" s="23"/>
      <c r="B20" s="24"/>
      <c r="C20" s="24"/>
      <c r="D20" s="24"/>
      <c r="E20" s="24"/>
      <c r="F20" s="24"/>
      <c r="G20" s="24"/>
      <c r="H20" s="24"/>
      <c r="I20" s="24"/>
    </row>
    <row r="21" spans="1:22" x14ac:dyDescent="0.2">
      <c r="A21"/>
      <c r="B21" s="4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2">
      <c r="A22"/>
      <c r="B22" s="4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2">
      <c r="A23" s="265" t="s">
        <v>98</v>
      </c>
      <c r="B23" s="266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</row>
    <row r="24" spans="1:22" x14ac:dyDescent="0.2">
      <c r="A24" s="268" t="s">
        <v>55</v>
      </c>
      <c r="B24" s="266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T24" s="267"/>
      <c r="U24" s="267"/>
      <c r="V24" s="267"/>
    </row>
    <row r="25" spans="1:22" x14ac:dyDescent="0.2">
      <c r="A25" s="267"/>
      <c r="B25" s="266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</row>
    <row r="26" spans="1:22" x14ac:dyDescent="0.2">
      <c r="A26" s="267"/>
      <c r="B26" s="266"/>
      <c r="C26" s="271">
        <v>2000</v>
      </c>
      <c r="D26" s="272">
        <v>2001</v>
      </c>
      <c r="E26" s="272">
        <v>2002</v>
      </c>
      <c r="F26" s="272">
        <v>2003</v>
      </c>
      <c r="G26" s="272">
        <v>2004</v>
      </c>
      <c r="H26" s="272">
        <v>2005</v>
      </c>
      <c r="I26" s="272">
        <v>2006</v>
      </c>
      <c r="J26" s="272">
        <v>2007</v>
      </c>
      <c r="K26" s="272">
        <v>2008</v>
      </c>
      <c r="L26" s="272">
        <v>2009</v>
      </c>
      <c r="M26" s="272">
        <v>2010</v>
      </c>
      <c r="N26" s="272">
        <v>2011</v>
      </c>
      <c r="O26" s="272">
        <v>2012</v>
      </c>
      <c r="P26" s="272">
        <v>2013</v>
      </c>
      <c r="Q26" s="272">
        <v>2014</v>
      </c>
      <c r="R26" s="272">
        <v>2015</v>
      </c>
      <c r="S26" s="272">
        <v>2016</v>
      </c>
      <c r="T26" s="272">
        <v>2017</v>
      </c>
      <c r="U26" s="272">
        <v>2018</v>
      </c>
      <c r="V26" s="272">
        <v>2019</v>
      </c>
    </row>
    <row r="27" spans="1:22" x14ac:dyDescent="0.2">
      <c r="A27" s="269" t="s">
        <v>129</v>
      </c>
      <c r="B27" s="266"/>
      <c r="C27" s="273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</row>
    <row r="28" spans="1:22" x14ac:dyDescent="0.2">
      <c r="A28" s="267"/>
      <c r="B28" s="270" t="s">
        <v>97</v>
      </c>
      <c r="C28" s="275">
        <v>0</v>
      </c>
      <c r="D28" s="276">
        <v>2124006.5232180343</v>
      </c>
      <c r="E28" s="276">
        <v>2095227.2324548278</v>
      </c>
      <c r="F28" s="276">
        <v>2065872.3558763561</v>
      </c>
      <c r="G28" s="276">
        <v>2035930.3817663151</v>
      </c>
      <c r="H28" s="276">
        <v>2005389.5681740728</v>
      </c>
      <c r="I28" s="276">
        <v>1986558.2481768779</v>
      </c>
      <c r="J28" s="276">
        <v>1986558.2481768779</v>
      </c>
      <c r="K28" s="276">
        <v>1986558.2481768779</v>
      </c>
      <c r="L28" s="276">
        <v>1986558.2481768779</v>
      </c>
      <c r="M28" s="276">
        <v>1986558.2481768779</v>
      </c>
      <c r="N28" s="276">
        <v>1986558.2481768779</v>
      </c>
      <c r="O28" s="276">
        <v>1986558.2481768779</v>
      </c>
      <c r="P28" s="276">
        <v>1986558.2481768779</v>
      </c>
      <c r="Q28" s="276">
        <v>1986558.2481768779</v>
      </c>
      <c r="R28" s="276">
        <v>1986558.2481768779</v>
      </c>
      <c r="S28" s="276">
        <v>1986558.2481768779</v>
      </c>
      <c r="T28" s="276">
        <v>1986558.2481768779</v>
      </c>
      <c r="U28" s="276">
        <v>1986558.2481768779</v>
      </c>
      <c r="V28" s="276">
        <v>1986558.2481768779</v>
      </c>
    </row>
    <row r="29" spans="1:22" x14ac:dyDescent="0.2">
      <c r="A29" s="267"/>
      <c r="B29" s="270" t="s">
        <v>91</v>
      </c>
      <c r="C29" s="275">
        <v>0</v>
      </c>
      <c r="D29" s="277">
        <v>0.77713621180849524</v>
      </c>
      <c r="E29" s="277">
        <v>0.76660638115224644</v>
      </c>
      <c r="F29" s="277">
        <v>0.75586595388287237</v>
      </c>
      <c r="G29" s="277">
        <v>0.74491071806811082</v>
      </c>
      <c r="H29" s="277">
        <v>0.7337363775370539</v>
      </c>
      <c r="I29" s="277">
        <v>0.7268463324613913</v>
      </c>
      <c r="J29" s="277">
        <v>0.7268463324613913</v>
      </c>
      <c r="K29" s="277">
        <v>0.7268463324613913</v>
      </c>
      <c r="L29" s="277">
        <v>0.7268463324613913</v>
      </c>
      <c r="M29" s="277">
        <v>0.7268463324613913</v>
      </c>
      <c r="N29" s="277">
        <v>0.7268463324613913</v>
      </c>
      <c r="O29" s="277">
        <v>0.7268463324613913</v>
      </c>
      <c r="P29" s="277">
        <v>0.7268463324613913</v>
      </c>
      <c r="Q29" s="277">
        <v>0.7268463324613913</v>
      </c>
      <c r="R29" s="277">
        <v>0.7268463324613913</v>
      </c>
      <c r="S29" s="277">
        <v>0.7268463324613913</v>
      </c>
      <c r="T29" s="277">
        <v>0.7268463324613913</v>
      </c>
      <c r="U29" s="277">
        <v>0.7268463324613913</v>
      </c>
      <c r="V29" s="277">
        <v>0.7268463324613913</v>
      </c>
    </row>
    <row r="30" spans="1:22" x14ac:dyDescent="0.2">
      <c r="A30" s="269" t="s">
        <v>93</v>
      </c>
      <c r="B30" s="270"/>
      <c r="C30" s="273"/>
      <c r="D30" s="274"/>
      <c r="E30" s="274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274"/>
      <c r="T30" s="274"/>
      <c r="U30" s="274"/>
      <c r="V30" s="274"/>
    </row>
    <row r="31" spans="1:22" x14ac:dyDescent="0.2">
      <c r="A31" s="267"/>
      <c r="B31" s="270" t="s">
        <v>27</v>
      </c>
      <c r="C31" s="278">
        <v>0</v>
      </c>
      <c r="D31" s="279">
        <v>39.337612436551183</v>
      </c>
      <c r="E31" s="279">
        <v>38.876591511234523</v>
      </c>
      <c r="F31" s="279">
        <v>39.50109267967207</v>
      </c>
      <c r="G31" s="279">
        <v>39.043693036795204</v>
      </c>
      <c r="H31" s="279">
        <v>39.278934224594465</v>
      </c>
      <c r="I31" s="279">
        <v>41.862423523676881</v>
      </c>
      <c r="J31" s="279">
        <v>45.026862174247618</v>
      </c>
      <c r="K31" s="279">
        <v>46.239526418644317</v>
      </c>
      <c r="L31" s="279">
        <v>47.194347054021954</v>
      </c>
      <c r="M31" s="279">
        <v>47.363644589041812</v>
      </c>
      <c r="N31" s="279">
        <v>48.39901289751193</v>
      </c>
      <c r="O31" s="279">
        <v>48.922627728966305</v>
      </c>
      <c r="P31" s="279">
        <v>49.511331805816781</v>
      </c>
      <c r="Q31" s="279">
        <v>51.280779091661294</v>
      </c>
      <c r="R31" s="279">
        <v>54.898201879545901</v>
      </c>
      <c r="S31" s="279">
        <v>54.61572229804208</v>
      </c>
      <c r="T31" s="279">
        <v>55.357281017515646</v>
      </c>
      <c r="U31" s="279">
        <v>58.000117418601725</v>
      </c>
      <c r="V31" s="279">
        <v>59.73822349503169</v>
      </c>
    </row>
    <row r="32" spans="1:22" x14ac:dyDescent="0.2">
      <c r="A32" s="267"/>
      <c r="B32" s="270" t="s">
        <v>20</v>
      </c>
      <c r="C32" s="278">
        <v>0</v>
      </c>
      <c r="D32" s="279">
        <v>10.399619200000004</v>
      </c>
      <c r="E32" s="279">
        <v>10.375508799999997</v>
      </c>
      <c r="F32" s="279">
        <v>10.275048799999993</v>
      </c>
      <c r="G32" s="279">
        <v>10.230846400000004</v>
      </c>
      <c r="H32" s="279">
        <v>10.162533600000003</v>
      </c>
      <c r="I32" s="279">
        <v>10.349389200000003</v>
      </c>
      <c r="J32" s="279">
        <v>10.671865800000001</v>
      </c>
      <c r="K32" s="279">
        <v>10.967218200000005</v>
      </c>
      <c r="L32" s="279">
        <v>11.301750000000002</v>
      </c>
      <c r="M32" s="279">
        <v>11.464495200000005</v>
      </c>
      <c r="N32" s="279">
        <v>11.657378400000004</v>
      </c>
      <c r="O32" s="279">
        <v>11.721672799999999</v>
      </c>
      <c r="P32" s="279">
        <v>11.718659000000008</v>
      </c>
      <c r="Q32" s="279">
        <v>11.804050000000005</v>
      </c>
      <c r="R32" s="279">
        <v>11.855284600000006</v>
      </c>
      <c r="S32" s="279">
        <v>11.948712400000003</v>
      </c>
      <c r="T32" s="279">
        <v>12.048167800000002</v>
      </c>
      <c r="U32" s="279">
        <v>12.128535800000002</v>
      </c>
      <c r="V32" s="279">
        <v>12.1918256</v>
      </c>
    </row>
    <row r="33" spans="1:22" x14ac:dyDescent="0.2">
      <c r="A33" s="267"/>
      <c r="B33" s="270" t="s">
        <v>92</v>
      </c>
      <c r="C33" s="278">
        <v>0</v>
      </c>
      <c r="D33" s="279">
        <v>0.89883049405073945</v>
      </c>
      <c r="E33" s="279">
        <v>0.91697280844003948</v>
      </c>
      <c r="F33" s="279">
        <v>0.93548131375585908</v>
      </c>
      <c r="G33" s="279">
        <v>0.95436340132610609</v>
      </c>
      <c r="H33" s="279">
        <v>0.97362661166788012</v>
      </c>
      <c r="I33" s="279">
        <v>0.99327863749876011</v>
      </c>
      <c r="J33" s="279">
        <v>1.0133273268088727</v>
      </c>
      <c r="K33" s="279">
        <v>1.0337806859949685</v>
      </c>
      <c r="L33" s="279">
        <v>1.054646883057758</v>
      </c>
      <c r="M33" s="279">
        <v>1.0759342508637832</v>
      </c>
      <c r="N33" s="279">
        <v>1.0976512904731277</v>
      </c>
      <c r="O33" s="279">
        <v>1.1198066745342969</v>
      </c>
      <c r="P33" s="279">
        <v>1.1424092507476167</v>
      </c>
      <c r="Q33" s="279">
        <v>1.1654680453985446</v>
      </c>
      <c r="R33" s="279">
        <v>1.188992266962293</v>
      </c>
      <c r="S33" s="279">
        <v>1.2129913097812151</v>
      </c>
      <c r="T33" s="279">
        <v>1.2374747578164098</v>
      </c>
      <c r="U33" s="279">
        <v>1.2624523884750567</v>
      </c>
      <c r="V33" s="279">
        <v>1.2879341765149985</v>
      </c>
    </row>
    <row r="34" spans="1:22" x14ac:dyDescent="0.2">
      <c r="A34" s="267"/>
      <c r="B34" s="270" t="s">
        <v>22</v>
      </c>
      <c r="C34" s="278">
        <v>0</v>
      </c>
      <c r="D34" s="279">
        <v>0</v>
      </c>
      <c r="E34" s="279">
        <v>0</v>
      </c>
      <c r="F34" s="279">
        <v>0</v>
      </c>
      <c r="G34" s="279">
        <v>0</v>
      </c>
      <c r="H34" s="279">
        <v>0</v>
      </c>
      <c r="I34" s="279">
        <v>2.5801040300142417</v>
      </c>
      <c r="J34" s="279">
        <v>2.8598392083548774</v>
      </c>
      <c r="K34" s="279">
        <v>3.3358462411860388</v>
      </c>
      <c r="L34" s="279">
        <v>3.4660527924668769</v>
      </c>
      <c r="M34" s="279">
        <v>3.8547836125262664</v>
      </c>
      <c r="N34" s="279">
        <v>4.2463356624321094</v>
      </c>
      <c r="O34" s="279">
        <v>4.7048126049819086</v>
      </c>
      <c r="P34" s="279">
        <v>5.2753325769087782</v>
      </c>
      <c r="Q34" s="279">
        <v>5.8722683580184283</v>
      </c>
      <c r="R34" s="279">
        <v>6.5046794664711944</v>
      </c>
      <c r="S34" s="279">
        <v>7.1421300549870068</v>
      </c>
      <c r="T34" s="279">
        <v>7.0167945833998928</v>
      </c>
      <c r="U34" s="279">
        <v>6.0032472870901969</v>
      </c>
      <c r="V34" s="279">
        <v>6.2242598583756212</v>
      </c>
    </row>
    <row r="35" spans="1:22" x14ac:dyDescent="0.2">
      <c r="A35" s="267"/>
      <c r="B35" s="270" t="s">
        <v>23</v>
      </c>
      <c r="C35" s="278">
        <v>0</v>
      </c>
      <c r="D35" s="279">
        <v>0</v>
      </c>
      <c r="E35" s="279">
        <v>0</v>
      </c>
      <c r="F35" s="279">
        <v>0.64412500406281692</v>
      </c>
      <c r="G35" s="279">
        <v>0.54883487922894636</v>
      </c>
      <c r="H35" s="279">
        <v>0.56976558662692611</v>
      </c>
      <c r="I35" s="279">
        <v>0.59175172806612919</v>
      </c>
      <c r="J35" s="279">
        <v>0.77671209261552909</v>
      </c>
      <c r="K35" s="279">
        <v>0.67825417539150457</v>
      </c>
      <c r="L35" s="279">
        <v>0.71809065632363944</v>
      </c>
      <c r="M35" s="279">
        <v>0.68329076161725955</v>
      </c>
      <c r="N35" s="279">
        <v>0.70286077218320653</v>
      </c>
      <c r="O35" s="279">
        <v>0.72108656487453549</v>
      </c>
      <c r="P35" s="279">
        <v>0.64408159143643329</v>
      </c>
      <c r="Q35" s="279">
        <v>0.66711052168499296</v>
      </c>
      <c r="R35" s="279">
        <v>0.68089661491923403</v>
      </c>
      <c r="S35" s="279">
        <v>0.72306436644082994</v>
      </c>
      <c r="T35" s="279">
        <v>0.67975549824285608</v>
      </c>
      <c r="U35" s="279">
        <v>0.74866709941717191</v>
      </c>
      <c r="V35" s="279">
        <v>0.40761221732930997</v>
      </c>
    </row>
    <row r="36" spans="1:22" x14ac:dyDescent="0.2">
      <c r="A36" s="269" t="s">
        <v>94</v>
      </c>
      <c r="B36" s="270"/>
      <c r="C36" s="273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</row>
    <row r="37" spans="1:22" x14ac:dyDescent="0.2">
      <c r="A37" s="267"/>
      <c r="B37" s="270" t="s">
        <v>34</v>
      </c>
      <c r="C37" s="278">
        <v>0</v>
      </c>
      <c r="D37" s="279">
        <v>13.510507590293523</v>
      </c>
      <c r="E37" s="279">
        <v>13.780717742099394</v>
      </c>
      <c r="F37" s="279">
        <v>14.194396199505483</v>
      </c>
      <c r="G37" s="279">
        <v>14.478974444008415</v>
      </c>
      <c r="H37" s="279">
        <v>14.769261511414221</v>
      </c>
      <c r="I37" s="279">
        <v>15.065372009631288</v>
      </c>
      <c r="J37" s="279">
        <v>15.367422849512417</v>
      </c>
      <c r="K37" s="279">
        <v>15.675533291183379</v>
      </c>
      <c r="L37" s="279">
        <v>15.989824991304779</v>
      </c>
      <c r="M37" s="279">
        <v>16.31042205128605</v>
      </c>
      <c r="N37" s="279">
        <v>16.637451066470824</v>
      </c>
      <c r="O37" s="279">
        <v>16.971041176313271</v>
      </c>
      <c r="P37" s="279">
        <v>17.311324115565395</v>
      </c>
      <c r="Q37" s="279">
        <v>17.658434266495703</v>
      </c>
      <c r="R37" s="279">
        <v>18.012508712160095</v>
      </c>
      <c r="S37" s="279">
        <v>18.373687290746137</v>
      </c>
      <c r="T37" s="279">
        <v>18.742112651012469</v>
      </c>
      <c r="U37" s="279">
        <v>19.117930308845416</v>
      </c>
      <c r="V37" s="279">
        <v>19.501288704955343</v>
      </c>
    </row>
    <row r="38" spans="1:22" x14ac:dyDescent="0.2">
      <c r="A38" s="267"/>
      <c r="B38" s="270" t="s">
        <v>95</v>
      </c>
      <c r="C38" s="278">
        <v>0</v>
      </c>
      <c r="D38" s="279">
        <v>1.2238317756530515</v>
      </c>
      <c r="E38" s="279">
        <v>1.4322076624427091</v>
      </c>
      <c r="F38" s="279">
        <v>1.4650043529479324</v>
      </c>
      <c r="G38" s="279">
        <v>1.4985422486585731</v>
      </c>
      <c r="H38" s="279">
        <v>1.5328783462871276</v>
      </c>
      <c r="I38" s="279">
        <v>1.5696635783465211</v>
      </c>
      <c r="J38" s="279">
        <v>1.605733114866063</v>
      </c>
      <c r="K38" s="279">
        <v>1.6427156458952883</v>
      </c>
      <c r="L38" s="279">
        <v>1.6806116454409357</v>
      </c>
      <c r="M38" s="279">
        <v>1.7194739929749967</v>
      </c>
      <c r="N38" s="279">
        <v>1.7592768093193822</v>
      </c>
      <c r="O38" s="279">
        <v>1.800082656635646</v>
      </c>
      <c r="P38" s="279">
        <v>1.841924972473743</v>
      </c>
      <c r="Q38" s="279">
        <v>1.8848133462077923</v>
      </c>
      <c r="R38" s="279">
        <v>1.9287782181225663</v>
      </c>
      <c r="S38" s="279">
        <v>1.9738422118352099</v>
      </c>
      <c r="T38" s="279">
        <v>2.0200237925919269</v>
      </c>
      <c r="U38" s="279">
        <v>2.0673645310256377</v>
      </c>
      <c r="V38" s="279">
        <v>2.115893521994034</v>
      </c>
    </row>
    <row r="39" spans="1:22" x14ac:dyDescent="0.2">
      <c r="A39" s="267"/>
      <c r="B39" s="270" t="s">
        <v>36</v>
      </c>
      <c r="C39" s="278">
        <v>0</v>
      </c>
      <c r="D39" s="279">
        <v>1.6875063244606188</v>
      </c>
      <c r="E39" s="279">
        <v>1.7231127079067468</v>
      </c>
      <c r="F39" s="279">
        <v>1.7608488762099073</v>
      </c>
      <c r="G39" s="279">
        <v>1.8006440608122372</v>
      </c>
      <c r="H39" s="279">
        <v>1.8434993894595737</v>
      </c>
      <c r="I39" s="279">
        <v>1.8896976694897372</v>
      </c>
      <c r="J39" s="279">
        <v>1.9365674361482499</v>
      </c>
      <c r="K39" s="279">
        <v>1.9855859600174712</v>
      </c>
      <c r="L39" s="279">
        <v>2.0346299332299069</v>
      </c>
      <c r="M39" s="279">
        <v>2.0865129965272597</v>
      </c>
      <c r="N39" s="279">
        <v>2.1370066110432306</v>
      </c>
      <c r="O39" s="279">
        <v>2.1908591776415127</v>
      </c>
      <c r="P39" s="279">
        <v>2.2465070007536028</v>
      </c>
      <c r="Q39" s="279">
        <v>2.3026696757724423</v>
      </c>
      <c r="R39" s="279">
        <v>2.3604666846343303</v>
      </c>
      <c r="S39" s="279">
        <v>2.4194783517501923</v>
      </c>
      <c r="T39" s="279">
        <v>2.4794814148735962</v>
      </c>
      <c r="U39" s="279">
        <v>2.5417163983869262</v>
      </c>
      <c r="V39" s="279">
        <v>2.6055134799864392</v>
      </c>
    </row>
    <row r="40" spans="1:22" x14ac:dyDescent="0.2">
      <c r="A40" s="267"/>
      <c r="B40" s="270" t="s">
        <v>39</v>
      </c>
      <c r="C40" s="278">
        <v>0</v>
      </c>
      <c r="D40" s="279">
        <v>3.982691987179487</v>
      </c>
      <c r="E40" s="279">
        <v>0.76923060897435658</v>
      </c>
      <c r="F40" s="279">
        <v>1.2820511538461539</v>
      </c>
      <c r="G40" s="279">
        <v>0.76923038461538462</v>
      </c>
      <c r="H40" s="279">
        <v>1.5224356987179484</v>
      </c>
      <c r="I40" s="279">
        <v>1.5681087696794869</v>
      </c>
      <c r="J40" s="279">
        <v>1.6151520327698714</v>
      </c>
      <c r="K40" s="279">
        <v>1.6636065937529678</v>
      </c>
      <c r="L40" s="279">
        <v>1.7135147915655569</v>
      </c>
      <c r="M40" s="279">
        <v>1.7649202353125237</v>
      </c>
      <c r="N40" s="279">
        <v>1.8178678423718995</v>
      </c>
      <c r="O40" s="279">
        <v>1.8724038776430565</v>
      </c>
      <c r="P40" s="279">
        <v>1.9285759939723479</v>
      </c>
      <c r="Q40" s="279">
        <v>1.9864332737915185</v>
      </c>
      <c r="R40" s="279">
        <v>2.046026272005264</v>
      </c>
      <c r="S40" s="279">
        <v>2.1074070601654218</v>
      </c>
      <c r="T40" s="279">
        <v>2.1706292719703844</v>
      </c>
      <c r="U40" s="279">
        <v>2.235748150129496</v>
      </c>
      <c r="V40" s="279">
        <v>2.3028205946333804</v>
      </c>
    </row>
    <row r="41" spans="1:22" x14ac:dyDescent="0.2">
      <c r="A41" s="267"/>
      <c r="B41" s="270" t="s">
        <v>96</v>
      </c>
      <c r="C41" s="280">
        <v>0</v>
      </c>
      <c r="D41" s="281">
        <v>4.7178307692307691</v>
      </c>
      <c r="E41" s="281">
        <v>67.987012692307701</v>
      </c>
      <c r="F41" s="281">
        <v>9.0894696153846155</v>
      </c>
      <c r="G41" s="281">
        <v>0</v>
      </c>
      <c r="H41" s="281">
        <v>0</v>
      </c>
      <c r="I41" s="281">
        <v>0</v>
      </c>
      <c r="J41" s="281">
        <v>0</v>
      </c>
      <c r="K41" s="281">
        <v>0</v>
      </c>
      <c r="L41" s="281">
        <v>0</v>
      </c>
      <c r="M41" s="281">
        <v>0</v>
      </c>
      <c r="N41" s="281">
        <v>0</v>
      </c>
      <c r="O41" s="281">
        <v>0</v>
      </c>
      <c r="P41" s="281">
        <v>0</v>
      </c>
      <c r="Q41" s="281">
        <v>0</v>
      </c>
      <c r="R41" s="281">
        <v>0</v>
      </c>
      <c r="S41" s="281">
        <v>0</v>
      </c>
      <c r="T41" s="281">
        <v>0</v>
      </c>
      <c r="U41" s="281">
        <v>0</v>
      </c>
      <c r="V41" s="281">
        <v>0</v>
      </c>
    </row>
    <row r="42" spans="1:22" x14ac:dyDescent="0.2">
      <c r="A42" s="267"/>
      <c r="B42" s="270"/>
      <c r="C42" s="267"/>
      <c r="D42" s="267"/>
      <c r="E42" s="267"/>
      <c r="F42" s="267"/>
      <c r="G42" s="267"/>
      <c r="H42" s="267"/>
      <c r="I42" s="267"/>
      <c r="J42" s="267"/>
      <c r="K42" s="267"/>
      <c r="L42" s="267"/>
      <c r="M42" s="267"/>
      <c r="N42" s="267"/>
      <c r="O42" s="267"/>
      <c r="P42" s="267"/>
      <c r="Q42" s="267"/>
      <c r="R42" s="267"/>
      <c r="S42" s="267"/>
      <c r="T42" s="267"/>
      <c r="U42" s="267"/>
      <c r="V42" s="267"/>
    </row>
    <row r="43" spans="1:22" x14ac:dyDescent="0.2">
      <c r="A43" s="267"/>
      <c r="B43" s="270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</row>
    <row r="44" spans="1:22" x14ac:dyDescent="0.2">
      <c r="A44" s="284"/>
      <c r="B44" s="285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4"/>
      <c r="N44" s="284"/>
      <c r="O44" s="284"/>
      <c r="P44" s="284"/>
      <c r="Q44" s="284"/>
      <c r="R44" s="284"/>
      <c r="S44" s="284"/>
      <c r="T44" s="284"/>
      <c r="U44" s="284"/>
      <c r="V44" s="284"/>
    </row>
    <row r="45" spans="1:22" x14ac:dyDescent="0.2">
      <c r="A45" s="287"/>
      <c r="B45" s="285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</row>
    <row r="46" spans="1:22" x14ac:dyDescent="0.2">
      <c r="A46" s="265" t="s">
        <v>98</v>
      </c>
      <c r="B46" s="266"/>
      <c r="C46" s="267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267"/>
    </row>
    <row r="47" spans="1:22" x14ac:dyDescent="0.2">
      <c r="A47" s="268" t="s">
        <v>56</v>
      </c>
      <c r="B47" s="266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</row>
    <row r="48" spans="1:22" x14ac:dyDescent="0.2">
      <c r="A48" s="267"/>
      <c r="B48" s="266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</row>
    <row r="49" spans="1:22" x14ac:dyDescent="0.2">
      <c r="A49" s="267"/>
      <c r="B49" s="266"/>
      <c r="C49" s="271">
        <v>2000</v>
      </c>
      <c r="D49" s="272">
        <v>2001</v>
      </c>
      <c r="E49" s="272">
        <v>2002</v>
      </c>
      <c r="F49" s="272">
        <v>2003</v>
      </c>
      <c r="G49" s="272">
        <v>2004</v>
      </c>
      <c r="H49" s="272">
        <v>2005</v>
      </c>
      <c r="I49" s="272">
        <v>2006</v>
      </c>
      <c r="J49" s="272">
        <v>2007</v>
      </c>
      <c r="K49" s="272">
        <v>2008</v>
      </c>
      <c r="L49" s="272">
        <v>2009</v>
      </c>
      <c r="M49" s="272">
        <v>2010</v>
      </c>
      <c r="N49" s="272">
        <v>2011</v>
      </c>
      <c r="O49" s="272">
        <v>2012</v>
      </c>
      <c r="P49" s="272">
        <v>2013</v>
      </c>
      <c r="Q49" s="272">
        <v>2014</v>
      </c>
      <c r="R49" s="272">
        <v>2015</v>
      </c>
      <c r="S49" s="272">
        <v>2016</v>
      </c>
      <c r="T49" s="272">
        <v>2017</v>
      </c>
      <c r="U49" s="272">
        <v>2018</v>
      </c>
      <c r="V49" s="272">
        <v>2019</v>
      </c>
    </row>
    <row r="50" spans="1:22" x14ac:dyDescent="0.2">
      <c r="A50" s="269" t="s">
        <v>129</v>
      </c>
      <c r="B50" s="266"/>
      <c r="C50" s="273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4"/>
      <c r="V50" s="274"/>
    </row>
    <row r="51" spans="1:22" x14ac:dyDescent="0.2">
      <c r="A51" s="267"/>
      <c r="B51" s="270" t="s">
        <v>97</v>
      </c>
      <c r="C51" s="275">
        <v>0</v>
      </c>
      <c r="D51" s="276">
        <v>3019331.3506249986</v>
      </c>
      <c r="E51" s="276">
        <v>2978420.8289762926</v>
      </c>
      <c r="F51" s="276">
        <v>2936692.0968946125</v>
      </c>
      <c r="G51" s="276">
        <v>2894128.7901712987</v>
      </c>
      <c r="H51" s="276">
        <v>2850714.2173135183</v>
      </c>
      <c r="I51" s="276">
        <v>2823944.9987543211</v>
      </c>
      <c r="J51" s="276">
        <v>2823944.9987543211</v>
      </c>
      <c r="K51" s="276">
        <v>2823944.9987543211</v>
      </c>
      <c r="L51" s="276">
        <v>2823944.9987543211</v>
      </c>
      <c r="M51" s="276">
        <v>2823944.9987543211</v>
      </c>
      <c r="N51" s="276">
        <v>2823944.9987543211</v>
      </c>
      <c r="O51" s="276">
        <v>2823944.9987543211</v>
      </c>
      <c r="P51" s="276">
        <v>2823944.9987543211</v>
      </c>
      <c r="Q51" s="276">
        <v>2823944.9987543211</v>
      </c>
      <c r="R51" s="276">
        <v>2823944.9987543211</v>
      </c>
      <c r="S51" s="276">
        <v>2823944.9987543211</v>
      </c>
      <c r="T51" s="276">
        <v>2823944.9987543211</v>
      </c>
      <c r="U51" s="276">
        <v>2823944.9987543211</v>
      </c>
      <c r="V51" s="276">
        <v>2823944.9987543211</v>
      </c>
    </row>
    <row r="52" spans="1:22" x14ac:dyDescent="0.2">
      <c r="A52" s="267"/>
      <c r="B52" s="270" t="s">
        <v>91</v>
      </c>
      <c r="C52" s="275">
        <v>0</v>
      </c>
      <c r="D52" s="277">
        <v>0.83254233963806679</v>
      </c>
      <c r="E52" s="277">
        <v>0.82126178197347754</v>
      </c>
      <c r="F52" s="277">
        <v>0.80975561315559652</v>
      </c>
      <c r="G52" s="277">
        <v>0.79801932096135775</v>
      </c>
      <c r="H52" s="277">
        <v>0.78604830292323424</v>
      </c>
      <c r="I52" s="277">
        <v>0.77866703029645101</v>
      </c>
      <c r="J52" s="277">
        <v>0.77866703029645101</v>
      </c>
      <c r="K52" s="277">
        <v>0.77866703029645101</v>
      </c>
      <c r="L52" s="277">
        <v>0.77866703029645101</v>
      </c>
      <c r="M52" s="277">
        <v>0.77866703029645101</v>
      </c>
      <c r="N52" s="277">
        <v>0.77866703029645101</v>
      </c>
      <c r="O52" s="277">
        <v>0.77866703029645101</v>
      </c>
      <c r="P52" s="277">
        <v>0.77866703029645101</v>
      </c>
      <c r="Q52" s="277">
        <v>0.77866703029645101</v>
      </c>
      <c r="R52" s="277">
        <v>0.77866703029645101</v>
      </c>
      <c r="S52" s="277">
        <v>0.77866703029645101</v>
      </c>
      <c r="T52" s="277">
        <v>0.77866703029645101</v>
      </c>
      <c r="U52" s="277">
        <v>0.77866703029645101</v>
      </c>
      <c r="V52" s="277">
        <v>0.77866703029645101</v>
      </c>
    </row>
    <row r="53" spans="1:22" x14ac:dyDescent="0.2">
      <c r="A53" s="269" t="s">
        <v>93</v>
      </c>
      <c r="B53" s="270"/>
      <c r="C53" s="273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</row>
    <row r="54" spans="1:22" x14ac:dyDescent="0.2">
      <c r="A54" s="267"/>
      <c r="B54" s="270" t="s">
        <v>27</v>
      </c>
      <c r="C54" s="278">
        <v>0</v>
      </c>
      <c r="D54" s="279">
        <v>39.337612436551176</v>
      </c>
      <c r="E54" s="279">
        <v>38.87659151123453</v>
      </c>
      <c r="F54" s="279">
        <v>39.50109267967207</v>
      </c>
      <c r="G54" s="279">
        <v>39.043693036795197</v>
      </c>
      <c r="H54" s="279">
        <v>39.278934224594465</v>
      </c>
      <c r="I54" s="279">
        <v>41.862423523676888</v>
      </c>
      <c r="J54" s="279">
        <v>45.026862174247618</v>
      </c>
      <c r="K54" s="279">
        <v>46.239526418644346</v>
      </c>
      <c r="L54" s="279">
        <v>47.194347054021975</v>
      </c>
      <c r="M54" s="279">
        <v>47.36364458904184</v>
      </c>
      <c r="N54" s="279">
        <v>48.399012897511938</v>
      </c>
      <c r="O54" s="279">
        <v>48.922627728966305</v>
      </c>
      <c r="P54" s="279">
        <v>49.511331805816845</v>
      </c>
      <c r="Q54" s="279">
        <v>51.28077909166123</v>
      </c>
      <c r="R54" s="279">
        <v>54.898201879545944</v>
      </c>
      <c r="S54" s="279">
        <v>54.61572229804208</v>
      </c>
      <c r="T54" s="279">
        <v>55.357281017515604</v>
      </c>
      <c r="U54" s="279">
        <v>58.000117418601739</v>
      </c>
      <c r="V54" s="279">
        <v>59.738223495031662</v>
      </c>
    </row>
    <row r="55" spans="1:22" x14ac:dyDescent="0.2">
      <c r="A55" s="267"/>
      <c r="B55" s="270" t="s">
        <v>20</v>
      </c>
      <c r="C55" s="278">
        <v>0</v>
      </c>
      <c r="D55" s="279">
        <v>9.4885449000000008</v>
      </c>
      <c r="E55" s="279">
        <v>9.4546242000000014</v>
      </c>
      <c r="F55" s="279">
        <v>9.4751821999999954</v>
      </c>
      <c r="G55" s="279">
        <v>9.5903069999999992</v>
      </c>
      <c r="H55" s="279">
        <v>9.7701895000000025</v>
      </c>
      <c r="I55" s="279">
        <v>10.104257</v>
      </c>
      <c r="J55" s="279">
        <v>10.507193800000001</v>
      </c>
      <c r="K55" s="279">
        <v>10.833038100000003</v>
      </c>
      <c r="L55" s="279">
        <v>11.160938200000006</v>
      </c>
      <c r="M55" s="279">
        <v>11.552568099999995</v>
      </c>
      <c r="N55" s="279">
        <v>11.9349469</v>
      </c>
      <c r="O55" s="279">
        <v>12.1775313</v>
      </c>
      <c r="P55" s="279">
        <v>12.344051100000001</v>
      </c>
      <c r="Q55" s="279">
        <v>12.588691300000001</v>
      </c>
      <c r="R55" s="279">
        <v>12.832303599999998</v>
      </c>
      <c r="S55" s="279">
        <v>13.084139099999998</v>
      </c>
      <c r="T55" s="279">
        <v>13.339058300000001</v>
      </c>
      <c r="U55" s="279">
        <v>13.6001449</v>
      </c>
      <c r="V55" s="279">
        <v>13.864315200000002</v>
      </c>
    </row>
    <row r="56" spans="1:22" x14ac:dyDescent="0.2">
      <c r="A56" s="267"/>
      <c r="B56" s="270" t="s">
        <v>92</v>
      </c>
      <c r="C56" s="278">
        <v>0</v>
      </c>
      <c r="D56" s="279">
        <v>2.1219812694599938</v>
      </c>
      <c r="E56" s="279">
        <v>2.1648120941522593</v>
      </c>
      <c r="F56" s="279">
        <v>2.7319074314442457</v>
      </c>
      <c r="G56" s="279">
        <v>2.7895697309657552</v>
      </c>
      <c r="H56" s="279">
        <v>2.8484589195561281</v>
      </c>
      <c r="I56" s="279">
        <v>2.9086013364983598</v>
      </c>
      <c r="J56" s="279">
        <v>2.9700238920998432</v>
      </c>
      <c r="K56" s="279">
        <v>3.0327540802027002</v>
      </c>
      <c r="L56" s="279">
        <v>3.0968199909712473</v>
      </c>
      <c r="M56" s="279">
        <v>3.1622503239627862</v>
      </c>
      <c r="N56" s="279">
        <v>3.2290744014880906</v>
      </c>
      <c r="O56" s="279">
        <v>3.2973221822680667</v>
      </c>
      <c r="P56" s="279">
        <v>3.3670242753932356</v>
      </c>
      <c r="Q56" s="279">
        <v>3.4382119545928331</v>
      </c>
      <c r="R56" s="279">
        <v>3.5109171728204562</v>
      </c>
      <c r="S56" s="279">
        <v>3.5851725771633802</v>
      </c>
      <c r="T56" s="279">
        <v>3.6610115240827961</v>
      </c>
      <c r="U56" s="279">
        <v>3.7384680949924038</v>
      </c>
      <c r="V56" s="279">
        <v>3.8175771121829558</v>
      </c>
    </row>
    <row r="57" spans="1:22" x14ac:dyDescent="0.2">
      <c r="A57" s="267"/>
      <c r="B57" s="270" t="s">
        <v>22</v>
      </c>
      <c r="C57" s="278">
        <v>0</v>
      </c>
      <c r="D57" s="279">
        <v>0</v>
      </c>
      <c r="E57" s="279">
        <v>0</v>
      </c>
      <c r="F57" s="279">
        <v>0</v>
      </c>
      <c r="G57" s="279">
        <v>0</v>
      </c>
      <c r="H57" s="279">
        <v>0</v>
      </c>
      <c r="I57" s="279">
        <v>-0.95491015214039909</v>
      </c>
      <c r="J57" s="279">
        <v>-1.0584416216473882</v>
      </c>
      <c r="K57" s="279">
        <v>-1.1452848081025551</v>
      </c>
      <c r="L57" s="279">
        <v>-1.2828044764392437</v>
      </c>
      <c r="M57" s="279">
        <v>-1.4266758096127841</v>
      </c>
      <c r="N57" s="279">
        <v>-1.5715912948788593</v>
      </c>
      <c r="O57" s="279">
        <v>-1.7412760369939588</v>
      </c>
      <c r="P57" s="279">
        <v>-1.9524284970708563</v>
      </c>
      <c r="Q57" s="279">
        <v>-2.1733575878851963</v>
      </c>
      <c r="R57" s="279">
        <v>-2.4074162850395799</v>
      </c>
      <c r="S57" s="279">
        <v>-2.643340120427824</v>
      </c>
      <c r="T57" s="279">
        <v>-2.5969527992773718</v>
      </c>
      <c r="U57" s="279">
        <v>-2.2218335825087223</v>
      </c>
      <c r="V57" s="279">
        <v>-2.303631504459156</v>
      </c>
    </row>
    <row r="58" spans="1:22" x14ac:dyDescent="0.2">
      <c r="A58" s="267"/>
      <c r="B58" s="270" t="s">
        <v>23</v>
      </c>
      <c r="C58" s="278">
        <v>0</v>
      </c>
      <c r="D58" s="279">
        <v>0</v>
      </c>
      <c r="E58" s="279">
        <v>0</v>
      </c>
      <c r="F58" s="279">
        <v>0.49429829659280017</v>
      </c>
      <c r="G58" s="279">
        <v>0.42117313285842661</v>
      </c>
      <c r="H58" s="279">
        <v>0.43723525270790636</v>
      </c>
      <c r="I58" s="279">
        <v>0.45410730734559096</v>
      </c>
      <c r="J58" s="279">
        <v>0.59604496316904865</v>
      </c>
      <c r="K58" s="279">
        <v>0.52048885144703905</v>
      </c>
      <c r="L58" s="279">
        <v>0.55105916705783542</v>
      </c>
      <c r="M58" s="279">
        <v>0.52435390244852254</v>
      </c>
      <c r="N58" s="279">
        <v>0.53937183037561043</v>
      </c>
      <c r="O58" s="279">
        <v>0.55335821224955306</v>
      </c>
      <c r="P58" s="279">
        <v>0.49426498196111085</v>
      </c>
      <c r="Q58" s="279">
        <v>0.5119372674995053</v>
      </c>
      <c r="R58" s="279">
        <v>0.5225166462837052</v>
      </c>
      <c r="S58" s="279">
        <v>0.55487596724905097</v>
      </c>
      <c r="T58" s="279">
        <v>0.52164095907114638</v>
      </c>
      <c r="U58" s="279">
        <v>0.5745233760881775</v>
      </c>
      <c r="V58" s="279">
        <v>0.31279957061974739</v>
      </c>
    </row>
    <row r="59" spans="1:22" x14ac:dyDescent="0.2">
      <c r="A59" s="269" t="s">
        <v>94</v>
      </c>
      <c r="B59" s="270"/>
      <c r="C59" s="273"/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74"/>
      <c r="V59" s="274"/>
    </row>
    <row r="60" spans="1:22" x14ac:dyDescent="0.2">
      <c r="A60" s="267"/>
      <c r="B60" s="270" t="s">
        <v>34</v>
      </c>
      <c r="C60" s="278">
        <v>0</v>
      </c>
      <c r="D60" s="279">
        <v>5.8141407878942895</v>
      </c>
      <c r="E60" s="279">
        <v>5.9304236036521756</v>
      </c>
      <c r="F60" s="279">
        <v>6.2285127520537218</v>
      </c>
      <c r="G60" s="279">
        <v>6.3539804104764386</v>
      </c>
      <c r="H60" s="279">
        <v>6.481979857152151</v>
      </c>
      <c r="I60" s="279">
        <v>6.6125622887230335</v>
      </c>
      <c r="J60" s="279">
        <v>6.7457799397860283</v>
      </c>
      <c r="K60" s="279">
        <v>6.8816861040024966</v>
      </c>
      <c r="L60" s="279">
        <v>7.0203351556388123</v>
      </c>
      <c r="M60" s="279">
        <v>7.1617825715467616</v>
      </c>
      <c r="N60" s="279">
        <v>7.306084953592749</v>
      </c>
      <c r="O60" s="279">
        <v>7.4533000515450336</v>
      </c>
      <c r="P60" s="279">
        <v>7.6034867864283733</v>
      </c>
      <c r="Q60" s="279">
        <v>7.7567052743556912</v>
      </c>
      <c r="R60" s="279">
        <v>7.9130168508465246</v>
      </c>
      <c r="S60" s="279">
        <v>8.0724840956422668</v>
      </c>
      <c r="T60" s="279">
        <v>8.2351708580283951</v>
      </c>
      <c r="U60" s="279">
        <v>8.4011422826740763</v>
      </c>
      <c r="V60" s="279">
        <v>8.5704648359998004</v>
      </c>
    </row>
    <row r="61" spans="1:22" x14ac:dyDescent="0.2">
      <c r="A61" s="267"/>
      <c r="B61" s="270" t="s">
        <v>95</v>
      </c>
      <c r="C61" s="278">
        <v>0</v>
      </c>
      <c r="D61" s="279">
        <v>1.4427984284729249</v>
      </c>
      <c r="E61" s="279">
        <v>1.4815795373600618</v>
      </c>
      <c r="F61" s="279">
        <v>1.5212099525318268</v>
      </c>
      <c r="G61" s="279">
        <v>1.5617360150864734</v>
      </c>
      <c r="H61" s="279">
        <v>1.6032265979299205</v>
      </c>
      <c r="I61" s="279">
        <v>1.6457569389505475</v>
      </c>
      <c r="J61" s="279">
        <v>1.6893421509125575</v>
      </c>
      <c r="K61" s="279">
        <v>1.7340305946614005</v>
      </c>
      <c r="L61" s="279">
        <v>1.77982284297084</v>
      </c>
      <c r="M61" s="279">
        <v>1.8267827936121701</v>
      </c>
      <c r="N61" s="279">
        <v>1.8748791750590208</v>
      </c>
      <c r="O61" s="279">
        <v>1.9241875853183317</v>
      </c>
      <c r="P61" s="279">
        <v>1.9747484291982291</v>
      </c>
      <c r="Q61" s="279">
        <v>2.0265732941751242</v>
      </c>
      <c r="R61" s="279">
        <v>2.0796989632629388</v>
      </c>
      <c r="S61" s="279">
        <v>2.1341527740779491</v>
      </c>
      <c r="T61" s="279">
        <v>2.1899570394011718</v>
      </c>
      <c r="U61" s="279">
        <v>2.2471619917840071</v>
      </c>
      <c r="V61" s="279">
        <v>2.3058027884716519</v>
      </c>
    </row>
    <row r="62" spans="1:22" x14ac:dyDescent="0.2">
      <c r="A62" s="267"/>
      <c r="B62" s="270" t="s">
        <v>36</v>
      </c>
      <c r="C62" s="278">
        <v>0</v>
      </c>
      <c r="D62" s="279">
        <v>2.3497246384427464</v>
      </c>
      <c r="E62" s="279">
        <v>2.3993038283139034</v>
      </c>
      <c r="F62" s="279">
        <v>2.4518485821539855</v>
      </c>
      <c r="G62" s="279">
        <v>2.507260360110652</v>
      </c>
      <c r="H62" s="279">
        <v>2.5669331566812801</v>
      </c>
      <c r="I62" s="279">
        <v>2.6312607596461111</v>
      </c>
      <c r="J62" s="279">
        <v>2.6965233568400966</v>
      </c>
      <c r="K62" s="279">
        <v>2.7647779355673427</v>
      </c>
      <c r="L62" s="279">
        <v>2.8330679505758454</v>
      </c>
      <c r="M62" s="279">
        <v>2.9053111833155314</v>
      </c>
      <c r="N62" s="279">
        <v>2.9756197139517631</v>
      </c>
      <c r="O62" s="279">
        <v>3.0506053307433572</v>
      </c>
      <c r="P62" s="279">
        <v>3.1280907061442274</v>
      </c>
      <c r="Q62" s="279">
        <v>3.2062929737978263</v>
      </c>
      <c r="R62" s="279">
        <v>3.2867709274401449</v>
      </c>
      <c r="S62" s="279">
        <v>3.3689402006261595</v>
      </c>
      <c r="T62" s="279">
        <v>3.452489917601691</v>
      </c>
      <c r="U62" s="279">
        <v>3.5391474145335025</v>
      </c>
      <c r="V62" s="279">
        <v>3.6279800146382852</v>
      </c>
    </row>
    <row r="63" spans="1:22" x14ac:dyDescent="0.2">
      <c r="A63" s="267"/>
      <c r="B63" s="270" t="s">
        <v>39</v>
      </c>
      <c r="C63" s="278">
        <v>0</v>
      </c>
      <c r="D63" s="279">
        <v>15.642881449275357</v>
      </c>
      <c r="E63" s="279">
        <v>10.020439782608696</v>
      </c>
      <c r="F63" s="279">
        <v>22.399822584541063</v>
      </c>
      <c r="G63" s="279">
        <v>9.7681859903381643</v>
      </c>
      <c r="H63" s="279">
        <v>14.129213710144928</v>
      </c>
      <c r="I63" s="279">
        <v>14.553090121449275</v>
      </c>
      <c r="J63" s="279">
        <v>14.989682825092753</v>
      </c>
      <c r="K63" s="279">
        <v>15.439373309845537</v>
      </c>
      <c r="L63" s="279">
        <v>15.902554509140904</v>
      </c>
      <c r="M63" s="279">
        <v>16.379631144415132</v>
      </c>
      <c r="N63" s="279">
        <v>16.871020078747588</v>
      </c>
      <c r="O63" s="279">
        <v>17.377150681110017</v>
      </c>
      <c r="P63" s="279">
        <v>17.898465201543317</v>
      </c>
      <c r="Q63" s="279">
        <v>18.435419157589614</v>
      </c>
      <c r="R63" s="279">
        <v>18.988481732317304</v>
      </c>
      <c r="S63" s="279">
        <v>19.558136184286823</v>
      </c>
      <c r="T63" s="279">
        <v>20.144880269815427</v>
      </c>
      <c r="U63" s="279">
        <v>20.749226677909888</v>
      </c>
      <c r="V63" s="279">
        <v>21.371703478247188</v>
      </c>
    </row>
    <row r="64" spans="1:22" x14ac:dyDescent="0.2">
      <c r="A64" s="267"/>
      <c r="B64" s="270" t="s">
        <v>96</v>
      </c>
      <c r="C64" s="280">
        <v>0</v>
      </c>
      <c r="D64" s="281">
        <v>45.474097487922705</v>
      </c>
      <c r="E64" s="281">
        <v>0</v>
      </c>
      <c r="F64" s="281">
        <v>0</v>
      </c>
      <c r="G64" s="281">
        <v>0</v>
      </c>
      <c r="H64" s="281">
        <v>0</v>
      </c>
      <c r="I64" s="281">
        <v>0</v>
      </c>
      <c r="J64" s="281">
        <v>0</v>
      </c>
      <c r="K64" s="281">
        <v>0</v>
      </c>
      <c r="L64" s="281">
        <v>0</v>
      </c>
      <c r="M64" s="281">
        <v>0</v>
      </c>
      <c r="N64" s="281">
        <v>0</v>
      </c>
      <c r="O64" s="281">
        <v>0</v>
      </c>
      <c r="P64" s="281">
        <v>0</v>
      </c>
      <c r="Q64" s="281">
        <v>0</v>
      </c>
      <c r="R64" s="281">
        <v>0</v>
      </c>
      <c r="S64" s="281">
        <v>0</v>
      </c>
      <c r="T64" s="281">
        <v>0</v>
      </c>
      <c r="U64" s="281">
        <v>0</v>
      </c>
      <c r="V64" s="281">
        <v>0</v>
      </c>
    </row>
    <row r="65" spans="1:22" x14ac:dyDescent="0.2">
      <c r="A65" s="267"/>
      <c r="B65" s="270"/>
      <c r="C65" s="267"/>
      <c r="D65" s="267"/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67"/>
      <c r="P65" s="267"/>
      <c r="Q65" s="267"/>
      <c r="R65" s="267"/>
      <c r="S65" s="267"/>
      <c r="T65" s="267"/>
      <c r="U65" s="267"/>
      <c r="V65" s="267"/>
    </row>
    <row r="66" spans="1:22" x14ac:dyDescent="0.2">
      <c r="A66" s="267"/>
      <c r="B66" s="270"/>
      <c r="C66" s="267"/>
      <c r="D66" s="267"/>
      <c r="E66" s="267"/>
      <c r="F66" s="267"/>
      <c r="G66" s="267"/>
      <c r="H66" s="267"/>
      <c r="I66" s="267"/>
      <c r="J66" s="267"/>
      <c r="K66" s="267"/>
      <c r="L66" s="267"/>
      <c r="M66" s="267"/>
      <c r="N66" s="267"/>
      <c r="O66" s="267"/>
      <c r="P66" s="267"/>
      <c r="Q66" s="267"/>
      <c r="R66" s="267"/>
      <c r="S66" s="267"/>
      <c r="T66" s="267"/>
      <c r="U66" s="267"/>
      <c r="V66" s="267"/>
    </row>
    <row r="67" spans="1:22" x14ac:dyDescent="0.2">
      <c r="A67" s="9"/>
      <c r="B67" s="6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2">
      <c r="A68" s="9"/>
      <c r="B68" s="69"/>
      <c r="C68" s="288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89"/>
    </row>
    <row r="69" spans="1:22" x14ac:dyDescent="0.2">
      <c r="A69" s="265" t="s">
        <v>98</v>
      </c>
      <c r="B69" s="266"/>
      <c r="C69" s="267"/>
      <c r="D69" s="267"/>
      <c r="E69" s="267"/>
      <c r="F69" s="267"/>
      <c r="G69" s="267"/>
      <c r="H69" s="267"/>
      <c r="I69" s="267"/>
      <c r="J69" s="267"/>
      <c r="K69" s="267"/>
      <c r="L69" s="267"/>
      <c r="M69" s="267"/>
      <c r="N69" s="267"/>
      <c r="O69" s="267"/>
      <c r="P69" s="267"/>
      <c r="Q69" s="267"/>
      <c r="R69" s="267"/>
      <c r="S69" s="267"/>
      <c r="T69" s="267"/>
      <c r="U69" s="267"/>
      <c r="V69" s="267"/>
    </row>
    <row r="70" spans="1:22" x14ac:dyDescent="0.2">
      <c r="A70" s="268" t="s">
        <v>57</v>
      </c>
      <c r="B70" s="266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</row>
    <row r="71" spans="1:22" x14ac:dyDescent="0.2">
      <c r="A71" s="267"/>
      <c r="B71" s="266"/>
      <c r="C71" s="267"/>
      <c r="D71" s="267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</row>
    <row r="72" spans="1:22" x14ac:dyDescent="0.2">
      <c r="A72" s="267"/>
      <c r="B72" s="266"/>
      <c r="C72" s="271">
        <v>2000</v>
      </c>
      <c r="D72" s="272">
        <v>2001</v>
      </c>
      <c r="E72" s="272">
        <v>2002</v>
      </c>
      <c r="F72" s="272">
        <v>2003</v>
      </c>
      <c r="G72" s="272">
        <v>2004</v>
      </c>
      <c r="H72" s="272">
        <v>2005</v>
      </c>
      <c r="I72" s="272">
        <v>2006</v>
      </c>
      <c r="J72" s="272">
        <v>2007</v>
      </c>
      <c r="K72" s="272">
        <v>2008</v>
      </c>
      <c r="L72" s="272">
        <v>2009</v>
      </c>
      <c r="M72" s="272">
        <v>2010</v>
      </c>
      <c r="N72" s="272">
        <v>2011</v>
      </c>
      <c r="O72" s="272">
        <v>2012</v>
      </c>
      <c r="P72" s="272">
        <v>2013</v>
      </c>
      <c r="Q72" s="272">
        <v>2014</v>
      </c>
      <c r="R72" s="272">
        <v>2015</v>
      </c>
      <c r="S72" s="272">
        <v>2016</v>
      </c>
      <c r="T72" s="272">
        <v>2017</v>
      </c>
      <c r="U72" s="272">
        <v>2018</v>
      </c>
      <c r="V72" s="272">
        <v>2019</v>
      </c>
    </row>
    <row r="73" spans="1:22" x14ac:dyDescent="0.2">
      <c r="A73" s="269" t="s">
        <v>129</v>
      </c>
      <c r="B73" s="266"/>
      <c r="C73" s="273"/>
      <c r="D73" s="274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  <c r="S73" s="274"/>
      <c r="T73" s="274"/>
      <c r="U73" s="274"/>
      <c r="V73" s="274"/>
    </row>
    <row r="74" spans="1:22" x14ac:dyDescent="0.2">
      <c r="A74" s="267"/>
      <c r="B74" s="270" t="s">
        <v>97</v>
      </c>
      <c r="C74" s="275">
        <v>0</v>
      </c>
      <c r="D74" s="276">
        <v>1585607.7364368092</v>
      </c>
      <c r="E74" s="276">
        <v>1564123.4963535112</v>
      </c>
      <c r="F74" s="276">
        <v>1542209.5714685482</v>
      </c>
      <c r="G74" s="276">
        <v>1519857.3680858857</v>
      </c>
      <c r="H74" s="276">
        <v>1497058.1206355696</v>
      </c>
      <c r="I74" s="276">
        <v>1483000.2133982459</v>
      </c>
      <c r="J74" s="276">
        <v>1483000.2133982459</v>
      </c>
      <c r="K74" s="276">
        <v>1483000.2133982459</v>
      </c>
      <c r="L74" s="276">
        <v>1483000.2133982459</v>
      </c>
      <c r="M74" s="276">
        <v>1483000.2133982459</v>
      </c>
      <c r="N74" s="276">
        <v>1483000.2133982459</v>
      </c>
      <c r="O74" s="276">
        <v>1483000.2133982459</v>
      </c>
      <c r="P74" s="276">
        <v>1483000.2133982459</v>
      </c>
      <c r="Q74" s="276">
        <v>1483000.2133982459</v>
      </c>
      <c r="R74" s="276">
        <v>1483000.2133982459</v>
      </c>
      <c r="S74" s="276">
        <v>1483000.2133982459</v>
      </c>
      <c r="T74" s="276">
        <v>1483000.2133982459</v>
      </c>
      <c r="U74" s="276">
        <v>1483000.2133982459</v>
      </c>
      <c r="V74" s="276">
        <v>1483000.2133982459</v>
      </c>
    </row>
    <row r="75" spans="1:22" x14ac:dyDescent="0.2">
      <c r="A75" s="267"/>
      <c r="B75" s="270" t="s">
        <v>91</v>
      </c>
      <c r="C75" s="275">
        <v>0</v>
      </c>
      <c r="D75" s="277">
        <v>0.79336160142420575</v>
      </c>
      <c r="E75" s="277">
        <v>0.78261192435958038</v>
      </c>
      <c r="F75" s="277">
        <v>0.77164725375366283</v>
      </c>
      <c r="G75" s="277">
        <v>0.76046328973562693</v>
      </c>
      <c r="H75" s="277">
        <v>0.7490556464372301</v>
      </c>
      <c r="I75" s="277">
        <v>0.74202174798795839</v>
      </c>
      <c r="J75" s="277">
        <v>0.74202174798795839</v>
      </c>
      <c r="K75" s="277">
        <v>0.74202174798795839</v>
      </c>
      <c r="L75" s="277">
        <v>0.74202174798795839</v>
      </c>
      <c r="M75" s="277">
        <v>0.74202174798795839</v>
      </c>
      <c r="N75" s="277">
        <v>0.74202174798795839</v>
      </c>
      <c r="O75" s="277">
        <v>0.74202174798795839</v>
      </c>
      <c r="P75" s="277">
        <v>0.74202174798795839</v>
      </c>
      <c r="Q75" s="277">
        <v>0.74202174798795839</v>
      </c>
      <c r="R75" s="277">
        <v>0.74202174798795839</v>
      </c>
      <c r="S75" s="277">
        <v>0.74202174798795839</v>
      </c>
      <c r="T75" s="277">
        <v>0.74202174798795839</v>
      </c>
      <c r="U75" s="277">
        <v>0.74202174798795839</v>
      </c>
      <c r="V75" s="277">
        <v>0.74202174798795839</v>
      </c>
    </row>
    <row r="76" spans="1:22" x14ac:dyDescent="0.2">
      <c r="A76" s="269" t="s">
        <v>93</v>
      </c>
      <c r="B76" s="270"/>
      <c r="C76" s="273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4"/>
      <c r="U76" s="274"/>
      <c r="V76" s="274"/>
    </row>
    <row r="77" spans="1:22" x14ac:dyDescent="0.2">
      <c r="A77" s="267"/>
      <c r="B77" s="270" t="s">
        <v>27</v>
      </c>
      <c r="C77" s="278">
        <v>0</v>
      </c>
      <c r="D77" s="279">
        <v>39.337612436551169</v>
      </c>
      <c r="E77" s="279">
        <v>38.876591511234537</v>
      </c>
      <c r="F77" s="279">
        <v>39.50109267967207</v>
      </c>
      <c r="G77" s="279">
        <v>39.043693036795197</v>
      </c>
      <c r="H77" s="279">
        <v>39.278934224594472</v>
      </c>
      <c r="I77" s="279">
        <v>41.86242352367691</v>
      </c>
      <c r="J77" s="279">
        <v>45.02686217424764</v>
      </c>
      <c r="K77" s="279">
        <v>46.239526418644289</v>
      </c>
      <c r="L77" s="279">
        <v>47.194347054021996</v>
      </c>
      <c r="M77" s="279">
        <v>47.363644589041833</v>
      </c>
      <c r="N77" s="279">
        <v>48.399012897511938</v>
      </c>
      <c r="O77" s="279">
        <v>48.92262772896629</v>
      </c>
      <c r="P77" s="279">
        <v>49.511331805816795</v>
      </c>
      <c r="Q77" s="279">
        <v>51.280779091661259</v>
      </c>
      <c r="R77" s="279">
        <v>54.898201879545987</v>
      </c>
      <c r="S77" s="279">
        <v>54.615722298042066</v>
      </c>
      <c r="T77" s="279">
        <v>55.357281017515589</v>
      </c>
      <c r="U77" s="279">
        <v>58.000117418601732</v>
      </c>
      <c r="V77" s="279">
        <v>59.738223495031605</v>
      </c>
    </row>
    <row r="78" spans="1:22" x14ac:dyDescent="0.2">
      <c r="A78" s="267"/>
      <c r="B78" s="270" t="s">
        <v>20</v>
      </c>
      <c r="C78" s="278">
        <v>0</v>
      </c>
      <c r="D78" s="279">
        <v>11.708022399999997</v>
      </c>
      <c r="E78" s="279">
        <v>11.875756300000004</v>
      </c>
      <c r="F78" s="279">
        <v>12.0817453</v>
      </c>
      <c r="G78" s="279">
        <v>12.428983899999999</v>
      </c>
      <c r="H78" s="279">
        <v>12.863522600000003</v>
      </c>
      <c r="I78" s="279">
        <v>13.360838900000001</v>
      </c>
      <c r="J78" s="279">
        <v>13.668841500000003</v>
      </c>
      <c r="K78" s="279">
        <v>13.9631115</v>
      </c>
      <c r="L78" s="279">
        <v>14.190680300000004</v>
      </c>
      <c r="M78" s="279">
        <v>14.300541100000002</v>
      </c>
      <c r="N78" s="279">
        <v>14.492797500000002</v>
      </c>
      <c r="O78" s="279">
        <v>14.806685500000002</v>
      </c>
      <c r="P78" s="279">
        <v>15.143134199999999</v>
      </c>
      <c r="Q78" s="279">
        <v>15.463888499999999</v>
      </c>
      <c r="R78" s="279">
        <v>15.680667400000004</v>
      </c>
      <c r="S78" s="279">
        <v>16.001421700000002</v>
      </c>
      <c r="T78" s="279">
        <v>16.3663165</v>
      </c>
      <c r="U78" s="279">
        <v>16.768485499999997</v>
      </c>
      <c r="V78" s="279">
        <v>17.182425299999998</v>
      </c>
    </row>
    <row r="79" spans="1:22" x14ac:dyDescent="0.2">
      <c r="A79" s="267"/>
      <c r="B79" s="270" t="s">
        <v>92</v>
      </c>
      <c r="C79" s="278">
        <v>0</v>
      </c>
      <c r="D79" s="279">
        <v>0.88029790654453843</v>
      </c>
      <c r="E79" s="279">
        <v>0.89806615259591538</v>
      </c>
      <c r="F79" s="279">
        <v>1.490193039245429</v>
      </c>
      <c r="G79" s="279">
        <v>1.5230358054224742</v>
      </c>
      <c r="H79" s="279">
        <v>1.5566105861695732</v>
      </c>
      <c r="I79" s="279">
        <v>1.5909338843415681</v>
      </c>
      <c r="J79" s="279">
        <v>1.6260225790831089</v>
      </c>
      <c r="K79" s="279">
        <v>1.6618939345035679</v>
      </c>
      <c r="L79" s="279">
        <v>1.6985656085540632</v>
      </c>
      <c r="M79" s="279">
        <v>1.736055662111319</v>
      </c>
      <c r="N79" s="279">
        <v>1.7743825682732388</v>
      </c>
      <c r="O79" s="279">
        <v>1.8135652218711764</v>
      </c>
      <c r="P79" s="279">
        <v>1.8536229492040015</v>
      </c>
      <c r="Q79" s="279">
        <v>1.8945755179991797</v>
      </c>
      <c r="R79" s="279">
        <v>1.9364431476062163</v>
      </c>
      <c r="S79" s="279">
        <v>1.9792465194279396</v>
      </c>
      <c r="T79" s="279">
        <v>2.0230067875952171</v>
      </c>
      <c r="U79" s="279">
        <v>2.0677455898908441</v>
      </c>
      <c r="V79" s="279">
        <v>2.1134850589284886</v>
      </c>
    </row>
    <row r="80" spans="1:22" x14ac:dyDescent="0.2">
      <c r="A80" s="267"/>
      <c r="B80" s="270" t="s">
        <v>22</v>
      </c>
      <c r="C80" s="278">
        <v>0</v>
      </c>
      <c r="D80" s="279">
        <v>0</v>
      </c>
      <c r="E80" s="279">
        <v>0</v>
      </c>
      <c r="F80" s="279">
        <v>0</v>
      </c>
      <c r="G80" s="279">
        <v>0</v>
      </c>
      <c r="H80" s="279">
        <v>0</v>
      </c>
      <c r="I80" s="279">
        <v>0.15113985391421164</v>
      </c>
      <c r="J80" s="279">
        <v>0.16752645441451591</v>
      </c>
      <c r="K80" s="279">
        <v>0.26895708375089822</v>
      </c>
      <c r="L80" s="279">
        <v>0.20303782584669483</v>
      </c>
      <c r="M80" s="279">
        <v>0.22580927950602797</v>
      </c>
      <c r="N80" s="279">
        <v>0.24874599792286292</v>
      </c>
      <c r="O80" s="279">
        <v>0.27560310806800314</v>
      </c>
      <c r="P80" s="279">
        <v>0.30902358422287002</v>
      </c>
      <c r="Q80" s="279">
        <v>0.34399147144894482</v>
      </c>
      <c r="R80" s="279">
        <v>0.38103746704965213</v>
      </c>
      <c r="S80" s="279">
        <v>0.41837867023566411</v>
      </c>
      <c r="T80" s="279">
        <v>0.41103664656313743</v>
      </c>
      <c r="U80" s="279">
        <v>0.35166408308609381</v>
      </c>
      <c r="V80" s="279">
        <v>0.36461077335466413</v>
      </c>
    </row>
    <row r="81" spans="1:22" x14ac:dyDescent="0.2">
      <c r="A81" s="267"/>
      <c r="B81" s="270" t="s">
        <v>23</v>
      </c>
      <c r="C81" s="278">
        <v>0</v>
      </c>
      <c r="D81" s="279">
        <v>0</v>
      </c>
      <c r="E81" s="279">
        <v>0</v>
      </c>
      <c r="F81" s="279">
        <v>0.89098295177588882</v>
      </c>
      <c r="G81" s="279">
        <v>0.75917332450780162</v>
      </c>
      <c r="H81" s="279">
        <v>0.78812562932842123</v>
      </c>
      <c r="I81" s="279">
        <v>0.8185378584362869</v>
      </c>
      <c r="J81" s="279">
        <v>1.0743834327088497</v>
      </c>
      <c r="K81" s="279">
        <v>0.93819197117475894</v>
      </c>
      <c r="L81" s="279">
        <v>0.99329560035450104</v>
      </c>
      <c r="M81" s="279">
        <v>0.94515880592576551</v>
      </c>
      <c r="N81" s="279">
        <v>0.97222893310659442</v>
      </c>
      <c r="O81" s="279">
        <v>0.9974396770897489</v>
      </c>
      <c r="P81" s="279">
        <v>0.8909229014599469</v>
      </c>
      <c r="Q81" s="279">
        <v>0.92277756339619088</v>
      </c>
      <c r="R81" s="279">
        <v>0.94184711350808781</v>
      </c>
      <c r="S81" s="279">
        <v>1.0001754620172845</v>
      </c>
      <c r="T81" s="279">
        <v>0.94026866910952078</v>
      </c>
      <c r="U81" s="279">
        <v>1.0355903247487526</v>
      </c>
      <c r="V81" s="279">
        <v>0.56382772642771961</v>
      </c>
    </row>
    <row r="82" spans="1:22" x14ac:dyDescent="0.2">
      <c r="A82" s="269" t="s">
        <v>94</v>
      </c>
      <c r="B82" s="270"/>
      <c r="C82" s="273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4"/>
      <c r="S82" s="274"/>
      <c r="T82" s="274"/>
      <c r="U82" s="274"/>
      <c r="V82" s="274"/>
    </row>
    <row r="83" spans="1:22" x14ac:dyDescent="0.2">
      <c r="A83" s="267"/>
      <c r="B83" s="270" t="s">
        <v>34</v>
      </c>
      <c r="C83" s="278">
        <v>0</v>
      </c>
      <c r="D83" s="279">
        <v>12.117719709459578</v>
      </c>
      <c r="E83" s="279">
        <v>12.36007410364877</v>
      </c>
      <c r="F83" s="279">
        <v>12.791360617499084</v>
      </c>
      <c r="G83" s="279">
        <v>13.048108255007953</v>
      </c>
      <c r="H83" s="279">
        <v>13.310013855895971</v>
      </c>
      <c r="I83" s="279">
        <v>13.577181154696445</v>
      </c>
      <c r="J83" s="279">
        <v>13.849715975014995</v>
      </c>
      <c r="K83" s="279">
        <v>14.127726271670529</v>
      </c>
      <c r="L83" s="279">
        <v>14.411322173688056</v>
      </c>
      <c r="M83" s="279">
        <v>14.700616028160534</v>
      </c>
      <c r="N83" s="279">
        <v>14.995722444997432</v>
      </c>
      <c r="O83" s="279">
        <v>15.296758342577908</v>
      </c>
      <c r="P83" s="279">
        <v>15.603842994327008</v>
      </c>
      <c r="Q83" s="279">
        <v>15.917098076233531</v>
      </c>
      <c r="R83" s="279">
        <v>16.236647715328679</v>
      </c>
      <c r="S83" s="279">
        <v>16.562618539144996</v>
      </c>
      <c r="T83" s="279">
        <v>16.895139726175383</v>
      </c>
      <c r="U83" s="279">
        <v>17.234343057352561</v>
      </c>
      <c r="V83" s="279">
        <v>17.580362968569631</v>
      </c>
    </row>
    <row r="84" spans="1:22" x14ac:dyDescent="0.2">
      <c r="A84" s="267"/>
      <c r="B84" s="270" t="s">
        <v>95</v>
      </c>
      <c r="C84" s="278">
        <v>0</v>
      </c>
      <c r="D84" s="279">
        <v>1.7019495601836765</v>
      </c>
      <c r="E84" s="279">
        <v>1.7412952806756254</v>
      </c>
      <c r="F84" s="279">
        <v>1.7815026724463481</v>
      </c>
      <c r="G84" s="279">
        <v>1.8226187512710887</v>
      </c>
      <c r="H84" s="279">
        <v>1.8647133927718584</v>
      </c>
      <c r="I84" s="279">
        <v>1.9096245461898687</v>
      </c>
      <c r="J84" s="279">
        <v>1.9538443123762967</v>
      </c>
      <c r="K84" s="279">
        <v>2.0010337367993438</v>
      </c>
      <c r="L84" s="279">
        <v>2.0474926714297239</v>
      </c>
      <c r="M84" s="279">
        <v>2.0951363088931783</v>
      </c>
      <c r="N84" s="279">
        <v>2.1439329223832488</v>
      </c>
      <c r="O84" s="279">
        <v>2.1939592105332686</v>
      </c>
      <c r="P84" s="279">
        <v>2.245256166402299</v>
      </c>
      <c r="Q84" s="279">
        <v>2.2978355461680549</v>
      </c>
      <c r="R84" s="279">
        <v>2.3517346683659319</v>
      </c>
      <c r="S84" s="279">
        <v>2.4069812686187553</v>
      </c>
      <c r="T84" s="279">
        <v>2.4635979845578486</v>
      </c>
      <c r="U84" s="279">
        <v>2.5216357800670135</v>
      </c>
      <c r="V84" s="279">
        <v>2.5811303242434582</v>
      </c>
    </row>
    <row r="85" spans="1:22" x14ac:dyDescent="0.2">
      <c r="A85" s="267"/>
      <c r="B85" s="270" t="s">
        <v>36</v>
      </c>
      <c r="C85" s="278">
        <v>0</v>
      </c>
      <c r="D85" s="279">
        <v>2.3467251972439493</v>
      </c>
      <c r="E85" s="279">
        <v>2.3962410989058123</v>
      </c>
      <c r="F85" s="279">
        <v>2.4487187789718519</v>
      </c>
      <c r="G85" s="279">
        <v>2.5040598233765943</v>
      </c>
      <c r="H85" s="279">
        <v>2.5636564471729653</v>
      </c>
      <c r="I85" s="279">
        <v>2.6279019354681088</v>
      </c>
      <c r="J85" s="279">
        <v>2.6930812244652205</v>
      </c>
      <c r="K85" s="279">
        <v>2.7612486757086261</v>
      </c>
      <c r="L85" s="279">
        <v>2.8294515179986321</v>
      </c>
      <c r="M85" s="279">
        <v>2.9016025317075869</v>
      </c>
      <c r="N85" s="279">
        <v>2.9718213129749245</v>
      </c>
      <c r="O85" s="279">
        <v>3.0467112100618845</v>
      </c>
      <c r="P85" s="279">
        <v>3.1240976747974494</v>
      </c>
      <c r="Q85" s="279">
        <v>3.2022001166673855</v>
      </c>
      <c r="R85" s="279">
        <v>3.2825753395957351</v>
      </c>
      <c r="S85" s="279">
        <v>3.3646397230856366</v>
      </c>
      <c r="T85" s="279">
        <v>3.4480827882181546</v>
      </c>
      <c r="U85" s="279">
        <v>3.534629666202437</v>
      </c>
      <c r="V85" s="279">
        <v>3.6233488708241199</v>
      </c>
    </row>
    <row r="86" spans="1:22" x14ac:dyDescent="0.2">
      <c r="A86" s="267"/>
      <c r="B86" s="270" t="s">
        <v>39</v>
      </c>
      <c r="C86" s="278">
        <v>0</v>
      </c>
      <c r="D86" s="279">
        <v>6.1020907297830371</v>
      </c>
      <c r="E86" s="279">
        <v>1.2653776901161515</v>
      </c>
      <c r="F86" s="279">
        <v>8.5898798597413979</v>
      </c>
      <c r="G86" s="279">
        <v>3.1394189349112427</v>
      </c>
      <c r="H86" s="279">
        <v>6.5060727065527058</v>
      </c>
      <c r="I86" s="279">
        <v>6.701254887749287</v>
      </c>
      <c r="J86" s="279">
        <v>6.9022925343817656</v>
      </c>
      <c r="K86" s="279">
        <v>7.1093613104132185</v>
      </c>
      <c r="L86" s="279">
        <v>7.3226421497256151</v>
      </c>
      <c r="M86" s="279">
        <v>7.5423214142173842</v>
      </c>
      <c r="N86" s="279">
        <v>7.7685910566439063</v>
      </c>
      <c r="O86" s="279">
        <v>8.001648788343223</v>
      </c>
      <c r="P86" s="279">
        <v>8.2416982519935207</v>
      </c>
      <c r="Q86" s="279">
        <v>8.4889491995533266</v>
      </c>
      <c r="R86" s="279">
        <v>8.7436176755399266</v>
      </c>
      <c r="S86" s="279">
        <v>9.0059262058061247</v>
      </c>
      <c r="T86" s="279">
        <v>9.2761039919803103</v>
      </c>
      <c r="U86" s="279">
        <v>9.5543871117397181</v>
      </c>
      <c r="V86" s="279">
        <v>9.8410187250919083</v>
      </c>
    </row>
    <row r="87" spans="1:22" x14ac:dyDescent="0.2">
      <c r="A87" s="267"/>
      <c r="B87" s="270" t="s">
        <v>96</v>
      </c>
      <c r="C87" s="280">
        <v>0</v>
      </c>
      <c r="D87" s="281">
        <v>27.284786324786324</v>
      </c>
      <c r="E87" s="281">
        <v>17.78718912995836</v>
      </c>
      <c r="F87" s="281">
        <v>9.6431807582730649</v>
      </c>
      <c r="G87" s="281">
        <v>0</v>
      </c>
      <c r="H87" s="281">
        <v>0</v>
      </c>
      <c r="I87" s="281">
        <v>0</v>
      </c>
      <c r="J87" s="281">
        <v>0</v>
      </c>
      <c r="K87" s="281">
        <v>0</v>
      </c>
      <c r="L87" s="281">
        <v>0</v>
      </c>
      <c r="M87" s="281">
        <v>0</v>
      </c>
      <c r="N87" s="281">
        <v>0</v>
      </c>
      <c r="O87" s="281">
        <v>0</v>
      </c>
      <c r="P87" s="281">
        <v>0</v>
      </c>
      <c r="Q87" s="281">
        <v>0</v>
      </c>
      <c r="R87" s="281">
        <v>0</v>
      </c>
      <c r="S87" s="281">
        <v>0</v>
      </c>
      <c r="T87" s="281">
        <v>0</v>
      </c>
      <c r="U87" s="281">
        <v>0</v>
      </c>
      <c r="V87" s="281">
        <v>0</v>
      </c>
    </row>
    <row r="88" spans="1:22" x14ac:dyDescent="0.2">
      <c r="A88" s="267"/>
      <c r="B88" s="270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7"/>
      <c r="O88" s="267"/>
      <c r="P88" s="267"/>
      <c r="Q88" s="267"/>
      <c r="R88" s="267"/>
      <c r="S88" s="267"/>
      <c r="T88" s="267"/>
      <c r="U88" s="267"/>
      <c r="V88" s="267"/>
    </row>
    <row r="89" spans="1:22" x14ac:dyDescent="0.2">
      <c r="A89" s="267"/>
      <c r="B89" s="270"/>
      <c r="C89" s="267"/>
      <c r="D89" s="267"/>
      <c r="E89" s="267"/>
      <c r="F89" s="267"/>
      <c r="G89" s="267"/>
      <c r="H89" s="267"/>
      <c r="I89" s="267"/>
      <c r="J89" s="267"/>
      <c r="K89" s="267"/>
      <c r="L89" s="267"/>
      <c r="M89" s="267"/>
      <c r="N89" s="267"/>
      <c r="O89" s="267"/>
      <c r="P89" s="267"/>
      <c r="Q89" s="267"/>
      <c r="R89" s="267"/>
      <c r="S89" s="267"/>
      <c r="T89" s="267"/>
      <c r="U89" s="267"/>
      <c r="V89" s="267"/>
    </row>
    <row r="90" spans="1:22" x14ac:dyDescent="0.2">
      <c r="A90" s="290"/>
      <c r="B90" s="69"/>
      <c r="C90" s="291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</row>
    <row r="91" spans="1:22" x14ac:dyDescent="0.2">
      <c r="A91" s="9"/>
      <c r="B91" s="292"/>
      <c r="C91" s="293"/>
      <c r="D91" s="294"/>
      <c r="E91" s="294"/>
      <c r="F91" s="294"/>
      <c r="G91" s="294"/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</row>
    <row r="92" spans="1:22" x14ac:dyDescent="0.2">
      <c r="A92" s="265" t="s">
        <v>98</v>
      </c>
      <c r="B92" s="266"/>
      <c r="C92" s="267"/>
      <c r="D92" s="267"/>
      <c r="E92" s="267"/>
      <c r="F92" s="267"/>
      <c r="G92" s="267"/>
      <c r="H92" s="267"/>
      <c r="I92" s="267"/>
      <c r="J92" s="267"/>
      <c r="K92" s="267"/>
      <c r="L92" s="267"/>
      <c r="M92" s="267"/>
      <c r="N92" s="267"/>
      <c r="O92" s="267"/>
      <c r="P92" s="267"/>
      <c r="Q92" s="267"/>
      <c r="R92" s="267"/>
      <c r="S92" s="267"/>
      <c r="T92" s="267"/>
      <c r="U92" s="267"/>
      <c r="V92" s="267"/>
    </row>
    <row r="93" spans="1:22" x14ac:dyDescent="0.2">
      <c r="A93" s="268" t="s">
        <v>58</v>
      </c>
      <c r="B93" s="266"/>
      <c r="C93" s="267"/>
      <c r="D93" s="267"/>
      <c r="E93" s="267"/>
      <c r="F93" s="267"/>
      <c r="G93" s="267"/>
      <c r="H93" s="267"/>
      <c r="I93" s="267"/>
      <c r="J93" s="267"/>
      <c r="K93" s="267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7"/>
    </row>
    <row r="94" spans="1:22" x14ac:dyDescent="0.2">
      <c r="A94" s="267"/>
      <c r="B94" s="266"/>
      <c r="C94" s="267"/>
      <c r="D94" s="267"/>
      <c r="E94" s="267"/>
      <c r="F94" s="267"/>
      <c r="G94" s="267"/>
      <c r="H94" s="267"/>
      <c r="I94" s="267"/>
      <c r="J94" s="267"/>
      <c r="K94" s="267"/>
      <c r="L94" s="267"/>
      <c r="M94" s="267"/>
      <c r="N94" s="267"/>
      <c r="O94" s="267"/>
      <c r="P94" s="267"/>
      <c r="Q94" s="267"/>
      <c r="R94" s="267"/>
      <c r="S94" s="267"/>
      <c r="T94" s="267"/>
      <c r="U94" s="267"/>
      <c r="V94" s="267"/>
    </row>
    <row r="95" spans="1:22" x14ac:dyDescent="0.2">
      <c r="A95" s="267"/>
      <c r="B95" s="266"/>
      <c r="C95" s="271">
        <v>2000</v>
      </c>
      <c r="D95" s="272">
        <v>2001</v>
      </c>
      <c r="E95" s="272">
        <v>2002</v>
      </c>
      <c r="F95" s="272">
        <v>2003</v>
      </c>
      <c r="G95" s="272">
        <v>2004</v>
      </c>
      <c r="H95" s="272">
        <v>2005</v>
      </c>
      <c r="I95" s="272">
        <v>2006</v>
      </c>
      <c r="J95" s="272">
        <v>2007</v>
      </c>
      <c r="K95" s="272">
        <v>2008</v>
      </c>
      <c r="L95" s="272">
        <v>2009</v>
      </c>
      <c r="M95" s="272">
        <v>2010</v>
      </c>
      <c r="N95" s="272">
        <v>2011</v>
      </c>
      <c r="O95" s="272">
        <v>2012</v>
      </c>
      <c r="P95" s="272">
        <v>2013</v>
      </c>
      <c r="Q95" s="272">
        <v>2014</v>
      </c>
      <c r="R95" s="272">
        <v>2015</v>
      </c>
      <c r="S95" s="272">
        <v>2016</v>
      </c>
      <c r="T95" s="272">
        <v>2017</v>
      </c>
      <c r="U95" s="272">
        <v>2018</v>
      </c>
      <c r="V95" s="272">
        <v>2019</v>
      </c>
    </row>
    <row r="96" spans="1:22" x14ac:dyDescent="0.2">
      <c r="A96" s="269" t="s">
        <v>129</v>
      </c>
      <c r="B96" s="266"/>
      <c r="C96" s="273"/>
      <c r="D96" s="274"/>
      <c r="E96" s="274"/>
      <c r="F96" s="274"/>
      <c r="G96" s="274"/>
      <c r="H96" s="274"/>
      <c r="I96" s="274"/>
      <c r="J96" s="274"/>
      <c r="K96" s="274"/>
      <c r="L96" s="274"/>
      <c r="M96" s="274"/>
      <c r="N96" s="274"/>
      <c r="O96" s="274"/>
      <c r="P96" s="274"/>
      <c r="Q96" s="274"/>
      <c r="R96" s="274"/>
      <c r="S96" s="274"/>
      <c r="T96" s="274"/>
      <c r="U96" s="274"/>
      <c r="V96" s="274"/>
    </row>
    <row r="97" spans="1:22" x14ac:dyDescent="0.2">
      <c r="A97" s="267"/>
      <c r="B97" s="270" t="s">
        <v>97</v>
      </c>
      <c r="C97" s="275">
        <v>0</v>
      </c>
      <c r="D97" s="276">
        <v>1585607.7364368092</v>
      </c>
      <c r="E97" s="276">
        <v>1564123.4963535112</v>
      </c>
      <c r="F97" s="276">
        <v>1542209.5714685482</v>
      </c>
      <c r="G97" s="276">
        <v>1519857.3680858857</v>
      </c>
      <c r="H97" s="276">
        <v>1497058.1206355696</v>
      </c>
      <c r="I97" s="276">
        <v>1483000.2133982459</v>
      </c>
      <c r="J97" s="276">
        <v>1483000.2133982459</v>
      </c>
      <c r="K97" s="276">
        <v>1483000.2133982459</v>
      </c>
      <c r="L97" s="276">
        <v>1483000.2133982459</v>
      </c>
      <c r="M97" s="276">
        <v>1483000.2133982459</v>
      </c>
      <c r="N97" s="276">
        <v>1483000.2133982459</v>
      </c>
      <c r="O97" s="276">
        <v>1483000.2133982459</v>
      </c>
      <c r="P97" s="276">
        <v>1483000.2133982459</v>
      </c>
      <c r="Q97" s="276">
        <v>1483000.2133982459</v>
      </c>
      <c r="R97" s="276">
        <v>1483000.2133982459</v>
      </c>
      <c r="S97" s="276">
        <v>1483000.2133982459</v>
      </c>
      <c r="T97" s="276">
        <v>1483000.2133982459</v>
      </c>
      <c r="U97" s="276">
        <v>1483000.2133982459</v>
      </c>
      <c r="V97" s="276">
        <v>1483000.2133982459</v>
      </c>
    </row>
    <row r="98" spans="1:22" x14ac:dyDescent="0.2">
      <c r="A98" s="267"/>
      <c r="B98" s="270" t="s">
        <v>91</v>
      </c>
      <c r="C98" s="275">
        <v>0</v>
      </c>
      <c r="D98" s="277">
        <v>0.79336160142420575</v>
      </c>
      <c r="E98" s="277">
        <v>0.78261192435958038</v>
      </c>
      <c r="F98" s="277">
        <v>0.77164725375366283</v>
      </c>
      <c r="G98" s="277">
        <v>0.76046328973562693</v>
      </c>
      <c r="H98" s="277">
        <v>0.7490556464372301</v>
      </c>
      <c r="I98" s="277">
        <v>0.74202174798795839</v>
      </c>
      <c r="J98" s="277">
        <v>0.74202174798795839</v>
      </c>
      <c r="K98" s="277">
        <v>0.74202174798795839</v>
      </c>
      <c r="L98" s="277">
        <v>0.74202174798795839</v>
      </c>
      <c r="M98" s="277">
        <v>0.74202174798795839</v>
      </c>
      <c r="N98" s="277">
        <v>0.74202174798795839</v>
      </c>
      <c r="O98" s="277">
        <v>0.74202174798795839</v>
      </c>
      <c r="P98" s="277">
        <v>0.74202174798795839</v>
      </c>
      <c r="Q98" s="277">
        <v>0.74202174798795839</v>
      </c>
      <c r="R98" s="277">
        <v>0.74202174798795839</v>
      </c>
      <c r="S98" s="277">
        <v>0.74202174798795839</v>
      </c>
      <c r="T98" s="277">
        <v>0.74202174798795839</v>
      </c>
      <c r="U98" s="277">
        <v>0.74202174798795839</v>
      </c>
      <c r="V98" s="277">
        <v>0.74202174798795839</v>
      </c>
    </row>
    <row r="99" spans="1:22" x14ac:dyDescent="0.2">
      <c r="A99" s="269" t="s">
        <v>93</v>
      </c>
      <c r="B99" s="270"/>
      <c r="C99" s="273"/>
      <c r="D99" s="274"/>
      <c r="E99" s="274"/>
      <c r="F99" s="274"/>
      <c r="G99" s="274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4"/>
      <c r="U99" s="274"/>
      <c r="V99" s="274"/>
    </row>
    <row r="100" spans="1:22" x14ac:dyDescent="0.2">
      <c r="A100" s="267"/>
      <c r="B100" s="270" t="s">
        <v>27</v>
      </c>
      <c r="C100" s="278">
        <v>0</v>
      </c>
      <c r="D100" s="279">
        <v>39.337612436551169</v>
      </c>
      <c r="E100" s="279">
        <v>38.876591511234537</v>
      </c>
      <c r="F100" s="279">
        <v>39.50109267967207</v>
      </c>
      <c r="G100" s="279">
        <v>39.043693036795197</v>
      </c>
      <c r="H100" s="279">
        <v>39.278934224594472</v>
      </c>
      <c r="I100" s="279">
        <v>41.86242352367691</v>
      </c>
      <c r="J100" s="279">
        <v>45.02686217424764</v>
      </c>
      <c r="K100" s="279">
        <v>46.239526418644289</v>
      </c>
      <c r="L100" s="279">
        <v>47.194347054021996</v>
      </c>
      <c r="M100" s="279">
        <v>47.363644589041833</v>
      </c>
      <c r="N100" s="279">
        <v>48.399012897511938</v>
      </c>
      <c r="O100" s="279">
        <v>48.92262772896629</v>
      </c>
      <c r="P100" s="279">
        <v>49.511331805816795</v>
      </c>
      <c r="Q100" s="279">
        <v>51.280779091661259</v>
      </c>
      <c r="R100" s="279">
        <v>54.898201879545987</v>
      </c>
      <c r="S100" s="279">
        <v>54.615722298042066</v>
      </c>
      <c r="T100" s="279">
        <v>55.357281017515589</v>
      </c>
      <c r="U100" s="279">
        <v>58.000117418601732</v>
      </c>
      <c r="V100" s="279">
        <v>59.738223495031605</v>
      </c>
    </row>
    <row r="101" spans="1:22" x14ac:dyDescent="0.2">
      <c r="A101" s="267"/>
      <c r="B101" s="270" t="s">
        <v>20</v>
      </c>
      <c r="C101" s="278">
        <v>0</v>
      </c>
      <c r="D101" s="279">
        <v>11.513465599999996</v>
      </c>
      <c r="E101" s="279">
        <v>11.678412200000004</v>
      </c>
      <c r="F101" s="279">
        <v>11.880978199999999</v>
      </c>
      <c r="G101" s="279">
        <v>12.2224466</v>
      </c>
      <c r="H101" s="279">
        <v>12.6497644</v>
      </c>
      <c r="I101" s="279">
        <v>13.138816600000002</v>
      </c>
      <c r="J101" s="279">
        <v>13.441700999999998</v>
      </c>
      <c r="K101" s="279">
        <v>13.731081000000003</v>
      </c>
      <c r="L101" s="279">
        <v>13.9548682</v>
      </c>
      <c r="M101" s="279">
        <v>14.0629034</v>
      </c>
      <c r="N101" s="279">
        <v>14.251964999999998</v>
      </c>
      <c r="O101" s="279">
        <v>14.560637</v>
      </c>
      <c r="P101" s="279">
        <v>14.891494799999997</v>
      </c>
      <c r="Q101" s="279">
        <v>15.206918999999994</v>
      </c>
      <c r="R101" s="279">
        <v>15.420095599999996</v>
      </c>
      <c r="S101" s="279">
        <v>15.735519799999995</v>
      </c>
      <c r="T101" s="279">
        <v>16.094351</v>
      </c>
      <c r="U101" s="279">
        <v>16.489836999999998</v>
      </c>
      <c r="V101" s="279">
        <v>16.896898199999999</v>
      </c>
    </row>
    <row r="102" spans="1:22" x14ac:dyDescent="0.2">
      <c r="A102" s="267"/>
      <c r="B102" s="270" t="s">
        <v>92</v>
      </c>
      <c r="C102" s="278">
        <v>0</v>
      </c>
      <c r="D102" s="279">
        <v>0.85249902528523724</v>
      </c>
      <c r="E102" s="279">
        <v>0.86970616882972829</v>
      </c>
      <c r="F102" s="279">
        <v>1.4612606274797835</v>
      </c>
      <c r="G102" s="279">
        <v>1.4935194115670281</v>
      </c>
      <c r="H102" s="279">
        <v>1.526498422922113</v>
      </c>
      <c r="I102" s="279">
        <v>1.5602139264807824</v>
      </c>
      <c r="J102" s="279">
        <v>1.5946825586663396</v>
      </c>
      <c r="K102" s="279">
        <v>1.6299213359676414</v>
      </c>
      <c r="L102" s="279">
        <v>1.6659476637172264</v>
      </c>
      <c r="M102" s="279">
        <v>1.7027793450742956</v>
      </c>
      <c r="N102" s="279">
        <v>1.7404345902173697</v>
      </c>
      <c r="O102" s="279">
        <v>1.7789320257515606</v>
      </c>
      <c r="P102" s="279">
        <v>1.8182907043355201</v>
      </c>
      <c r="Q102" s="279">
        <v>1.8585301145332467</v>
      </c>
      <c r="R102" s="279">
        <v>1.8996701908960434</v>
      </c>
      <c r="S102" s="279">
        <v>1.9417313242800689</v>
      </c>
      <c r="T102" s="279">
        <v>1.9847343724050199</v>
      </c>
      <c r="U102" s="279">
        <v>2.0287006706596582</v>
      </c>
      <c r="V102" s="279">
        <v>2.073652043159985</v>
      </c>
    </row>
    <row r="103" spans="1:22" x14ac:dyDescent="0.2">
      <c r="A103" s="267"/>
      <c r="B103" s="270" t="s">
        <v>22</v>
      </c>
      <c r="C103" s="278">
        <v>0</v>
      </c>
      <c r="D103" s="279">
        <v>0</v>
      </c>
      <c r="E103" s="279">
        <v>0</v>
      </c>
      <c r="F103" s="279">
        <v>0</v>
      </c>
      <c r="G103" s="279">
        <v>0</v>
      </c>
      <c r="H103" s="279">
        <v>0</v>
      </c>
      <c r="I103" s="279">
        <v>0.20722728967659615</v>
      </c>
      <c r="J103" s="279">
        <v>0.22969489647088834</v>
      </c>
      <c r="K103" s="279">
        <v>0.33615987668100189</v>
      </c>
      <c r="L103" s="279">
        <v>0.27838440531986852</v>
      </c>
      <c r="M103" s="279">
        <v>0.30960626045344702</v>
      </c>
      <c r="N103" s="279">
        <v>0.34105470947930111</v>
      </c>
      <c r="O103" s="279">
        <v>0.37787839297367631</v>
      </c>
      <c r="P103" s="279">
        <v>0.42370108311075755</v>
      </c>
      <c r="Q103" s="279">
        <v>0.47164542279292532</v>
      </c>
      <c r="R103" s="279">
        <v>0.52243904911244787</v>
      </c>
      <c r="S103" s="279">
        <v>0.57363743345051998</v>
      </c>
      <c r="T103" s="279">
        <v>0.56357081219215521</v>
      </c>
      <c r="U103" s="279">
        <v>0.48216531197589424</v>
      </c>
      <c r="V103" s="279">
        <v>0.49991647068854389</v>
      </c>
    </row>
    <row r="104" spans="1:22" x14ac:dyDescent="0.2">
      <c r="A104" s="267"/>
      <c r="B104" s="270" t="s">
        <v>23</v>
      </c>
      <c r="C104" s="278">
        <v>0</v>
      </c>
      <c r="D104" s="279">
        <v>0</v>
      </c>
      <c r="E104" s="279">
        <v>0</v>
      </c>
      <c r="F104" s="279">
        <v>0.87617713863087199</v>
      </c>
      <c r="G104" s="279">
        <v>0.74655784363362765</v>
      </c>
      <c r="H104" s="279">
        <v>0.77502903665021394</v>
      </c>
      <c r="I104" s="279">
        <v>0.80493589381959652</v>
      </c>
      <c r="J104" s="279">
        <v>1.0565299818441805</v>
      </c>
      <c r="K104" s="279">
        <v>0.92260166723944592</v>
      </c>
      <c r="L104" s="279">
        <v>0.97678961780196938</v>
      </c>
      <c r="M104" s="279">
        <v>0.92945273136506623</v>
      </c>
      <c r="N104" s="279">
        <v>0.95607302362587532</v>
      </c>
      <c r="O104" s="279">
        <v>0.98086483078883868</v>
      </c>
      <c r="P104" s="279">
        <v>0.87611808619458109</v>
      </c>
      <c r="Q104" s="279">
        <v>0.90744340672032386</v>
      </c>
      <c r="R104" s="279">
        <v>0.92619607063910847</v>
      </c>
      <c r="S104" s="279">
        <v>0.98355515410528338</v>
      </c>
      <c r="T104" s="279">
        <v>0.92464385587016384</v>
      </c>
      <c r="U104" s="279">
        <v>1.0183815141733576</v>
      </c>
      <c r="V104" s="279">
        <v>0.55445837996959724</v>
      </c>
    </row>
    <row r="105" spans="1:22" x14ac:dyDescent="0.2">
      <c r="A105" s="269" t="s">
        <v>94</v>
      </c>
      <c r="B105" s="270"/>
      <c r="C105" s="273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</row>
    <row r="106" spans="1:22" x14ac:dyDescent="0.2">
      <c r="A106" s="267"/>
      <c r="B106" s="270" t="s">
        <v>34</v>
      </c>
      <c r="C106" s="278">
        <v>0</v>
      </c>
      <c r="D106" s="279">
        <v>12.31547771220913</v>
      </c>
      <c r="E106" s="279">
        <v>12.561787266453315</v>
      </c>
      <c r="F106" s="279">
        <v>12.99710804355972</v>
      </c>
      <c r="G106" s="279">
        <v>13.257970629589803</v>
      </c>
      <c r="H106" s="279">
        <v>13.524073477969457</v>
      </c>
      <c r="I106" s="279">
        <v>13.795521969211402</v>
      </c>
      <c r="J106" s="279">
        <v>14.07242360582025</v>
      </c>
      <c r="K106" s="279">
        <v>14.354888055091889</v>
      </c>
      <c r="L106" s="279">
        <v>14.643027192777845</v>
      </c>
      <c r="M106" s="279">
        <v>14.936955147632119</v>
      </c>
      <c r="N106" s="279">
        <v>15.236788346858447</v>
      </c>
      <c r="O106" s="279">
        <v>15.542645562476146</v>
      </c>
      <c r="P106" s="279">
        <v>15.854647958623211</v>
      </c>
      <c r="Q106" s="279">
        <v>16.172919139815654</v>
      </c>
      <c r="R106" s="279">
        <v>16.497585200182449</v>
      </c>
      <c r="S106" s="279">
        <v>16.828774773695837</v>
      </c>
      <c r="T106" s="279">
        <v>17.166619085417246</v>
      </c>
      <c r="U106" s="279">
        <v>17.511252003779259</v>
      </c>
      <c r="V106" s="279">
        <v>17.86281009392486</v>
      </c>
    </row>
    <row r="107" spans="1:22" x14ac:dyDescent="0.2">
      <c r="A107" s="267"/>
      <c r="B107" s="270" t="s">
        <v>95</v>
      </c>
      <c r="C107" s="278">
        <v>0</v>
      </c>
      <c r="D107" s="279">
        <v>1.7019495601836765</v>
      </c>
      <c r="E107" s="279">
        <v>1.7412952806756254</v>
      </c>
      <c r="F107" s="279">
        <v>1.7815026724463481</v>
      </c>
      <c r="G107" s="279">
        <v>1.8226187512710887</v>
      </c>
      <c r="H107" s="279">
        <v>1.8647133927718584</v>
      </c>
      <c r="I107" s="279">
        <v>1.9096245461898687</v>
      </c>
      <c r="J107" s="279">
        <v>1.9538443123762967</v>
      </c>
      <c r="K107" s="279">
        <v>2.0010337367993438</v>
      </c>
      <c r="L107" s="279">
        <v>2.0474926714297239</v>
      </c>
      <c r="M107" s="279">
        <v>2.0951363088931783</v>
      </c>
      <c r="N107" s="279">
        <v>2.1439329223832488</v>
      </c>
      <c r="O107" s="279">
        <v>2.1939592105332686</v>
      </c>
      <c r="P107" s="279">
        <v>2.245256166402299</v>
      </c>
      <c r="Q107" s="279">
        <v>2.2978355461680549</v>
      </c>
      <c r="R107" s="279">
        <v>2.3517346683659319</v>
      </c>
      <c r="S107" s="279">
        <v>2.4069812686187553</v>
      </c>
      <c r="T107" s="279">
        <v>2.4635979845578486</v>
      </c>
      <c r="U107" s="279">
        <v>2.5216357800670135</v>
      </c>
      <c r="V107" s="279">
        <v>2.5811303242434582</v>
      </c>
    </row>
    <row r="108" spans="1:22" x14ac:dyDescent="0.2">
      <c r="A108" s="267"/>
      <c r="B108" s="270" t="s">
        <v>36</v>
      </c>
      <c r="C108" s="278">
        <v>0</v>
      </c>
      <c r="D108" s="279">
        <v>2.3467251972439493</v>
      </c>
      <c r="E108" s="279">
        <v>2.3962410989058123</v>
      </c>
      <c r="F108" s="279">
        <v>2.4487187789718519</v>
      </c>
      <c r="G108" s="279">
        <v>2.5040598233765943</v>
      </c>
      <c r="H108" s="279">
        <v>2.5636564471729653</v>
      </c>
      <c r="I108" s="279">
        <v>2.6279019354681088</v>
      </c>
      <c r="J108" s="279">
        <v>2.6930812244652205</v>
      </c>
      <c r="K108" s="279">
        <v>2.7612486757086261</v>
      </c>
      <c r="L108" s="279">
        <v>2.8294515179986321</v>
      </c>
      <c r="M108" s="279">
        <v>2.9016025317075869</v>
      </c>
      <c r="N108" s="279">
        <v>2.9718213129749245</v>
      </c>
      <c r="O108" s="279">
        <v>3.0467112100618845</v>
      </c>
      <c r="P108" s="279">
        <v>3.1240976747974494</v>
      </c>
      <c r="Q108" s="279">
        <v>3.2022001166673855</v>
      </c>
      <c r="R108" s="279">
        <v>3.2825753395957351</v>
      </c>
      <c r="S108" s="279">
        <v>3.3646397230856366</v>
      </c>
      <c r="T108" s="279">
        <v>3.4480827882181546</v>
      </c>
      <c r="U108" s="279">
        <v>3.534629666202437</v>
      </c>
      <c r="V108" s="279">
        <v>3.6233488708241199</v>
      </c>
    </row>
    <row r="109" spans="1:22" x14ac:dyDescent="0.2">
      <c r="A109" s="267"/>
      <c r="B109" s="270" t="s">
        <v>39</v>
      </c>
      <c r="C109" s="278">
        <v>0</v>
      </c>
      <c r="D109" s="279">
        <v>22.33264080648696</v>
      </c>
      <c r="E109" s="279">
        <v>2.4619588866973485</v>
      </c>
      <c r="F109" s="279">
        <v>8.8756567609029151</v>
      </c>
      <c r="G109" s="279">
        <v>0.9342907297830374</v>
      </c>
      <c r="H109" s="279">
        <v>9.6076287004163916</v>
      </c>
      <c r="I109" s="279">
        <v>9.8958575614288851</v>
      </c>
      <c r="J109" s="279">
        <v>10.19273328827175</v>
      </c>
      <c r="K109" s="279">
        <v>10.498515286919902</v>
      </c>
      <c r="L109" s="279">
        <v>10.8134707455275</v>
      </c>
      <c r="M109" s="279">
        <v>11.137874867893325</v>
      </c>
      <c r="N109" s="279">
        <v>11.472011113930126</v>
      </c>
      <c r="O109" s="279">
        <v>11.816171447348029</v>
      </c>
      <c r="P109" s="279">
        <v>12.170656590768472</v>
      </c>
      <c r="Q109" s="279">
        <v>12.535776288491526</v>
      </c>
      <c r="R109" s="279">
        <v>12.911849577146272</v>
      </c>
      <c r="S109" s="279">
        <v>13.299205064460661</v>
      </c>
      <c r="T109" s="279">
        <v>13.698181216394481</v>
      </c>
      <c r="U109" s="279">
        <v>14.109126652886317</v>
      </c>
      <c r="V109" s="279">
        <v>14.532400452472906</v>
      </c>
    </row>
    <row r="110" spans="1:22" x14ac:dyDescent="0.2">
      <c r="A110" s="267"/>
      <c r="B110" s="270" t="s">
        <v>96</v>
      </c>
      <c r="C110" s="280">
        <v>0</v>
      </c>
      <c r="D110" s="281">
        <v>27.284786324786324</v>
      </c>
      <c r="E110" s="281">
        <v>17.78718912995836</v>
      </c>
      <c r="F110" s="281">
        <v>9.6431807582730649</v>
      </c>
      <c r="G110" s="281">
        <v>0</v>
      </c>
      <c r="H110" s="281">
        <v>0</v>
      </c>
      <c r="I110" s="281">
        <v>0</v>
      </c>
      <c r="J110" s="281">
        <v>0</v>
      </c>
      <c r="K110" s="281">
        <v>0</v>
      </c>
      <c r="L110" s="281">
        <v>0</v>
      </c>
      <c r="M110" s="281">
        <v>0</v>
      </c>
      <c r="N110" s="281">
        <v>0</v>
      </c>
      <c r="O110" s="281">
        <v>0</v>
      </c>
      <c r="P110" s="281">
        <v>0</v>
      </c>
      <c r="Q110" s="281">
        <v>0</v>
      </c>
      <c r="R110" s="281">
        <v>0</v>
      </c>
      <c r="S110" s="281">
        <v>0</v>
      </c>
      <c r="T110" s="281">
        <v>0</v>
      </c>
      <c r="U110" s="281">
        <v>0</v>
      </c>
      <c r="V110" s="281">
        <v>0</v>
      </c>
    </row>
    <row r="111" spans="1:22" x14ac:dyDescent="0.2">
      <c r="A111" s="267"/>
      <c r="B111" s="270"/>
      <c r="C111" s="267"/>
      <c r="D111" s="267"/>
      <c r="E111" s="267"/>
      <c r="F111" s="267"/>
      <c r="G111" s="267"/>
      <c r="H111" s="267"/>
      <c r="I111" s="267"/>
      <c r="J111" s="267"/>
      <c r="K111" s="267"/>
      <c r="L111" s="267"/>
      <c r="M111" s="267"/>
      <c r="N111" s="267"/>
      <c r="O111" s="267"/>
      <c r="P111" s="267"/>
      <c r="Q111" s="267"/>
      <c r="R111" s="267"/>
      <c r="S111" s="267"/>
      <c r="T111" s="267"/>
      <c r="U111" s="267"/>
      <c r="V111" s="267"/>
    </row>
    <row r="112" spans="1:22" x14ac:dyDescent="0.2">
      <c r="A112" s="267"/>
      <c r="B112" s="270"/>
      <c r="C112" s="267"/>
      <c r="D112" s="267"/>
      <c r="E112" s="267"/>
      <c r="F112" s="267"/>
      <c r="G112" s="267"/>
      <c r="H112" s="267"/>
      <c r="I112" s="267"/>
      <c r="J112" s="267"/>
      <c r="K112" s="267"/>
      <c r="L112" s="267"/>
      <c r="M112" s="267"/>
      <c r="N112" s="267"/>
      <c r="O112" s="267"/>
      <c r="P112" s="267"/>
      <c r="Q112" s="267"/>
      <c r="R112" s="267"/>
      <c r="S112" s="267"/>
      <c r="T112" s="267"/>
      <c r="U112" s="267"/>
      <c r="V112" s="267"/>
    </row>
    <row r="113" spans="1:22" x14ac:dyDescent="0.2">
      <c r="A113" s="24"/>
      <c r="B113" s="295"/>
      <c r="C113" s="296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7"/>
      <c r="P113" s="297"/>
      <c r="Q113" s="297"/>
      <c r="R113" s="297"/>
      <c r="S113" s="297"/>
      <c r="T113" s="297"/>
      <c r="U113" s="297"/>
      <c r="V113" s="297"/>
    </row>
    <row r="114" spans="1:22" x14ac:dyDescent="0.2">
      <c r="A114" s="298"/>
      <c r="B114" s="29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spans="1:22" x14ac:dyDescent="0.2">
      <c r="A115" s="265" t="s">
        <v>98</v>
      </c>
      <c r="B115" s="266"/>
      <c r="C115" s="267"/>
      <c r="D115" s="267"/>
      <c r="E115" s="267"/>
      <c r="F115" s="267"/>
      <c r="G115" s="267"/>
      <c r="H115" s="267"/>
      <c r="I115" s="267"/>
      <c r="J115" s="267"/>
      <c r="K115" s="267"/>
      <c r="L115" s="267"/>
      <c r="M115" s="267"/>
      <c r="N115" s="267"/>
      <c r="O115" s="267"/>
      <c r="P115" s="267"/>
      <c r="Q115" s="267"/>
      <c r="R115" s="267"/>
      <c r="S115" s="267"/>
      <c r="T115" s="267"/>
      <c r="U115" s="267"/>
      <c r="V115" s="267"/>
    </row>
    <row r="116" spans="1:22" x14ac:dyDescent="0.2">
      <c r="A116" s="268" t="s">
        <v>59</v>
      </c>
      <c r="B116" s="266"/>
      <c r="C116" s="267"/>
      <c r="D116" s="267"/>
      <c r="E116" s="267"/>
      <c r="F116" s="267"/>
      <c r="G116" s="267"/>
      <c r="H116" s="267"/>
      <c r="I116" s="267"/>
      <c r="J116" s="267"/>
      <c r="K116" s="267"/>
      <c r="L116" s="267"/>
      <c r="M116" s="267"/>
      <c r="N116" s="267"/>
      <c r="O116" s="267"/>
      <c r="P116" s="267"/>
      <c r="Q116" s="267"/>
      <c r="R116" s="267"/>
      <c r="S116" s="267"/>
      <c r="T116" s="267"/>
      <c r="U116" s="267"/>
      <c r="V116" s="267"/>
    </row>
    <row r="117" spans="1:22" x14ac:dyDescent="0.2">
      <c r="A117" s="267"/>
      <c r="B117" s="266"/>
      <c r="C117" s="267"/>
      <c r="D117" s="267"/>
      <c r="E117" s="267"/>
      <c r="F117" s="267"/>
      <c r="G117" s="267"/>
      <c r="H117" s="267"/>
      <c r="I117" s="267"/>
      <c r="J117" s="267"/>
      <c r="K117" s="267"/>
      <c r="L117" s="267"/>
      <c r="M117" s="267"/>
      <c r="N117" s="267"/>
      <c r="O117" s="267"/>
      <c r="P117" s="267"/>
      <c r="Q117" s="267"/>
      <c r="R117" s="267"/>
      <c r="S117" s="267"/>
      <c r="T117" s="267"/>
      <c r="U117" s="267"/>
      <c r="V117" s="267"/>
    </row>
    <row r="118" spans="1:22" x14ac:dyDescent="0.2">
      <c r="A118" s="267"/>
      <c r="B118" s="266"/>
      <c r="C118" s="271">
        <v>2000</v>
      </c>
      <c r="D118" s="272">
        <v>2001</v>
      </c>
      <c r="E118" s="272">
        <v>2002</v>
      </c>
      <c r="F118" s="272">
        <v>2003</v>
      </c>
      <c r="G118" s="272">
        <v>2004</v>
      </c>
      <c r="H118" s="272">
        <v>2005</v>
      </c>
      <c r="I118" s="272">
        <v>2006</v>
      </c>
      <c r="J118" s="272">
        <v>2007</v>
      </c>
      <c r="K118" s="272">
        <v>2008</v>
      </c>
      <c r="L118" s="272">
        <v>2009</v>
      </c>
      <c r="M118" s="272">
        <v>2010</v>
      </c>
      <c r="N118" s="272">
        <v>2011</v>
      </c>
      <c r="O118" s="272">
        <v>2012</v>
      </c>
      <c r="P118" s="272">
        <v>2013</v>
      </c>
      <c r="Q118" s="272">
        <v>2014</v>
      </c>
      <c r="R118" s="272">
        <v>2015</v>
      </c>
      <c r="S118" s="272">
        <v>2016</v>
      </c>
      <c r="T118" s="272">
        <v>2017</v>
      </c>
      <c r="U118" s="272">
        <v>2018</v>
      </c>
      <c r="V118" s="272">
        <v>2019</v>
      </c>
    </row>
    <row r="119" spans="1:22" x14ac:dyDescent="0.2">
      <c r="A119" s="269" t="s">
        <v>129</v>
      </c>
      <c r="B119" s="266"/>
      <c r="C119" s="273"/>
      <c r="D119" s="274"/>
      <c r="E119" s="274"/>
      <c r="F119" s="274"/>
      <c r="G119" s="274"/>
      <c r="H119" s="274"/>
      <c r="I119" s="274"/>
      <c r="J119" s="274"/>
      <c r="K119" s="274"/>
      <c r="L119" s="274"/>
      <c r="M119" s="274"/>
      <c r="N119" s="274"/>
      <c r="O119" s="274"/>
      <c r="P119" s="274"/>
      <c r="Q119" s="274"/>
      <c r="R119" s="274"/>
      <c r="S119" s="274"/>
      <c r="T119" s="274"/>
      <c r="U119" s="274"/>
      <c r="V119" s="274"/>
    </row>
    <row r="120" spans="1:22" x14ac:dyDescent="0.2">
      <c r="A120" s="267"/>
      <c r="B120" s="270" t="s">
        <v>97</v>
      </c>
      <c r="C120" s="275">
        <v>0</v>
      </c>
      <c r="D120" s="276">
        <v>1585607.7364368092</v>
      </c>
      <c r="E120" s="276">
        <v>1564123.4963535112</v>
      </c>
      <c r="F120" s="276">
        <v>1542209.5714685482</v>
      </c>
      <c r="G120" s="276">
        <v>1519857.3680858857</v>
      </c>
      <c r="H120" s="276">
        <v>1497058.1206355696</v>
      </c>
      <c r="I120" s="276">
        <v>1483000.2133982459</v>
      </c>
      <c r="J120" s="276">
        <v>1483000.2133982459</v>
      </c>
      <c r="K120" s="276">
        <v>1483000.2133982459</v>
      </c>
      <c r="L120" s="276">
        <v>1483000.2133982459</v>
      </c>
      <c r="M120" s="276">
        <v>1483000.2133982459</v>
      </c>
      <c r="N120" s="276">
        <v>1483000.2133982459</v>
      </c>
      <c r="O120" s="276">
        <v>1483000.2133982459</v>
      </c>
      <c r="P120" s="276">
        <v>1483000.2133982459</v>
      </c>
      <c r="Q120" s="276">
        <v>1483000.2133982459</v>
      </c>
      <c r="R120" s="276">
        <v>1483000.2133982459</v>
      </c>
      <c r="S120" s="276">
        <v>1483000.2133982459</v>
      </c>
      <c r="T120" s="276">
        <v>1483000.2133982459</v>
      </c>
      <c r="U120" s="276">
        <v>1483000.2133982459</v>
      </c>
      <c r="V120" s="276">
        <v>1483000.2133982459</v>
      </c>
    </row>
    <row r="121" spans="1:22" x14ac:dyDescent="0.2">
      <c r="A121" s="267"/>
      <c r="B121" s="270" t="s">
        <v>91</v>
      </c>
      <c r="C121" s="275">
        <v>0</v>
      </c>
      <c r="D121" s="277">
        <v>0.79336160142420575</v>
      </c>
      <c r="E121" s="277">
        <v>0.78261192435958038</v>
      </c>
      <c r="F121" s="277">
        <v>0.77164725375366283</v>
      </c>
      <c r="G121" s="277">
        <v>0.76046328973562693</v>
      </c>
      <c r="H121" s="277">
        <v>0.7490556464372301</v>
      </c>
      <c r="I121" s="277">
        <v>0.74202174798795839</v>
      </c>
      <c r="J121" s="277">
        <v>0.74202174798795839</v>
      </c>
      <c r="K121" s="277">
        <v>0.74202174798795839</v>
      </c>
      <c r="L121" s="277">
        <v>0.74202174798795839</v>
      </c>
      <c r="M121" s="277">
        <v>0.74202174798795839</v>
      </c>
      <c r="N121" s="277">
        <v>0.74202174798795839</v>
      </c>
      <c r="O121" s="277">
        <v>0.74202174798795839</v>
      </c>
      <c r="P121" s="277">
        <v>0.74202174798795839</v>
      </c>
      <c r="Q121" s="277">
        <v>0.74202174798795839</v>
      </c>
      <c r="R121" s="277">
        <v>0.74202174798795839</v>
      </c>
      <c r="S121" s="277">
        <v>0.74202174798795839</v>
      </c>
      <c r="T121" s="277">
        <v>0.74202174798795839</v>
      </c>
      <c r="U121" s="277">
        <v>0.74202174798795839</v>
      </c>
      <c r="V121" s="277">
        <v>0.74202174798795839</v>
      </c>
    </row>
    <row r="122" spans="1:22" x14ac:dyDescent="0.2">
      <c r="A122" s="269" t="s">
        <v>93</v>
      </c>
      <c r="B122" s="270"/>
      <c r="C122" s="273"/>
      <c r="D122" s="274"/>
      <c r="E122" s="274"/>
      <c r="F122" s="274"/>
      <c r="G122" s="274"/>
      <c r="H122" s="274"/>
      <c r="I122" s="274"/>
      <c r="J122" s="274"/>
      <c r="K122" s="274"/>
      <c r="L122" s="274"/>
      <c r="M122" s="274"/>
      <c r="N122" s="274"/>
      <c r="O122" s="274"/>
      <c r="P122" s="274"/>
      <c r="Q122" s="274"/>
      <c r="R122" s="274"/>
      <c r="S122" s="274"/>
      <c r="T122" s="274"/>
      <c r="U122" s="274"/>
      <c r="V122" s="274"/>
    </row>
    <row r="123" spans="1:22" x14ac:dyDescent="0.2">
      <c r="A123" s="267"/>
      <c r="B123" s="270" t="s">
        <v>27</v>
      </c>
      <c r="C123" s="278">
        <v>0</v>
      </c>
      <c r="D123" s="279">
        <v>39.337612436551169</v>
      </c>
      <c r="E123" s="279">
        <v>38.876591511234537</v>
      </c>
      <c r="F123" s="279">
        <v>39.50109267967207</v>
      </c>
      <c r="G123" s="279">
        <v>39.043693036795197</v>
      </c>
      <c r="H123" s="279">
        <v>39.278934224594472</v>
      </c>
      <c r="I123" s="279">
        <v>41.86242352367691</v>
      </c>
      <c r="J123" s="279">
        <v>45.02686217424764</v>
      </c>
      <c r="K123" s="279">
        <v>46.239526418644289</v>
      </c>
      <c r="L123" s="279">
        <v>47.194347054021996</v>
      </c>
      <c r="M123" s="279">
        <v>47.363644589041833</v>
      </c>
      <c r="N123" s="279">
        <v>48.399012897511938</v>
      </c>
      <c r="O123" s="279">
        <v>48.92262772896629</v>
      </c>
      <c r="P123" s="279">
        <v>49.511331805816795</v>
      </c>
      <c r="Q123" s="279">
        <v>51.280779091661259</v>
      </c>
      <c r="R123" s="279">
        <v>54.898201879545987</v>
      </c>
      <c r="S123" s="279">
        <v>54.615722298042066</v>
      </c>
      <c r="T123" s="279">
        <v>55.357281017515589</v>
      </c>
      <c r="U123" s="279">
        <v>58.000117418601732</v>
      </c>
      <c r="V123" s="279">
        <v>59.738223495031605</v>
      </c>
    </row>
    <row r="124" spans="1:22" x14ac:dyDescent="0.2">
      <c r="A124" s="267"/>
      <c r="B124" s="270" t="s">
        <v>20</v>
      </c>
      <c r="C124" s="278">
        <v>0</v>
      </c>
      <c r="D124" s="279">
        <v>11.699667199999997</v>
      </c>
      <c r="E124" s="279">
        <v>11.867281400000005</v>
      </c>
      <c r="F124" s="279">
        <v>12.073123400000002</v>
      </c>
      <c r="G124" s="279">
        <v>12.420114199999999</v>
      </c>
      <c r="H124" s="279">
        <v>12.854342800000005</v>
      </c>
      <c r="I124" s="279">
        <v>13.351304200000003</v>
      </c>
      <c r="J124" s="279">
        <v>13.659086999999998</v>
      </c>
      <c r="K124" s="279">
        <v>13.953147</v>
      </c>
      <c r="L124" s="279">
        <v>14.180553400000004</v>
      </c>
      <c r="M124" s="279">
        <v>14.290335799999999</v>
      </c>
      <c r="N124" s="279">
        <v>14.482454999999998</v>
      </c>
      <c r="O124" s="279">
        <v>14.796118999999994</v>
      </c>
      <c r="P124" s="279">
        <v>15.132327599999998</v>
      </c>
      <c r="Q124" s="279">
        <v>15.452852999999999</v>
      </c>
      <c r="R124" s="279">
        <v>15.669477199999999</v>
      </c>
      <c r="S124" s="279">
        <v>15.990002599999995</v>
      </c>
      <c r="T124" s="279">
        <v>16.354637000000004</v>
      </c>
      <c r="U124" s="279">
        <v>16.756518999999997</v>
      </c>
      <c r="V124" s="279">
        <v>17.170163400000007</v>
      </c>
    </row>
    <row r="125" spans="1:22" x14ac:dyDescent="0.2">
      <c r="A125" s="267"/>
      <c r="B125" s="270" t="s">
        <v>92</v>
      </c>
      <c r="C125" s="278">
        <v>0</v>
      </c>
      <c r="D125" s="279">
        <v>0.86176531903833753</v>
      </c>
      <c r="E125" s="279">
        <v>0.87915949675179028</v>
      </c>
      <c r="F125" s="279">
        <v>1.470904764734998</v>
      </c>
      <c r="G125" s="279">
        <v>1.5033582095188429</v>
      </c>
      <c r="H125" s="279">
        <v>1.5365358106712659</v>
      </c>
      <c r="I125" s="279">
        <v>1.5704539124343766</v>
      </c>
      <c r="J125" s="279">
        <v>1.605129232138595</v>
      </c>
      <c r="K125" s="279">
        <v>1.6405788688129492</v>
      </c>
      <c r="L125" s="279">
        <v>1.6768203119961709</v>
      </c>
      <c r="M125" s="279">
        <v>1.7138714507533026</v>
      </c>
      <c r="N125" s="279">
        <v>1.7517505829026592</v>
      </c>
      <c r="O125" s="279">
        <v>1.790476424458098</v>
      </c>
      <c r="P125" s="279">
        <v>1.8300681192916795</v>
      </c>
      <c r="Q125" s="279">
        <v>1.8705452490218897</v>
      </c>
      <c r="R125" s="279">
        <v>1.9119278431327671</v>
      </c>
      <c r="S125" s="279">
        <v>1.9542363893293584</v>
      </c>
      <c r="T125" s="279">
        <v>1.9974918441350853</v>
      </c>
      <c r="U125" s="279">
        <v>2.0417156437367203</v>
      </c>
      <c r="V125" s="279">
        <v>2.0869297150828201</v>
      </c>
    </row>
    <row r="126" spans="1:22" x14ac:dyDescent="0.2">
      <c r="A126" s="267"/>
      <c r="B126" s="270" t="s">
        <v>22</v>
      </c>
      <c r="C126" s="278">
        <v>0</v>
      </c>
      <c r="D126" s="279">
        <v>0</v>
      </c>
      <c r="E126" s="279">
        <v>0</v>
      </c>
      <c r="F126" s="279">
        <v>0</v>
      </c>
      <c r="G126" s="279">
        <v>0</v>
      </c>
      <c r="H126" s="279">
        <v>0</v>
      </c>
      <c r="I126" s="279">
        <v>0.27732876942362167</v>
      </c>
      <c r="J126" s="279">
        <v>0.30739678678696658</v>
      </c>
      <c r="K126" s="279">
        <v>0.423238167891336</v>
      </c>
      <c r="L126" s="279">
        <v>0.37255713122809286</v>
      </c>
      <c r="M126" s="279">
        <v>0.41434081076581625</v>
      </c>
      <c r="N126" s="279">
        <v>0.45642773706897183</v>
      </c>
      <c r="O126" s="279">
        <v>0.50570824855506791</v>
      </c>
      <c r="P126" s="279">
        <v>0.56703197810453365</v>
      </c>
      <c r="Q126" s="279">
        <v>0.63119507527978513</v>
      </c>
      <c r="R126" s="279">
        <v>0.69917132446849228</v>
      </c>
      <c r="S126" s="279">
        <v>0.76768925445307357</v>
      </c>
      <c r="T126" s="279">
        <v>0.75421726584485194</v>
      </c>
      <c r="U126" s="279">
        <v>0.64527366466895153</v>
      </c>
      <c r="V126" s="279">
        <v>0.66902973950496936</v>
      </c>
    </row>
    <row r="127" spans="1:22" x14ac:dyDescent="0.2">
      <c r="A127" s="267"/>
      <c r="B127" s="270" t="s">
        <v>23</v>
      </c>
      <c r="C127" s="278">
        <v>0</v>
      </c>
      <c r="D127" s="279">
        <v>0</v>
      </c>
      <c r="E127" s="279">
        <v>0</v>
      </c>
      <c r="F127" s="279">
        <v>0.89034711930953836</v>
      </c>
      <c r="G127" s="279">
        <v>0.75863155539050575</v>
      </c>
      <c r="H127" s="279">
        <v>0.78756319896800731</v>
      </c>
      <c r="I127" s="279">
        <v>0.81795372498649022</v>
      </c>
      <c r="J127" s="279">
        <v>1.0736167200950297</v>
      </c>
      <c r="K127" s="279">
        <v>0.93752244891986813</v>
      </c>
      <c r="L127" s="279">
        <v>0.99258675447801192</v>
      </c>
      <c r="M127" s="279">
        <v>0.94448431192622651</v>
      </c>
      <c r="N127" s="279">
        <v>0.97153512104300532</v>
      </c>
      <c r="O127" s="279">
        <v>0.99672787387437201</v>
      </c>
      <c r="P127" s="279">
        <v>0.89028711184732368</v>
      </c>
      <c r="Q127" s="279">
        <v>0.92211904133035594</v>
      </c>
      <c r="R127" s="279">
        <v>0.94117498283273293</v>
      </c>
      <c r="S127" s="279">
        <v>0.99946170646278154</v>
      </c>
      <c r="T127" s="279">
        <v>0.93959766485997775</v>
      </c>
      <c r="U127" s="279">
        <v>1.0348512960737355</v>
      </c>
      <c r="V127" s="279">
        <v>0.5634253618558982</v>
      </c>
    </row>
    <row r="128" spans="1:22" x14ac:dyDescent="0.2">
      <c r="A128" s="269" t="s">
        <v>94</v>
      </c>
      <c r="B128" s="270"/>
      <c r="C128" s="273"/>
      <c r="D128" s="274"/>
      <c r="E128" s="274"/>
      <c r="F128" s="274"/>
      <c r="G128" s="274"/>
      <c r="H128" s="274"/>
      <c r="I128" s="274"/>
      <c r="J128" s="274"/>
      <c r="K128" s="274"/>
      <c r="L128" s="274"/>
      <c r="M128" s="274"/>
      <c r="N128" s="274"/>
      <c r="O128" s="274"/>
      <c r="P128" s="274"/>
      <c r="Q128" s="274"/>
      <c r="R128" s="274"/>
      <c r="S128" s="274"/>
      <c r="T128" s="274"/>
      <c r="U128" s="274"/>
      <c r="V128" s="274"/>
    </row>
    <row r="129" spans="1:22" x14ac:dyDescent="0.2">
      <c r="A129" s="267"/>
      <c r="B129" s="270" t="s">
        <v>34</v>
      </c>
      <c r="C129" s="278">
        <v>0</v>
      </c>
      <c r="D129" s="279">
        <v>12.249558377959268</v>
      </c>
      <c r="E129" s="279">
        <v>12.494549545518453</v>
      </c>
      <c r="F129" s="279">
        <v>12.928525568206162</v>
      </c>
      <c r="G129" s="279">
        <v>13.188016504729173</v>
      </c>
      <c r="H129" s="279">
        <v>13.452720270611614</v>
      </c>
      <c r="I129" s="279">
        <v>13.722741697706404</v>
      </c>
      <c r="J129" s="279">
        <v>13.998187728885153</v>
      </c>
      <c r="K129" s="279">
        <v>14.279167460618089</v>
      </c>
      <c r="L129" s="279">
        <v>14.565792186414566</v>
      </c>
      <c r="M129" s="279">
        <v>14.858175441141576</v>
      </c>
      <c r="N129" s="279">
        <v>15.156433046238094</v>
      </c>
      <c r="O129" s="279">
        <v>15.460683155843384</v>
      </c>
      <c r="P129" s="279">
        <v>15.771046303857794</v>
      </c>
      <c r="Q129" s="279">
        <v>16.087645451954931</v>
      </c>
      <c r="R129" s="279">
        <v>16.410606038564509</v>
      </c>
      <c r="S129" s="279">
        <v>16.74005602884554</v>
      </c>
      <c r="T129" s="279">
        <v>17.076125965669938</v>
      </c>
      <c r="U129" s="279">
        <v>17.418949021637008</v>
      </c>
      <c r="V129" s="279">
        <v>17.768661052139766</v>
      </c>
    </row>
    <row r="130" spans="1:22" x14ac:dyDescent="0.2">
      <c r="A130" s="267"/>
      <c r="B130" s="270" t="s">
        <v>95</v>
      </c>
      <c r="C130" s="278">
        <v>0</v>
      </c>
      <c r="D130" s="279">
        <v>1.7019495601836765</v>
      </c>
      <c r="E130" s="279">
        <v>1.7412952806756254</v>
      </c>
      <c r="F130" s="279">
        <v>1.7815026724463481</v>
      </c>
      <c r="G130" s="279">
        <v>1.8226187512710887</v>
      </c>
      <c r="H130" s="279">
        <v>1.8647133927718584</v>
      </c>
      <c r="I130" s="279">
        <v>1.9096245461898687</v>
      </c>
      <c r="J130" s="279">
        <v>1.9538443123762967</v>
      </c>
      <c r="K130" s="279">
        <v>2.0010337367993438</v>
      </c>
      <c r="L130" s="279">
        <v>2.0474926714297239</v>
      </c>
      <c r="M130" s="279">
        <v>2.0951363088931783</v>
      </c>
      <c r="N130" s="279">
        <v>2.1439329223832488</v>
      </c>
      <c r="O130" s="279">
        <v>2.1939592105332686</v>
      </c>
      <c r="P130" s="279">
        <v>2.245256166402299</v>
      </c>
      <c r="Q130" s="279">
        <v>2.2978355461680549</v>
      </c>
      <c r="R130" s="279">
        <v>2.3517346683659319</v>
      </c>
      <c r="S130" s="279">
        <v>2.4069812686187553</v>
      </c>
      <c r="T130" s="279">
        <v>2.4635979845578486</v>
      </c>
      <c r="U130" s="279">
        <v>2.5216357800670135</v>
      </c>
      <c r="V130" s="279">
        <v>2.5811303242434582</v>
      </c>
    </row>
    <row r="131" spans="1:22" x14ac:dyDescent="0.2">
      <c r="A131" s="267"/>
      <c r="B131" s="270" t="s">
        <v>36</v>
      </c>
      <c r="C131" s="278">
        <v>0</v>
      </c>
      <c r="D131" s="279">
        <v>2.3467251972439493</v>
      </c>
      <c r="E131" s="279">
        <v>2.3962410989058123</v>
      </c>
      <c r="F131" s="279">
        <v>2.4487187789718519</v>
      </c>
      <c r="G131" s="279">
        <v>2.5040598233765943</v>
      </c>
      <c r="H131" s="279">
        <v>2.5636564471729653</v>
      </c>
      <c r="I131" s="279">
        <v>2.6279019354681088</v>
      </c>
      <c r="J131" s="279">
        <v>2.6930812244652205</v>
      </c>
      <c r="K131" s="279">
        <v>2.7612486757086261</v>
      </c>
      <c r="L131" s="279">
        <v>2.8294515179986321</v>
      </c>
      <c r="M131" s="279">
        <v>2.9016025317075869</v>
      </c>
      <c r="N131" s="279">
        <v>2.9718213129749245</v>
      </c>
      <c r="O131" s="279">
        <v>3.0467112100618845</v>
      </c>
      <c r="P131" s="279">
        <v>3.1240976747974494</v>
      </c>
      <c r="Q131" s="279">
        <v>3.2022001166673855</v>
      </c>
      <c r="R131" s="279">
        <v>3.2825753395957351</v>
      </c>
      <c r="S131" s="279">
        <v>3.3646397230856366</v>
      </c>
      <c r="T131" s="279">
        <v>3.4480827882181546</v>
      </c>
      <c r="U131" s="279">
        <v>3.534629666202437</v>
      </c>
      <c r="V131" s="279">
        <v>3.6233488708241199</v>
      </c>
    </row>
    <row r="132" spans="1:22" x14ac:dyDescent="0.2">
      <c r="A132" s="267"/>
      <c r="B132" s="270" t="s">
        <v>39</v>
      </c>
      <c r="C132" s="278">
        <v>0</v>
      </c>
      <c r="D132" s="279">
        <v>3.1344992329607715</v>
      </c>
      <c r="E132" s="279">
        <v>6.4268942362480823</v>
      </c>
      <c r="F132" s="279">
        <v>1.3740131054131055</v>
      </c>
      <c r="G132" s="279">
        <v>12.328987201402587</v>
      </c>
      <c r="H132" s="279">
        <v>9.4912526320403234</v>
      </c>
      <c r="I132" s="279">
        <v>9.7759902110015346</v>
      </c>
      <c r="J132" s="279">
        <v>10.06926991733158</v>
      </c>
      <c r="K132" s="279">
        <v>10.371348014851529</v>
      </c>
      <c r="L132" s="279">
        <v>10.682488455297074</v>
      </c>
      <c r="M132" s="279">
        <v>11.002963108955987</v>
      </c>
      <c r="N132" s="279">
        <v>11.333052002224667</v>
      </c>
      <c r="O132" s="279">
        <v>11.673043562291406</v>
      </c>
      <c r="P132" s="279">
        <v>12.023234869160149</v>
      </c>
      <c r="Q132" s="279">
        <v>12.383931915234955</v>
      </c>
      <c r="R132" s="279">
        <v>12.755449872692003</v>
      </c>
      <c r="S132" s="279">
        <v>13.138113368872762</v>
      </c>
      <c r="T132" s="279">
        <v>13.532256769938945</v>
      </c>
      <c r="U132" s="279">
        <v>13.938224473037113</v>
      </c>
      <c r="V132" s="279">
        <v>14.356371207228227</v>
      </c>
    </row>
    <row r="133" spans="1:22" x14ac:dyDescent="0.2">
      <c r="A133" s="267"/>
      <c r="B133" s="270" t="s">
        <v>96</v>
      </c>
      <c r="C133" s="280">
        <v>0</v>
      </c>
      <c r="D133" s="281">
        <v>27.284786324786324</v>
      </c>
      <c r="E133" s="281">
        <v>17.78718912995836</v>
      </c>
      <c r="F133" s="281">
        <v>9.6431807582730649</v>
      </c>
      <c r="G133" s="281">
        <v>0</v>
      </c>
      <c r="H133" s="281">
        <v>0</v>
      </c>
      <c r="I133" s="281">
        <v>0</v>
      </c>
      <c r="J133" s="281">
        <v>0</v>
      </c>
      <c r="K133" s="281">
        <v>0</v>
      </c>
      <c r="L133" s="281">
        <v>0</v>
      </c>
      <c r="M133" s="281">
        <v>0</v>
      </c>
      <c r="N133" s="281">
        <v>0</v>
      </c>
      <c r="O133" s="281">
        <v>0</v>
      </c>
      <c r="P133" s="281">
        <v>0</v>
      </c>
      <c r="Q133" s="281">
        <v>0</v>
      </c>
      <c r="R133" s="281">
        <v>0</v>
      </c>
      <c r="S133" s="281">
        <v>0</v>
      </c>
      <c r="T133" s="281">
        <v>0</v>
      </c>
      <c r="U133" s="281">
        <v>0</v>
      </c>
      <c r="V133" s="281">
        <v>0</v>
      </c>
    </row>
    <row r="134" spans="1:22" x14ac:dyDescent="0.2">
      <c r="A134" s="267"/>
      <c r="B134" s="270"/>
      <c r="C134" s="267"/>
      <c r="D134" s="267"/>
      <c r="E134" s="267"/>
      <c r="F134" s="267"/>
      <c r="G134" s="267"/>
      <c r="H134" s="267"/>
      <c r="I134" s="267"/>
      <c r="J134" s="267"/>
      <c r="K134" s="267"/>
      <c r="L134" s="267"/>
      <c r="M134" s="267"/>
      <c r="N134" s="267"/>
      <c r="O134" s="267"/>
      <c r="P134" s="267"/>
      <c r="Q134" s="267"/>
      <c r="R134" s="267"/>
      <c r="S134" s="267"/>
      <c r="T134" s="267"/>
      <c r="U134" s="267"/>
      <c r="V134" s="267"/>
    </row>
    <row r="135" spans="1:22" x14ac:dyDescent="0.2">
      <c r="A135" s="267"/>
      <c r="B135" s="270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</row>
    <row r="136" spans="1:22" x14ac:dyDescent="0.2">
      <c r="A136" s="24"/>
      <c r="B136" s="295"/>
      <c r="C136" s="299"/>
      <c r="D136" s="299"/>
      <c r="E136" s="299"/>
      <c r="F136" s="299"/>
      <c r="G136" s="299"/>
      <c r="H136" s="299"/>
      <c r="I136" s="299"/>
      <c r="J136" s="299"/>
      <c r="K136" s="299"/>
      <c r="L136" s="299"/>
      <c r="M136" s="299"/>
      <c r="N136" s="299"/>
      <c r="O136" s="299"/>
      <c r="P136" s="299"/>
      <c r="Q136" s="299"/>
      <c r="R136" s="299"/>
      <c r="S136" s="299"/>
      <c r="T136" s="299"/>
      <c r="U136" s="299"/>
      <c r="V136" s="299"/>
    </row>
    <row r="137" spans="1:22" x14ac:dyDescent="0.2">
      <c r="A137" s="24"/>
      <c r="B137" s="295"/>
      <c r="C137" s="299"/>
      <c r="D137" s="299"/>
      <c r="E137" s="299"/>
      <c r="F137" s="299"/>
      <c r="G137" s="299"/>
      <c r="H137" s="299"/>
      <c r="I137" s="299"/>
      <c r="J137" s="299"/>
      <c r="K137" s="299"/>
      <c r="L137" s="299"/>
      <c r="M137" s="299"/>
      <c r="N137" s="299"/>
      <c r="O137" s="299"/>
      <c r="P137" s="299"/>
      <c r="Q137" s="299"/>
      <c r="R137" s="299"/>
      <c r="S137" s="299"/>
      <c r="T137" s="299"/>
      <c r="U137" s="299"/>
      <c r="V137" s="299"/>
    </row>
    <row r="138" spans="1:22" x14ac:dyDescent="0.2">
      <c r="A138" s="265" t="s">
        <v>98</v>
      </c>
      <c r="B138" s="266"/>
      <c r="C138" s="267"/>
      <c r="D138" s="267"/>
      <c r="E138" s="267"/>
      <c r="F138" s="267"/>
      <c r="G138" s="267"/>
      <c r="H138" s="267"/>
      <c r="I138" s="267"/>
      <c r="J138" s="267"/>
      <c r="K138" s="267"/>
      <c r="L138" s="267"/>
      <c r="M138" s="267"/>
      <c r="N138" s="267"/>
      <c r="O138" s="267"/>
      <c r="P138" s="267"/>
      <c r="Q138" s="267"/>
      <c r="R138" s="267"/>
      <c r="S138" s="267"/>
      <c r="T138" s="267"/>
      <c r="U138" s="267"/>
      <c r="V138" s="267"/>
    </row>
    <row r="139" spans="1:22" x14ac:dyDescent="0.2">
      <c r="A139" s="268" t="s">
        <v>60</v>
      </c>
      <c r="B139" s="266"/>
      <c r="C139" s="267"/>
      <c r="D139" s="267"/>
      <c r="E139" s="267"/>
      <c r="F139" s="267"/>
      <c r="G139" s="267"/>
      <c r="H139" s="267"/>
      <c r="I139" s="267"/>
      <c r="J139" s="267"/>
      <c r="K139" s="267"/>
      <c r="L139" s="267"/>
      <c r="M139" s="267"/>
      <c r="N139" s="267"/>
      <c r="O139" s="267"/>
      <c r="P139" s="267"/>
      <c r="Q139" s="267"/>
      <c r="R139" s="267"/>
      <c r="S139" s="267"/>
      <c r="T139" s="267"/>
      <c r="U139" s="267"/>
      <c r="V139" s="267"/>
    </row>
    <row r="140" spans="1:22" x14ac:dyDescent="0.2">
      <c r="A140" s="267"/>
      <c r="B140" s="266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</row>
    <row r="141" spans="1:22" x14ac:dyDescent="0.2">
      <c r="A141" s="267"/>
      <c r="B141" s="266"/>
      <c r="C141" s="271">
        <v>2000</v>
      </c>
      <c r="D141" s="272">
        <v>2001</v>
      </c>
      <c r="E141" s="272">
        <v>2002</v>
      </c>
      <c r="F141" s="272">
        <v>2003</v>
      </c>
      <c r="G141" s="272">
        <v>2004</v>
      </c>
      <c r="H141" s="272">
        <v>2005</v>
      </c>
      <c r="I141" s="272">
        <v>2006</v>
      </c>
      <c r="J141" s="272">
        <v>2007</v>
      </c>
      <c r="K141" s="272">
        <v>2008</v>
      </c>
      <c r="L141" s="272">
        <v>2009</v>
      </c>
      <c r="M141" s="272">
        <v>2010</v>
      </c>
      <c r="N141" s="272">
        <v>2011</v>
      </c>
      <c r="O141" s="272">
        <v>2012</v>
      </c>
      <c r="P141" s="272">
        <v>2013</v>
      </c>
      <c r="Q141" s="272">
        <v>2014</v>
      </c>
      <c r="R141" s="272">
        <v>2015</v>
      </c>
      <c r="S141" s="272">
        <v>2016</v>
      </c>
      <c r="T141" s="272">
        <v>2017</v>
      </c>
      <c r="U141" s="272">
        <v>2018</v>
      </c>
      <c r="V141" s="272">
        <v>2019</v>
      </c>
    </row>
    <row r="142" spans="1:22" x14ac:dyDescent="0.2">
      <c r="A142" s="269" t="s">
        <v>129</v>
      </c>
      <c r="B142" s="266"/>
      <c r="C142" s="273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</row>
    <row r="143" spans="1:22" x14ac:dyDescent="0.2">
      <c r="A143" s="267"/>
      <c r="B143" s="270" t="s">
        <v>97</v>
      </c>
      <c r="C143" s="275">
        <v>0</v>
      </c>
      <c r="D143" s="276">
        <v>1585607.7364368092</v>
      </c>
      <c r="E143" s="276">
        <v>1564123.4963535112</v>
      </c>
      <c r="F143" s="276">
        <v>1542209.5714685482</v>
      </c>
      <c r="G143" s="276">
        <v>1519857.3680858857</v>
      </c>
      <c r="H143" s="276">
        <v>1497058.1206355696</v>
      </c>
      <c r="I143" s="276">
        <v>1483000.2133982459</v>
      </c>
      <c r="J143" s="276">
        <v>1483000.2133982459</v>
      </c>
      <c r="K143" s="276">
        <v>1483000.2133982459</v>
      </c>
      <c r="L143" s="276">
        <v>1483000.2133982459</v>
      </c>
      <c r="M143" s="276">
        <v>1483000.2133982459</v>
      </c>
      <c r="N143" s="276">
        <v>1483000.2133982459</v>
      </c>
      <c r="O143" s="276">
        <v>1483000.2133982459</v>
      </c>
      <c r="P143" s="276">
        <v>1483000.2133982459</v>
      </c>
      <c r="Q143" s="276">
        <v>1483000.2133982459</v>
      </c>
      <c r="R143" s="276">
        <v>1483000.2133982459</v>
      </c>
      <c r="S143" s="276">
        <v>1483000.2133982459</v>
      </c>
      <c r="T143" s="276">
        <v>1483000.2133982459</v>
      </c>
      <c r="U143" s="276">
        <v>1483000.2133982459</v>
      </c>
      <c r="V143" s="276">
        <v>1483000.2133982459</v>
      </c>
    </row>
    <row r="144" spans="1:22" x14ac:dyDescent="0.2">
      <c r="A144" s="267"/>
      <c r="B144" s="270" t="s">
        <v>91</v>
      </c>
      <c r="C144" s="275">
        <v>0</v>
      </c>
      <c r="D144" s="277">
        <v>0.79336160142420575</v>
      </c>
      <c r="E144" s="277">
        <v>0.78261192435958038</v>
      </c>
      <c r="F144" s="277">
        <v>0.77164725375366283</v>
      </c>
      <c r="G144" s="277">
        <v>0.76046328973562693</v>
      </c>
      <c r="H144" s="277">
        <v>0.7490556464372301</v>
      </c>
      <c r="I144" s="277">
        <v>0.74202174798795839</v>
      </c>
      <c r="J144" s="277">
        <v>0.74202174798795839</v>
      </c>
      <c r="K144" s="277">
        <v>0.74202174798795839</v>
      </c>
      <c r="L144" s="277">
        <v>0.74202174798795839</v>
      </c>
      <c r="M144" s="277">
        <v>0.74202174798795839</v>
      </c>
      <c r="N144" s="277">
        <v>0.74202174798795839</v>
      </c>
      <c r="O144" s="277">
        <v>0.74202174798795839</v>
      </c>
      <c r="P144" s="277">
        <v>0.74202174798795839</v>
      </c>
      <c r="Q144" s="277">
        <v>0.74202174798795839</v>
      </c>
      <c r="R144" s="277">
        <v>0.74202174798795839</v>
      </c>
      <c r="S144" s="277">
        <v>0.74202174798795839</v>
      </c>
      <c r="T144" s="277">
        <v>0.74202174798795839</v>
      </c>
      <c r="U144" s="277">
        <v>0.74202174798795839</v>
      </c>
      <c r="V144" s="277">
        <v>0.74202174798795839</v>
      </c>
    </row>
    <row r="145" spans="1:22" x14ac:dyDescent="0.2">
      <c r="A145" s="269" t="s">
        <v>93</v>
      </c>
      <c r="B145" s="270"/>
      <c r="C145" s="273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  <c r="S145" s="274"/>
      <c r="T145" s="274"/>
      <c r="U145" s="274"/>
      <c r="V145" s="274"/>
    </row>
    <row r="146" spans="1:22" x14ac:dyDescent="0.2">
      <c r="A146" s="267"/>
      <c r="B146" s="270" t="s">
        <v>27</v>
      </c>
      <c r="C146" s="278">
        <v>0</v>
      </c>
      <c r="D146" s="279">
        <v>39.337612436551169</v>
      </c>
      <c r="E146" s="279">
        <v>38.876591511234537</v>
      </c>
      <c r="F146" s="279">
        <v>39.50109267967207</v>
      </c>
      <c r="G146" s="279">
        <v>39.043693036795197</v>
      </c>
      <c r="H146" s="279">
        <v>39.278934224594472</v>
      </c>
      <c r="I146" s="279">
        <v>41.86242352367691</v>
      </c>
      <c r="J146" s="279">
        <v>45.02686217424764</v>
      </c>
      <c r="K146" s="279">
        <v>46.239526418644289</v>
      </c>
      <c r="L146" s="279">
        <v>47.194347054021996</v>
      </c>
      <c r="M146" s="279">
        <v>47.363644589041833</v>
      </c>
      <c r="N146" s="279">
        <v>48.399012897511938</v>
      </c>
      <c r="O146" s="279">
        <v>48.92262772896629</v>
      </c>
      <c r="P146" s="279">
        <v>49.511331805816795</v>
      </c>
      <c r="Q146" s="279">
        <v>51.280779091661259</v>
      </c>
      <c r="R146" s="279">
        <v>54.898201879545987</v>
      </c>
      <c r="S146" s="279">
        <v>54.615722298042066</v>
      </c>
      <c r="T146" s="279">
        <v>55.357281017515589</v>
      </c>
      <c r="U146" s="279">
        <v>58.000117418601732</v>
      </c>
      <c r="V146" s="279">
        <v>59.738223495031605</v>
      </c>
    </row>
    <row r="147" spans="1:22" x14ac:dyDescent="0.2">
      <c r="A147" s="267"/>
      <c r="B147" s="270" t="s">
        <v>20</v>
      </c>
      <c r="C147" s="278">
        <v>0</v>
      </c>
      <c r="D147" s="279">
        <v>11.679375999999994</v>
      </c>
      <c r="E147" s="279">
        <v>11.846699500000005</v>
      </c>
      <c r="F147" s="279">
        <v>12.052184500000003</v>
      </c>
      <c r="G147" s="279">
        <v>12.398573499999996</v>
      </c>
      <c r="H147" s="279">
        <v>12.832049000000003</v>
      </c>
      <c r="I147" s="279">
        <v>13.328148499999999</v>
      </c>
      <c r="J147" s="279">
        <v>13.635397500000002</v>
      </c>
      <c r="K147" s="279">
        <v>13.928947499999996</v>
      </c>
      <c r="L147" s="279">
        <v>14.1559595</v>
      </c>
      <c r="M147" s="279">
        <v>14.265551499999995</v>
      </c>
      <c r="N147" s="279">
        <v>14.457337500000003</v>
      </c>
      <c r="O147" s="279">
        <v>14.770457499999999</v>
      </c>
      <c r="P147" s="279">
        <v>15.106083000000005</v>
      </c>
      <c r="Q147" s="279">
        <v>15.426052500000003</v>
      </c>
      <c r="R147" s="279">
        <v>15.642301</v>
      </c>
      <c r="S147" s="279">
        <v>15.962270500000001</v>
      </c>
      <c r="T147" s="279">
        <v>16.326272499999995</v>
      </c>
      <c r="U147" s="279">
        <v>16.727457500000007</v>
      </c>
      <c r="V147" s="279">
        <v>17.140384500000007</v>
      </c>
    </row>
    <row r="148" spans="1:22" x14ac:dyDescent="0.2">
      <c r="A148" s="267"/>
      <c r="B148" s="270" t="s">
        <v>92</v>
      </c>
      <c r="C148" s="278">
        <v>0</v>
      </c>
      <c r="D148" s="279">
        <v>0.86176531903833753</v>
      </c>
      <c r="E148" s="279">
        <v>0.87915949675179028</v>
      </c>
      <c r="F148" s="279">
        <v>1.470904764734998</v>
      </c>
      <c r="G148" s="279">
        <v>1.5033582095188429</v>
      </c>
      <c r="H148" s="279">
        <v>1.5365358106712659</v>
      </c>
      <c r="I148" s="279">
        <v>1.5704539124343766</v>
      </c>
      <c r="J148" s="279">
        <v>1.605129232138595</v>
      </c>
      <c r="K148" s="279">
        <v>1.6405788688129492</v>
      </c>
      <c r="L148" s="279">
        <v>1.6768203119961709</v>
      </c>
      <c r="M148" s="279">
        <v>1.7138714507533026</v>
      </c>
      <c r="N148" s="279">
        <v>1.7517505829026592</v>
      </c>
      <c r="O148" s="279">
        <v>1.790476424458098</v>
      </c>
      <c r="P148" s="279">
        <v>1.8300681192916795</v>
      </c>
      <c r="Q148" s="279">
        <v>1.8705452490218897</v>
      </c>
      <c r="R148" s="279">
        <v>1.9119278431327671</v>
      </c>
      <c r="S148" s="279">
        <v>1.9542363893293584</v>
      </c>
      <c r="T148" s="279">
        <v>1.9974918441350853</v>
      </c>
      <c r="U148" s="279">
        <v>2.0417156437367203</v>
      </c>
      <c r="V148" s="279">
        <v>2.0869297150828201</v>
      </c>
    </row>
    <row r="149" spans="1:22" x14ac:dyDescent="0.2">
      <c r="A149" s="267"/>
      <c r="B149" s="270" t="s">
        <v>22</v>
      </c>
      <c r="C149" s="278">
        <v>0</v>
      </c>
      <c r="D149" s="279">
        <v>0</v>
      </c>
      <c r="E149" s="279">
        <v>0</v>
      </c>
      <c r="F149" s="279">
        <v>0</v>
      </c>
      <c r="G149" s="279">
        <v>0</v>
      </c>
      <c r="H149" s="279">
        <v>0</v>
      </c>
      <c r="I149" s="279">
        <v>0.13199140049920008</v>
      </c>
      <c r="J149" s="279">
        <v>0.14630192345817972</v>
      </c>
      <c r="K149" s="279">
        <v>0.24533092903429748</v>
      </c>
      <c r="L149" s="279">
        <v>0.17731423111623218</v>
      </c>
      <c r="M149" s="279">
        <v>0.1972006871505495</v>
      </c>
      <c r="N149" s="279">
        <v>0.21723146995395379</v>
      </c>
      <c r="O149" s="279">
        <v>0.2406859559125703</v>
      </c>
      <c r="P149" s="279">
        <v>0.2698722713600829</v>
      </c>
      <c r="Q149" s="279">
        <v>0.30040995078702792</v>
      </c>
      <c r="R149" s="279">
        <v>0.3327624555406738</v>
      </c>
      <c r="S149" s="279">
        <v>0.36537276696550991</v>
      </c>
      <c r="T149" s="279">
        <v>0.35896093076256502</v>
      </c>
      <c r="U149" s="279">
        <v>0.30711049157257636</v>
      </c>
      <c r="V149" s="279">
        <v>0.31841691893850455</v>
      </c>
    </row>
    <row r="150" spans="1:22" x14ac:dyDescent="0.2">
      <c r="A150" s="267"/>
      <c r="B150" s="270" t="s">
        <v>23</v>
      </c>
      <c r="C150" s="278">
        <v>0</v>
      </c>
      <c r="D150" s="279">
        <v>0</v>
      </c>
      <c r="E150" s="279">
        <v>0</v>
      </c>
      <c r="F150" s="279">
        <v>0.88880295474840143</v>
      </c>
      <c r="G150" s="279">
        <v>0.75731583039135886</v>
      </c>
      <c r="H150" s="279">
        <v>0.78619729666414495</v>
      </c>
      <c r="I150" s="279">
        <v>0.81653511517984156</v>
      </c>
      <c r="J150" s="279">
        <v>1.0717547037471811</v>
      </c>
      <c r="K150" s="279">
        <v>0.93589646630084788</v>
      </c>
      <c r="L150" s="279">
        <v>0.99086527163510962</v>
      </c>
      <c r="M150" s="279">
        <v>0.9428462550702027</v>
      </c>
      <c r="N150" s="279">
        <v>0.96985014888857435</v>
      </c>
      <c r="O150" s="279">
        <v>0.99499920892274341</v>
      </c>
      <c r="P150" s="279">
        <v>0.88874305135952469</v>
      </c>
      <c r="Q150" s="279">
        <v>0.92051977345618563</v>
      </c>
      <c r="R150" s="279">
        <v>0.93954266547829923</v>
      </c>
      <c r="S150" s="279">
        <v>0.99772830011613123</v>
      </c>
      <c r="T150" s="279">
        <v>0.93796808311108792</v>
      </c>
      <c r="U150" s="279">
        <v>1.0330565121486948</v>
      </c>
      <c r="V150" s="279">
        <v>0.56244819075290386</v>
      </c>
    </row>
    <row r="151" spans="1:22" x14ac:dyDescent="0.2">
      <c r="A151" s="269" t="s">
        <v>94</v>
      </c>
      <c r="B151" s="270"/>
      <c r="C151" s="273"/>
      <c r="D151" s="274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4"/>
      <c r="T151" s="274"/>
      <c r="U151" s="274"/>
      <c r="V151" s="274"/>
    </row>
    <row r="152" spans="1:22" x14ac:dyDescent="0.2">
      <c r="A152" s="267"/>
      <c r="B152" s="270" t="s">
        <v>34</v>
      </c>
      <c r="C152" s="278">
        <v>0</v>
      </c>
      <c r="D152" s="279">
        <v>12.249558377959268</v>
      </c>
      <c r="E152" s="279">
        <v>12.494549545518453</v>
      </c>
      <c r="F152" s="279">
        <v>12.928525568206162</v>
      </c>
      <c r="G152" s="279">
        <v>13.188016504729173</v>
      </c>
      <c r="H152" s="279">
        <v>13.452720270611614</v>
      </c>
      <c r="I152" s="279">
        <v>13.722741697706404</v>
      </c>
      <c r="J152" s="279">
        <v>13.998187728885153</v>
      </c>
      <c r="K152" s="279">
        <v>14.279167460618089</v>
      </c>
      <c r="L152" s="279">
        <v>14.565792186414566</v>
      </c>
      <c r="M152" s="279">
        <v>14.858175441141576</v>
      </c>
      <c r="N152" s="279">
        <v>15.156433046238094</v>
      </c>
      <c r="O152" s="279">
        <v>15.460683155843384</v>
      </c>
      <c r="P152" s="279">
        <v>15.771046303857794</v>
      </c>
      <c r="Q152" s="279">
        <v>16.087645451954931</v>
      </c>
      <c r="R152" s="279">
        <v>16.410606038564509</v>
      </c>
      <c r="S152" s="279">
        <v>16.74005602884554</v>
      </c>
      <c r="T152" s="279">
        <v>17.076125965669938</v>
      </c>
      <c r="U152" s="279">
        <v>17.418949021637008</v>
      </c>
      <c r="V152" s="279">
        <v>17.768661052139766</v>
      </c>
    </row>
    <row r="153" spans="1:22" x14ac:dyDescent="0.2">
      <c r="A153" s="267"/>
      <c r="B153" s="270" t="s">
        <v>95</v>
      </c>
      <c r="C153" s="278">
        <v>0</v>
      </c>
      <c r="D153" s="279">
        <v>1.7019495601836765</v>
      </c>
      <c r="E153" s="279">
        <v>1.7412952806756254</v>
      </c>
      <c r="F153" s="279">
        <v>1.7815026724463481</v>
      </c>
      <c r="G153" s="279">
        <v>1.8226187512710887</v>
      </c>
      <c r="H153" s="279">
        <v>1.8647133927718584</v>
      </c>
      <c r="I153" s="279">
        <v>1.9096245461898687</v>
      </c>
      <c r="J153" s="279">
        <v>1.9538443123762967</v>
      </c>
      <c r="K153" s="279">
        <v>2.0010337367993438</v>
      </c>
      <c r="L153" s="279">
        <v>2.0474926714297239</v>
      </c>
      <c r="M153" s="279">
        <v>2.0951363088931783</v>
      </c>
      <c r="N153" s="279">
        <v>2.1439329223832488</v>
      </c>
      <c r="O153" s="279">
        <v>2.1939592105332686</v>
      </c>
      <c r="P153" s="279">
        <v>2.245256166402299</v>
      </c>
      <c r="Q153" s="279">
        <v>2.2978355461680549</v>
      </c>
      <c r="R153" s="279">
        <v>2.3517346683659319</v>
      </c>
      <c r="S153" s="279">
        <v>2.4069812686187553</v>
      </c>
      <c r="T153" s="279">
        <v>2.4635979845578486</v>
      </c>
      <c r="U153" s="279">
        <v>2.5216357800670135</v>
      </c>
      <c r="V153" s="279">
        <v>2.5811303242434582</v>
      </c>
    </row>
    <row r="154" spans="1:22" x14ac:dyDescent="0.2">
      <c r="A154" s="267"/>
      <c r="B154" s="270" t="s">
        <v>36</v>
      </c>
      <c r="C154" s="278">
        <v>0</v>
      </c>
      <c r="D154" s="279">
        <v>2.3467251972439493</v>
      </c>
      <c r="E154" s="279">
        <v>2.3962410989058123</v>
      </c>
      <c r="F154" s="279">
        <v>2.4487187789718519</v>
      </c>
      <c r="G154" s="279">
        <v>2.5040598233765943</v>
      </c>
      <c r="H154" s="279">
        <v>2.5636564471729653</v>
      </c>
      <c r="I154" s="279">
        <v>2.6279019354681088</v>
      </c>
      <c r="J154" s="279">
        <v>2.6930812244652205</v>
      </c>
      <c r="K154" s="279">
        <v>2.7612486757086261</v>
      </c>
      <c r="L154" s="279">
        <v>2.8294515179986321</v>
      </c>
      <c r="M154" s="279">
        <v>2.9016025317075869</v>
      </c>
      <c r="N154" s="279">
        <v>2.9718213129749245</v>
      </c>
      <c r="O154" s="279">
        <v>3.0467112100618845</v>
      </c>
      <c r="P154" s="279">
        <v>3.1240976747974494</v>
      </c>
      <c r="Q154" s="279">
        <v>3.2022001166673855</v>
      </c>
      <c r="R154" s="279">
        <v>3.2825753395957351</v>
      </c>
      <c r="S154" s="279">
        <v>3.3646397230856366</v>
      </c>
      <c r="T154" s="279">
        <v>3.4480827882181546</v>
      </c>
      <c r="U154" s="279">
        <v>3.534629666202437</v>
      </c>
      <c r="V154" s="279">
        <v>3.6233488708241199</v>
      </c>
    </row>
    <row r="155" spans="1:22" x14ac:dyDescent="0.2">
      <c r="A155" s="267"/>
      <c r="B155" s="270" t="s">
        <v>39</v>
      </c>
      <c r="C155" s="278">
        <v>0</v>
      </c>
      <c r="D155" s="279">
        <v>4.2712776682007449</v>
      </c>
      <c r="E155" s="279">
        <v>7.3653119438965593</v>
      </c>
      <c r="F155" s="279">
        <v>1.3740131054131055</v>
      </c>
      <c r="G155" s="279">
        <v>4.1273654613193074</v>
      </c>
      <c r="H155" s="279">
        <v>8.6761362612316457</v>
      </c>
      <c r="I155" s="279">
        <v>8.9364203490685945</v>
      </c>
      <c r="J155" s="279">
        <v>9.2045129595406525</v>
      </c>
      <c r="K155" s="279">
        <v>9.4806483483268735</v>
      </c>
      <c r="L155" s="279">
        <v>9.7650677987766787</v>
      </c>
      <c r="M155" s="279">
        <v>10.05801983273998</v>
      </c>
      <c r="N155" s="279">
        <v>10.359760427722179</v>
      </c>
      <c r="O155" s="279">
        <v>10.670553240553845</v>
      </c>
      <c r="P155" s="279">
        <v>10.990669837770461</v>
      </c>
      <c r="Q155" s="279">
        <v>11.320389932903575</v>
      </c>
      <c r="R155" s="279">
        <v>11.660001630890681</v>
      </c>
      <c r="S155" s="279">
        <v>12.009801679817404</v>
      </c>
      <c r="T155" s="279">
        <v>12.370095730211926</v>
      </c>
      <c r="U155" s="279">
        <v>12.741198602118283</v>
      </c>
      <c r="V155" s="279">
        <v>13.123434560181831</v>
      </c>
    </row>
    <row r="156" spans="1:22" x14ac:dyDescent="0.2">
      <c r="A156" s="267"/>
      <c r="B156" s="270" t="s">
        <v>96</v>
      </c>
      <c r="C156" s="280">
        <v>0</v>
      </c>
      <c r="D156" s="281">
        <v>27.284786324786324</v>
      </c>
      <c r="E156" s="281">
        <v>17.78718912995836</v>
      </c>
      <c r="F156" s="281">
        <v>9.6431807582730649</v>
      </c>
      <c r="G156" s="281">
        <v>0</v>
      </c>
      <c r="H156" s="281">
        <v>0</v>
      </c>
      <c r="I156" s="281">
        <v>0</v>
      </c>
      <c r="J156" s="281">
        <v>0</v>
      </c>
      <c r="K156" s="281">
        <v>0</v>
      </c>
      <c r="L156" s="281">
        <v>0</v>
      </c>
      <c r="M156" s="281">
        <v>0</v>
      </c>
      <c r="N156" s="281">
        <v>0</v>
      </c>
      <c r="O156" s="281">
        <v>0</v>
      </c>
      <c r="P156" s="281">
        <v>0</v>
      </c>
      <c r="Q156" s="281">
        <v>0</v>
      </c>
      <c r="R156" s="281">
        <v>0</v>
      </c>
      <c r="S156" s="281">
        <v>0</v>
      </c>
      <c r="T156" s="281">
        <v>0</v>
      </c>
      <c r="U156" s="281">
        <v>0</v>
      </c>
      <c r="V156" s="281">
        <v>0</v>
      </c>
    </row>
    <row r="157" spans="1:22" x14ac:dyDescent="0.2">
      <c r="A157" s="267"/>
      <c r="B157" s="270"/>
      <c r="C157" s="267"/>
      <c r="D157" s="267"/>
      <c r="E157" s="267"/>
      <c r="F157" s="267"/>
      <c r="G157" s="267"/>
      <c r="H157" s="267"/>
      <c r="I157" s="267"/>
      <c r="J157" s="267"/>
      <c r="K157" s="267"/>
      <c r="L157" s="267"/>
      <c r="M157" s="267"/>
      <c r="N157" s="267"/>
      <c r="O157" s="267"/>
      <c r="P157" s="267"/>
      <c r="Q157" s="267"/>
      <c r="R157" s="267"/>
      <c r="S157" s="267"/>
      <c r="T157" s="267"/>
      <c r="U157" s="267"/>
      <c r="V157" s="267"/>
    </row>
    <row r="158" spans="1:22" x14ac:dyDescent="0.2">
      <c r="A158" s="267"/>
      <c r="B158" s="270"/>
      <c r="C158" s="267"/>
      <c r="D158" s="267"/>
      <c r="E158" s="267"/>
      <c r="F158" s="267"/>
      <c r="G158" s="267"/>
      <c r="H158" s="267"/>
      <c r="I158" s="267"/>
      <c r="J158" s="267"/>
      <c r="K158" s="267"/>
      <c r="L158" s="267"/>
      <c r="M158" s="267"/>
      <c r="N158" s="267"/>
      <c r="O158" s="267"/>
      <c r="P158" s="267"/>
      <c r="Q158" s="267"/>
      <c r="R158" s="267"/>
      <c r="S158" s="267"/>
      <c r="T158" s="267"/>
      <c r="U158" s="267"/>
      <c r="V158" s="267"/>
    </row>
    <row r="159" spans="1:22" x14ac:dyDescent="0.2">
      <c r="A159" s="24"/>
      <c r="B159" s="295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299"/>
      <c r="P159" s="299"/>
      <c r="Q159" s="299"/>
      <c r="R159" s="299"/>
      <c r="S159" s="299"/>
      <c r="T159" s="299"/>
      <c r="U159" s="299"/>
      <c r="V159" s="299"/>
    </row>
    <row r="160" spans="1:22" x14ac:dyDescent="0.2">
      <c r="A160" s="24"/>
      <c r="B160" s="295"/>
      <c r="C160" s="299"/>
      <c r="D160" s="299"/>
      <c r="E160" s="299"/>
      <c r="F160" s="299"/>
      <c r="G160" s="299"/>
      <c r="H160" s="299"/>
      <c r="I160" s="299"/>
      <c r="J160" s="299"/>
      <c r="K160" s="299"/>
      <c r="L160" s="299"/>
      <c r="M160" s="299"/>
      <c r="N160" s="299"/>
      <c r="O160" s="299"/>
      <c r="P160" s="299"/>
      <c r="Q160" s="299"/>
      <c r="R160" s="299"/>
      <c r="S160" s="299"/>
      <c r="T160" s="299"/>
      <c r="U160" s="299"/>
      <c r="V160" s="299"/>
    </row>
    <row r="161" spans="1:22" x14ac:dyDescent="0.2">
      <c r="A161" s="265" t="s">
        <v>98</v>
      </c>
      <c r="B161" s="266"/>
      <c r="C161" s="267"/>
      <c r="D161" s="2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7"/>
      <c r="O161" s="267"/>
      <c r="P161" s="267"/>
      <c r="Q161" s="267"/>
      <c r="R161" s="267"/>
      <c r="S161" s="267"/>
      <c r="T161" s="267"/>
      <c r="U161" s="267"/>
      <c r="V161" s="267"/>
    </row>
    <row r="162" spans="1:22" x14ac:dyDescent="0.2">
      <c r="A162" s="268" t="s">
        <v>61</v>
      </c>
      <c r="B162" s="266"/>
      <c r="C162" s="267"/>
      <c r="D162" s="267"/>
      <c r="E162" s="267"/>
      <c r="F162" s="267"/>
      <c r="G162" s="267"/>
      <c r="H162" s="267"/>
      <c r="I162" s="267"/>
      <c r="J162" s="267"/>
      <c r="K162" s="267"/>
      <c r="L162" s="267"/>
      <c r="M162" s="267"/>
      <c r="N162" s="267"/>
      <c r="O162" s="267"/>
      <c r="P162" s="267"/>
      <c r="Q162" s="267"/>
      <c r="R162" s="267"/>
      <c r="S162" s="267"/>
      <c r="T162" s="267"/>
      <c r="U162" s="267"/>
      <c r="V162" s="267"/>
    </row>
    <row r="163" spans="1:22" x14ac:dyDescent="0.2">
      <c r="A163" s="267"/>
      <c r="B163" s="266"/>
      <c r="C163" s="267"/>
      <c r="D163" s="267"/>
      <c r="E163" s="267"/>
      <c r="F163" s="267"/>
      <c r="G163" s="267"/>
      <c r="H163" s="267"/>
      <c r="I163" s="267"/>
      <c r="J163" s="267"/>
      <c r="K163" s="267"/>
      <c r="L163" s="267"/>
      <c r="M163" s="267"/>
      <c r="N163" s="267"/>
      <c r="O163" s="267"/>
      <c r="P163" s="267"/>
      <c r="Q163" s="267"/>
      <c r="R163" s="267"/>
      <c r="S163" s="267"/>
      <c r="T163" s="267"/>
      <c r="U163" s="267"/>
      <c r="V163" s="267"/>
    </row>
    <row r="164" spans="1:22" x14ac:dyDescent="0.2">
      <c r="A164" s="267"/>
      <c r="B164" s="266"/>
      <c r="C164" s="271">
        <v>2000</v>
      </c>
      <c r="D164" s="272">
        <v>2001</v>
      </c>
      <c r="E164" s="272">
        <v>2002</v>
      </c>
      <c r="F164" s="272">
        <v>2003</v>
      </c>
      <c r="G164" s="272">
        <v>2004</v>
      </c>
      <c r="H164" s="272">
        <v>2005</v>
      </c>
      <c r="I164" s="272">
        <v>2006</v>
      </c>
      <c r="J164" s="272">
        <v>2007</v>
      </c>
      <c r="K164" s="272">
        <v>2008</v>
      </c>
      <c r="L164" s="272">
        <v>2009</v>
      </c>
      <c r="M164" s="272">
        <v>2010</v>
      </c>
      <c r="N164" s="272">
        <v>2011</v>
      </c>
      <c r="O164" s="272">
        <v>2012</v>
      </c>
      <c r="P164" s="272">
        <v>2013</v>
      </c>
      <c r="Q164" s="272">
        <v>2014</v>
      </c>
      <c r="R164" s="272">
        <v>2015</v>
      </c>
      <c r="S164" s="272">
        <v>2016</v>
      </c>
      <c r="T164" s="272">
        <v>2017</v>
      </c>
      <c r="U164" s="272">
        <v>2018</v>
      </c>
      <c r="V164" s="272">
        <v>2019</v>
      </c>
    </row>
    <row r="165" spans="1:22" x14ac:dyDescent="0.2">
      <c r="A165" s="269" t="s">
        <v>129</v>
      </c>
      <c r="B165" s="266"/>
      <c r="C165" s="273"/>
      <c r="D165" s="274"/>
      <c r="E165" s="274"/>
      <c r="F165" s="274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4"/>
      <c r="T165" s="274"/>
      <c r="U165" s="274"/>
      <c r="V165" s="274"/>
    </row>
    <row r="166" spans="1:22" x14ac:dyDescent="0.2">
      <c r="A166" s="267"/>
      <c r="B166" s="270" t="s">
        <v>97</v>
      </c>
      <c r="C166" s="275">
        <v>0</v>
      </c>
      <c r="D166" s="276">
        <v>1459122.4069828426</v>
      </c>
      <c r="E166" s="276">
        <v>1439351.9837046466</v>
      </c>
      <c r="F166" s="276">
        <v>1419186.1519608872</v>
      </c>
      <c r="G166" s="276">
        <v>1398617.003582252</v>
      </c>
      <c r="H166" s="276">
        <v>1377636.4722360442</v>
      </c>
      <c r="I166" s="276">
        <v>1364699.9766741837</v>
      </c>
      <c r="J166" s="276">
        <v>1364699.9766741837</v>
      </c>
      <c r="K166" s="276">
        <v>1364699.9766741837</v>
      </c>
      <c r="L166" s="276">
        <v>1364699.9766741837</v>
      </c>
      <c r="M166" s="276">
        <v>1364699.9766741837</v>
      </c>
      <c r="N166" s="276">
        <v>1364699.9766741837</v>
      </c>
      <c r="O166" s="276">
        <v>1364699.9766741837</v>
      </c>
      <c r="P166" s="276">
        <v>1364699.9766741837</v>
      </c>
      <c r="Q166" s="276">
        <v>1364699.9766741837</v>
      </c>
      <c r="R166" s="276">
        <v>1364699.9766741837</v>
      </c>
      <c r="S166" s="276">
        <v>1364699.9766741837</v>
      </c>
      <c r="T166" s="276">
        <v>1364699.9766741837</v>
      </c>
      <c r="U166" s="276">
        <v>1364699.9766741837</v>
      </c>
      <c r="V166" s="276">
        <v>1364699.9766741837</v>
      </c>
    </row>
    <row r="167" spans="1:22" x14ac:dyDescent="0.2">
      <c r="A167" s="267"/>
      <c r="B167" s="270" t="s">
        <v>91</v>
      </c>
      <c r="C167" s="275">
        <v>0</v>
      </c>
      <c r="D167" s="277">
        <v>0.84124487280501514</v>
      </c>
      <c r="E167" s="277">
        <v>0.82984639990351372</v>
      </c>
      <c r="F167" s="277">
        <v>0.81821995754398269</v>
      </c>
      <c r="G167" s="277">
        <v>0.80636098633726061</v>
      </c>
      <c r="H167" s="277">
        <v>0.79426483570640438</v>
      </c>
      <c r="I167" s="277">
        <v>0.78680640691975912</v>
      </c>
      <c r="J167" s="277">
        <v>0.78680640691975912</v>
      </c>
      <c r="K167" s="277">
        <v>0.78680640691975912</v>
      </c>
      <c r="L167" s="277">
        <v>0.78680640691975912</v>
      </c>
      <c r="M167" s="277">
        <v>0.78680640691975912</v>
      </c>
      <c r="N167" s="277">
        <v>0.78680640691975912</v>
      </c>
      <c r="O167" s="277">
        <v>0.78680640691975912</v>
      </c>
      <c r="P167" s="277">
        <v>0.78680640691975912</v>
      </c>
      <c r="Q167" s="277">
        <v>0.78680640691975912</v>
      </c>
      <c r="R167" s="277">
        <v>0.78680640691975912</v>
      </c>
      <c r="S167" s="277">
        <v>0.78680640691975912</v>
      </c>
      <c r="T167" s="277">
        <v>0.78680640691975912</v>
      </c>
      <c r="U167" s="277">
        <v>0.78680640691975912</v>
      </c>
      <c r="V167" s="277">
        <v>0.78680640691975912</v>
      </c>
    </row>
    <row r="168" spans="1:22" x14ac:dyDescent="0.2">
      <c r="A168" s="269" t="s">
        <v>93</v>
      </c>
      <c r="B168" s="270"/>
      <c r="C168" s="273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</row>
    <row r="169" spans="1:22" x14ac:dyDescent="0.2">
      <c r="A169" s="267"/>
      <c r="B169" s="270" t="s">
        <v>27</v>
      </c>
      <c r="C169" s="278">
        <v>0</v>
      </c>
      <c r="D169" s="279">
        <v>39.33761243655119</v>
      </c>
      <c r="E169" s="279">
        <v>38.876591511234544</v>
      </c>
      <c r="F169" s="279">
        <v>39.501092679672063</v>
      </c>
      <c r="G169" s="279">
        <v>39.043693036795197</v>
      </c>
      <c r="H169" s="279">
        <v>39.278934224594451</v>
      </c>
      <c r="I169" s="279">
        <v>41.862423523676867</v>
      </c>
      <c r="J169" s="279">
        <v>45.026862174247633</v>
      </c>
      <c r="K169" s="279">
        <v>46.239526418644303</v>
      </c>
      <c r="L169" s="279">
        <v>47.194347054021954</v>
      </c>
      <c r="M169" s="279">
        <v>47.363644589041847</v>
      </c>
      <c r="N169" s="279">
        <v>48.399012897511916</v>
      </c>
      <c r="O169" s="279">
        <v>48.922627728966297</v>
      </c>
      <c r="P169" s="279">
        <v>49.511331805816795</v>
      </c>
      <c r="Q169" s="279">
        <v>51.280779091661266</v>
      </c>
      <c r="R169" s="279">
        <v>54.898201879545965</v>
      </c>
      <c r="S169" s="279">
        <v>54.615722298042094</v>
      </c>
      <c r="T169" s="279">
        <v>55.357281017515618</v>
      </c>
      <c r="U169" s="279">
        <v>58.000117418601711</v>
      </c>
      <c r="V169" s="279">
        <v>59.738223495031612</v>
      </c>
    </row>
    <row r="170" spans="1:22" x14ac:dyDescent="0.2">
      <c r="A170" s="267"/>
      <c r="B170" s="270" t="s">
        <v>20</v>
      </c>
      <c r="C170" s="278">
        <v>0</v>
      </c>
      <c r="D170" s="279">
        <v>11.808851700000005</v>
      </c>
      <c r="E170" s="279">
        <v>11.978018700000003</v>
      </c>
      <c r="F170" s="279">
        <v>12.184999499999996</v>
      </c>
      <c r="G170" s="279">
        <v>12.536269799999998</v>
      </c>
      <c r="H170" s="279">
        <v>12.975108899999999</v>
      </c>
      <c r="I170" s="279">
        <v>13.478629499999998</v>
      </c>
      <c r="J170" s="279">
        <v>13.789100700000001</v>
      </c>
      <c r="K170" s="279">
        <v>14.084645399999998</v>
      </c>
      <c r="L170" s="279">
        <v>14.3145135</v>
      </c>
      <c r="M170" s="279">
        <v>14.423974499999998</v>
      </c>
      <c r="N170" s="279">
        <v>14.617023900000001</v>
      </c>
      <c r="O170" s="279">
        <v>14.933465700000006</v>
      </c>
      <c r="P170" s="279">
        <v>15.271799699999999</v>
      </c>
      <c r="Q170" s="279">
        <v>15.5962023</v>
      </c>
      <c r="R170" s="279">
        <v>15.814129200000002</v>
      </c>
      <c r="S170" s="279">
        <v>16.136541599999994</v>
      </c>
      <c r="T170" s="279">
        <v>16.504728600000004</v>
      </c>
      <c r="U170" s="279">
        <v>16.909734300000007</v>
      </c>
      <c r="V170" s="279">
        <v>17.327676299999997</v>
      </c>
    </row>
    <row r="171" spans="1:22" x14ac:dyDescent="0.2">
      <c r="A171" s="267"/>
      <c r="B171" s="270" t="s">
        <v>92</v>
      </c>
      <c r="C171" s="278">
        <v>0</v>
      </c>
      <c r="D171" s="279">
        <v>0.80616755651973548</v>
      </c>
      <c r="E171" s="279">
        <v>0.82243952921941688</v>
      </c>
      <c r="F171" s="279">
        <v>1.3714399412037077</v>
      </c>
      <c r="G171" s="279">
        <v>1.40168542180795</v>
      </c>
      <c r="H171" s="279">
        <v>1.4326054841763449</v>
      </c>
      <c r="I171" s="279">
        <v>1.4642153467128047</v>
      </c>
      <c r="J171" s="279">
        <v>1.4965305750550577</v>
      </c>
      <c r="K171" s="279">
        <v>1.5295670900848466</v>
      </c>
      <c r="L171" s="279">
        <v>1.5633411761248397</v>
      </c>
      <c r="M171" s="279">
        <v>1.5978694893266576</v>
      </c>
      <c r="N171" s="279">
        <v>1.6331690662545071</v>
      </c>
      <c r="O171" s="279">
        <v>1.6692573326690414</v>
      </c>
      <c r="P171" s="279">
        <v>1.7061521125161458</v>
      </c>
      <c r="Q171" s="279">
        <v>1.7438716371254899</v>
      </c>
      <c r="R171" s="279">
        <v>1.7824345546237745</v>
      </c>
      <c r="S171" s="279">
        <v>1.8218599395677535</v>
      </c>
      <c r="T171" s="279">
        <v>1.8621673028021823</v>
      </c>
      <c r="U171" s="279">
        <v>1.903376601548026</v>
      </c>
      <c r="V171" s="279">
        <v>1.9455082497263316</v>
      </c>
    </row>
    <row r="172" spans="1:22" x14ac:dyDescent="0.2">
      <c r="A172" s="267"/>
      <c r="B172" s="270" t="s">
        <v>22</v>
      </c>
      <c r="C172" s="278">
        <v>0</v>
      </c>
      <c r="D172" s="279">
        <v>0</v>
      </c>
      <c r="E172" s="279">
        <v>0</v>
      </c>
      <c r="F172" s="279">
        <v>0</v>
      </c>
      <c r="G172" s="279">
        <v>0</v>
      </c>
      <c r="H172" s="279">
        <v>0</v>
      </c>
      <c r="I172" s="279">
        <v>0.74190615669680959</v>
      </c>
      <c r="J172" s="279">
        <v>0.82234370829989467</v>
      </c>
      <c r="K172" s="279">
        <v>0.99273816597565323</v>
      </c>
      <c r="L172" s="279">
        <v>0.99665977660332927</v>
      </c>
      <c r="M172" s="279">
        <v>1.1084389085084376</v>
      </c>
      <c r="N172" s="279">
        <v>1.2210292820410873</v>
      </c>
      <c r="O172" s="279">
        <v>1.3528638369366692</v>
      </c>
      <c r="P172" s="279">
        <v>1.5169162451989444</v>
      </c>
      <c r="Q172" s="279">
        <v>1.6885644911634357</v>
      </c>
      <c r="R172" s="279">
        <v>1.8704136295960334</v>
      </c>
      <c r="S172" s="279">
        <v>2.0537118651355057</v>
      </c>
      <c r="T172" s="279">
        <v>2.0176717842157954</v>
      </c>
      <c r="U172" s="279">
        <v>1.7262273422521841</v>
      </c>
      <c r="V172" s="279">
        <v>1.7897792709483082</v>
      </c>
    </row>
    <row r="173" spans="1:22" x14ac:dyDescent="0.2">
      <c r="A173" s="267"/>
      <c r="B173" s="270" t="s">
        <v>23</v>
      </c>
      <c r="C173" s="278">
        <v>0</v>
      </c>
      <c r="D173" s="279">
        <v>0</v>
      </c>
      <c r="E173" s="279">
        <v>0</v>
      </c>
      <c r="F173" s="279">
        <v>0.61144909273537196</v>
      </c>
      <c r="G173" s="279">
        <v>0.52099295454976524</v>
      </c>
      <c r="H173" s="279">
        <v>0.54086186503776124</v>
      </c>
      <c r="I173" s="279">
        <v>0.56173266829948565</v>
      </c>
      <c r="J173" s="279">
        <v>0.73731015152462787</v>
      </c>
      <c r="K173" s="279">
        <v>0.64384692035129976</v>
      </c>
      <c r="L173" s="279">
        <v>0.68166253062894111</v>
      </c>
      <c r="M173" s="279">
        <v>0.64862800485942629</v>
      </c>
      <c r="N173" s="279">
        <v>0.66720524550354587</v>
      </c>
      <c r="O173" s="279">
        <v>0.68450645929776999</v>
      </c>
      <c r="P173" s="279">
        <v>0.61140788239444677</v>
      </c>
      <c r="Q173" s="279">
        <v>0.6332685746798451</v>
      </c>
      <c r="R173" s="279">
        <v>0.64635531117861911</v>
      </c>
      <c r="S173" s="279">
        <v>0.68638392867978992</v>
      </c>
      <c r="T173" s="279">
        <v>0.64527208237663913</v>
      </c>
      <c r="U173" s="279">
        <v>0.71068785687880065</v>
      </c>
      <c r="V173" s="279">
        <v>0.38693439767407894</v>
      </c>
    </row>
    <row r="174" spans="1:22" x14ac:dyDescent="0.2">
      <c r="A174" s="269" t="s">
        <v>94</v>
      </c>
      <c r="B174" s="270"/>
      <c r="C174" s="273"/>
      <c r="D174" s="274"/>
      <c r="E174" s="274"/>
      <c r="F174" s="274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  <c r="S174" s="274"/>
      <c r="T174" s="274"/>
      <c r="U174" s="274"/>
      <c r="V174" s="274"/>
    </row>
    <row r="175" spans="1:22" x14ac:dyDescent="0.2">
      <c r="A175" s="267"/>
      <c r="B175" s="270" t="s">
        <v>34</v>
      </c>
      <c r="C175" s="278">
        <v>0</v>
      </c>
      <c r="D175" s="279">
        <v>11.731257271103535</v>
      </c>
      <c r="E175" s="279">
        <v>11.965882416525606</v>
      </c>
      <c r="F175" s="279">
        <v>12.384679862835917</v>
      </c>
      <c r="G175" s="279">
        <v>12.633270859082533</v>
      </c>
      <c r="H175" s="279">
        <v>12.88685611022883</v>
      </c>
      <c r="I175" s="279">
        <v>13.145536062247169</v>
      </c>
      <c r="J175" s="279">
        <v>13.409413184051221</v>
      </c>
      <c r="K175" s="279">
        <v>13.67859200830533</v>
      </c>
      <c r="L175" s="279">
        <v>13.953179173058846</v>
      </c>
      <c r="M175" s="279">
        <v>14.23328346422212</v>
      </c>
      <c r="N175" s="279">
        <v>14.519015858901213</v>
      </c>
      <c r="O175" s="279">
        <v>14.810489569608755</v>
      </c>
      <c r="P175" s="279">
        <v>15.107820089368683</v>
      </c>
      <c r="Q175" s="279">
        <v>15.411125237733003</v>
      </c>
      <c r="R175" s="279">
        <v>15.720525207729033</v>
      </c>
      <c r="S175" s="279">
        <v>16.03614261375602</v>
      </c>
      <c r="T175" s="279">
        <v>16.358102540450354</v>
      </c>
      <c r="U175" s="279">
        <v>16.686532592539056</v>
      </c>
      <c r="V175" s="279">
        <v>17.021562945701529</v>
      </c>
    </row>
    <row r="176" spans="1:22" x14ac:dyDescent="0.2">
      <c r="A176" s="267"/>
      <c r="B176" s="270" t="s">
        <v>95</v>
      </c>
      <c r="C176" s="278">
        <v>0</v>
      </c>
      <c r="D176" s="279">
        <v>3.9603392359237493</v>
      </c>
      <c r="E176" s="279">
        <v>3.9991203424776001</v>
      </c>
      <c r="F176" s="279">
        <v>4.0387507552649797</v>
      </c>
      <c r="G176" s="279">
        <v>4.0792768153813546</v>
      </c>
      <c r="H176" s="279">
        <v>4.1207673957284987</v>
      </c>
      <c r="I176" s="279">
        <v>4.165043402452385</v>
      </c>
      <c r="J176" s="279">
        <v>4.2086286117920668</v>
      </c>
      <c r="K176" s="279">
        <v>4.2551506662850489</v>
      </c>
      <c r="L176" s="279">
        <v>4.3009429118393738</v>
      </c>
      <c r="M176" s="279">
        <v>4.347902859655334</v>
      </c>
      <c r="N176" s="279">
        <v>4.3959992382084394</v>
      </c>
      <c r="O176" s="279">
        <v>4.4453076455010843</v>
      </c>
      <c r="P176" s="279">
        <v>4.4958684863389609</v>
      </c>
      <c r="Q176" s="279">
        <v>4.5476933481977859</v>
      </c>
      <c r="R176" s="279">
        <v>4.6008190140892671</v>
      </c>
      <c r="S176" s="279">
        <v>4.655272821628035</v>
      </c>
      <c r="T176" s="279">
        <v>4.7110770835937643</v>
      </c>
      <c r="U176" s="279">
        <v>4.7682820325348336</v>
      </c>
      <c r="V176" s="279">
        <v>4.8269228256943233</v>
      </c>
    </row>
    <row r="177" spans="1:22" x14ac:dyDescent="0.2">
      <c r="A177" s="267"/>
      <c r="B177" s="270" t="s">
        <v>36</v>
      </c>
      <c r="C177" s="278">
        <v>0</v>
      </c>
      <c r="D177" s="279">
        <v>2.3636323282321161</v>
      </c>
      <c r="E177" s="279">
        <v>2.4135049703578284</v>
      </c>
      <c r="F177" s="279">
        <v>2.4663607292086667</v>
      </c>
      <c r="G177" s="279">
        <v>2.5221004816887627</v>
      </c>
      <c r="H177" s="279">
        <v>2.5821264731529596</v>
      </c>
      <c r="I177" s="279">
        <v>2.6468348221559901</v>
      </c>
      <c r="J177" s="279">
        <v>2.7124836994875556</v>
      </c>
      <c r="K177" s="279">
        <v>2.7811422674704289</v>
      </c>
      <c r="L177" s="279">
        <v>2.8498364814769546</v>
      </c>
      <c r="M177" s="279">
        <v>2.9225073117546061</v>
      </c>
      <c r="N177" s="279">
        <v>2.9932319886990806</v>
      </c>
      <c r="O177" s="279">
        <v>3.0686614348142882</v>
      </c>
      <c r="P177" s="279">
        <v>3.1466054352585653</v>
      </c>
      <c r="Q177" s="279">
        <v>3.2252705711400251</v>
      </c>
      <c r="R177" s="279">
        <v>3.3062248624756414</v>
      </c>
      <c r="S177" s="279">
        <v>3.3888804840375406</v>
      </c>
      <c r="T177" s="279">
        <v>3.4729247200416666</v>
      </c>
      <c r="U177" s="279">
        <v>3.5600951305147173</v>
      </c>
      <c r="V177" s="279">
        <v>3.6494535182906365</v>
      </c>
    </row>
    <row r="178" spans="1:22" x14ac:dyDescent="0.2">
      <c r="A178" s="267"/>
      <c r="B178" s="270" t="s">
        <v>39</v>
      </c>
      <c r="C178" s="278">
        <v>0</v>
      </c>
      <c r="D178" s="279">
        <v>11.918521111111112</v>
      </c>
      <c r="E178" s="279">
        <v>0.26240000000000097</v>
      </c>
      <c r="F178" s="279">
        <v>2.2928666666666664</v>
      </c>
      <c r="G178" s="279">
        <v>0.27675</v>
      </c>
      <c r="H178" s="279">
        <v>3.000107555555557</v>
      </c>
      <c r="I178" s="279">
        <v>3.0901107822222236</v>
      </c>
      <c r="J178" s="279">
        <v>3.1828141056888906</v>
      </c>
      <c r="K178" s="279">
        <v>3.2782985288595574</v>
      </c>
      <c r="L178" s="279">
        <v>3.376647484725344</v>
      </c>
      <c r="M178" s="279">
        <v>3.4779469092671045</v>
      </c>
      <c r="N178" s="279">
        <v>3.5822853165451178</v>
      </c>
      <c r="O178" s="279">
        <v>3.689753876041471</v>
      </c>
      <c r="P178" s="279">
        <v>3.8004464923227155</v>
      </c>
      <c r="Q178" s="279">
        <v>3.9144598870923968</v>
      </c>
      <c r="R178" s="279">
        <v>4.0318936837051691</v>
      </c>
      <c r="S178" s="279">
        <v>4.1528504942163247</v>
      </c>
      <c r="T178" s="279">
        <v>4.2774360090428143</v>
      </c>
      <c r="U178" s="279">
        <v>4.4057590893140981</v>
      </c>
      <c r="V178" s="279">
        <v>4.5379318619935214</v>
      </c>
    </row>
    <row r="179" spans="1:22" x14ac:dyDescent="0.2">
      <c r="A179" s="267"/>
      <c r="B179" s="270" t="s">
        <v>96</v>
      </c>
      <c r="C179" s="280">
        <v>0</v>
      </c>
      <c r="D179" s="281">
        <v>36.763151515151513</v>
      </c>
      <c r="E179" s="281">
        <v>8.9200096969696965</v>
      </c>
      <c r="F179" s="281">
        <v>7.4550766666666659</v>
      </c>
      <c r="G179" s="281">
        <v>0</v>
      </c>
      <c r="H179" s="281">
        <v>0</v>
      </c>
      <c r="I179" s="281">
        <v>0</v>
      </c>
      <c r="J179" s="281">
        <v>0</v>
      </c>
      <c r="K179" s="281">
        <v>0</v>
      </c>
      <c r="L179" s="281">
        <v>0</v>
      </c>
      <c r="M179" s="281">
        <v>0</v>
      </c>
      <c r="N179" s="281">
        <v>0</v>
      </c>
      <c r="O179" s="281">
        <v>0</v>
      </c>
      <c r="P179" s="281">
        <v>0</v>
      </c>
      <c r="Q179" s="281">
        <v>0</v>
      </c>
      <c r="R179" s="281">
        <v>0</v>
      </c>
      <c r="S179" s="281">
        <v>0</v>
      </c>
      <c r="T179" s="281">
        <v>0</v>
      </c>
      <c r="U179" s="281">
        <v>0</v>
      </c>
      <c r="V179" s="281">
        <v>0</v>
      </c>
    </row>
    <row r="180" spans="1:22" x14ac:dyDescent="0.2">
      <c r="A180" s="267"/>
      <c r="B180" s="270"/>
      <c r="C180" s="267"/>
      <c r="D180" s="267"/>
      <c r="E180" s="267"/>
      <c r="F180" s="267"/>
      <c r="G180" s="267"/>
      <c r="H180" s="267"/>
      <c r="I180" s="267"/>
      <c r="J180" s="267"/>
      <c r="K180" s="267"/>
      <c r="L180" s="267"/>
      <c r="M180" s="267"/>
      <c r="N180" s="267"/>
      <c r="O180" s="267"/>
      <c r="P180" s="267"/>
      <c r="Q180" s="267"/>
      <c r="R180" s="267"/>
      <c r="S180" s="267"/>
      <c r="T180" s="267"/>
      <c r="U180" s="267"/>
      <c r="V180" s="267"/>
    </row>
    <row r="181" spans="1:22" x14ac:dyDescent="0.2">
      <c r="A181" s="267"/>
      <c r="B181" s="270"/>
      <c r="C181" s="267"/>
      <c r="D181" s="267"/>
      <c r="E181" s="267"/>
      <c r="F181" s="267"/>
      <c r="G181" s="267"/>
      <c r="H181" s="267"/>
      <c r="I181" s="267"/>
      <c r="J181" s="267"/>
      <c r="K181" s="267"/>
      <c r="L181" s="267"/>
      <c r="M181" s="267"/>
      <c r="N181" s="267"/>
      <c r="O181" s="267"/>
      <c r="P181" s="267"/>
      <c r="Q181" s="267"/>
      <c r="R181" s="267"/>
      <c r="S181" s="267"/>
      <c r="T181" s="267"/>
      <c r="U181" s="267"/>
      <c r="V181" s="267"/>
    </row>
    <row r="182" spans="1:22" x14ac:dyDescent="0.2">
      <c r="A182" s="24"/>
      <c r="B182" s="295"/>
      <c r="C182" s="299"/>
      <c r="D182" s="299"/>
      <c r="E182" s="299"/>
      <c r="F182" s="299"/>
      <c r="G182" s="299"/>
      <c r="H182" s="299"/>
      <c r="I182" s="299"/>
      <c r="J182" s="299"/>
      <c r="K182" s="299"/>
      <c r="L182" s="299"/>
      <c r="M182" s="299"/>
      <c r="N182" s="299"/>
      <c r="O182" s="299"/>
      <c r="P182" s="299"/>
      <c r="Q182" s="299"/>
      <c r="R182" s="299"/>
      <c r="S182" s="299"/>
      <c r="T182" s="299"/>
      <c r="U182" s="299"/>
      <c r="V182" s="299"/>
    </row>
    <row r="183" spans="1:22" x14ac:dyDescent="0.2">
      <c r="A183" s="24"/>
      <c r="B183" s="295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299"/>
      <c r="P183" s="299"/>
      <c r="Q183" s="299"/>
      <c r="R183" s="299"/>
      <c r="S183" s="299"/>
      <c r="T183" s="299"/>
      <c r="U183" s="299"/>
      <c r="V183" s="299"/>
    </row>
    <row r="184" spans="1:22" x14ac:dyDescent="0.2">
      <c r="A184" s="265" t="s">
        <v>98</v>
      </c>
      <c r="B184" s="266"/>
      <c r="C184" s="267"/>
      <c r="D184" s="267"/>
      <c r="E184" s="267"/>
      <c r="F184" s="267"/>
      <c r="G184" s="267"/>
      <c r="H184" s="267"/>
      <c r="I184" s="267"/>
      <c r="J184" s="267"/>
      <c r="K184" s="267"/>
      <c r="L184" s="267"/>
      <c r="M184" s="267"/>
      <c r="N184" s="267"/>
      <c r="O184" s="267"/>
      <c r="P184" s="267"/>
      <c r="Q184" s="267"/>
      <c r="R184" s="267"/>
      <c r="S184" s="267"/>
      <c r="T184" s="267"/>
      <c r="U184" s="267"/>
      <c r="V184" s="267"/>
    </row>
    <row r="185" spans="1:22" x14ac:dyDescent="0.2">
      <c r="A185" s="268" t="s">
        <v>62</v>
      </c>
      <c r="B185" s="266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</row>
    <row r="186" spans="1:22" x14ac:dyDescent="0.2">
      <c r="A186" s="267"/>
      <c r="B186" s="266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67"/>
      <c r="P186" s="267"/>
      <c r="Q186" s="267"/>
      <c r="R186" s="267"/>
      <c r="S186" s="267"/>
      <c r="T186" s="267"/>
      <c r="U186" s="267"/>
      <c r="V186" s="267"/>
    </row>
    <row r="187" spans="1:22" x14ac:dyDescent="0.2">
      <c r="A187" s="267"/>
      <c r="B187" s="266"/>
      <c r="C187" s="271">
        <v>2000</v>
      </c>
      <c r="D187" s="272">
        <v>2001</v>
      </c>
      <c r="E187" s="272">
        <v>2002</v>
      </c>
      <c r="F187" s="272">
        <v>2003</v>
      </c>
      <c r="G187" s="272">
        <v>2004</v>
      </c>
      <c r="H187" s="272">
        <v>2005</v>
      </c>
      <c r="I187" s="272">
        <v>2006</v>
      </c>
      <c r="J187" s="272">
        <v>2007</v>
      </c>
      <c r="K187" s="272">
        <v>2008</v>
      </c>
      <c r="L187" s="272">
        <v>2009</v>
      </c>
      <c r="M187" s="272">
        <v>2010</v>
      </c>
      <c r="N187" s="272">
        <v>2011</v>
      </c>
      <c r="O187" s="272">
        <v>2012</v>
      </c>
      <c r="P187" s="272">
        <v>2013</v>
      </c>
      <c r="Q187" s="272">
        <v>2014</v>
      </c>
      <c r="R187" s="272">
        <v>2015</v>
      </c>
      <c r="S187" s="272">
        <v>2016</v>
      </c>
      <c r="T187" s="272">
        <v>2017</v>
      </c>
      <c r="U187" s="272">
        <v>2018</v>
      </c>
      <c r="V187" s="272">
        <v>2019</v>
      </c>
    </row>
    <row r="188" spans="1:22" x14ac:dyDescent="0.2">
      <c r="A188" s="269" t="s">
        <v>129</v>
      </c>
      <c r="B188" s="266"/>
      <c r="C188" s="273"/>
      <c r="D188" s="274"/>
      <c r="E188" s="274"/>
      <c r="F188" s="274"/>
      <c r="G188" s="274"/>
      <c r="H188" s="274"/>
      <c r="I188" s="274"/>
      <c r="J188" s="274"/>
      <c r="K188" s="274"/>
      <c r="L188" s="274"/>
      <c r="M188" s="274"/>
      <c r="N188" s="274"/>
      <c r="O188" s="274"/>
      <c r="P188" s="274"/>
      <c r="Q188" s="274"/>
      <c r="R188" s="274"/>
      <c r="S188" s="274"/>
      <c r="T188" s="274"/>
      <c r="U188" s="274"/>
      <c r="V188" s="274"/>
    </row>
    <row r="189" spans="1:22" x14ac:dyDescent="0.2">
      <c r="A189" s="267"/>
      <c r="B189" s="270" t="s">
        <v>97</v>
      </c>
      <c r="C189" s="275">
        <v>0</v>
      </c>
      <c r="D189" s="276">
        <v>542922.96411222732</v>
      </c>
      <c r="E189" s="276">
        <v>535566.61295444705</v>
      </c>
      <c r="F189" s="276">
        <v>491072.24113594537</v>
      </c>
      <c r="G189" s="276">
        <v>485145.21716746059</v>
      </c>
      <c r="H189" s="276">
        <v>478680.97928028024</v>
      </c>
      <c r="I189" s="276">
        <v>329831.27158116718</v>
      </c>
      <c r="J189" s="276">
        <v>241142.01929308526</v>
      </c>
      <c r="K189" s="276">
        <v>241142.01929308526</v>
      </c>
      <c r="L189" s="276">
        <v>241142.01929308526</v>
      </c>
      <c r="M189" s="276">
        <v>255054.05886768637</v>
      </c>
      <c r="N189" s="276">
        <v>286935.81622614712</v>
      </c>
      <c r="O189" s="276">
        <v>255054.05886768637</v>
      </c>
      <c r="P189" s="276">
        <v>248098.03908038582</v>
      </c>
      <c r="Q189" s="276">
        <v>273023.77665154601</v>
      </c>
      <c r="R189" s="276">
        <v>376784.40514544578</v>
      </c>
      <c r="S189" s="276">
        <v>266067.75686424552</v>
      </c>
      <c r="T189" s="276">
        <v>270705.10338911257</v>
      </c>
      <c r="U189" s="276">
        <v>313600.55874413252</v>
      </c>
      <c r="V189" s="276">
        <v>455039.62775257678</v>
      </c>
    </row>
    <row r="190" spans="1:22" x14ac:dyDescent="0.2">
      <c r="A190" s="267"/>
      <c r="B190" s="270" t="s">
        <v>91</v>
      </c>
      <c r="C190" s="275">
        <v>0</v>
      </c>
      <c r="D190" s="277">
        <v>0.77471884148434256</v>
      </c>
      <c r="E190" s="277">
        <v>0.76422176506056938</v>
      </c>
      <c r="F190" s="277">
        <v>0.70073093769398598</v>
      </c>
      <c r="G190" s="277">
        <v>0.69227342632343114</v>
      </c>
      <c r="H190" s="277">
        <v>0.68304934258030858</v>
      </c>
      <c r="I190" s="277">
        <v>0.47064964552107186</v>
      </c>
      <c r="J190" s="277">
        <v>0.34409534716479062</v>
      </c>
      <c r="K190" s="277">
        <v>0.34409534716479062</v>
      </c>
      <c r="L190" s="277">
        <v>0.34409534716479062</v>
      </c>
      <c r="M190" s="277">
        <v>0.36394700180891321</v>
      </c>
      <c r="N190" s="277">
        <v>0.40944037703502734</v>
      </c>
      <c r="O190" s="277">
        <v>0.36394700180891321</v>
      </c>
      <c r="P190" s="277">
        <v>0.35402117448685194</v>
      </c>
      <c r="Q190" s="277">
        <v>0.38958872239090475</v>
      </c>
      <c r="R190" s="277">
        <v>0.53764897994498539</v>
      </c>
      <c r="S190" s="277">
        <v>0.37966289506884349</v>
      </c>
      <c r="T190" s="277">
        <v>0.386280113283551</v>
      </c>
      <c r="U190" s="277">
        <v>0.44748938176959552</v>
      </c>
      <c r="V190" s="277">
        <v>0.64931453731817468</v>
      </c>
    </row>
    <row r="191" spans="1:22" x14ac:dyDescent="0.2">
      <c r="A191" s="269" t="s">
        <v>93</v>
      </c>
      <c r="B191" s="270"/>
      <c r="C191" s="273"/>
      <c r="D191" s="274"/>
      <c r="E191" s="274"/>
      <c r="F191" s="274"/>
      <c r="G191" s="274"/>
      <c r="H191" s="274"/>
      <c r="I191" s="274"/>
      <c r="J191" s="274"/>
      <c r="K191" s="274"/>
      <c r="L191" s="274"/>
      <c r="M191" s="274"/>
      <c r="N191" s="274"/>
      <c r="O191" s="274"/>
      <c r="P191" s="274"/>
      <c r="Q191" s="274"/>
      <c r="R191" s="274"/>
      <c r="S191" s="274"/>
      <c r="T191" s="274"/>
      <c r="U191" s="274"/>
      <c r="V191" s="274"/>
    </row>
    <row r="192" spans="1:22" x14ac:dyDescent="0.2">
      <c r="A192" s="267"/>
      <c r="B192" s="270" t="s">
        <v>27</v>
      </c>
      <c r="C192" s="278">
        <v>0</v>
      </c>
      <c r="D192" s="279">
        <v>39.33761243655119</v>
      </c>
      <c r="E192" s="279">
        <v>38.876591511234537</v>
      </c>
      <c r="F192" s="279">
        <v>40.109081557737063</v>
      </c>
      <c r="G192" s="279">
        <v>39.71798670108906</v>
      </c>
      <c r="H192" s="279">
        <v>39.885959453312992</v>
      </c>
      <c r="I192" s="279">
        <v>47.463572015847291</v>
      </c>
      <c r="J192" s="279">
        <v>60.618741682593978</v>
      </c>
      <c r="K192" s="279">
        <v>62.759917580558337</v>
      </c>
      <c r="L192" s="279">
        <v>63.394185452902228</v>
      </c>
      <c r="M192" s="279">
        <v>62.820816960087853</v>
      </c>
      <c r="N192" s="279">
        <v>60.039153614884903</v>
      </c>
      <c r="O192" s="279">
        <v>63.39643198810321</v>
      </c>
      <c r="P192" s="279">
        <v>65.350366357948815</v>
      </c>
      <c r="Q192" s="279">
        <v>65.745690321978685</v>
      </c>
      <c r="R192" s="279">
        <v>61.62131153437614</v>
      </c>
      <c r="S192" s="279">
        <v>68.870652439961304</v>
      </c>
      <c r="T192" s="279">
        <v>70.352687157053609</v>
      </c>
      <c r="U192" s="279">
        <v>70.574464922718192</v>
      </c>
      <c r="V192" s="279">
        <v>62.549675990326143</v>
      </c>
    </row>
    <row r="193" spans="1:22" x14ac:dyDescent="0.2">
      <c r="A193" s="267"/>
      <c r="B193" s="270" t="s">
        <v>20</v>
      </c>
      <c r="C193" s="278">
        <v>0</v>
      </c>
      <c r="D193" s="279">
        <v>16.780811400000005</v>
      </c>
      <c r="E193" s="279">
        <v>17.024663100000001</v>
      </c>
      <c r="F193" s="279">
        <v>17.320282200000008</v>
      </c>
      <c r="G193" s="279">
        <v>17.814797099999996</v>
      </c>
      <c r="H193" s="279">
        <v>18.4305567</v>
      </c>
      <c r="I193" s="279">
        <v>19.1362281</v>
      </c>
      <c r="J193" s="279">
        <v>19.577613299999999</v>
      </c>
      <c r="K193" s="279">
        <v>19.998563999999995</v>
      </c>
      <c r="L193" s="279">
        <v>20.329602899999998</v>
      </c>
      <c r="M193" s="279">
        <v>20.497165799999998</v>
      </c>
      <c r="N193" s="279">
        <v>20.777799600000002</v>
      </c>
      <c r="O193" s="279">
        <v>21.230083199999996</v>
      </c>
      <c r="P193" s="279">
        <v>21.713699700000003</v>
      </c>
      <c r="Q193" s="279">
        <v>22.176881700000003</v>
      </c>
      <c r="R193" s="279">
        <v>22.492935299999999</v>
      </c>
      <c r="S193" s="279">
        <v>22.954755000000002</v>
      </c>
      <c r="T193" s="279">
        <v>23.4792405</v>
      </c>
      <c r="U193" s="279">
        <v>24.055493400000003</v>
      </c>
      <c r="V193" s="279">
        <v>24.6508185</v>
      </c>
    </row>
    <row r="194" spans="1:22" x14ac:dyDescent="0.2">
      <c r="A194" s="267"/>
      <c r="B194" s="270" t="s">
        <v>92</v>
      </c>
      <c r="C194" s="278">
        <v>0</v>
      </c>
      <c r="D194" s="279">
        <v>1.2972811254340573</v>
      </c>
      <c r="E194" s="279">
        <v>1.3234659090887162</v>
      </c>
      <c r="F194" s="279">
        <v>1.3501115907084873</v>
      </c>
      <c r="G194" s="279">
        <v>1.3773572846820221</v>
      </c>
      <c r="H194" s="279">
        <v>1.4051673862720437</v>
      </c>
      <c r="I194" s="279">
        <v>1.4335407862212548</v>
      </c>
      <c r="J194" s="279">
        <v>1.4632645213207733</v>
      </c>
      <c r="K194" s="279">
        <v>1.4915065910926284</v>
      </c>
      <c r="L194" s="279">
        <v>1.5224197414306417</v>
      </c>
      <c r="M194" s="279">
        <v>1.5527374093714137</v>
      </c>
      <c r="N194" s="279">
        <v>1.5850664365965503</v>
      </c>
      <c r="O194" s="279">
        <v>1.6161244806096355</v>
      </c>
      <c r="P194" s="279">
        <v>1.6479315949575053</v>
      </c>
      <c r="Q194" s="279">
        <v>1.6827833483478867</v>
      </c>
      <c r="R194" s="279">
        <v>1.7158535439334728</v>
      </c>
      <c r="S194" s="279">
        <v>1.751072712669085</v>
      </c>
      <c r="T194" s="279">
        <v>1.7859066930580372</v>
      </c>
      <c r="U194" s="279">
        <v>1.821772602828482</v>
      </c>
      <c r="V194" s="279">
        <v>1.8588074302948492</v>
      </c>
    </row>
    <row r="195" spans="1:22" x14ac:dyDescent="0.2">
      <c r="A195" s="267"/>
      <c r="B195" s="270" t="s">
        <v>22</v>
      </c>
      <c r="C195" s="278">
        <v>0</v>
      </c>
      <c r="D195" s="279">
        <v>0</v>
      </c>
      <c r="E195" s="279">
        <v>0</v>
      </c>
      <c r="F195" s="279">
        <v>0</v>
      </c>
      <c r="G195" s="279">
        <v>0</v>
      </c>
      <c r="H195" s="279">
        <v>0</v>
      </c>
      <c r="I195" s="279">
        <v>2.2668918925345132</v>
      </c>
      <c r="J195" s="279">
        <v>2.4003693306715324</v>
      </c>
      <c r="K195" s="279">
        <v>2.7600746517548478</v>
      </c>
      <c r="L195" s="279">
        <v>2.9091869211457815</v>
      </c>
      <c r="M195" s="279">
        <v>3.266168535443454</v>
      </c>
      <c r="N195" s="279">
        <v>3.6630747561198569</v>
      </c>
      <c r="O195" s="279">
        <v>3.9864003897948872</v>
      </c>
      <c r="P195" s="279">
        <v>4.4493821681753696</v>
      </c>
      <c r="Q195" s="279">
        <v>5.0289521802163</v>
      </c>
      <c r="R195" s="279">
        <v>5.8015864167247653</v>
      </c>
      <c r="S195" s="279">
        <v>6.0923653119788117</v>
      </c>
      <c r="T195" s="279">
        <v>6.0013611101173137</v>
      </c>
      <c r="U195" s="279">
        <v>5.2413091799660645</v>
      </c>
      <c r="V195" s="279">
        <v>5.6515207250970674</v>
      </c>
    </row>
    <row r="196" spans="1:22" x14ac:dyDescent="0.2">
      <c r="A196" s="267"/>
      <c r="B196" s="270" t="s">
        <v>23</v>
      </c>
      <c r="C196" s="278">
        <v>0</v>
      </c>
      <c r="D196" s="279">
        <v>0</v>
      </c>
      <c r="E196" s="279">
        <v>0</v>
      </c>
      <c r="F196" s="279">
        <v>9.7669897659465015</v>
      </c>
      <c r="G196" s="279">
        <v>8.3564526323507913</v>
      </c>
      <c r="H196" s="279">
        <v>8.6997849204032942</v>
      </c>
      <c r="I196" s="279">
        <v>4.3154717476797098</v>
      </c>
      <c r="J196" s="279">
        <v>13.165873031183242</v>
      </c>
      <c r="K196" s="279">
        <v>11.47752920925824</v>
      </c>
      <c r="L196" s="279">
        <v>12.17219417068601</v>
      </c>
      <c r="M196" s="279">
        <v>11.582308935785294</v>
      </c>
      <c r="N196" s="279">
        <v>11.914035809590656</v>
      </c>
      <c r="O196" s="279">
        <v>12.222977146732273</v>
      </c>
      <c r="P196" s="279">
        <v>10.917683058105869</v>
      </c>
      <c r="Q196" s="279">
        <v>11.308041306135097</v>
      </c>
      <c r="R196" s="279">
        <v>11.541726290370196</v>
      </c>
      <c r="S196" s="279">
        <v>12.256502418902329</v>
      </c>
      <c r="T196" s="279">
        <v>11.522383476710164</v>
      </c>
      <c r="U196" s="279">
        <v>12.690488621541071</v>
      </c>
      <c r="V196" s="279">
        <v>6.909343565445436</v>
      </c>
    </row>
    <row r="197" spans="1:22" x14ac:dyDescent="0.2">
      <c r="A197" s="269" t="s">
        <v>94</v>
      </c>
      <c r="B197" s="270"/>
      <c r="C197" s="273"/>
      <c r="D197" s="274"/>
      <c r="E197" s="274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  <c r="P197" s="274"/>
      <c r="Q197" s="274"/>
      <c r="R197" s="274"/>
      <c r="S197" s="274"/>
      <c r="T197" s="274"/>
      <c r="U197" s="274"/>
      <c r="V197" s="274"/>
    </row>
    <row r="198" spans="1:22" x14ac:dyDescent="0.2">
      <c r="A198" s="267"/>
      <c r="B198" s="270" t="s">
        <v>34</v>
      </c>
      <c r="C198" s="278">
        <v>0</v>
      </c>
      <c r="D198" s="279">
        <v>11.645333347370673</v>
      </c>
      <c r="E198" s="279">
        <v>11.878240014318088</v>
      </c>
      <c r="F198" s="279">
        <v>12.115804814604449</v>
      </c>
      <c r="G198" s="279">
        <v>12.358120910896538</v>
      </c>
      <c r="H198" s="279">
        <v>12.605283329114469</v>
      </c>
      <c r="I198" s="279">
        <v>12.857388995696759</v>
      </c>
      <c r="J198" s="279">
        <v>13.114536775610695</v>
      </c>
      <c r="K198" s="279">
        <v>13.37682751112291</v>
      </c>
      <c r="L198" s="279">
        <v>13.644364061345369</v>
      </c>
      <c r="M198" s="279">
        <v>13.917251342572278</v>
      </c>
      <c r="N198" s="279">
        <v>14.195596369423724</v>
      </c>
      <c r="O198" s="279">
        <v>14.479508296812197</v>
      </c>
      <c r="P198" s="279">
        <v>14.769098462748444</v>
      </c>
      <c r="Q198" s="279">
        <v>15.064480432003414</v>
      </c>
      <c r="R198" s="279">
        <v>15.365770040643483</v>
      </c>
      <c r="S198" s="279">
        <v>15.673085441456355</v>
      </c>
      <c r="T198" s="279">
        <v>15.986547150285482</v>
      </c>
      <c r="U198" s="279">
        <v>16.306278093291191</v>
      </c>
      <c r="V198" s="279">
        <v>16.632403655157013</v>
      </c>
    </row>
    <row r="199" spans="1:22" x14ac:dyDescent="0.2">
      <c r="A199" s="267"/>
      <c r="B199" s="270" t="s">
        <v>95</v>
      </c>
      <c r="C199" s="278">
        <v>0</v>
      </c>
      <c r="D199" s="279">
        <v>2.5114709491621623</v>
      </c>
      <c r="E199" s="279">
        <v>2.5705178999052047</v>
      </c>
      <c r="F199" s="279">
        <v>2.7259659757549697</v>
      </c>
      <c r="G199" s="279">
        <v>2.8717529665660937</v>
      </c>
      <c r="H199" s="279">
        <v>3.4670533797553174</v>
      </c>
      <c r="I199" s="279">
        <v>4.3173341713347702</v>
      </c>
      <c r="J199" s="279">
        <v>4.8169181908558922</v>
      </c>
      <c r="K199" s="279">
        <v>5.2663563134724045</v>
      </c>
      <c r="L199" s="279">
        <v>5.6596216586348023</v>
      </c>
      <c r="M199" s="279">
        <v>5.7965502593217444</v>
      </c>
      <c r="N199" s="279">
        <v>5.8697803640739261</v>
      </c>
      <c r="O199" s="279">
        <v>5.9490312818427684</v>
      </c>
      <c r="P199" s="279">
        <v>6.02601370302086</v>
      </c>
      <c r="Q199" s="279">
        <v>6.1049206847284037</v>
      </c>
      <c r="R199" s="279">
        <v>6.1858082316768064</v>
      </c>
      <c r="S199" s="279">
        <v>6.2687179672989197</v>
      </c>
      <c r="T199" s="279">
        <v>6.3536838643644611</v>
      </c>
      <c r="U199" s="279">
        <v>6.4407824054463472</v>
      </c>
      <c r="V199" s="279">
        <v>6.5300671199093889</v>
      </c>
    </row>
    <row r="200" spans="1:22" x14ac:dyDescent="0.2">
      <c r="A200" s="267"/>
      <c r="B200" s="270" t="s">
        <v>36</v>
      </c>
      <c r="C200" s="278">
        <v>0</v>
      </c>
      <c r="D200" s="279">
        <v>2.8048773099475999</v>
      </c>
      <c r="E200" s="279">
        <v>2.8640602211875126</v>
      </c>
      <c r="F200" s="279">
        <v>2.9267831400315254</v>
      </c>
      <c r="G200" s="279">
        <v>2.9929284389962127</v>
      </c>
      <c r="H200" s="279">
        <v>3.0641601358443373</v>
      </c>
      <c r="I200" s="279">
        <v>3.1409482968941123</v>
      </c>
      <c r="J200" s="279">
        <v>3.2188525649359128</v>
      </c>
      <c r="K200" s="279">
        <v>3.300328375352112</v>
      </c>
      <c r="L200" s="279">
        <v>3.3818464862233255</v>
      </c>
      <c r="M200" s="279">
        <v>3.4680835716219995</v>
      </c>
      <c r="N200" s="279">
        <v>3.5520111940552748</v>
      </c>
      <c r="O200" s="279">
        <v>3.6415218761454495</v>
      </c>
      <c r="P200" s="279">
        <v>3.7340165317995373</v>
      </c>
      <c r="Q200" s="279">
        <v>3.8273669450945249</v>
      </c>
      <c r="R200" s="279">
        <v>3.9234338554164001</v>
      </c>
      <c r="S200" s="279">
        <v>4.0215197018018127</v>
      </c>
      <c r="T200" s="279">
        <v>4.1212533904065003</v>
      </c>
      <c r="U200" s="279">
        <v>4.2246968505056994</v>
      </c>
      <c r="V200" s="279">
        <v>4.3307367414533999</v>
      </c>
    </row>
    <row r="201" spans="1:22" x14ac:dyDescent="0.2">
      <c r="A201" s="267"/>
      <c r="B201" s="270" t="s">
        <v>39</v>
      </c>
      <c r="C201" s="278">
        <v>0</v>
      </c>
      <c r="D201" s="279">
        <v>3.7004881249999997</v>
      </c>
      <c r="E201" s="279">
        <v>20.704397125</v>
      </c>
      <c r="F201" s="279">
        <v>9.6032461250000001</v>
      </c>
      <c r="G201" s="279">
        <v>3.3818375000000001</v>
      </c>
      <c r="H201" s="279">
        <v>8.1495509999999989</v>
      </c>
      <c r="I201" s="279">
        <v>8.3940375300000003</v>
      </c>
      <c r="J201" s="279">
        <v>8.6458586558999997</v>
      </c>
      <c r="K201" s="279">
        <v>8.9052344155770005</v>
      </c>
      <c r="L201" s="279">
        <v>9.1723914480443103</v>
      </c>
      <c r="M201" s="279">
        <v>9.4475631914856386</v>
      </c>
      <c r="N201" s="279">
        <v>9.7309900872302073</v>
      </c>
      <c r="O201" s="279">
        <v>10.022919789847114</v>
      </c>
      <c r="P201" s="279">
        <v>10.323607383542528</v>
      </c>
      <c r="Q201" s="279">
        <v>10.633315605048805</v>
      </c>
      <c r="R201" s="279">
        <v>10.952315073200269</v>
      </c>
      <c r="S201" s="279">
        <v>11.280884525396278</v>
      </c>
      <c r="T201" s="279">
        <v>11.619311061158166</v>
      </c>
      <c r="U201" s="279">
        <v>11.967890392992912</v>
      </c>
      <c r="V201" s="279">
        <v>12.326927104782699</v>
      </c>
    </row>
    <row r="202" spans="1:22" x14ac:dyDescent="0.2">
      <c r="A202" s="267"/>
      <c r="B202" s="270" t="s">
        <v>96</v>
      </c>
      <c r="C202" s="280">
        <v>0</v>
      </c>
      <c r="D202" s="281">
        <v>0</v>
      </c>
      <c r="E202" s="281">
        <v>0</v>
      </c>
      <c r="F202" s="281">
        <v>0</v>
      </c>
      <c r="G202" s="281">
        <v>0</v>
      </c>
      <c r="H202" s="281">
        <v>0</v>
      </c>
      <c r="I202" s="281">
        <v>0</v>
      </c>
      <c r="J202" s="281">
        <v>0</v>
      </c>
      <c r="K202" s="281">
        <v>0</v>
      </c>
      <c r="L202" s="281">
        <v>0</v>
      </c>
      <c r="M202" s="281">
        <v>0</v>
      </c>
      <c r="N202" s="281">
        <v>0</v>
      </c>
      <c r="O202" s="281">
        <v>0</v>
      </c>
      <c r="P202" s="281">
        <v>0</v>
      </c>
      <c r="Q202" s="281">
        <v>0</v>
      </c>
      <c r="R202" s="281">
        <v>0</v>
      </c>
      <c r="S202" s="281">
        <v>0</v>
      </c>
      <c r="T202" s="281">
        <v>0</v>
      </c>
      <c r="U202" s="281">
        <v>0</v>
      </c>
      <c r="V202" s="281">
        <v>0</v>
      </c>
    </row>
    <row r="203" spans="1:22" x14ac:dyDescent="0.2">
      <c r="A203" s="267"/>
      <c r="B203" s="270"/>
      <c r="C203" s="267"/>
      <c r="D203" s="267"/>
      <c r="E203" s="267"/>
      <c r="F203" s="267"/>
      <c r="G203" s="267"/>
      <c r="H203" s="267"/>
      <c r="I203" s="267"/>
      <c r="J203" s="267"/>
      <c r="K203" s="267"/>
      <c r="L203" s="267"/>
      <c r="M203" s="267"/>
      <c r="N203" s="267"/>
      <c r="O203" s="267"/>
      <c r="P203" s="267"/>
      <c r="Q203" s="267"/>
      <c r="R203" s="267"/>
      <c r="S203" s="267"/>
      <c r="T203" s="267"/>
      <c r="U203" s="267"/>
      <c r="V203" s="267"/>
    </row>
    <row r="204" spans="1:22" x14ac:dyDescent="0.2">
      <c r="A204" s="267"/>
      <c r="B204" s="270"/>
      <c r="C204" s="267"/>
      <c r="D204" s="267"/>
      <c r="E204" s="267"/>
      <c r="F204" s="267"/>
      <c r="G204" s="267"/>
      <c r="H204" s="267"/>
      <c r="I204" s="267"/>
      <c r="J204" s="267"/>
      <c r="K204" s="267"/>
      <c r="L204" s="267"/>
      <c r="M204" s="267"/>
      <c r="N204" s="267"/>
      <c r="O204" s="267"/>
      <c r="P204" s="267"/>
      <c r="Q204" s="267"/>
      <c r="R204" s="267"/>
      <c r="S204" s="267"/>
      <c r="T204" s="267"/>
      <c r="U204" s="267"/>
      <c r="V204" s="267"/>
    </row>
    <row r="205" spans="1:22" x14ac:dyDescent="0.2">
      <c r="A205" s="24"/>
      <c r="B205" s="295"/>
      <c r="C205" s="299"/>
      <c r="D205" s="299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299"/>
      <c r="S205" s="299"/>
      <c r="T205" s="299"/>
      <c r="U205" s="299"/>
      <c r="V205" s="299"/>
    </row>
    <row r="206" spans="1:22" x14ac:dyDescent="0.2">
      <c r="A206" s="24"/>
      <c r="B206" s="295"/>
      <c r="C206" s="299"/>
      <c r="D206" s="299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299"/>
      <c r="S206" s="299"/>
      <c r="T206" s="299"/>
      <c r="U206" s="299"/>
      <c r="V206" s="299"/>
    </row>
    <row r="207" spans="1:22" x14ac:dyDescent="0.2">
      <c r="A207" s="265" t="s">
        <v>98</v>
      </c>
      <c r="B207" s="266"/>
      <c r="C207" s="267"/>
      <c r="D207" s="267"/>
      <c r="E207" s="267"/>
      <c r="F207" s="267"/>
      <c r="G207" s="267"/>
      <c r="H207" s="267"/>
      <c r="I207" s="267"/>
      <c r="J207" s="267"/>
      <c r="K207" s="267"/>
      <c r="L207" s="267"/>
      <c r="M207" s="267"/>
      <c r="N207" s="267"/>
      <c r="O207" s="267"/>
      <c r="P207" s="267"/>
      <c r="Q207" s="267"/>
      <c r="R207" s="267"/>
      <c r="S207" s="267"/>
      <c r="T207" s="267"/>
      <c r="U207" s="267"/>
      <c r="V207" s="267"/>
    </row>
    <row r="208" spans="1:22" x14ac:dyDescent="0.2">
      <c r="A208" s="268" t="s">
        <v>63</v>
      </c>
      <c r="B208" s="266"/>
      <c r="C208" s="267"/>
      <c r="D208" s="267"/>
      <c r="E208" s="267"/>
      <c r="F208" s="267"/>
      <c r="G208" s="267"/>
      <c r="H208" s="267"/>
      <c r="I208" s="267"/>
      <c r="J208" s="267"/>
      <c r="K208" s="267"/>
      <c r="L208" s="267"/>
      <c r="M208" s="267"/>
      <c r="N208" s="267"/>
      <c r="O208" s="267"/>
      <c r="P208" s="267"/>
      <c r="Q208" s="267"/>
      <c r="R208" s="267"/>
      <c r="S208" s="267"/>
      <c r="T208" s="267"/>
      <c r="U208" s="267"/>
      <c r="V208" s="267"/>
    </row>
    <row r="209" spans="1:22" x14ac:dyDescent="0.2">
      <c r="A209" s="267"/>
      <c r="B209" s="266"/>
      <c r="C209" s="267"/>
      <c r="D209" s="267"/>
      <c r="E209" s="267"/>
      <c r="F209" s="267"/>
      <c r="G209" s="267"/>
      <c r="H209" s="267"/>
      <c r="I209" s="267"/>
      <c r="J209" s="267"/>
      <c r="K209" s="267"/>
      <c r="L209" s="267"/>
      <c r="M209" s="267"/>
      <c r="N209" s="267"/>
      <c r="O209" s="267"/>
      <c r="P209" s="267"/>
      <c r="Q209" s="267"/>
      <c r="R209" s="267"/>
      <c r="S209" s="267"/>
      <c r="T209" s="267"/>
      <c r="U209" s="267"/>
      <c r="V209" s="267"/>
    </row>
    <row r="210" spans="1:22" x14ac:dyDescent="0.2">
      <c r="A210" s="267"/>
      <c r="B210" s="266"/>
      <c r="C210" s="271">
        <v>2000</v>
      </c>
      <c r="D210" s="272">
        <v>2001</v>
      </c>
      <c r="E210" s="272">
        <v>2002</v>
      </c>
      <c r="F210" s="272">
        <v>2003</v>
      </c>
      <c r="G210" s="272">
        <v>2004</v>
      </c>
      <c r="H210" s="272">
        <v>2005</v>
      </c>
      <c r="I210" s="272">
        <v>2006</v>
      </c>
      <c r="J210" s="272">
        <v>2007</v>
      </c>
      <c r="K210" s="272">
        <v>2008</v>
      </c>
      <c r="L210" s="272">
        <v>2009</v>
      </c>
      <c r="M210" s="272">
        <v>2010</v>
      </c>
      <c r="N210" s="272">
        <v>2011</v>
      </c>
      <c r="O210" s="272">
        <v>2012</v>
      </c>
      <c r="P210" s="272">
        <v>2013</v>
      </c>
      <c r="Q210" s="272">
        <v>2014</v>
      </c>
      <c r="R210" s="272">
        <v>2015</v>
      </c>
      <c r="S210" s="272">
        <v>2016</v>
      </c>
      <c r="T210" s="272">
        <v>2017</v>
      </c>
      <c r="U210" s="272">
        <v>2018</v>
      </c>
      <c r="V210" s="272">
        <v>2019</v>
      </c>
    </row>
    <row r="211" spans="1:22" x14ac:dyDescent="0.2">
      <c r="A211" s="269" t="s">
        <v>129</v>
      </c>
      <c r="B211" s="266"/>
      <c r="C211" s="273"/>
      <c r="D211" s="274"/>
      <c r="E211" s="274"/>
      <c r="F211" s="274"/>
      <c r="G211" s="274"/>
      <c r="H211" s="274"/>
      <c r="I211" s="274"/>
      <c r="J211" s="274"/>
      <c r="K211" s="274"/>
      <c r="L211" s="274"/>
      <c r="M211" s="274"/>
      <c r="N211" s="274"/>
      <c r="O211" s="274"/>
      <c r="P211" s="274"/>
      <c r="Q211" s="274"/>
      <c r="R211" s="274"/>
      <c r="S211" s="274"/>
      <c r="T211" s="274"/>
      <c r="U211" s="274"/>
      <c r="V211" s="274"/>
    </row>
    <row r="212" spans="1:22" x14ac:dyDescent="0.2">
      <c r="A212" s="267"/>
      <c r="B212" s="270" t="s">
        <v>97</v>
      </c>
      <c r="C212" s="275">
        <v>0</v>
      </c>
      <c r="D212" s="276">
        <v>1095767.5540095889</v>
      </c>
      <c r="E212" s="276">
        <v>1080920.4183247357</v>
      </c>
      <c r="F212" s="276">
        <v>1065776.339926186</v>
      </c>
      <c r="G212" s="276">
        <v>1050329.3799596657</v>
      </c>
      <c r="H212" s="276">
        <v>1034573.4807938144</v>
      </c>
      <c r="I212" s="276">
        <v>1024858.4685155873</v>
      </c>
      <c r="J212" s="276">
        <v>1024858.4685155873</v>
      </c>
      <c r="K212" s="276">
        <v>1024858.4685155873</v>
      </c>
      <c r="L212" s="276">
        <v>1024858.4685155873</v>
      </c>
      <c r="M212" s="276">
        <v>1024858.4685155873</v>
      </c>
      <c r="N212" s="276">
        <v>1024858.4685155873</v>
      </c>
      <c r="O212" s="276">
        <v>1024858.4685155873</v>
      </c>
      <c r="P212" s="276">
        <v>1024858.4685155873</v>
      </c>
      <c r="Q212" s="276">
        <v>1024858.4685155873</v>
      </c>
      <c r="R212" s="276">
        <v>1024858.4685155873</v>
      </c>
      <c r="S212" s="276">
        <v>1024858.4685155873</v>
      </c>
      <c r="T212" s="276">
        <v>1024858.4685155873</v>
      </c>
      <c r="U212" s="276">
        <v>1024858.4685155873</v>
      </c>
      <c r="V212" s="276">
        <v>1024858.4685155873</v>
      </c>
    </row>
    <row r="213" spans="1:22" x14ac:dyDescent="0.2">
      <c r="A213" s="267"/>
      <c r="B213" s="270" t="s">
        <v>91</v>
      </c>
      <c r="C213" s="275">
        <v>0</v>
      </c>
      <c r="D213" s="277">
        <v>0.76740871362410623</v>
      </c>
      <c r="E213" s="277">
        <v>0.75701068599933863</v>
      </c>
      <c r="F213" s="277">
        <v>0.74640469782207608</v>
      </c>
      <c r="G213" s="277">
        <v>0.73558658988126857</v>
      </c>
      <c r="H213" s="277">
        <v>0.72455211978164435</v>
      </c>
      <c r="I213" s="277">
        <v>0.71774831814689422</v>
      </c>
      <c r="J213" s="277">
        <v>0.71774831814689422</v>
      </c>
      <c r="K213" s="277">
        <v>0.71774831814689422</v>
      </c>
      <c r="L213" s="277">
        <v>0.71774831814689422</v>
      </c>
      <c r="M213" s="277">
        <v>0.71774831814689422</v>
      </c>
      <c r="N213" s="277">
        <v>0.71774831814689422</v>
      </c>
      <c r="O213" s="277">
        <v>0.71774831814689422</v>
      </c>
      <c r="P213" s="277">
        <v>0.71774831814689422</v>
      </c>
      <c r="Q213" s="277">
        <v>0.71774831814689422</v>
      </c>
      <c r="R213" s="277">
        <v>0.71774831814689422</v>
      </c>
      <c r="S213" s="277">
        <v>0.71774831814689422</v>
      </c>
      <c r="T213" s="277">
        <v>0.71774831814689422</v>
      </c>
      <c r="U213" s="277">
        <v>0.71774831814689422</v>
      </c>
      <c r="V213" s="277">
        <v>0.71774831814689422</v>
      </c>
    </row>
    <row r="214" spans="1:22" x14ac:dyDescent="0.2">
      <c r="A214" s="269" t="s">
        <v>93</v>
      </c>
      <c r="B214" s="270"/>
      <c r="C214" s="273"/>
      <c r="D214" s="274"/>
      <c r="E214" s="274"/>
      <c r="F214" s="274"/>
      <c r="G214" s="274"/>
      <c r="H214" s="274"/>
      <c r="I214" s="274"/>
      <c r="J214" s="274"/>
      <c r="K214" s="274"/>
      <c r="L214" s="274"/>
      <c r="M214" s="274"/>
      <c r="N214" s="274"/>
      <c r="O214" s="274"/>
      <c r="P214" s="274"/>
      <c r="Q214" s="274"/>
      <c r="R214" s="274"/>
      <c r="S214" s="274"/>
      <c r="T214" s="274"/>
      <c r="U214" s="274"/>
      <c r="V214" s="274"/>
    </row>
    <row r="215" spans="1:22" x14ac:dyDescent="0.2">
      <c r="A215" s="267"/>
      <c r="B215" s="270" t="s">
        <v>27</v>
      </c>
      <c r="C215" s="278">
        <v>0</v>
      </c>
      <c r="D215" s="279">
        <v>39.337612436551176</v>
      </c>
      <c r="E215" s="279">
        <v>38.876591511234544</v>
      </c>
      <c r="F215" s="279">
        <v>39.501092679672084</v>
      </c>
      <c r="G215" s="279">
        <v>39.04369303679519</v>
      </c>
      <c r="H215" s="279">
        <v>39.278934224594458</v>
      </c>
      <c r="I215" s="279">
        <v>41.86242352367686</v>
      </c>
      <c r="J215" s="279">
        <v>45.02686217424759</v>
      </c>
      <c r="K215" s="279">
        <v>46.239526418644317</v>
      </c>
      <c r="L215" s="279">
        <v>47.194347054021925</v>
      </c>
      <c r="M215" s="279">
        <v>47.363644589041805</v>
      </c>
      <c r="N215" s="279">
        <v>48.399012897511895</v>
      </c>
      <c r="O215" s="279">
        <v>48.922627728966297</v>
      </c>
      <c r="P215" s="279">
        <v>49.511331805816766</v>
      </c>
      <c r="Q215" s="279">
        <v>51.28077909166123</v>
      </c>
      <c r="R215" s="279">
        <v>54.898201879545979</v>
      </c>
      <c r="S215" s="279">
        <v>54.615722298042002</v>
      </c>
      <c r="T215" s="279">
        <v>55.357281017515582</v>
      </c>
      <c r="U215" s="279">
        <v>58.000117418601704</v>
      </c>
      <c r="V215" s="279">
        <v>59.738223495031669</v>
      </c>
    </row>
    <row r="216" spans="1:22" x14ac:dyDescent="0.2">
      <c r="A216" s="267"/>
      <c r="B216" s="270" t="s">
        <v>20</v>
      </c>
      <c r="C216" s="278">
        <v>0</v>
      </c>
      <c r="D216" s="279">
        <v>12.250250999999999</v>
      </c>
      <c r="E216" s="279">
        <v>12.428266500000001</v>
      </c>
      <c r="F216" s="279">
        <v>12.644073000000006</v>
      </c>
      <c r="G216" s="279">
        <v>13.005076499999996</v>
      </c>
      <c r="H216" s="279">
        <v>13.454590500000004</v>
      </c>
      <c r="I216" s="279">
        <v>13.9697415</v>
      </c>
      <c r="J216" s="279">
        <v>14.291959499999997</v>
      </c>
      <c r="K216" s="279">
        <v>14.599259999999996</v>
      </c>
      <c r="L216" s="279">
        <v>14.840923499999993</v>
      </c>
      <c r="M216" s="279">
        <v>14.963246999999997</v>
      </c>
      <c r="N216" s="279">
        <v>15.168113999999999</v>
      </c>
      <c r="O216" s="279">
        <v>15.498287999999999</v>
      </c>
      <c r="P216" s="279">
        <v>15.851335499999998</v>
      </c>
      <c r="Q216" s="279">
        <v>16.18946549999999</v>
      </c>
      <c r="R216" s="279">
        <v>16.420189499999999</v>
      </c>
      <c r="S216" s="279">
        <v>16.757324999999998</v>
      </c>
      <c r="T216" s="279">
        <v>17.140207499999995</v>
      </c>
      <c r="U216" s="279">
        <v>17.560880999999988</v>
      </c>
      <c r="V216" s="279">
        <v>17.995477499999993</v>
      </c>
    </row>
    <row r="217" spans="1:22" x14ac:dyDescent="0.2">
      <c r="A217" s="267"/>
      <c r="B217" s="270" t="s">
        <v>92</v>
      </c>
      <c r="C217" s="278">
        <v>0</v>
      </c>
      <c r="D217" s="279">
        <v>0.5837765064453253</v>
      </c>
      <c r="E217" s="279">
        <v>0.59555965908992237</v>
      </c>
      <c r="F217" s="279">
        <v>0.60758064707854753</v>
      </c>
      <c r="G217" s="279">
        <v>0.61984427096437755</v>
      </c>
      <c r="H217" s="279">
        <v>0.63235542819666379</v>
      </c>
      <c r="I217" s="279">
        <v>0.64511911507651354</v>
      </c>
      <c r="J217" s="279">
        <v>0.65814042875215351</v>
      </c>
      <c r="K217" s="279">
        <v>0.67142456925446303</v>
      </c>
      <c r="L217" s="279">
        <v>0.6849768415735944</v>
      </c>
      <c r="M217" s="279">
        <v>0.6988026577775075</v>
      </c>
      <c r="N217" s="279">
        <v>0.71290753917326721</v>
      </c>
      <c r="O217" s="279">
        <v>0.72729711851196477</v>
      </c>
      <c r="P217" s="279">
        <v>0.74197714223814171</v>
      </c>
      <c r="Q217" s="279">
        <v>0.75695347278462055</v>
      </c>
      <c r="R217" s="279">
        <v>0.77223209091365319</v>
      </c>
      <c r="S217" s="279">
        <v>0.78781909810532424</v>
      </c>
      <c r="T217" s="279">
        <v>0.80372071899416198</v>
      </c>
      <c r="U217" s="279">
        <v>0.81994330385493264</v>
      </c>
      <c r="V217" s="279">
        <v>0.83649333113860613</v>
      </c>
    </row>
    <row r="218" spans="1:22" x14ac:dyDescent="0.2">
      <c r="A218" s="267"/>
      <c r="B218" s="270" t="s">
        <v>22</v>
      </c>
      <c r="C218" s="278">
        <v>0</v>
      </c>
      <c r="D218" s="279">
        <v>0</v>
      </c>
      <c r="E218" s="279">
        <v>0</v>
      </c>
      <c r="F218" s="279">
        <v>0</v>
      </c>
      <c r="G218" s="279">
        <v>0</v>
      </c>
      <c r="H218" s="279">
        <v>0</v>
      </c>
      <c r="I218" s="279">
        <v>0.33634514389381026</v>
      </c>
      <c r="J218" s="279">
        <v>0.37281172342572977</v>
      </c>
      <c r="K218" s="279">
        <v>0.49664685929099517</v>
      </c>
      <c r="L218" s="279">
        <v>0.45183838002817983</v>
      </c>
      <c r="M218" s="279">
        <v>0.50251374896208867</v>
      </c>
      <c r="N218" s="279">
        <v>0.55355689646136519</v>
      </c>
      <c r="O218" s="279">
        <v>0.61332444514158502</v>
      </c>
      <c r="P218" s="279">
        <v>0.68769804396541745</v>
      </c>
      <c r="Q218" s="279">
        <v>0.76551523616273542</v>
      </c>
      <c r="R218" s="279">
        <v>0.84795703029125136</v>
      </c>
      <c r="S218" s="279">
        <v>0.93105577647566784</v>
      </c>
      <c r="T218" s="279">
        <v>0.91471690923017313</v>
      </c>
      <c r="U218" s="279">
        <v>0.78258979061217648</v>
      </c>
      <c r="V218" s="279">
        <v>0.811401227758345</v>
      </c>
    </row>
    <row r="219" spans="1:22" x14ac:dyDescent="0.2">
      <c r="A219" s="267"/>
      <c r="B219" s="270" t="s">
        <v>23</v>
      </c>
      <c r="C219" s="278">
        <v>0</v>
      </c>
      <c r="D219" s="279">
        <v>0</v>
      </c>
      <c r="E219" s="279">
        <v>0</v>
      </c>
      <c r="F219" s="279">
        <v>0.70849903393331959</v>
      </c>
      <c r="G219" s="279">
        <v>0.60368558784390358</v>
      </c>
      <c r="H219" s="279">
        <v>0.62670811588966047</v>
      </c>
      <c r="I219" s="279">
        <v>0.65089155834468693</v>
      </c>
      <c r="J219" s="279">
        <v>0.85433691254246324</v>
      </c>
      <c r="K219" s="279">
        <v>0.74603908402111485</v>
      </c>
      <c r="L219" s="279">
        <v>0.78985683380213101</v>
      </c>
      <c r="M219" s="279">
        <v>0.75157902805800469</v>
      </c>
      <c r="N219" s="279">
        <v>0.77310487085650281</v>
      </c>
      <c r="O219" s="279">
        <v>0.79315215427668828</v>
      </c>
      <c r="P219" s="279">
        <v>0.70845128263712709</v>
      </c>
      <c r="Q219" s="279">
        <v>0.73378173050160944</v>
      </c>
      <c r="R219" s="279">
        <v>0.74894560968121915</v>
      </c>
      <c r="S219" s="279">
        <v>0.79532761787489192</v>
      </c>
      <c r="T219" s="279">
        <v>0.74769044949069829</v>
      </c>
      <c r="U219" s="279">
        <v>0.82348909501888734</v>
      </c>
      <c r="V219" s="279">
        <v>0.448349094315038</v>
      </c>
    </row>
    <row r="220" spans="1:22" x14ac:dyDescent="0.2">
      <c r="A220" s="269" t="s">
        <v>94</v>
      </c>
      <c r="B220" s="270"/>
      <c r="C220" s="273"/>
      <c r="D220" s="274"/>
      <c r="E220" s="274"/>
      <c r="F220" s="274"/>
      <c r="G220" s="274"/>
      <c r="H220" s="274"/>
      <c r="I220" s="274"/>
      <c r="J220" s="274"/>
      <c r="K220" s="274"/>
      <c r="L220" s="274"/>
      <c r="M220" s="274"/>
      <c r="N220" s="274"/>
      <c r="O220" s="274"/>
      <c r="P220" s="274"/>
      <c r="Q220" s="274"/>
      <c r="R220" s="274"/>
      <c r="S220" s="274"/>
      <c r="T220" s="274"/>
      <c r="U220" s="274"/>
      <c r="V220" s="274"/>
    </row>
    <row r="221" spans="1:22" x14ac:dyDescent="0.2">
      <c r="A221" s="267"/>
      <c r="B221" s="270" t="s">
        <v>34</v>
      </c>
      <c r="C221" s="278">
        <v>0</v>
      </c>
      <c r="D221" s="279">
        <v>16.685825360687947</v>
      </c>
      <c r="E221" s="279">
        <v>17.019541867901705</v>
      </c>
      <c r="F221" s="279">
        <v>17.359932705259737</v>
      </c>
      <c r="G221" s="279">
        <v>17.707131359364933</v>
      </c>
      <c r="H221" s="279">
        <v>18.061273986552234</v>
      </c>
      <c r="I221" s="279">
        <v>18.422499466283277</v>
      </c>
      <c r="J221" s="279">
        <v>18.790949455608946</v>
      </c>
      <c r="K221" s="279">
        <v>19.166768444721125</v>
      </c>
      <c r="L221" s="279">
        <v>19.550103813615546</v>
      </c>
      <c r="M221" s="279">
        <v>19.941105889887858</v>
      </c>
      <c r="N221" s="279">
        <v>20.339928007685614</v>
      </c>
      <c r="O221" s="279">
        <v>20.746726567839328</v>
      </c>
      <c r="P221" s="279">
        <v>21.161661099196113</v>
      </c>
      <c r="Q221" s="279">
        <v>21.584894321180037</v>
      </c>
      <c r="R221" s="279">
        <v>22.01659220760364</v>
      </c>
      <c r="S221" s="279">
        <v>22.456924051755713</v>
      </c>
      <c r="T221" s="279">
        <v>22.906062532790827</v>
      </c>
      <c r="U221" s="279">
        <v>23.364183783446645</v>
      </c>
      <c r="V221" s="279">
        <v>23.831467459115576</v>
      </c>
    </row>
    <row r="222" spans="1:22" x14ac:dyDescent="0.2">
      <c r="A222" s="267"/>
      <c r="B222" s="270" t="s">
        <v>95</v>
      </c>
      <c r="C222" s="278">
        <v>0</v>
      </c>
      <c r="D222" s="279">
        <v>2.5050053588281287</v>
      </c>
      <c r="E222" s="279">
        <v>2.5607191151914419</v>
      </c>
      <c r="F222" s="279">
        <v>2.6176530028191118</v>
      </c>
      <c r="G222" s="279">
        <v>2.7324761344603354</v>
      </c>
      <c r="H222" s="279">
        <v>3.0845710026364883</v>
      </c>
      <c r="I222" s="279">
        <v>3.9167969807953198</v>
      </c>
      <c r="J222" s="279">
        <v>4.3444170169587002</v>
      </c>
      <c r="K222" s="279">
        <v>4.7824518141420533</v>
      </c>
      <c r="L222" s="279">
        <v>5.2318341285849623</v>
      </c>
      <c r="M222" s="279">
        <v>5.4955841549289683</v>
      </c>
      <c r="N222" s="279">
        <v>5.5646804276963433</v>
      </c>
      <c r="O222" s="279">
        <v>5.635517926537454</v>
      </c>
      <c r="P222" s="279">
        <v>5.70815469784913</v>
      </c>
      <c r="Q222" s="279">
        <v>5.782607388443596</v>
      </c>
      <c r="R222" s="279">
        <v>5.8589288415719851</v>
      </c>
      <c r="S222" s="279">
        <v>5.9371583310285825</v>
      </c>
      <c r="T222" s="279">
        <v>6.0173279118237035</v>
      </c>
      <c r="U222" s="279">
        <v>6.099509749096784</v>
      </c>
      <c r="V222" s="279">
        <v>6.1837543504854171</v>
      </c>
    </row>
    <row r="223" spans="1:22" x14ac:dyDescent="0.2">
      <c r="A223" s="267"/>
      <c r="B223" s="270" t="s">
        <v>36</v>
      </c>
      <c r="C223" s="278">
        <v>0</v>
      </c>
      <c r="D223" s="279">
        <v>2.8048773099476074</v>
      </c>
      <c r="E223" s="279">
        <v>2.8640602211875152</v>
      </c>
      <c r="F223" s="279">
        <v>2.9267831400315276</v>
      </c>
      <c r="G223" s="279">
        <v>2.992928438996215</v>
      </c>
      <c r="H223" s="279">
        <v>3.0641601358443316</v>
      </c>
      <c r="I223" s="279">
        <v>3.1409482968941167</v>
      </c>
      <c r="J223" s="279">
        <v>3.2188525649359083</v>
      </c>
      <c r="K223" s="279">
        <v>3.3003283753521164</v>
      </c>
      <c r="L223" s="279">
        <v>3.3818464862233188</v>
      </c>
      <c r="M223" s="279">
        <v>3.4680835716220004</v>
      </c>
      <c r="N223" s="279">
        <v>3.5520111940552699</v>
      </c>
      <c r="O223" s="279">
        <v>3.6415218761454544</v>
      </c>
      <c r="P223" s="279">
        <v>3.73401653179954</v>
      </c>
      <c r="Q223" s="279">
        <v>3.8273669450945276</v>
      </c>
      <c r="R223" s="279">
        <v>3.9234338554163988</v>
      </c>
      <c r="S223" s="279">
        <v>4.0215197018018163</v>
      </c>
      <c r="T223" s="279">
        <v>4.1212533904064967</v>
      </c>
      <c r="U223" s="279">
        <v>4.2246968505057056</v>
      </c>
      <c r="V223" s="279">
        <v>4.3307367414533982</v>
      </c>
    </row>
    <row r="224" spans="1:22" x14ac:dyDescent="0.2">
      <c r="A224" s="267"/>
      <c r="B224" s="270" t="s">
        <v>39</v>
      </c>
      <c r="C224" s="278">
        <v>0</v>
      </c>
      <c r="D224" s="279">
        <v>3.8519734969325157</v>
      </c>
      <c r="E224" s="279">
        <v>43.469034110429448</v>
      </c>
      <c r="F224" s="279">
        <v>7.4194984662576688</v>
      </c>
      <c r="G224" s="279">
        <v>2.6664271779141107</v>
      </c>
      <c r="H224" s="279">
        <v>13.637909300613499</v>
      </c>
      <c r="I224" s="279">
        <v>14.047046579631905</v>
      </c>
      <c r="J224" s="279">
        <v>14.468457977020861</v>
      </c>
      <c r="K224" s="279">
        <v>14.902511716331487</v>
      </c>
      <c r="L224" s="279">
        <v>15.349587067821432</v>
      </c>
      <c r="M224" s="279">
        <v>15.810074679856074</v>
      </c>
      <c r="N224" s="279">
        <v>16.284376920251756</v>
      </c>
      <c r="O224" s="279">
        <v>16.772908227859308</v>
      </c>
      <c r="P224" s="279">
        <v>17.276095474695087</v>
      </c>
      <c r="Q224" s="279">
        <v>17.794378338935939</v>
      </c>
      <c r="R224" s="279">
        <v>18.328209689104018</v>
      </c>
      <c r="S224" s="279">
        <v>18.878055979777137</v>
      </c>
      <c r="T224" s="279">
        <v>19.444397659170452</v>
      </c>
      <c r="U224" s="279">
        <v>20.027729588945569</v>
      </c>
      <c r="V224" s="279">
        <v>20.628561476613935</v>
      </c>
    </row>
    <row r="225" spans="1:22" x14ac:dyDescent="0.2">
      <c r="A225" s="267"/>
      <c r="B225" s="270" t="s">
        <v>96</v>
      </c>
      <c r="C225" s="280">
        <v>0</v>
      </c>
      <c r="D225" s="281">
        <v>0</v>
      </c>
      <c r="E225" s="281">
        <v>0</v>
      </c>
      <c r="F225" s="281">
        <v>0</v>
      </c>
      <c r="G225" s="281">
        <v>0</v>
      </c>
      <c r="H225" s="281">
        <v>0</v>
      </c>
      <c r="I225" s="281">
        <v>0</v>
      </c>
      <c r="J225" s="281">
        <v>0</v>
      </c>
      <c r="K225" s="281">
        <v>0</v>
      </c>
      <c r="L225" s="281">
        <v>0</v>
      </c>
      <c r="M225" s="281">
        <v>0</v>
      </c>
      <c r="N225" s="281">
        <v>0</v>
      </c>
      <c r="O225" s="281">
        <v>0</v>
      </c>
      <c r="P225" s="281">
        <v>0</v>
      </c>
      <c r="Q225" s="281">
        <v>0</v>
      </c>
      <c r="R225" s="281">
        <v>0</v>
      </c>
      <c r="S225" s="281">
        <v>0</v>
      </c>
      <c r="T225" s="281">
        <v>0</v>
      </c>
      <c r="U225" s="281">
        <v>0</v>
      </c>
      <c r="V225" s="281">
        <v>0</v>
      </c>
    </row>
    <row r="226" spans="1:22" x14ac:dyDescent="0.2">
      <c r="A226" s="267"/>
      <c r="B226" s="270"/>
      <c r="C226" s="267"/>
      <c r="D226" s="267"/>
      <c r="E226" s="267"/>
      <c r="F226" s="267"/>
      <c r="G226" s="267"/>
      <c r="H226" s="267"/>
      <c r="I226" s="267"/>
      <c r="J226" s="267"/>
      <c r="K226" s="267"/>
      <c r="L226" s="267"/>
      <c r="M226" s="267"/>
      <c r="N226" s="267"/>
      <c r="O226" s="267"/>
      <c r="P226" s="267"/>
      <c r="Q226" s="267"/>
      <c r="R226" s="267"/>
      <c r="S226" s="267"/>
      <c r="T226" s="267"/>
      <c r="U226" s="267"/>
      <c r="V226" s="267"/>
    </row>
    <row r="227" spans="1:22" x14ac:dyDescent="0.2">
      <c r="A227" s="267"/>
      <c r="B227" s="270"/>
      <c r="C227" s="267"/>
      <c r="D227" s="267"/>
      <c r="E227" s="267"/>
      <c r="F227" s="267"/>
      <c r="G227" s="267"/>
      <c r="H227" s="267"/>
      <c r="I227" s="267"/>
      <c r="J227" s="267"/>
      <c r="K227" s="267"/>
      <c r="L227" s="267"/>
      <c r="M227" s="267"/>
      <c r="N227" s="267"/>
      <c r="O227" s="267"/>
      <c r="P227" s="267"/>
      <c r="Q227" s="267"/>
      <c r="R227" s="267"/>
      <c r="S227" s="267"/>
      <c r="T227" s="267"/>
      <c r="U227" s="267"/>
      <c r="V227" s="267"/>
    </row>
    <row r="228" spans="1:22" x14ac:dyDescent="0.2">
      <c r="A228" s="106"/>
      <c r="B228" s="107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x14ac:dyDescent="0.2">
      <c r="A229" s="106"/>
      <c r="B229" s="107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x14ac:dyDescent="0.2">
      <c r="A230" s="265" t="s">
        <v>98</v>
      </c>
      <c r="B230" s="266"/>
      <c r="C230" s="267"/>
      <c r="D230" s="267"/>
      <c r="E230" s="267"/>
      <c r="F230" s="267"/>
      <c r="G230" s="267"/>
      <c r="H230" s="267"/>
      <c r="I230" s="267"/>
      <c r="J230" s="267"/>
      <c r="K230" s="267"/>
      <c r="L230" s="267"/>
      <c r="M230" s="267"/>
      <c r="N230" s="267"/>
      <c r="O230" s="267"/>
      <c r="P230" s="267"/>
      <c r="Q230" s="267"/>
      <c r="R230" s="267"/>
      <c r="S230" s="267"/>
      <c r="T230" s="267"/>
      <c r="U230" s="267"/>
      <c r="V230" s="267"/>
    </row>
    <row r="231" spans="1:22" x14ac:dyDescent="0.2">
      <c r="A231" s="268" t="s">
        <v>64</v>
      </c>
      <c r="B231" s="266"/>
      <c r="C231" s="267"/>
      <c r="D231" s="267"/>
      <c r="E231" s="267"/>
      <c r="F231" s="267"/>
      <c r="G231" s="267"/>
      <c r="H231" s="267"/>
      <c r="I231" s="267"/>
      <c r="J231" s="267"/>
      <c r="K231" s="267"/>
      <c r="L231" s="267"/>
      <c r="M231" s="267"/>
      <c r="N231" s="267"/>
      <c r="O231" s="267"/>
      <c r="P231" s="267"/>
      <c r="Q231" s="267"/>
      <c r="R231" s="267"/>
      <c r="S231" s="267"/>
      <c r="T231" s="267"/>
      <c r="U231" s="267"/>
      <c r="V231" s="267"/>
    </row>
    <row r="232" spans="1:22" x14ac:dyDescent="0.2">
      <c r="A232" s="267"/>
      <c r="B232" s="266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7"/>
      <c r="O232" s="267"/>
      <c r="P232" s="267"/>
      <c r="Q232" s="267"/>
      <c r="R232" s="267"/>
      <c r="S232" s="267"/>
      <c r="T232" s="267"/>
      <c r="U232" s="267"/>
      <c r="V232" s="267"/>
    </row>
    <row r="233" spans="1:22" x14ac:dyDescent="0.2">
      <c r="A233" s="267"/>
      <c r="B233" s="266"/>
      <c r="C233" s="271">
        <v>2000</v>
      </c>
      <c r="D233" s="272">
        <v>2001</v>
      </c>
      <c r="E233" s="272">
        <v>2002</v>
      </c>
      <c r="F233" s="272">
        <v>2003</v>
      </c>
      <c r="G233" s="272">
        <v>2004</v>
      </c>
      <c r="H233" s="272">
        <v>2005</v>
      </c>
      <c r="I233" s="272">
        <v>2006</v>
      </c>
      <c r="J233" s="272">
        <v>2007</v>
      </c>
      <c r="K233" s="272">
        <v>2008</v>
      </c>
      <c r="L233" s="272">
        <v>2009</v>
      </c>
      <c r="M233" s="272">
        <v>2010</v>
      </c>
      <c r="N233" s="272">
        <v>2011</v>
      </c>
      <c r="O233" s="272">
        <v>2012</v>
      </c>
      <c r="P233" s="272">
        <v>2013</v>
      </c>
      <c r="Q233" s="272">
        <v>2014</v>
      </c>
      <c r="R233" s="272">
        <v>2015</v>
      </c>
      <c r="S233" s="272">
        <v>2016</v>
      </c>
      <c r="T233" s="272">
        <v>2017</v>
      </c>
      <c r="U233" s="272">
        <v>2018</v>
      </c>
      <c r="V233" s="272">
        <v>2019</v>
      </c>
    </row>
    <row r="234" spans="1:22" x14ac:dyDescent="0.2">
      <c r="A234" s="269" t="s">
        <v>129</v>
      </c>
      <c r="B234" s="266"/>
      <c r="C234" s="273"/>
      <c r="D234" s="274"/>
      <c r="E234" s="274"/>
      <c r="F234" s="274"/>
      <c r="G234" s="274"/>
      <c r="H234" s="274"/>
      <c r="I234" s="274"/>
      <c r="J234" s="274"/>
      <c r="K234" s="274"/>
      <c r="L234" s="274"/>
      <c r="M234" s="274"/>
      <c r="N234" s="274"/>
      <c r="O234" s="274"/>
      <c r="P234" s="274"/>
      <c r="Q234" s="274"/>
      <c r="R234" s="274"/>
      <c r="S234" s="274"/>
      <c r="T234" s="274"/>
      <c r="U234" s="274"/>
      <c r="V234" s="274"/>
    </row>
    <row r="235" spans="1:22" x14ac:dyDescent="0.2">
      <c r="A235" s="267"/>
      <c r="B235" s="270" t="s">
        <v>97</v>
      </c>
      <c r="C235" s="275">
        <v>0</v>
      </c>
      <c r="D235" s="276">
        <v>2317302.54857127</v>
      </c>
      <c r="E235" s="276">
        <v>2285904.1874538977</v>
      </c>
      <c r="F235" s="276">
        <v>2253877.8591141794</v>
      </c>
      <c r="G235" s="276">
        <v>2221211.0042076642</v>
      </c>
      <c r="H235" s="276">
        <v>2187890.8122030208</v>
      </c>
      <c r="I235" s="276">
        <v>2167345.740732925</v>
      </c>
      <c r="J235" s="276">
        <v>2167345.740732925</v>
      </c>
      <c r="K235" s="276">
        <v>2167345.740732925</v>
      </c>
      <c r="L235" s="276">
        <v>2167345.740732925</v>
      </c>
      <c r="M235" s="276">
        <v>2167345.740732925</v>
      </c>
      <c r="N235" s="276">
        <v>2167345.740732925</v>
      </c>
      <c r="O235" s="276">
        <v>2167345.740732925</v>
      </c>
      <c r="P235" s="276">
        <v>2167345.740732925</v>
      </c>
      <c r="Q235" s="276">
        <v>2167345.740732925</v>
      </c>
      <c r="R235" s="276">
        <v>2167345.740732925</v>
      </c>
      <c r="S235" s="276">
        <v>2167345.740732925</v>
      </c>
      <c r="T235" s="276">
        <v>2167345.740732925</v>
      </c>
      <c r="U235" s="276">
        <v>2167345.740732925</v>
      </c>
      <c r="V235" s="276">
        <v>2167345.740732925</v>
      </c>
    </row>
    <row r="236" spans="1:22" x14ac:dyDescent="0.2">
      <c r="A236" s="267"/>
      <c r="B236" s="270" t="s">
        <v>91</v>
      </c>
      <c r="C236" s="275">
        <v>0</v>
      </c>
      <c r="D236" s="277">
        <v>0.82666329500972813</v>
      </c>
      <c r="E236" s="277">
        <v>0.81546239563851941</v>
      </c>
      <c r="F236" s="277">
        <v>0.80403747827988692</v>
      </c>
      <c r="G236" s="277">
        <v>0.79238406257408112</v>
      </c>
      <c r="H236" s="277">
        <v>0.7804975785541598</v>
      </c>
      <c r="I236" s="277">
        <v>0.77316842919981632</v>
      </c>
      <c r="J236" s="277">
        <v>0.77316842919981632</v>
      </c>
      <c r="K236" s="277">
        <v>0.77316842919981632</v>
      </c>
      <c r="L236" s="277">
        <v>0.77316842919981632</v>
      </c>
      <c r="M236" s="277">
        <v>0.77316842919981632</v>
      </c>
      <c r="N236" s="277">
        <v>0.77316842919981632</v>
      </c>
      <c r="O236" s="277">
        <v>0.77316842919981632</v>
      </c>
      <c r="P236" s="277">
        <v>0.77316842919981632</v>
      </c>
      <c r="Q236" s="277">
        <v>0.77316842919981632</v>
      </c>
      <c r="R236" s="277">
        <v>0.77316842919981632</v>
      </c>
      <c r="S236" s="277">
        <v>0.77316842919981632</v>
      </c>
      <c r="T236" s="277">
        <v>0.77316842919981632</v>
      </c>
      <c r="U236" s="277">
        <v>0.77316842919981632</v>
      </c>
      <c r="V236" s="277">
        <v>0.77316842919981632</v>
      </c>
    </row>
    <row r="237" spans="1:22" x14ac:dyDescent="0.2">
      <c r="A237" s="269" t="s">
        <v>93</v>
      </c>
      <c r="B237" s="270"/>
      <c r="C237" s="273"/>
      <c r="D237" s="274"/>
      <c r="E237" s="274"/>
      <c r="F237" s="274"/>
      <c r="G237" s="274"/>
      <c r="H237" s="274"/>
      <c r="I237" s="274"/>
      <c r="J237" s="274"/>
      <c r="K237" s="274"/>
      <c r="L237" s="274"/>
      <c r="M237" s="274"/>
      <c r="N237" s="274"/>
      <c r="O237" s="274"/>
      <c r="P237" s="274"/>
      <c r="Q237" s="274"/>
      <c r="R237" s="274"/>
      <c r="S237" s="274"/>
      <c r="T237" s="274"/>
      <c r="U237" s="274"/>
      <c r="V237" s="274"/>
    </row>
    <row r="238" spans="1:22" x14ac:dyDescent="0.2">
      <c r="A238" s="267"/>
      <c r="B238" s="270" t="s">
        <v>27</v>
      </c>
      <c r="C238" s="278">
        <v>0</v>
      </c>
      <c r="D238" s="279">
        <v>39.337612436551183</v>
      </c>
      <c r="E238" s="279">
        <v>38.876591511234537</v>
      </c>
      <c r="F238" s="279">
        <v>39.501092679672055</v>
      </c>
      <c r="G238" s="279">
        <v>39.043693036795212</v>
      </c>
      <c r="H238" s="279">
        <v>39.278934224594451</v>
      </c>
      <c r="I238" s="279">
        <v>41.862423523676917</v>
      </c>
      <c r="J238" s="279">
        <v>45.026862174247682</v>
      </c>
      <c r="K238" s="279">
        <v>46.239526418644338</v>
      </c>
      <c r="L238" s="279">
        <v>47.194347054021996</v>
      </c>
      <c r="M238" s="279">
        <v>47.363644589041847</v>
      </c>
      <c r="N238" s="279">
        <v>48.399012897511952</v>
      </c>
      <c r="O238" s="279">
        <v>48.922627728966354</v>
      </c>
      <c r="P238" s="279">
        <v>49.511331805816809</v>
      </c>
      <c r="Q238" s="279">
        <v>51.280779091661273</v>
      </c>
      <c r="R238" s="279">
        <v>54.898201879545887</v>
      </c>
      <c r="S238" s="279">
        <v>54.615722298042066</v>
      </c>
      <c r="T238" s="279">
        <v>55.357281017515611</v>
      </c>
      <c r="U238" s="279">
        <v>58.000117418601725</v>
      </c>
      <c r="V238" s="279">
        <v>59.738223495031647</v>
      </c>
    </row>
    <row r="239" spans="1:22" x14ac:dyDescent="0.2">
      <c r="A239" s="267"/>
      <c r="B239" s="270" t="s">
        <v>20</v>
      </c>
      <c r="C239" s="278">
        <v>0</v>
      </c>
      <c r="D239" s="279">
        <v>12.463352400000002</v>
      </c>
      <c r="E239" s="279">
        <v>12.644464600000004</v>
      </c>
      <c r="F239" s="279">
        <v>12.864025199999995</v>
      </c>
      <c r="G239" s="279">
        <v>13.231308599999998</v>
      </c>
      <c r="H239" s="279">
        <v>13.688642199999995</v>
      </c>
      <c r="I239" s="279">
        <v>14.212754600000007</v>
      </c>
      <c r="J239" s="279">
        <v>14.540577800000003</v>
      </c>
      <c r="K239" s="279">
        <v>14.853224000000008</v>
      </c>
      <c r="L239" s="279">
        <v>15.09909140000001</v>
      </c>
      <c r="M239" s="279">
        <v>15.223542799999997</v>
      </c>
      <c r="N239" s="279">
        <v>15.431973600000008</v>
      </c>
      <c r="O239" s="279">
        <v>15.767891200000003</v>
      </c>
      <c r="P239" s="279">
        <v>16.127080200000009</v>
      </c>
      <c r="Q239" s="279">
        <v>16.471092200000005</v>
      </c>
      <c r="R239" s="279">
        <v>16.705829800000004</v>
      </c>
      <c r="S239" s="279">
        <v>17.048830000000002</v>
      </c>
      <c r="T239" s="279">
        <v>17.438373000000009</v>
      </c>
      <c r="U239" s="279">
        <v>17.866364400000005</v>
      </c>
      <c r="V239" s="279">
        <v>18.308521000000006</v>
      </c>
    </row>
    <row r="240" spans="1:22" x14ac:dyDescent="0.2">
      <c r="A240" s="267"/>
      <c r="B240" s="270" t="s">
        <v>92</v>
      </c>
      <c r="C240" s="278">
        <v>0</v>
      </c>
      <c r="D240" s="279">
        <v>0.78763496901353469</v>
      </c>
      <c r="E240" s="279">
        <v>0.80353287337529256</v>
      </c>
      <c r="F240" s="279">
        <v>1.4325516666932776</v>
      </c>
      <c r="G240" s="279">
        <v>1.4644178259043195</v>
      </c>
      <c r="H240" s="279">
        <v>1.4970009586780386</v>
      </c>
      <c r="I240" s="279">
        <v>1.5303173810556143</v>
      </c>
      <c r="J240" s="279">
        <v>1.5643837845167954</v>
      </c>
      <c r="K240" s="279">
        <v>1.5992172447106354</v>
      </c>
      <c r="L240" s="279">
        <v>1.634835230391265</v>
      </c>
      <c r="M240" s="279">
        <v>1.6712556125635663</v>
      </c>
      <c r="N240" s="279">
        <v>1.7084966738437251</v>
      </c>
      <c r="O240" s="279">
        <v>1.7465771180397558</v>
      </c>
      <c r="P240" s="279">
        <v>1.7855160799572121</v>
      </c>
      <c r="Q240" s="279">
        <v>1.8253331354354225</v>
      </c>
      <c r="R240" s="279">
        <v>1.866048311619728</v>
      </c>
      <c r="S240" s="279">
        <v>1.9076820974753086</v>
      </c>
      <c r="T240" s="279">
        <v>1.9502554545483404</v>
      </c>
      <c r="U240" s="279">
        <v>1.9937898279803492</v>
      </c>
      <c r="V240" s="279">
        <v>2.0383071577817713</v>
      </c>
    </row>
    <row r="241" spans="1:22" x14ac:dyDescent="0.2">
      <c r="A241" s="267"/>
      <c r="B241" s="270" t="s">
        <v>22</v>
      </c>
      <c r="C241" s="278">
        <v>0</v>
      </c>
      <c r="D241" s="279">
        <v>0</v>
      </c>
      <c r="E241" s="279">
        <v>0</v>
      </c>
      <c r="F241" s="279">
        <v>0</v>
      </c>
      <c r="G241" s="279">
        <v>0</v>
      </c>
      <c r="H241" s="279">
        <v>0</v>
      </c>
      <c r="I241" s="279">
        <v>0.33065461055996354</v>
      </c>
      <c r="J241" s="279">
        <v>0.36650422180747311</v>
      </c>
      <c r="K241" s="279">
        <v>0.49117002899402373</v>
      </c>
      <c r="L241" s="279">
        <v>0.44419384758957997</v>
      </c>
      <c r="M241" s="279">
        <v>0.49401185353978339</v>
      </c>
      <c r="N241" s="279">
        <v>0.54419141570838936</v>
      </c>
      <c r="O241" s="279">
        <v>0.60294777325289139</v>
      </c>
      <c r="P241" s="279">
        <v>0.67606306509371006</v>
      </c>
      <c r="Q241" s="279">
        <v>0.75256368907476134</v>
      </c>
      <c r="R241" s="279">
        <v>0.8336106725865422</v>
      </c>
      <c r="S241" s="279">
        <v>0.91530349335848327</v>
      </c>
      <c r="T241" s="279">
        <v>0.89924105902836138</v>
      </c>
      <c r="U241" s="279">
        <v>0.76934936371422458</v>
      </c>
      <c r="V241" s="279">
        <v>0.79767334787808597</v>
      </c>
    </row>
    <row r="242" spans="1:22" x14ac:dyDescent="0.2">
      <c r="A242" s="267"/>
      <c r="B242" s="270" t="s">
        <v>23</v>
      </c>
      <c r="C242" s="278">
        <v>0</v>
      </c>
      <c r="D242" s="279">
        <v>0</v>
      </c>
      <c r="E242" s="279">
        <v>0</v>
      </c>
      <c r="F242" s="279">
        <v>0.67577236287116549</v>
      </c>
      <c r="G242" s="279">
        <v>0.57580041268897242</v>
      </c>
      <c r="H242" s="279">
        <v>0.59775949439777398</v>
      </c>
      <c r="I242" s="279">
        <v>0.62082586607574908</v>
      </c>
      <c r="J242" s="279">
        <v>0.81487376330172079</v>
      </c>
      <c r="K242" s="279">
        <v>0.71157837972526838</v>
      </c>
      <c r="L242" s="279">
        <v>0.7533721195710753</v>
      </c>
      <c r="M242" s="279">
        <v>0.71686242514054466</v>
      </c>
      <c r="N242" s="279">
        <v>0.7373939558188255</v>
      </c>
      <c r="O242" s="279">
        <v>0.75651522407348581</v>
      </c>
      <c r="P242" s="279">
        <v>0.67572681728152906</v>
      </c>
      <c r="Q242" s="279">
        <v>0.69988721240717278</v>
      </c>
      <c r="R242" s="279">
        <v>0.71435064844971541</v>
      </c>
      <c r="S242" s="279">
        <v>0.75859019962840935</v>
      </c>
      <c r="T242" s="279">
        <v>0.71315346605834173</v>
      </c>
      <c r="U242" s="279">
        <v>0.78545085439301543</v>
      </c>
      <c r="V242" s="279">
        <v>0.42763915311835943</v>
      </c>
    </row>
    <row r="243" spans="1:22" x14ac:dyDescent="0.2">
      <c r="A243" s="269" t="s">
        <v>94</v>
      </c>
      <c r="B243" s="270"/>
      <c r="C243" s="273"/>
      <c r="D243" s="274"/>
      <c r="E243" s="274"/>
      <c r="F243" s="274"/>
      <c r="G243" s="274"/>
      <c r="H243" s="274"/>
      <c r="I243" s="274"/>
      <c r="J243" s="274"/>
      <c r="K243" s="274"/>
      <c r="L243" s="274"/>
      <c r="M243" s="274"/>
      <c r="N243" s="274"/>
      <c r="O243" s="274"/>
      <c r="P243" s="274"/>
      <c r="Q243" s="274"/>
      <c r="R243" s="274"/>
      <c r="S243" s="274"/>
      <c r="T243" s="274"/>
      <c r="U243" s="274"/>
      <c r="V243" s="274"/>
    </row>
    <row r="244" spans="1:22" x14ac:dyDescent="0.2">
      <c r="A244" s="267"/>
      <c r="B244" s="270" t="s">
        <v>34</v>
      </c>
      <c r="C244" s="278">
        <v>0</v>
      </c>
      <c r="D244" s="279">
        <v>11.949817734099391</v>
      </c>
      <c r="E244" s="279">
        <v>12.188814088781379</v>
      </c>
      <c r="F244" s="279">
        <v>12.647968495557006</v>
      </c>
      <c r="G244" s="279">
        <v>12.902004756093145</v>
      </c>
      <c r="H244" s="279">
        <v>13.161148664105633</v>
      </c>
      <c r="I244" s="279">
        <v>13.425503045600639</v>
      </c>
      <c r="J244" s="279">
        <v>13.695172799930864</v>
      </c>
      <c r="K244" s="279">
        <v>13.970264941683153</v>
      </c>
      <c r="L244" s="279">
        <v>14.250888643414324</v>
      </c>
      <c r="M244" s="279">
        <v>14.537155279252559</v>
      </c>
      <c r="N244" s="279">
        <v>14.829178469381805</v>
      </c>
      <c r="O244" s="279">
        <v>15.127074125427244</v>
      </c>
      <c r="P244" s="279">
        <v>15.430960496760035</v>
      </c>
      <c r="Q244" s="279">
        <v>15.740958217740092</v>
      </c>
      <c r="R244" s="279">
        <v>16.057190355915864</v>
      </c>
      <c r="S244" s="279">
        <v>16.37978246120068</v>
      </c>
      <c r="T244" s="279">
        <v>16.708862616045355</v>
      </c>
      <c r="U244" s="279">
        <v>17.044561486627437</v>
      </c>
      <c r="V244" s="279">
        <v>17.387012375077692</v>
      </c>
    </row>
    <row r="245" spans="1:22" x14ac:dyDescent="0.2">
      <c r="A245" s="267"/>
      <c r="B245" s="270" t="s">
        <v>95</v>
      </c>
      <c r="C245" s="278">
        <v>0</v>
      </c>
      <c r="D245" s="279">
        <v>2.1737259732476195</v>
      </c>
      <c r="E245" s="279">
        <v>2.2162929970220846</v>
      </c>
      <c r="F245" s="279">
        <v>2.2597922386172105</v>
      </c>
      <c r="G245" s="279">
        <v>2.3042745630723855</v>
      </c>
      <c r="H245" s="279">
        <v>2.3498155668495944</v>
      </c>
      <c r="I245" s="279">
        <v>2.3983616512054398</v>
      </c>
      <c r="J245" s="279">
        <v>2.4462017673609977</v>
      </c>
      <c r="K245" s="279">
        <v>2.4972105316361914</v>
      </c>
      <c r="L245" s="279">
        <v>2.5474731408913036</v>
      </c>
      <c r="M245" s="279">
        <v>2.5990174466824212</v>
      </c>
      <c r="N245" s="279">
        <v>2.6518091246736843</v>
      </c>
      <c r="O245" s="279">
        <v>2.7059311529503272</v>
      </c>
      <c r="P245" s="279">
        <v>2.7614278807451962</v>
      </c>
      <c r="Q245" s="279">
        <v>2.8183120267349371</v>
      </c>
      <c r="R245" s="279">
        <v>2.8766239647890206</v>
      </c>
      <c r="S245" s="279">
        <v>2.9363937012944561</v>
      </c>
      <c r="T245" s="279">
        <v>2.9976457272652262</v>
      </c>
      <c r="U245" s="279">
        <v>3.0604351790878632</v>
      </c>
      <c r="V245" s="279">
        <v>3.1248006461512481</v>
      </c>
    </row>
    <row r="246" spans="1:22" x14ac:dyDescent="0.2">
      <c r="A246" s="267"/>
      <c r="B246" s="270" t="s">
        <v>36</v>
      </c>
      <c r="C246" s="278">
        <v>0</v>
      </c>
      <c r="D246" s="279">
        <v>2.0531615456764563</v>
      </c>
      <c r="E246" s="279">
        <v>2.096483254290241</v>
      </c>
      <c r="F246" s="279">
        <v>2.1423962375592001</v>
      </c>
      <c r="G246" s="279">
        <v>2.1908143925280221</v>
      </c>
      <c r="H246" s="279">
        <v>2.2429557750701936</v>
      </c>
      <c r="I246" s="279">
        <v>2.2991644722818281</v>
      </c>
      <c r="J246" s="279">
        <v>2.3561901563715408</v>
      </c>
      <c r="K246" s="279">
        <v>2.4158301984711064</v>
      </c>
      <c r="L246" s="279">
        <v>2.4755012043733435</v>
      </c>
      <c r="M246" s="279">
        <v>2.5386264850848561</v>
      </c>
      <c r="N246" s="279">
        <v>2.6000612460239219</v>
      </c>
      <c r="O246" s="279">
        <v>2.6655827894237158</v>
      </c>
      <c r="P246" s="279">
        <v>2.733288592275072</v>
      </c>
      <c r="Q246" s="279">
        <v>2.8016208070819499</v>
      </c>
      <c r="R246" s="279">
        <v>2.8719414893397062</v>
      </c>
      <c r="S246" s="279">
        <v>2.9437400265732032</v>
      </c>
      <c r="T246" s="279">
        <v>3.0167447792322157</v>
      </c>
      <c r="U246" s="279">
        <v>3.09246507319095</v>
      </c>
      <c r="V246" s="279">
        <v>3.1700859465280313</v>
      </c>
    </row>
    <row r="247" spans="1:22" x14ac:dyDescent="0.2">
      <c r="A247" s="267"/>
      <c r="B247" s="270" t="s">
        <v>39</v>
      </c>
      <c r="C247" s="278">
        <v>0</v>
      </c>
      <c r="D247" s="279">
        <v>6.6898011874999996</v>
      </c>
      <c r="E247" s="279">
        <v>6.5340365624999999</v>
      </c>
      <c r="F247" s="279">
        <v>11.748547625</v>
      </c>
      <c r="G247" s="279">
        <v>5.2164436562500001</v>
      </c>
      <c r="H247" s="279">
        <v>7.0478152250000017</v>
      </c>
      <c r="I247" s="279">
        <v>7.259249681750001</v>
      </c>
      <c r="J247" s="279">
        <v>7.4770271722025017</v>
      </c>
      <c r="K247" s="279">
        <v>7.7013379873685768</v>
      </c>
      <c r="L247" s="279">
        <v>7.9323781269896356</v>
      </c>
      <c r="M247" s="279">
        <v>8.1703494707993247</v>
      </c>
      <c r="N247" s="279">
        <v>8.4154599549233033</v>
      </c>
      <c r="O247" s="279">
        <v>8.6679237535710048</v>
      </c>
      <c r="P247" s="279">
        <v>8.9279614661781341</v>
      </c>
      <c r="Q247" s="279">
        <v>9.1958003101634773</v>
      </c>
      <c r="R247" s="279">
        <v>9.4716743194683826</v>
      </c>
      <c r="S247" s="279">
        <v>9.7558245490524342</v>
      </c>
      <c r="T247" s="279">
        <v>10.048499285524006</v>
      </c>
      <c r="U247" s="279">
        <v>10.349954264089726</v>
      </c>
      <c r="V247" s="279">
        <v>10.660452892012421</v>
      </c>
    </row>
    <row r="248" spans="1:22" x14ac:dyDescent="0.2">
      <c r="A248" s="267"/>
      <c r="B248" s="270" t="s">
        <v>96</v>
      </c>
      <c r="C248" s="280">
        <v>0</v>
      </c>
      <c r="D248" s="281">
        <v>86.210603781249986</v>
      </c>
      <c r="E248" s="281">
        <v>11.73684453125</v>
      </c>
      <c r="F248" s="281">
        <v>0</v>
      </c>
      <c r="G248" s="281">
        <v>0</v>
      </c>
      <c r="H248" s="281">
        <v>0</v>
      </c>
      <c r="I248" s="281">
        <v>0</v>
      </c>
      <c r="J248" s="281">
        <v>0</v>
      </c>
      <c r="K248" s="281">
        <v>0</v>
      </c>
      <c r="L248" s="281">
        <v>0</v>
      </c>
      <c r="M248" s="281">
        <v>0</v>
      </c>
      <c r="N248" s="281">
        <v>0</v>
      </c>
      <c r="O248" s="281">
        <v>0</v>
      </c>
      <c r="P248" s="281">
        <v>0</v>
      </c>
      <c r="Q248" s="281">
        <v>0</v>
      </c>
      <c r="R248" s="281">
        <v>0</v>
      </c>
      <c r="S248" s="281">
        <v>0</v>
      </c>
      <c r="T248" s="281">
        <v>0</v>
      </c>
      <c r="U248" s="281">
        <v>0</v>
      </c>
      <c r="V248" s="281">
        <v>0</v>
      </c>
    </row>
    <row r="249" spans="1:22" x14ac:dyDescent="0.2">
      <c r="A249" s="267"/>
      <c r="B249" s="270"/>
      <c r="C249" s="267"/>
      <c r="D249" s="267"/>
      <c r="E249" s="267"/>
      <c r="F249" s="267"/>
      <c r="G249" s="267"/>
      <c r="H249" s="267"/>
      <c r="I249" s="267"/>
      <c r="J249" s="267"/>
      <c r="K249" s="267"/>
      <c r="L249" s="267"/>
      <c r="M249" s="267"/>
      <c r="N249" s="267"/>
      <c r="O249" s="267"/>
      <c r="P249" s="267"/>
      <c r="Q249" s="267"/>
      <c r="R249" s="267"/>
      <c r="S249" s="267"/>
      <c r="T249" s="267"/>
      <c r="U249" s="267"/>
      <c r="V249" s="267"/>
    </row>
    <row r="250" spans="1:22" x14ac:dyDescent="0.2">
      <c r="A250" s="267"/>
      <c r="B250" s="270"/>
      <c r="C250" s="267"/>
      <c r="D250" s="267"/>
      <c r="E250" s="267"/>
      <c r="F250" s="267"/>
      <c r="G250" s="267"/>
      <c r="H250" s="267"/>
      <c r="I250" s="267"/>
      <c r="J250" s="267"/>
      <c r="K250" s="267"/>
      <c r="L250" s="267"/>
      <c r="M250" s="267"/>
      <c r="N250" s="267"/>
      <c r="O250" s="267"/>
      <c r="P250" s="267"/>
      <c r="Q250" s="267"/>
      <c r="R250" s="267"/>
      <c r="S250" s="267"/>
      <c r="T250" s="267"/>
      <c r="U250" s="267"/>
      <c r="V250" s="267"/>
    </row>
    <row r="251" spans="1:22" x14ac:dyDescent="0.2">
      <c r="A251" s="106"/>
      <c r="B251" s="107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x14ac:dyDescent="0.2">
      <c r="A252" s="268" t="s">
        <v>66</v>
      </c>
      <c r="B252" s="266"/>
      <c r="C252" s="267"/>
      <c r="D252" s="267"/>
      <c r="E252" s="267"/>
      <c r="F252" s="267"/>
      <c r="G252" s="267"/>
      <c r="H252" s="267"/>
      <c r="I252" s="267"/>
      <c r="J252" s="267"/>
      <c r="K252" s="267"/>
      <c r="L252" s="267"/>
      <c r="M252" s="267"/>
      <c r="N252" s="267"/>
      <c r="O252" s="267"/>
      <c r="P252" s="267"/>
      <c r="Q252" s="267"/>
      <c r="R252" s="267"/>
      <c r="S252" s="267"/>
      <c r="T252" s="267"/>
      <c r="U252" s="267"/>
      <c r="V252" s="267"/>
    </row>
    <row r="253" spans="1:22" x14ac:dyDescent="0.2">
      <c r="A253" s="265" t="s">
        <v>98</v>
      </c>
      <c r="B253" s="266"/>
      <c r="C253" s="267"/>
      <c r="D253" s="267"/>
      <c r="E253" s="267"/>
      <c r="F253" s="267"/>
      <c r="G253" s="267"/>
      <c r="H253" s="267"/>
      <c r="I253" s="267"/>
      <c r="J253" s="267"/>
      <c r="K253" s="267"/>
      <c r="L253" s="267"/>
      <c r="M253" s="267"/>
      <c r="N253" s="267"/>
      <c r="O253" s="267"/>
      <c r="P253" s="267"/>
      <c r="Q253" s="267"/>
      <c r="R253" s="267"/>
      <c r="S253" s="267"/>
      <c r="T253" s="267"/>
      <c r="U253" s="267"/>
      <c r="V253" s="267"/>
    </row>
    <row r="254" spans="1:22" x14ac:dyDescent="0.2">
      <c r="A254" s="268" t="s">
        <v>65</v>
      </c>
      <c r="B254" s="266"/>
      <c r="C254" s="267"/>
      <c r="D254" s="267"/>
      <c r="E254" s="267"/>
      <c r="F254" s="267"/>
      <c r="G254" s="267"/>
      <c r="H254" s="267"/>
      <c r="I254" s="267"/>
      <c r="J254" s="267"/>
      <c r="K254" s="267"/>
      <c r="L254" s="267"/>
      <c r="M254" s="267"/>
      <c r="N254" s="267"/>
      <c r="O254" s="267"/>
      <c r="P254" s="267"/>
      <c r="Q254" s="267"/>
      <c r="R254" s="267"/>
      <c r="S254" s="267"/>
      <c r="T254" s="267"/>
      <c r="U254" s="267"/>
      <c r="V254" s="267"/>
    </row>
    <row r="255" spans="1:22" x14ac:dyDescent="0.2">
      <c r="A255" s="267"/>
      <c r="B255" s="266"/>
      <c r="C255" s="267"/>
      <c r="D255" s="267"/>
      <c r="E255" s="267"/>
      <c r="F255" s="267"/>
      <c r="G255" s="267"/>
      <c r="H255" s="267"/>
      <c r="I255" s="267"/>
      <c r="J255" s="267"/>
      <c r="K255" s="267"/>
      <c r="L255" s="267"/>
      <c r="M255" s="267"/>
      <c r="N255" s="267"/>
      <c r="O255" s="267"/>
      <c r="P255" s="267"/>
      <c r="Q255" s="267"/>
      <c r="R255" s="267"/>
      <c r="S255" s="267"/>
      <c r="T255" s="267"/>
      <c r="U255" s="267"/>
      <c r="V255" s="267"/>
    </row>
    <row r="256" spans="1:22" x14ac:dyDescent="0.2">
      <c r="A256" s="267"/>
      <c r="B256" s="266"/>
      <c r="C256" s="271">
        <v>2000</v>
      </c>
      <c r="D256" s="272">
        <v>2001</v>
      </c>
      <c r="E256" s="272">
        <v>2002</v>
      </c>
      <c r="F256" s="272">
        <v>2003</v>
      </c>
      <c r="G256" s="272">
        <v>2004</v>
      </c>
      <c r="H256" s="272">
        <v>2005</v>
      </c>
      <c r="I256" s="272">
        <v>2006</v>
      </c>
      <c r="J256" s="272">
        <v>2007</v>
      </c>
      <c r="K256" s="272">
        <v>2008</v>
      </c>
      <c r="L256" s="272">
        <v>2009</v>
      </c>
      <c r="M256" s="272">
        <v>2010</v>
      </c>
      <c r="N256" s="272">
        <v>2011</v>
      </c>
      <c r="O256" s="272">
        <v>2012</v>
      </c>
      <c r="P256" s="272">
        <v>2013</v>
      </c>
      <c r="Q256" s="272">
        <v>2014</v>
      </c>
      <c r="R256" s="272">
        <v>2015</v>
      </c>
      <c r="S256" s="272">
        <v>2016</v>
      </c>
      <c r="T256" s="272">
        <v>2017</v>
      </c>
      <c r="U256" s="272">
        <v>2018</v>
      </c>
      <c r="V256" s="272">
        <v>2019</v>
      </c>
    </row>
    <row r="257" spans="1:22" x14ac:dyDescent="0.2">
      <c r="A257" s="269" t="s">
        <v>129</v>
      </c>
      <c r="B257" s="266"/>
      <c r="C257" s="273"/>
      <c r="D257" s="274"/>
      <c r="E257" s="274"/>
      <c r="F257" s="274"/>
      <c r="G257" s="274"/>
      <c r="H257" s="274"/>
      <c r="I257" s="274"/>
      <c r="J257" s="274"/>
      <c r="K257" s="274"/>
      <c r="L257" s="274"/>
      <c r="M257" s="274"/>
      <c r="N257" s="274"/>
      <c r="O257" s="274"/>
      <c r="P257" s="274"/>
      <c r="Q257" s="274"/>
      <c r="R257" s="274"/>
      <c r="S257" s="274"/>
      <c r="T257" s="274"/>
      <c r="U257" s="274"/>
      <c r="V257" s="274"/>
    </row>
    <row r="258" spans="1:22" x14ac:dyDescent="0.2">
      <c r="A258" s="267"/>
      <c r="B258" s="270" t="s">
        <v>97</v>
      </c>
      <c r="C258" s="275">
        <v>0</v>
      </c>
      <c r="D258" s="276">
        <v>2485193.95344951</v>
      </c>
      <c r="E258" s="276">
        <v>2451520.7426530924</v>
      </c>
      <c r="F258" s="276">
        <v>2417174.067640746</v>
      </c>
      <c r="G258" s="276">
        <v>2382140.459128153</v>
      </c>
      <c r="H258" s="276">
        <v>2346406.1784453075</v>
      </c>
      <c r="I258" s="276">
        <v>2324372.5914101801</v>
      </c>
      <c r="J258" s="276">
        <v>2324372.5914101801</v>
      </c>
      <c r="K258" s="276">
        <v>2324372.5914101801</v>
      </c>
      <c r="L258" s="276">
        <v>2324372.5914101801</v>
      </c>
      <c r="M258" s="276">
        <v>2324372.5914101801</v>
      </c>
      <c r="N258" s="276">
        <v>2324372.5914101801</v>
      </c>
      <c r="O258" s="276">
        <v>2324372.5914101801</v>
      </c>
      <c r="P258" s="276">
        <v>2324372.5914101801</v>
      </c>
      <c r="Q258" s="276">
        <v>2324372.5914101801</v>
      </c>
      <c r="R258" s="276">
        <v>2324372.5914101801</v>
      </c>
      <c r="S258" s="276">
        <v>2324372.5914101801</v>
      </c>
      <c r="T258" s="276">
        <v>2324372.5914101801</v>
      </c>
      <c r="U258" s="276">
        <v>2324372.5914101801</v>
      </c>
      <c r="V258" s="276">
        <v>2324372.5914101801</v>
      </c>
    </row>
    <row r="259" spans="1:22" x14ac:dyDescent="0.2">
      <c r="A259" s="267"/>
      <c r="B259" s="270" t="s">
        <v>91</v>
      </c>
      <c r="C259" s="275">
        <v>0</v>
      </c>
      <c r="D259" s="277">
        <v>0.88655606216092675</v>
      </c>
      <c r="E259" s="277">
        <v>0.87454364392590334</v>
      </c>
      <c r="F259" s="277">
        <v>0.86229097732617943</v>
      </c>
      <c r="G259" s="277">
        <v>0.84979325739446088</v>
      </c>
      <c r="H259" s="277">
        <v>0.83704558306410792</v>
      </c>
      <c r="I259" s="277">
        <v>0.82918542787178229</v>
      </c>
      <c r="J259" s="277">
        <v>0.82918542787178229</v>
      </c>
      <c r="K259" s="277">
        <v>0.82918542787178229</v>
      </c>
      <c r="L259" s="277">
        <v>0.82918542787178229</v>
      </c>
      <c r="M259" s="277">
        <v>0.82918542787178229</v>
      </c>
      <c r="N259" s="277">
        <v>0.82918542787178229</v>
      </c>
      <c r="O259" s="277">
        <v>0.82918542787178229</v>
      </c>
      <c r="P259" s="277">
        <v>0.82918542787178229</v>
      </c>
      <c r="Q259" s="277">
        <v>0.82918542787178229</v>
      </c>
      <c r="R259" s="277">
        <v>0.82918542787178229</v>
      </c>
      <c r="S259" s="277">
        <v>0.82918542787178229</v>
      </c>
      <c r="T259" s="277">
        <v>0.82918542787178229</v>
      </c>
      <c r="U259" s="277">
        <v>0.82918542787178229</v>
      </c>
      <c r="V259" s="277">
        <v>0.82918542787178229</v>
      </c>
    </row>
    <row r="260" spans="1:22" x14ac:dyDescent="0.2">
      <c r="A260" s="269" t="s">
        <v>93</v>
      </c>
      <c r="B260" s="270"/>
      <c r="C260" s="273"/>
      <c r="D260" s="274"/>
      <c r="E260" s="274"/>
      <c r="F260" s="274"/>
      <c r="G260" s="274"/>
      <c r="H260" s="274"/>
      <c r="I260" s="274"/>
      <c r="J260" s="274"/>
      <c r="K260" s="274"/>
      <c r="L260" s="274"/>
      <c r="M260" s="274"/>
      <c r="N260" s="274"/>
      <c r="O260" s="274"/>
      <c r="P260" s="274"/>
      <c r="Q260" s="274"/>
      <c r="R260" s="274"/>
      <c r="S260" s="274"/>
      <c r="T260" s="274"/>
      <c r="U260" s="274"/>
      <c r="V260" s="274"/>
    </row>
    <row r="261" spans="1:22" x14ac:dyDescent="0.2">
      <c r="A261" s="267"/>
      <c r="B261" s="270" t="s">
        <v>27</v>
      </c>
      <c r="C261" s="278">
        <v>0</v>
      </c>
      <c r="D261" s="279">
        <v>39.337612436551183</v>
      </c>
      <c r="E261" s="279">
        <v>38.87659151123453</v>
      </c>
      <c r="F261" s="279">
        <v>39.501092679672063</v>
      </c>
      <c r="G261" s="279">
        <v>39.043693036795183</v>
      </c>
      <c r="H261" s="279">
        <v>39.278934224594444</v>
      </c>
      <c r="I261" s="279">
        <v>41.862423523676874</v>
      </c>
      <c r="J261" s="279">
        <v>45.026862174247626</v>
      </c>
      <c r="K261" s="279">
        <v>46.239526418644324</v>
      </c>
      <c r="L261" s="279">
        <v>47.194347054021932</v>
      </c>
      <c r="M261" s="279">
        <v>47.363644589041833</v>
      </c>
      <c r="N261" s="279">
        <v>48.399012897511916</v>
      </c>
      <c r="O261" s="279">
        <v>48.922627728966297</v>
      </c>
      <c r="P261" s="279">
        <v>49.511331805816781</v>
      </c>
      <c r="Q261" s="279">
        <v>51.280779091661273</v>
      </c>
      <c r="R261" s="279">
        <v>54.898201879545901</v>
      </c>
      <c r="S261" s="279">
        <v>54.615722298042066</v>
      </c>
      <c r="T261" s="279">
        <v>55.357281017515596</v>
      </c>
      <c r="U261" s="279">
        <v>58.000117418601711</v>
      </c>
      <c r="V261" s="279">
        <v>59.738223495031619</v>
      </c>
    </row>
    <row r="262" spans="1:22" x14ac:dyDescent="0.2">
      <c r="A262" s="267"/>
      <c r="B262" s="270" t="s">
        <v>20</v>
      </c>
      <c r="C262" s="278">
        <v>0</v>
      </c>
      <c r="D262" s="279">
        <v>12.221919600000001</v>
      </c>
      <c r="E262" s="279">
        <v>12.399523400000001</v>
      </c>
      <c r="F262" s="279">
        <v>12.614830799999996</v>
      </c>
      <c r="G262" s="279">
        <v>12.9749994</v>
      </c>
      <c r="H262" s="279">
        <v>13.423473799999993</v>
      </c>
      <c r="I262" s="279">
        <v>13.937433400000003</v>
      </c>
      <c r="J262" s="279">
        <v>14.258906200000006</v>
      </c>
      <c r="K262" s="279">
        <v>14.565495999999998</v>
      </c>
      <c r="L262" s="279">
        <v>14.806600599999999</v>
      </c>
      <c r="M262" s="279">
        <v>14.928641199999992</v>
      </c>
      <c r="N262" s="279">
        <v>15.133034399999998</v>
      </c>
      <c r="O262" s="279">
        <v>15.462444799999993</v>
      </c>
      <c r="P262" s="279">
        <v>15.814675800000003</v>
      </c>
      <c r="Q262" s="279">
        <v>16.152023800000002</v>
      </c>
      <c r="R262" s="279">
        <v>16.3822142</v>
      </c>
      <c r="S262" s="279">
        <v>16.718569999999996</v>
      </c>
      <c r="T262" s="279">
        <v>17.100567000000002</v>
      </c>
      <c r="U262" s="279">
        <v>17.520267599999997</v>
      </c>
      <c r="V262" s="279">
        <v>17.953858999999998</v>
      </c>
    </row>
    <row r="263" spans="1:22" x14ac:dyDescent="0.2">
      <c r="A263" s="267"/>
      <c r="B263" s="270" t="s">
        <v>92</v>
      </c>
      <c r="C263" s="278">
        <v>0</v>
      </c>
      <c r="D263" s="279">
        <v>0.66717315022322909</v>
      </c>
      <c r="E263" s="279">
        <v>0.68063961038848253</v>
      </c>
      <c r="F263" s="279">
        <v>1.2607778823754823</v>
      </c>
      <c r="G263" s="279">
        <v>1.2889534525307171</v>
      </c>
      <c r="H263" s="279">
        <v>1.3177659179390442</v>
      </c>
      <c r="I263" s="279">
        <v>1.347229838658873</v>
      </c>
      <c r="J263" s="279">
        <v>1.3773601112524612</v>
      </c>
      <c r="K263" s="279">
        <v>1.4081719766434937</v>
      </c>
      <c r="L263" s="279">
        <v>1.4396810281598891</v>
      </c>
      <c r="M263" s="279">
        <v>1.4719032197662558</v>
      </c>
      <c r="N263" s="279">
        <v>1.5048548744904946</v>
      </c>
      <c r="O263" s="279">
        <v>1.5385526930491749</v>
      </c>
      <c r="P263" s="279">
        <v>1.5730137626764074</v>
      </c>
      <c r="Q263" s="279">
        <v>1.6082555661610605</v>
      </c>
      <c r="R263" s="279">
        <v>1.6442959910972781</v>
      </c>
      <c r="S263" s="279">
        <v>1.6811533393533724</v>
      </c>
      <c r="T263" s="279">
        <v>1.7188463367642974</v>
      </c>
      <c r="U263" s="279">
        <v>1.7573941430530238</v>
      </c>
      <c r="V263" s="279">
        <v>1.7968163619862636</v>
      </c>
    </row>
    <row r="264" spans="1:22" x14ac:dyDescent="0.2">
      <c r="A264" s="267"/>
      <c r="B264" s="270" t="s">
        <v>22</v>
      </c>
      <c r="C264" s="278">
        <v>0</v>
      </c>
      <c r="D264" s="279">
        <v>0</v>
      </c>
      <c r="E264" s="279">
        <v>0</v>
      </c>
      <c r="F264" s="279">
        <v>0</v>
      </c>
      <c r="G264" s="279">
        <v>0</v>
      </c>
      <c r="H264" s="279">
        <v>0</v>
      </c>
      <c r="I264" s="279">
        <v>0.26482895408552853</v>
      </c>
      <c r="J264" s="279">
        <v>0.29354174001938488</v>
      </c>
      <c r="K264" s="279">
        <v>0.40897853349359359</v>
      </c>
      <c r="L264" s="279">
        <v>0.35576516495311955</v>
      </c>
      <c r="M264" s="279">
        <v>0.39566556249506302</v>
      </c>
      <c r="N264" s="279">
        <v>0.43585553880622629</v>
      </c>
      <c r="O264" s="279">
        <v>0.48291486965310088</v>
      </c>
      <c r="P264" s="279">
        <v>0.54147460433537498</v>
      </c>
      <c r="Q264" s="279">
        <v>0.6027457301227408</v>
      </c>
      <c r="R264" s="279">
        <v>0.6676581408066975</v>
      </c>
      <c r="S264" s="279">
        <v>0.73308781754609476</v>
      </c>
      <c r="T264" s="279">
        <v>0.72022304098510925</v>
      </c>
      <c r="U264" s="279">
        <v>0.61618976663824787</v>
      </c>
      <c r="V264" s="279">
        <v>0.63887510312560947</v>
      </c>
    </row>
    <row r="265" spans="1:22" x14ac:dyDescent="0.2">
      <c r="A265" s="267"/>
      <c r="B265" s="270" t="s">
        <v>23</v>
      </c>
      <c r="C265" s="278">
        <v>0</v>
      </c>
      <c r="D265" s="279">
        <v>0</v>
      </c>
      <c r="E265" s="279">
        <v>0</v>
      </c>
      <c r="F265" s="279">
        <v>0.64942806055737812</v>
      </c>
      <c r="G265" s="279">
        <v>0.55335341577445951</v>
      </c>
      <c r="H265" s="279">
        <v>0.5744564448849987</v>
      </c>
      <c r="I265" s="279">
        <v>0.59662359738480997</v>
      </c>
      <c r="J265" s="279">
        <v>0.78310673353331417</v>
      </c>
      <c r="K265" s="279">
        <v>0.6838382160467904</v>
      </c>
      <c r="L265" s="279">
        <v>0.72400266920107925</v>
      </c>
      <c r="M265" s="279">
        <v>0.68891626829408903</v>
      </c>
      <c r="N265" s="279">
        <v>0.70864739800767884</v>
      </c>
      <c r="O265" s="279">
        <v>0.7270232429523602</v>
      </c>
      <c r="P265" s="279">
        <v>0.64938429051650326</v>
      </c>
      <c r="Q265" s="279">
        <v>0.67260281706600955</v>
      </c>
      <c r="R265" s="279">
        <v>0.68650241067797135</v>
      </c>
      <c r="S265" s="279">
        <v>0.72901732768321925</v>
      </c>
      <c r="T265" s="279">
        <v>0.68535189923169082</v>
      </c>
      <c r="U265" s="279">
        <v>0.75483084697981284</v>
      </c>
      <c r="V265" s="279">
        <v>0.41096807310689415</v>
      </c>
    </row>
    <row r="266" spans="1:22" x14ac:dyDescent="0.2">
      <c r="A266" s="269" t="s">
        <v>94</v>
      </c>
      <c r="B266" s="270"/>
      <c r="C266" s="273"/>
      <c r="D266" s="274"/>
      <c r="E266" s="274"/>
      <c r="F266" s="274"/>
      <c r="G266" s="274"/>
      <c r="H266" s="274"/>
      <c r="I266" s="274"/>
      <c r="J266" s="274"/>
      <c r="K266" s="274"/>
      <c r="L266" s="274"/>
      <c r="M266" s="274"/>
      <c r="N266" s="274"/>
      <c r="O266" s="274"/>
      <c r="P266" s="274"/>
      <c r="Q266" s="274"/>
      <c r="R266" s="274"/>
      <c r="S266" s="274"/>
      <c r="T266" s="274"/>
      <c r="U266" s="274"/>
      <c r="V266" s="274"/>
    </row>
    <row r="267" spans="1:22" x14ac:dyDescent="0.2">
      <c r="A267" s="267"/>
      <c r="B267" s="270" t="s">
        <v>34</v>
      </c>
      <c r="C267" s="278">
        <v>0</v>
      </c>
      <c r="D267" s="279">
        <v>14.728115414107913</v>
      </c>
      <c r="E267" s="279">
        <v>15.022677722390071</v>
      </c>
      <c r="F267" s="279">
        <v>15.538509401837873</v>
      </c>
      <c r="G267" s="279">
        <v>15.850356480499633</v>
      </c>
      <c r="H267" s="279">
        <v>16.168467423000251</v>
      </c>
      <c r="I267" s="279">
        <v>16.492968179673145</v>
      </c>
      <c r="J267" s="279">
        <v>16.823987236684818</v>
      </c>
      <c r="K267" s="279">
        <v>17.161655667172187</v>
      </c>
      <c r="L267" s="279">
        <v>17.506107183413139</v>
      </c>
      <c r="M267" s="279">
        <v>17.857478190051349</v>
      </c>
      <c r="N267" s="279">
        <v>18.215907838396575</v>
      </c>
      <c r="O267" s="279">
        <v>18.581538081822309</v>
      </c>
      <c r="P267" s="279">
        <v>18.954513732283001</v>
      </c>
      <c r="Q267" s="279">
        <v>19.334982517973515</v>
      </c>
      <c r="R267" s="279">
        <v>19.723095142153955</v>
      </c>
      <c r="S267" s="279">
        <v>20.119005343163533</v>
      </c>
      <c r="T267" s="279">
        <v>20.522869955647465</v>
      </c>
      <c r="U267" s="279">
        <v>20.934848973021591</v>
      </c>
      <c r="V267" s="279">
        <v>21.355105611199733</v>
      </c>
    </row>
    <row r="268" spans="1:22" x14ac:dyDescent="0.2">
      <c r="A268" s="267"/>
      <c r="B268" s="270" t="s">
        <v>95</v>
      </c>
      <c r="C268" s="278">
        <v>0</v>
      </c>
      <c r="D268" s="279">
        <v>2.1737259732476195</v>
      </c>
      <c r="E268" s="279">
        <v>2.2162929970220846</v>
      </c>
      <c r="F268" s="279">
        <v>2.2597922386172105</v>
      </c>
      <c r="G268" s="279">
        <v>2.3042745630723855</v>
      </c>
      <c r="H268" s="279">
        <v>2.3498155668495944</v>
      </c>
      <c r="I268" s="279">
        <v>2.3983616512054398</v>
      </c>
      <c r="J268" s="279">
        <v>2.448113242729606</v>
      </c>
      <c r="K268" s="279">
        <v>2.4971642910902112</v>
      </c>
      <c r="L268" s="279">
        <v>2.5494357372037868</v>
      </c>
      <c r="M268" s="279">
        <v>2.6009800429949044</v>
      </c>
      <c r="N268" s="279">
        <v>2.6537717209861671</v>
      </c>
      <c r="O268" s="279">
        <v>2.7078937492628099</v>
      </c>
      <c r="P268" s="279">
        <v>2.7633904770576794</v>
      </c>
      <c r="Q268" s="279">
        <v>2.8202746230474198</v>
      </c>
      <c r="R268" s="279">
        <v>2.8785865611015033</v>
      </c>
      <c r="S268" s="279">
        <v>2.9383562976069388</v>
      </c>
      <c r="T268" s="279">
        <v>2.9996083235777093</v>
      </c>
      <c r="U268" s="279">
        <v>3.062397775400346</v>
      </c>
      <c r="V268" s="279">
        <v>3.1267632424637308</v>
      </c>
    </row>
    <row r="269" spans="1:22" x14ac:dyDescent="0.2">
      <c r="A269" s="267"/>
      <c r="B269" s="270" t="s">
        <v>36</v>
      </c>
      <c r="C269" s="278">
        <v>0</v>
      </c>
      <c r="D269" s="279">
        <v>2.0531615456764563</v>
      </c>
      <c r="E269" s="279">
        <v>2.096483254290241</v>
      </c>
      <c r="F269" s="279">
        <v>2.1423962375592001</v>
      </c>
      <c r="G269" s="279">
        <v>2.1908143925280221</v>
      </c>
      <c r="H269" s="279">
        <v>2.2429557750701936</v>
      </c>
      <c r="I269" s="279">
        <v>2.2991644722818281</v>
      </c>
      <c r="J269" s="279">
        <v>2.3561901563715408</v>
      </c>
      <c r="K269" s="279">
        <v>2.4158301984711064</v>
      </c>
      <c r="L269" s="279">
        <v>2.4755012043733435</v>
      </c>
      <c r="M269" s="279">
        <v>2.5386264850848561</v>
      </c>
      <c r="N269" s="279">
        <v>2.6000612460239219</v>
      </c>
      <c r="O269" s="279">
        <v>2.6655827894237158</v>
      </c>
      <c r="P269" s="279">
        <v>2.733288592275072</v>
      </c>
      <c r="Q269" s="279">
        <v>2.8016208070819499</v>
      </c>
      <c r="R269" s="279">
        <v>2.8719414893397062</v>
      </c>
      <c r="S269" s="279">
        <v>2.9437400265732032</v>
      </c>
      <c r="T269" s="279">
        <v>3.0167447792322157</v>
      </c>
      <c r="U269" s="279">
        <v>3.09246507319095</v>
      </c>
      <c r="V269" s="279">
        <v>3.1700859465280313</v>
      </c>
    </row>
    <row r="270" spans="1:22" x14ac:dyDescent="0.2">
      <c r="A270" s="267"/>
      <c r="B270" s="270" t="s">
        <v>39</v>
      </c>
      <c r="C270" s="278">
        <v>0</v>
      </c>
      <c r="D270" s="279">
        <v>54.447382374999975</v>
      </c>
      <c r="E270" s="279">
        <v>7.4509777812500007</v>
      </c>
      <c r="F270" s="279">
        <v>9.8051074062500003</v>
      </c>
      <c r="G270" s="279">
        <v>17.685693625000003</v>
      </c>
      <c r="H270" s="279">
        <v>15</v>
      </c>
      <c r="I270" s="279">
        <v>15.45</v>
      </c>
      <c r="J270" s="279">
        <v>15.913500000000001</v>
      </c>
      <c r="K270" s="279">
        <v>16.390905</v>
      </c>
      <c r="L270" s="279">
        <v>16.882632150000003</v>
      </c>
      <c r="M270" s="279">
        <v>17.389111114500004</v>
      </c>
      <c r="N270" s="279">
        <v>17.910784447935001</v>
      </c>
      <c r="O270" s="279">
        <v>18.448107981373052</v>
      </c>
      <c r="P270" s="279">
        <v>19.001551220814243</v>
      </c>
      <c r="Q270" s="279">
        <v>19.571597757438671</v>
      </c>
      <c r="R270" s="279">
        <v>20.158745690161833</v>
      </c>
      <c r="S270" s="279">
        <v>20.763508060866691</v>
      </c>
      <c r="T270" s="279">
        <v>21.386413302692691</v>
      </c>
      <c r="U270" s="279">
        <v>22.028005701773473</v>
      </c>
      <c r="V270" s="279">
        <v>22.688845872826679</v>
      </c>
    </row>
    <row r="271" spans="1:22" x14ac:dyDescent="0.2">
      <c r="A271" s="267"/>
      <c r="B271" s="270" t="s">
        <v>96</v>
      </c>
      <c r="C271" s="280">
        <v>0</v>
      </c>
      <c r="D271" s="281">
        <v>44.497660406249999</v>
      </c>
      <c r="E271" s="281">
        <v>0.22292068749999999</v>
      </c>
      <c r="F271" s="281">
        <v>0</v>
      </c>
      <c r="G271" s="281">
        <v>0</v>
      </c>
      <c r="H271" s="281">
        <v>0</v>
      </c>
      <c r="I271" s="281">
        <v>0</v>
      </c>
      <c r="J271" s="281">
        <v>0</v>
      </c>
      <c r="K271" s="281">
        <v>0</v>
      </c>
      <c r="L271" s="281">
        <v>0</v>
      </c>
      <c r="M271" s="281">
        <v>0</v>
      </c>
      <c r="N271" s="281">
        <v>0</v>
      </c>
      <c r="O271" s="281">
        <v>0</v>
      </c>
      <c r="P271" s="281">
        <v>0</v>
      </c>
      <c r="Q271" s="281">
        <v>0</v>
      </c>
      <c r="R271" s="281">
        <v>0</v>
      </c>
      <c r="S271" s="281">
        <v>0</v>
      </c>
      <c r="T271" s="281">
        <v>0</v>
      </c>
      <c r="U271" s="281">
        <v>0</v>
      </c>
      <c r="V271" s="281">
        <v>0</v>
      </c>
    </row>
    <row r="272" spans="1:22" x14ac:dyDescent="0.2">
      <c r="A272" s="267"/>
      <c r="B272" s="270"/>
      <c r="C272" s="267"/>
      <c r="D272" s="267"/>
      <c r="E272" s="267"/>
      <c r="F272" s="267"/>
      <c r="G272" s="267"/>
      <c r="H272" s="267"/>
      <c r="I272" s="267"/>
      <c r="J272" s="267"/>
      <c r="K272" s="267"/>
      <c r="L272" s="267"/>
      <c r="M272" s="267"/>
      <c r="N272" s="267"/>
      <c r="O272" s="267"/>
      <c r="P272" s="267"/>
      <c r="Q272" s="267"/>
      <c r="R272" s="267"/>
      <c r="S272" s="267"/>
      <c r="T272" s="267"/>
      <c r="U272" s="267"/>
      <c r="V272" s="267"/>
    </row>
    <row r="273" spans="1:22" x14ac:dyDescent="0.2">
      <c r="A273" s="267"/>
      <c r="B273" s="270"/>
      <c r="C273" s="267"/>
      <c r="D273" s="267"/>
      <c r="E273" s="267"/>
      <c r="F273" s="267"/>
      <c r="G273" s="267"/>
      <c r="H273" s="267"/>
      <c r="I273" s="267"/>
      <c r="J273" s="267"/>
      <c r="K273" s="267"/>
      <c r="L273" s="267"/>
      <c r="M273" s="267"/>
      <c r="N273" s="267"/>
      <c r="O273" s="267"/>
      <c r="P273" s="267"/>
      <c r="Q273" s="267"/>
      <c r="R273" s="267"/>
      <c r="S273" s="267"/>
      <c r="T273" s="267"/>
      <c r="U273" s="267"/>
      <c r="V273" s="267"/>
    </row>
    <row r="274" spans="1:22" x14ac:dyDescent="0.2">
      <c r="A274" s="24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</row>
    <row r="275" spans="1:22" x14ac:dyDescent="0.2">
      <c r="A275" s="24"/>
      <c r="B275" s="23"/>
      <c r="C275" s="301"/>
      <c r="D275" s="301"/>
      <c r="E275" s="301"/>
      <c r="F275" s="301"/>
      <c r="G275" s="301"/>
      <c r="H275" s="301"/>
      <c r="I275" s="301"/>
      <c r="J275" s="301"/>
      <c r="K275" s="301"/>
      <c r="L275" s="301"/>
      <c r="M275" s="301"/>
      <c r="N275" s="301"/>
      <c r="O275" s="301"/>
      <c r="P275" s="301"/>
      <c r="Q275" s="301"/>
      <c r="R275" s="301"/>
      <c r="S275" s="301"/>
      <c r="T275" s="301"/>
      <c r="U275" s="301"/>
      <c r="V275" s="301"/>
    </row>
    <row r="276" spans="1:22" x14ac:dyDescent="0.2">
      <c r="A276" s="265" t="s">
        <v>98</v>
      </c>
      <c r="B276" s="266"/>
      <c r="C276" s="267"/>
      <c r="D276" s="267"/>
      <c r="E276" s="267"/>
      <c r="F276" s="267"/>
      <c r="G276" s="267"/>
      <c r="H276" s="267"/>
      <c r="I276" s="267"/>
      <c r="J276" s="267"/>
      <c r="K276" s="267"/>
      <c r="L276" s="267"/>
      <c r="M276" s="267"/>
      <c r="N276" s="267"/>
      <c r="O276" s="267"/>
      <c r="P276" s="267"/>
      <c r="Q276" s="267"/>
      <c r="R276" s="267"/>
      <c r="S276" s="267"/>
      <c r="T276" s="267"/>
      <c r="U276" s="267"/>
      <c r="V276" s="267"/>
    </row>
    <row r="277" spans="1:22" x14ac:dyDescent="0.2">
      <c r="A277" s="268" t="s">
        <v>66</v>
      </c>
      <c r="B277" s="266"/>
      <c r="C277" s="267"/>
      <c r="D277" s="267"/>
      <c r="E277" s="267"/>
      <c r="F277" s="267"/>
      <c r="G277" s="267"/>
      <c r="H277" s="267"/>
      <c r="I277" s="267"/>
      <c r="J277" s="267"/>
      <c r="K277" s="267"/>
      <c r="L277" s="267"/>
      <c r="M277" s="267"/>
      <c r="N277" s="267"/>
      <c r="O277" s="267"/>
      <c r="P277" s="267"/>
      <c r="Q277" s="267"/>
      <c r="R277" s="267"/>
      <c r="S277" s="267"/>
      <c r="T277" s="267"/>
      <c r="U277" s="267"/>
      <c r="V277" s="267"/>
    </row>
    <row r="278" spans="1:22" x14ac:dyDescent="0.2">
      <c r="A278" s="267"/>
      <c r="B278" s="266"/>
      <c r="C278" s="267"/>
      <c r="D278" s="267"/>
      <c r="E278" s="267"/>
      <c r="F278" s="267"/>
      <c r="G278" s="267"/>
      <c r="H278" s="267"/>
      <c r="I278" s="267"/>
      <c r="J278" s="267"/>
      <c r="K278" s="267"/>
      <c r="L278" s="267"/>
      <c r="M278" s="267"/>
      <c r="N278" s="267"/>
      <c r="O278" s="267"/>
      <c r="P278" s="267"/>
      <c r="Q278" s="267"/>
      <c r="R278" s="267"/>
      <c r="S278" s="267"/>
      <c r="T278" s="267"/>
      <c r="U278" s="267"/>
      <c r="V278" s="267"/>
    </row>
    <row r="279" spans="1:22" x14ac:dyDescent="0.2">
      <c r="A279" s="267"/>
      <c r="B279" s="266"/>
      <c r="C279" s="271">
        <v>2000</v>
      </c>
      <c r="D279" s="272">
        <v>2001</v>
      </c>
      <c r="E279" s="272">
        <v>2002</v>
      </c>
      <c r="F279" s="272">
        <v>2003</v>
      </c>
      <c r="G279" s="272">
        <v>2004</v>
      </c>
      <c r="H279" s="272">
        <v>2005</v>
      </c>
      <c r="I279" s="272">
        <v>2006</v>
      </c>
      <c r="J279" s="272">
        <v>2007</v>
      </c>
      <c r="K279" s="272">
        <v>2008</v>
      </c>
      <c r="L279" s="272">
        <v>2009</v>
      </c>
      <c r="M279" s="272">
        <v>2010</v>
      </c>
      <c r="N279" s="272">
        <v>2011</v>
      </c>
      <c r="O279" s="272">
        <v>2012</v>
      </c>
      <c r="P279" s="272">
        <v>2013</v>
      </c>
      <c r="Q279" s="272">
        <v>2014</v>
      </c>
      <c r="R279" s="272">
        <v>2015</v>
      </c>
      <c r="S279" s="272">
        <v>2016</v>
      </c>
      <c r="T279" s="272">
        <v>2017</v>
      </c>
      <c r="U279" s="272">
        <v>2018</v>
      </c>
      <c r="V279" s="272">
        <v>2019</v>
      </c>
    </row>
    <row r="280" spans="1:22" x14ac:dyDescent="0.2">
      <c r="A280" s="269" t="s">
        <v>129</v>
      </c>
      <c r="B280" s="266"/>
      <c r="C280" s="273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274"/>
      <c r="O280" s="274"/>
      <c r="P280" s="274"/>
      <c r="Q280" s="274"/>
      <c r="R280" s="274"/>
      <c r="S280" s="274"/>
      <c r="T280" s="274"/>
      <c r="U280" s="274"/>
      <c r="V280" s="274"/>
    </row>
    <row r="281" spans="1:22" x14ac:dyDescent="0.2">
      <c r="A281" s="267"/>
      <c r="B281" s="270" t="s">
        <v>97</v>
      </c>
      <c r="C281" s="275">
        <v>0</v>
      </c>
      <c r="D281" s="276">
        <v>717588.7085713828</v>
      </c>
      <c r="E281" s="276">
        <v>707865.71861508035</v>
      </c>
      <c r="F281" s="276">
        <v>697948.26885965164</v>
      </c>
      <c r="G281" s="276">
        <v>687832.47010911442</v>
      </c>
      <c r="H281" s="276">
        <v>677514.35538356658</v>
      </c>
      <c r="I281" s="276">
        <v>671152.25505582907</v>
      </c>
      <c r="J281" s="276">
        <v>671152.25505582907</v>
      </c>
      <c r="K281" s="276">
        <v>671152.25505582907</v>
      </c>
      <c r="L281" s="276">
        <v>671152.25505582907</v>
      </c>
      <c r="M281" s="276">
        <v>671152.25505582907</v>
      </c>
      <c r="N281" s="276">
        <v>662724.54409051628</v>
      </c>
      <c r="O281" s="276">
        <v>671152.25505582907</v>
      </c>
      <c r="P281" s="276">
        <v>671152.25505582907</v>
      </c>
      <c r="Q281" s="276">
        <v>671152.25505582907</v>
      </c>
      <c r="R281" s="276">
        <v>662724.54409051628</v>
      </c>
      <c r="S281" s="276">
        <v>671152.25505582907</v>
      </c>
      <c r="T281" s="276">
        <v>671152.25505582907</v>
      </c>
      <c r="U281" s="276">
        <v>671152.25505582907</v>
      </c>
      <c r="V281" s="276">
        <v>671152.25505582907</v>
      </c>
    </row>
    <row r="282" spans="1:22" x14ac:dyDescent="0.2">
      <c r="A282" s="267"/>
      <c r="B282" s="270" t="s">
        <v>91</v>
      </c>
      <c r="C282" s="275">
        <v>0</v>
      </c>
      <c r="D282" s="277">
        <v>0.87145233237562281</v>
      </c>
      <c r="E282" s="277">
        <v>0.85964456258510691</v>
      </c>
      <c r="F282" s="277">
        <v>0.84760063739878033</v>
      </c>
      <c r="G282" s="277">
        <v>0.83531583370872731</v>
      </c>
      <c r="H282" s="277">
        <v>0.82278533394487341</v>
      </c>
      <c r="I282" s="277">
        <v>0.81505908755444123</v>
      </c>
      <c r="J282" s="277">
        <v>0.81505908755444123</v>
      </c>
      <c r="K282" s="277">
        <v>0.81505908755444123</v>
      </c>
      <c r="L282" s="277">
        <v>0.81505908755444123</v>
      </c>
      <c r="M282" s="277">
        <v>0.81505908755444123</v>
      </c>
      <c r="N282" s="277">
        <v>0.80482432732259335</v>
      </c>
      <c r="O282" s="277">
        <v>0.81505908755444123</v>
      </c>
      <c r="P282" s="277">
        <v>0.81505908755444123</v>
      </c>
      <c r="Q282" s="277">
        <v>0.81505908755444123</v>
      </c>
      <c r="R282" s="277">
        <v>0.80482432732259335</v>
      </c>
      <c r="S282" s="277">
        <v>0.81505908755444123</v>
      </c>
      <c r="T282" s="277">
        <v>0.81505908755444123</v>
      </c>
      <c r="U282" s="277">
        <v>0.81505908755444123</v>
      </c>
      <c r="V282" s="277">
        <v>0.81505908755444123</v>
      </c>
    </row>
    <row r="283" spans="1:22" x14ac:dyDescent="0.2">
      <c r="A283" s="269" t="s">
        <v>93</v>
      </c>
      <c r="B283" s="270"/>
      <c r="C283" s="273"/>
      <c r="D283" s="274"/>
      <c r="E283" s="274"/>
      <c r="F283" s="274"/>
      <c r="G283" s="274"/>
      <c r="H283" s="274"/>
      <c r="I283" s="274"/>
      <c r="J283" s="274"/>
      <c r="K283" s="274"/>
      <c r="L283" s="274"/>
      <c r="M283" s="274"/>
      <c r="N283" s="274"/>
      <c r="O283" s="274"/>
      <c r="P283" s="274"/>
      <c r="Q283" s="274"/>
      <c r="R283" s="274"/>
      <c r="S283" s="274"/>
      <c r="T283" s="274"/>
      <c r="U283" s="274"/>
      <c r="V283" s="274"/>
    </row>
    <row r="284" spans="1:22" x14ac:dyDescent="0.2">
      <c r="A284" s="267"/>
      <c r="B284" s="270" t="s">
        <v>27</v>
      </c>
      <c r="C284" s="278">
        <v>0</v>
      </c>
      <c r="D284" s="279">
        <v>39.33761243655119</v>
      </c>
      <c r="E284" s="279">
        <v>38.87659151123453</v>
      </c>
      <c r="F284" s="279">
        <v>39.50109267967207</v>
      </c>
      <c r="G284" s="279">
        <v>39.043693036795197</v>
      </c>
      <c r="H284" s="279">
        <v>39.278934224594444</v>
      </c>
      <c r="I284" s="279">
        <v>41.862423523676874</v>
      </c>
      <c r="J284" s="279">
        <v>45.026862174247604</v>
      </c>
      <c r="K284" s="279">
        <v>46.239526418644317</v>
      </c>
      <c r="L284" s="279">
        <v>47.194347054021947</v>
      </c>
      <c r="M284" s="279">
        <v>47.363644589041833</v>
      </c>
      <c r="N284" s="279">
        <v>48.708256856827198</v>
      </c>
      <c r="O284" s="279">
        <v>48.922627728966333</v>
      </c>
      <c r="P284" s="279">
        <v>49.51133180581683</v>
      </c>
      <c r="Q284" s="279">
        <v>51.280779091661259</v>
      </c>
      <c r="R284" s="279">
        <v>55.251481172790285</v>
      </c>
      <c r="S284" s="279">
        <v>54.615722298042058</v>
      </c>
      <c r="T284" s="279">
        <v>55.357281017515632</v>
      </c>
      <c r="U284" s="279">
        <v>58.000117418601739</v>
      </c>
      <c r="V284" s="279">
        <v>59.738223495031633</v>
      </c>
    </row>
    <row r="285" spans="1:22" x14ac:dyDescent="0.2">
      <c r="A285" s="267"/>
      <c r="B285" s="270" t="s">
        <v>20</v>
      </c>
      <c r="C285" s="278">
        <v>0</v>
      </c>
      <c r="D285" s="279">
        <v>13.398760800000003</v>
      </c>
      <c r="E285" s="279">
        <v>13.591540800000002</v>
      </c>
      <c r="F285" s="279">
        <v>13.828384800000004</v>
      </c>
      <c r="G285" s="279">
        <v>14.223859200000001</v>
      </c>
      <c r="H285" s="279">
        <v>14.718477599999995</v>
      </c>
      <c r="I285" s="279">
        <v>15.283598399999997</v>
      </c>
      <c r="J285" s="279">
        <v>15.636110399999994</v>
      </c>
      <c r="K285" s="279">
        <v>15.972098399999995</v>
      </c>
      <c r="L285" s="279">
        <v>16.235380799999998</v>
      </c>
      <c r="M285" s="279">
        <v>16.365369599999998</v>
      </c>
      <c r="N285" s="279">
        <v>16.587892799999999</v>
      </c>
      <c r="O285" s="279">
        <v>16.948115999999988</v>
      </c>
      <c r="P285" s="279">
        <v>17.334777600000002</v>
      </c>
      <c r="Q285" s="279">
        <v>17.702711999999998</v>
      </c>
      <c r="R285" s="279">
        <v>17.953876799999993</v>
      </c>
      <c r="S285" s="279">
        <v>18.321811199999992</v>
      </c>
      <c r="T285" s="279">
        <v>18.740419200000002</v>
      </c>
      <c r="U285" s="279">
        <v>19.199786399999994</v>
      </c>
      <c r="V285" s="279">
        <v>19.674575999999998</v>
      </c>
    </row>
    <row r="286" spans="1:22" x14ac:dyDescent="0.2">
      <c r="A286" s="267"/>
      <c r="B286" s="270" t="s">
        <v>92</v>
      </c>
      <c r="C286" s="278">
        <v>0</v>
      </c>
      <c r="D286" s="279">
        <v>1.0470911941003462</v>
      </c>
      <c r="E286" s="279">
        <v>1.068226055193036</v>
      </c>
      <c r="F286" s="279">
        <v>1.0897875098393</v>
      </c>
      <c r="G286" s="279">
        <v>1.1117841685551542</v>
      </c>
      <c r="H286" s="279">
        <v>1.1342248156543338</v>
      </c>
      <c r="I286" s="279">
        <v>1.1571184127562868</v>
      </c>
      <c r="J286" s="279">
        <v>1.1804741023649743</v>
      </c>
      <c r="K286" s="279">
        <v>1.2043012115199105</v>
      </c>
      <c r="L286" s="279">
        <v>1.2286092555208921</v>
      </c>
      <c r="M286" s="279">
        <v>1.2534079417279114</v>
      </c>
      <c r="N286" s="279">
        <v>1.278720975829686</v>
      </c>
      <c r="O286" s="279">
        <v>1.3045170538389219</v>
      </c>
      <c r="P286" s="279">
        <v>1.3308478900461915</v>
      </c>
      <c r="Q286" s="279">
        <v>1.3577101972168601</v>
      </c>
      <c r="R286" s="279">
        <v>1.3851003216661428</v>
      </c>
      <c r="S286" s="279">
        <v>1.4130723505698677</v>
      </c>
      <c r="T286" s="279">
        <v>1.441594305497466</v>
      </c>
      <c r="U286" s="279">
        <v>1.4706919577080544</v>
      </c>
      <c r="V286" s="279">
        <v>1.5003769272803582</v>
      </c>
    </row>
    <row r="287" spans="1:22" x14ac:dyDescent="0.2">
      <c r="A287" s="267"/>
      <c r="B287" s="270" t="s">
        <v>22</v>
      </c>
      <c r="C287" s="278">
        <v>0</v>
      </c>
      <c r="D287" s="279">
        <v>0</v>
      </c>
      <c r="E287" s="279">
        <v>0</v>
      </c>
      <c r="F287" s="279">
        <v>0</v>
      </c>
      <c r="G287" s="279">
        <v>0</v>
      </c>
      <c r="H287" s="279">
        <v>0</v>
      </c>
      <c r="I287" s="279">
        <v>1.1835122891437064</v>
      </c>
      <c r="J287" s="279">
        <v>1.3118288288725792</v>
      </c>
      <c r="K287" s="279">
        <v>1.5419955573743518</v>
      </c>
      <c r="L287" s="279">
        <v>1.5899033631922057</v>
      </c>
      <c r="M287" s="279">
        <v>1.7682169882853225</v>
      </c>
      <c r="N287" s="279">
        <v>1.9295676425134733</v>
      </c>
      <c r="O287" s="279">
        <v>2.1581314052997942</v>
      </c>
      <c r="P287" s="279">
        <v>2.4198330228014924</v>
      </c>
      <c r="Q287" s="279">
        <v>2.6936517621059557</v>
      </c>
      <c r="R287" s="279">
        <v>2.9557764673355691</v>
      </c>
      <c r="S287" s="279">
        <v>3.2761464624715462</v>
      </c>
      <c r="T287" s="279">
        <v>3.2186541795389991</v>
      </c>
      <c r="U287" s="279">
        <v>2.7537327396060998</v>
      </c>
      <c r="V287" s="279">
        <v>2.8551127968164711</v>
      </c>
    </row>
    <row r="288" spans="1:22" x14ac:dyDescent="0.2">
      <c r="A288" s="267"/>
      <c r="B288" s="270" t="s">
        <v>23</v>
      </c>
      <c r="C288" s="278">
        <v>0</v>
      </c>
      <c r="D288" s="279">
        <v>0</v>
      </c>
      <c r="E288" s="279">
        <v>0</v>
      </c>
      <c r="F288" s="279">
        <v>3.1391957195814766</v>
      </c>
      <c r="G288" s="279">
        <v>2.6747915276776038</v>
      </c>
      <c r="H288" s="279">
        <v>2.7767990365572639</v>
      </c>
      <c r="I288" s="279">
        <v>2.8839502892810747</v>
      </c>
      <c r="J288" s="279">
        <v>3.7853697048035313</v>
      </c>
      <c r="K288" s="279">
        <v>3.3055270184320165</v>
      </c>
      <c r="L288" s="279">
        <v>3.4996733559232873</v>
      </c>
      <c r="M288" s="279">
        <v>3.3300732320108506</v>
      </c>
      <c r="N288" s="279">
        <v>3.4254492739488112</v>
      </c>
      <c r="O288" s="279">
        <v>3.5142741604874814</v>
      </c>
      <c r="P288" s="279">
        <v>3.1389841446075786</v>
      </c>
      <c r="Q288" s="279">
        <v>3.2512175136071311</v>
      </c>
      <c r="R288" s="279">
        <v>3.3184051628952496</v>
      </c>
      <c r="S288" s="279">
        <v>3.5239131376610606</v>
      </c>
      <c r="T288" s="279">
        <v>3.3128438377434013</v>
      </c>
      <c r="U288" s="279">
        <v>3.6486901440836861</v>
      </c>
      <c r="V288" s="279">
        <v>1.9865313717343225</v>
      </c>
    </row>
    <row r="289" spans="1:22" x14ac:dyDescent="0.2">
      <c r="A289" s="269" t="s">
        <v>94</v>
      </c>
      <c r="B289" s="270"/>
      <c r="C289" s="273"/>
      <c r="D289" s="274"/>
      <c r="E289" s="274"/>
      <c r="F289" s="274"/>
      <c r="G289" s="274"/>
      <c r="H289" s="274"/>
      <c r="I289" s="274"/>
      <c r="J289" s="274"/>
      <c r="K289" s="274"/>
      <c r="L289" s="274"/>
      <c r="M289" s="274"/>
      <c r="N289" s="274"/>
      <c r="O289" s="274"/>
      <c r="P289" s="274"/>
      <c r="Q289" s="274"/>
      <c r="R289" s="274"/>
      <c r="S289" s="274"/>
      <c r="T289" s="274"/>
      <c r="U289" s="274"/>
      <c r="V289" s="274"/>
    </row>
    <row r="290" spans="1:22" x14ac:dyDescent="0.2">
      <c r="A290" s="267"/>
      <c r="B290" s="270" t="s">
        <v>34</v>
      </c>
      <c r="C290" s="278">
        <v>0</v>
      </c>
      <c r="D290" s="279">
        <v>30.666312099815602</v>
      </c>
      <c r="E290" s="279">
        <v>31.279638341811918</v>
      </c>
      <c r="F290" s="279">
        <v>31.905231108648156</v>
      </c>
      <c r="G290" s="279">
        <v>32.54333573082112</v>
      </c>
      <c r="H290" s="279">
        <v>33.194202445437547</v>
      </c>
      <c r="I290" s="279">
        <v>33.858086494346296</v>
      </c>
      <c r="J290" s="279">
        <v>34.535248224233221</v>
      </c>
      <c r="K290" s="279">
        <v>35.225953188717888</v>
      </c>
      <c r="L290" s="279">
        <v>35.930472252492244</v>
      </c>
      <c r="M290" s="279">
        <v>36.649081697542087</v>
      </c>
      <c r="N290" s="279">
        <v>37.38206333149293</v>
      </c>
      <c r="O290" s="279">
        <v>38.129704598122785</v>
      </c>
      <c r="P290" s="279">
        <v>38.892298690085248</v>
      </c>
      <c r="Q290" s="279">
        <v>39.670144663886951</v>
      </c>
      <c r="R290" s="279">
        <v>40.463547557164695</v>
      </c>
      <c r="S290" s="279">
        <v>41.272818508307985</v>
      </c>
      <c r="T290" s="279">
        <v>42.098274878474143</v>
      </c>
      <c r="U290" s="279">
        <v>42.940240376043626</v>
      </c>
      <c r="V290" s="279">
        <v>43.799045183564502</v>
      </c>
    </row>
    <row r="291" spans="1:22" x14ac:dyDescent="0.2">
      <c r="A291" s="267"/>
      <c r="B291" s="270" t="s">
        <v>95</v>
      </c>
      <c r="C291" s="278">
        <v>0</v>
      </c>
      <c r="D291" s="279">
        <v>2.6253414896786973</v>
      </c>
      <c r="E291" s="279">
        <v>2.6838234878304124</v>
      </c>
      <c r="F291" s="279">
        <v>2.746754804199087</v>
      </c>
      <c r="G291" s="279">
        <v>2.8644707345018867</v>
      </c>
      <c r="H291" s="279">
        <v>3.3973007949922764</v>
      </c>
      <c r="I291" s="279">
        <v>4.2325626395991485</v>
      </c>
      <c r="J291" s="279">
        <v>4.7276120455511981</v>
      </c>
      <c r="K291" s="279">
        <v>5.2311424970218869</v>
      </c>
      <c r="L291" s="279">
        <v>5.62352238389024</v>
      </c>
      <c r="M291" s="279">
        <v>5.8251956761767225</v>
      </c>
      <c r="N291" s="279">
        <v>5.8977251259937651</v>
      </c>
      <c r="O291" s="279">
        <v>5.9760227330693629</v>
      </c>
      <c r="P291" s="279">
        <v>6.0522685976973882</v>
      </c>
      <c r="Q291" s="279">
        <v>6.1304206089411135</v>
      </c>
      <c r="R291" s="279">
        <v>6.2105342356670556</v>
      </c>
      <c r="S291" s="279">
        <v>6.292650703061148</v>
      </c>
      <c r="T291" s="279">
        <v>6.3768036588466126</v>
      </c>
      <c r="U291" s="279">
        <v>6.4630688538222927</v>
      </c>
      <c r="V291" s="279">
        <v>6.5514993051918626</v>
      </c>
    </row>
    <row r="292" spans="1:22" x14ac:dyDescent="0.2">
      <c r="A292" s="267"/>
      <c r="B292" s="270" t="s">
        <v>36</v>
      </c>
      <c r="C292" s="278">
        <v>0</v>
      </c>
      <c r="D292" s="279">
        <v>3.2666167237714787</v>
      </c>
      <c r="E292" s="279">
        <v>3.3355423366430745</v>
      </c>
      <c r="F292" s="279">
        <v>3.4085907138155638</v>
      </c>
      <c r="G292" s="279">
        <v>3.4856248639477765</v>
      </c>
      <c r="H292" s="279">
        <v>3.5685827357097337</v>
      </c>
      <c r="I292" s="279">
        <v>3.6580117778226597</v>
      </c>
      <c r="J292" s="279">
        <v>3.7487406606639677</v>
      </c>
      <c r="K292" s="279">
        <v>3.8436290338361272</v>
      </c>
      <c r="L292" s="279">
        <v>3.9385666709718827</v>
      </c>
      <c r="M292" s="279">
        <v>4.03900012108166</v>
      </c>
      <c r="N292" s="279">
        <v>4.1367439240118511</v>
      </c>
      <c r="O292" s="279">
        <v>4.2409898708969367</v>
      </c>
      <c r="P292" s="279">
        <v>4.348711013617713</v>
      </c>
      <c r="Q292" s="279">
        <v>4.4574287889581488</v>
      </c>
      <c r="R292" s="279">
        <v>4.5693102515610002</v>
      </c>
      <c r="S292" s="279">
        <v>4.683543007850032</v>
      </c>
      <c r="T292" s="279">
        <v>4.7996948744447021</v>
      </c>
      <c r="U292" s="279">
        <v>4.9201672157932768</v>
      </c>
      <c r="V292" s="279">
        <v>5.0436634129096918</v>
      </c>
    </row>
    <row r="293" spans="1:22" x14ac:dyDescent="0.2">
      <c r="A293" s="267"/>
      <c r="B293" s="270" t="s">
        <v>39</v>
      </c>
      <c r="C293" s="278">
        <v>0</v>
      </c>
      <c r="D293" s="279">
        <v>57.877794787234045</v>
      </c>
      <c r="E293" s="279">
        <v>12.849956914893616</v>
      </c>
      <c r="F293" s="279">
        <v>3.1286499999999999</v>
      </c>
      <c r="G293" s="279">
        <v>8.263042978723405</v>
      </c>
      <c r="H293" s="279">
        <v>18.345757574468085</v>
      </c>
      <c r="I293" s="279">
        <v>18.896130301702126</v>
      </c>
      <c r="J293" s="279">
        <v>19.46301421075319</v>
      </c>
      <c r="K293" s="279">
        <v>20.046904637075787</v>
      </c>
      <c r="L293" s="279">
        <v>20.648311776188059</v>
      </c>
      <c r="M293" s="279">
        <v>21.267761129473701</v>
      </c>
      <c r="N293" s="279">
        <v>21.905793963357915</v>
      </c>
      <c r="O293" s="279">
        <v>22.562967782258657</v>
      </c>
      <c r="P293" s="279">
        <v>23.239856815726416</v>
      </c>
      <c r="Q293" s="279">
        <v>23.937052520198211</v>
      </c>
      <c r="R293" s="279">
        <v>24.65516409580416</v>
      </c>
      <c r="S293" s="279">
        <v>25.394819018678284</v>
      </c>
      <c r="T293" s="279">
        <v>26.156663589238637</v>
      </c>
      <c r="U293" s="279">
        <v>26.941363496915795</v>
      </c>
      <c r="V293" s="279">
        <v>27.749604401823266</v>
      </c>
    </row>
    <row r="294" spans="1:22" x14ac:dyDescent="0.2">
      <c r="A294" s="267"/>
      <c r="B294" s="270" t="s">
        <v>96</v>
      </c>
      <c r="C294" s="280">
        <v>0</v>
      </c>
      <c r="D294" s="281">
        <v>0</v>
      </c>
      <c r="E294" s="281">
        <v>0</v>
      </c>
      <c r="F294" s="281">
        <v>0</v>
      </c>
      <c r="G294" s="281">
        <v>0</v>
      </c>
      <c r="H294" s="281">
        <v>0</v>
      </c>
      <c r="I294" s="281">
        <v>0</v>
      </c>
      <c r="J294" s="281">
        <v>0</v>
      </c>
      <c r="K294" s="281">
        <v>0</v>
      </c>
      <c r="L294" s="281">
        <v>0</v>
      </c>
      <c r="M294" s="281">
        <v>0</v>
      </c>
      <c r="N294" s="281">
        <v>0</v>
      </c>
      <c r="O294" s="281">
        <v>0</v>
      </c>
      <c r="P294" s="281">
        <v>0</v>
      </c>
      <c r="Q294" s="281">
        <v>0</v>
      </c>
      <c r="R294" s="281">
        <v>0</v>
      </c>
      <c r="S294" s="281">
        <v>0</v>
      </c>
      <c r="T294" s="281">
        <v>0</v>
      </c>
      <c r="U294" s="281">
        <v>0</v>
      </c>
      <c r="V294" s="281">
        <v>0</v>
      </c>
    </row>
    <row r="295" spans="1:22" x14ac:dyDescent="0.2">
      <c r="A295" s="267"/>
      <c r="B295" s="270"/>
      <c r="C295" s="267"/>
      <c r="D295" s="267"/>
      <c r="E295" s="267"/>
      <c r="F295" s="267"/>
      <c r="G295" s="267"/>
      <c r="H295" s="267"/>
      <c r="I295" s="267"/>
      <c r="J295" s="267"/>
      <c r="K295" s="267"/>
      <c r="L295" s="267"/>
      <c r="M295" s="267"/>
      <c r="N295" s="267"/>
      <c r="O295" s="267"/>
      <c r="P295" s="267"/>
      <c r="Q295" s="267"/>
      <c r="R295" s="267"/>
      <c r="S295" s="267"/>
      <c r="T295" s="267"/>
      <c r="U295" s="267"/>
      <c r="V295" s="267"/>
    </row>
    <row r="296" spans="1:22" x14ac:dyDescent="0.2">
      <c r="A296" s="267"/>
      <c r="B296" s="270"/>
      <c r="C296" s="267"/>
      <c r="D296" s="267"/>
      <c r="E296" s="267"/>
      <c r="F296" s="267"/>
      <c r="G296" s="267"/>
      <c r="H296" s="267"/>
      <c r="I296" s="267"/>
      <c r="J296" s="267"/>
      <c r="K296" s="267"/>
      <c r="L296" s="267"/>
      <c r="M296" s="267"/>
      <c r="N296" s="267"/>
      <c r="O296" s="267"/>
      <c r="P296" s="267"/>
      <c r="Q296" s="267"/>
      <c r="R296" s="267"/>
      <c r="S296" s="267"/>
      <c r="T296" s="267"/>
      <c r="U296" s="267"/>
      <c r="V296" s="267"/>
    </row>
    <row r="297" spans="1:22" x14ac:dyDescent="0.2">
      <c r="A297" s="298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</row>
    <row r="298" spans="1:22" x14ac:dyDescent="0.2">
      <c r="A298" s="24"/>
      <c r="B298" s="295"/>
      <c r="C298" s="296"/>
      <c r="D298" s="296"/>
      <c r="E298" s="296"/>
      <c r="F298" s="296"/>
      <c r="G298" s="296"/>
      <c r="H298" s="296"/>
      <c r="I298" s="296"/>
      <c r="J298" s="296"/>
      <c r="K298" s="296"/>
      <c r="L298" s="296"/>
      <c r="M298" s="296"/>
      <c r="N298" s="296"/>
      <c r="O298" s="296"/>
      <c r="P298" s="296"/>
      <c r="Q298" s="296"/>
      <c r="R298" s="296"/>
      <c r="S298" s="296"/>
      <c r="T298" s="296"/>
      <c r="U298" s="296"/>
      <c r="V298" s="296"/>
    </row>
    <row r="299" spans="1:22" x14ac:dyDescent="0.2">
      <c r="A299" s="265" t="s">
        <v>98</v>
      </c>
      <c r="B299" s="266"/>
      <c r="C299" s="267"/>
      <c r="D299" s="267"/>
      <c r="E299" s="267"/>
      <c r="F299" s="267"/>
      <c r="G299" s="267"/>
      <c r="H299" s="267"/>
      <c r="I299" s="267"/>
      <c r="J299" s="267"/>
      <c r="K299" s="267"/>
      <c r="L299" s="267"/>
      <c r="M299" s="267"/>
      <c r="N299" s="267"/>
      <c r="O299" s="267"/>
      <c r="P299" s="267"/>
      <c r="Q299" s="267"/>
      <c r="R299" s="267"/>
      <c r="S299" s="267"/>
      <c r="T299" s="267"/>
      <c r="U299" s="267"/>
      <c r="V299" s="267"/>
    </row>
    <row r="300" spans="1:22" x14ac:dyDescent="0.2">
      <c r="A300" s="268" t="s">
        <v>67</v>
      </c>
      <c r="B300" s="266"/>
      <c r="C300" s="267"/>
      <c r="D300" s="267"/>
      <c r="E300" s="267"/>
      <c r="F300" s="267"/>
      <c r="G300" s="267"/>
      <c r="H300" s="267"/>
      <c r="I300" s="267"/>
      <c r="J300" s="267"/>
      <c r="K300" s="267"/>
      <c r="L300" s="267"/>
      <c r="M300" s="267"/>
      <c r="N300" s="267"/>
      <c r="O300" s="267"/>
      <c r="P300" s="267"/>
      <c r="Q300" s="267"/>
      <c r="R300" s="267"/>
      <c r="S300" s="267"/>
      <c r="T300" s="267"/>
      <c r="U300" s="267"/>
      <c r="V300" s="267"/>
    </row>
    <row r="301" spans="1:22" x14ac:dyDescent="0.2">
      <c r="A301" s="267"/>
      <c r="B301" s="266"/>
      <c r="C301" s="267"/>
      <c r="D301" s="267"/>
      <c r="E301" s="267"/>
      <c r="F301" s="267"/>
      <c r="G301" s="267"/>
      <c r="H301" s="267"/>
      <c r="I301" s="267"/>
      <c r="J301" s="267"/>
      <c r="K301" s="267"/>
      <c r="L301" s="267"/>
      <c r="M301" s="267"/>
      <c r="N301" s="267"/>
      <c r="O301" s="267"/>
      <c r="P301" s="267"/>
      <c r="Q301" s="267"/>
      <c r="R301" s="267"/>
      <c r="S301" s="267"/>
      <c r="T301" s="267"/>
      <c r="U301" s="267"/>
      <c r="V301" s="267"/>
    </row>
    <row r="302" spans="1:22" x14ac:dyDescent="0.2">
      <c r="A302" s="267"/>
      <c r="B302" s="266"/>
      <c r="C302" s="271">
        <v>2000</v>
      </c>
      <c r="D302" s="272">
        <v>2001</v>
      </c>
      <c r="E302" s="272">
        <v>2002</v>
      </c>
      <c r="F302" s="272">
        <v>2003</v>
      </c>
      <c r="G302" s="272">
        <v>2004</v>
      </c>
      <c r="H302" s="272">
        <v>2005</v>
      </c>
      <c r="I302" s="272">
        <v>2006</v>
      </c>
      <c r="J302" s="272">
        <v>2007</v>
      </c>
      <c r="K302" s="272">
        <v>2008</v>
      </c>
      <c r="L302" s="272">
        <v>2009</v>
      </c>
      <c r="M302" s="272">
        <v>2010</v>
      </c>
      <c r="N302" s="272">
        <v>2011</v>
      </c>
      <c r="O302" s="272">
        <v>2012</v>
      </c>
      <c r="P302" s="272">
        <v>2013</v>
      </c>
      <c r="Q302" s="272">
        <v>2014</v>
      </c>
      <c r="R302" s="272">
        <v>2015</v>
      </c>
      <c r="S302" s="272">
        <v>2016</v>
      </c>
      <c r="T302" s="272">
        <v>2017</v>
      </c>
      <c r="U302" s="272">
        <v>2018</v>
      </c>
      <c r="V302" s="272">
        <v>2019</v>
      </c>
    </row>
    <row r="303" spans="1:22" x14ac:dyDescent="0.2">
      <c r="A303" s="269" t="s">
        <v>129</v>
      </c>
      <c r="B303" s="266"/>
      <c r="C303" s="273"/>
      <c r="D303" s="274"/>
      <c r="E303" s="274"/>
      <c r="F303" s="274"/>
      <c r="G303" s="274"/>
      <c r="H303" s="274"/>
      <c r="I303" s="274"/>
      <c r="J303" s="274"/>
      <c r="K303" s="274"/>
      <c r="L303" s="274"/>
      <c r="M303" s="274"/>
      <c r="N303" s="274"/>
      <c r="O303" s="274"/>
      <c r="P303" s="274"/>
      <c r="Q303" s="274"/>
      <c r="R303" s="274"/>
      <c r="S303" s="274"/>
      <c r="T303" s="274"/>
      <c r="U303" s="274"/>
      <c r="V303" s="274"/>
    </row>
    <row r="304" spans="1:22" x14ac:dyDescent="0.2">
      <c r="A304" s="267"/>
      <c r="B304" s="270" t="s">
        <v>97</v>
      </c>
      <c r="C304" s="275">
        <v>0</v>
      </c>
      <c r="D304" s="276">
        <v>692826.14939006628</v>
      </c>
      <c r="E304" s="276">
        <v>683438.68047992338</v>
      </c>
      <c r="F304" s="276">
        <v>673863.46219157742</v>
      </c>
      <c r="G304" s="276">
        <v>664096.7395374648</v>
      </c>
      <c r="H304" s="276">
        <v>654134.68243027013</v>
      </c>
      <c r="I304" s="276">
        <v>647992.12553179928</v>
      </c>
      <c r="J304" s="276">
        <v>647992.12553179928</v>
      </c>
      <c r="K304" s="276">
        <v>647992.12553179928</v>
      </c>
      <c r="L304" s="276">
        <v>647992.12553179928</v>
      </c>
      <c r="M304" s="276">
        <v>647992.12553179928</v>
      </c>
      <c r="N304" s="276">
        <v>647992.12553179928</v>
      </c>
      <c r="O304" s="276">
        <v>647992.12553179928</v>
      </c>
      <c r="P304" s="276">
        <v>647992.12553179928</v>
      </c>
      <c r="Q304" s="276">
        <v>647992.12553179928</v>
      </c>
      <c r="R304" s="276">
        <v>647992.12553179928</v>
      </c>
      <c r="S304" s="276">
        <v>647992.12553179928</v>
      </c>
      <c r="T304" s="276">
        <v>647992.12553179928</v>
      </c>
      <c r="U304" s="276">
        <v>647992.12553179928</v>
      </c>
      <c r="V304" s="276">
        <v>647992.12553179928</v>
      </c>
    </row>
    <row r="305" spans="1:22" x14ac:dyDescent="0.2">
      <c r="A305" s="267"/>
      <c r="B305" s="270" t="s">
        <v>91</v>
      </c>
      <c r="C305" s="275">
        <v>0</v>
      </c>
      <c r="D305" s="277">
        <v>0.84138024554316804</v>
      </c>
      <c r="E305" s="277">
        <v>0.82997993840464812</v>
      </c>
      <c r="F305" s="277">
        <v>0.81835162512335746</v>
      </c>
      <c r="G305" s="277">
        <v>0.80649074557644129</v>
      </c>
      <c r="H305" s="277">
        <v>0.79439264843858703</v>
      </c>
      <c r="I305" s="277">
        <v>0.78693301944501026</v>
      </c>
      <c r="J305" s="277">
        <v>0.78693301944501026</v>
      </c>
      <c r="K305" s="277">
        <v>0.78693301944501026</v>
      </c>
      <c r="L305" s="277">
        <v>0.78693301944501026</v>
      </c>
      <c r="M305" s="277">
        <v>0.78693301944501026</v>
      </c>
      <c r="N305" s="277">
        <v>0.78693301944501026</v>
      </c>
      <c r="O305" s="277">
        <v>0.78693301944501026</v>
      </c>
      <c r="P305" s="277">
        <v>0.78693301944501026</v>
      </c>
      <c r="Q305" s="277">
        <v>0.78693301944501026</v>
      </c>
      <c r="R305" s="277">
        <v>0.78693301944501026</v>
      </c>
      <c r="S305" s="277">
        <v>0.78693301944501026</v>
      </c>
      <c r="T305" s="277">
        <v>0.78693301944501026</v>
      </c>
      <c r="U305" s="277">
        <v>0.78693301944501026</v>
      </c>
      <c r="V305" s="277">
        <v>0.78693301944501026</v>
      </c>
    </row>
    <row r="306" spans="1:22" x14ac:dyDescent="0.2">
      <c r="A306" s="269" t="s">
        <v>93</v>
      </c>
      <c r="B306" s="270"/>
      <c r="C306" s="273"/>
      <c r="D306" s="274"/>
      <c r="E306" s="274"/>
      <c r="F306" s="274"/>
      <c r="G306" s="274"/>
      <c r="H306" s="274"/>
      <c r="I306" s="274"/>
      <c r="J306" s="274"/>
      <c r="K306" s="274"/>
      <c r="L306" s="274"/>
      <c r="M306" s="274"/>
      <c r="N306" s="274"/>
      <c r="O306" s="274"/>
      <c r="P306" s="274"/>
      <c r="Q306" s="274"/>
      <c r="R306" s="274"/>
      <c r="S306" s="274"/>
      <c r="T306" s="274"/>
      <c r="U306" s="274"/>
      <c r="V306" s="274"/>
    </row>
    <row r="307" spans="1:22" x14ac:dyDescent="0.2">
      <c r="A307" s="267"/>
      <c r="B307" s="270" t="s">
        <v>27</v>
      </c>
      <c r="C307" s="278">
        <v>0</v>
      </c>
      <c r="D307" s="279">
        <v>39.337612436551169</v>
      </c>
      <c r="E307" s="279">
        <v>38.876591511234523</v>
      </c>
      <c r="F307" s="279">
        <v>39.501092679672077</v>
      </c>
      <c r="G307" s="279">
        <v>39.043693036795197</v>
      </c>
      <c r="H307" s="279">
        <v>39.278934224594444</v>
      </c>
      <c r="I307" s="279">
        <v>41.862423523676867</v>
      </c>
      <c r="J307" s="279">
        <v>45.026862174247626</v>
      </c>
      <c r="K307" s="279">
        <v>46.239526418644353</v>
      </c>
      <c r="L307" s="279">
        <v>47.194347054021975</v>
      </c>
      <c r="M307" s="279">
        <v>47.363644589041833</v>
      </c>
      <c r="N307" s="279">
        <v>48.39901289751193</v>
      </c>
      <c r="O307" s="279">
        <v>48.922627728966297</v>
      </c>
      <c r="P307" s="279">
        <v>49.511331805816837</v>
      </c>
      <c r="Q307" s="279">
        <v>51.280779091661287</v>
      </c>
      <c r="R307" s="279">
        <v>54.898201879545915</v>
      </c>
      <c r="S307" s="279">
        <v>54.615722298042087</v>
      </c>
      <c r="T307" s="279">
        <v>55.357281017515589</v>
      </c>
      <c r="U307" s="279">
        <v>58.000117418601768</v>
      </c>
      <c r="V307" s="279">
        <v>59.738223495031583</v>
      </c>
    </row>
    <row r="308" spans="1:22" x14ac:dyDescent="0.2">
      <c r="A308" s="267"/>
      <c r="B308" s="270" t="s">
        <v>20</v>
      </c>
      <c r="C308" s="278">
        <v>0</v>
      </c>
      <c r="D308" s="279">
        <v>12.9244038</v>
      </c>
      <c r="E308" s="279">
        <v>13.110358799999997</v>
      </c>
      <c r="F308" s="279">
        <v>13.338817799999999</v>
      </c>
      <c r="G308" s="279">
        <v>13.7202912</v>
      </c>
      <c r="H308" s="279">
        <v>14.197398599999993</v>
      </c>
      <c r="I308" s="279">
        <v>14.742512400000001</v>
      </c>
      <c r="J308" s="279">
        <v>15.0825444</v>
      </c>
      <c r="K308" s="279">
        <v>15.406637400000008</v>
      </c>
      <c r="L308" s="279">
        <v>15.660598800000002</v>
      </c>
      <c r="M308" s="279">
        <v>15.785985600000004</v>
      </c>
      <c r="N308" s="279">
        <v>16.000630800000003</v>
      </c>
      <c r="O308" s="279">
        <v>16.348101000000003</v>
      </c>
      <c r="P308" s="279">
        <v>16.7210736</v>
      </c>
      <c r="Q308" s="279">
        <v>17.075982000000003</v>
      </c>
      <c r="R308" s="279">
        <v>17.318254800000005</v>
      </c>
      <c r="S308" s="279">
        <v>17.673163200000005</v>
      </c>
      <c r="T308" s="279">
        <v>18.076951200000003</v>
      </c>
      <c r="U308" s="279">
        <v>18.520055400000004</v>
      </c>
      <c r="V308" s="279">
        <v>18.978036000000003</v>
      </c>
    </row>
    <row r="309" spans="1:22" x14ac:dyDescent="0.2">
      <c r="A309" s="267"/>
      <c r="B309" s="270" t="s">
        <v>92</v>
      </c>
      <c r="C309" s="278">
        <v>0</v>
      </c>
      <c r="D309" s="279">
        <v>1.0470911941003456</v>
      </c>
      <c r="E309" s="279">
        <v>1.068226055193036</v>
      </c>
      <c r="F309" s="279">
        <v>1.0897875098392997</v>
      </c>
      <c r="G309" s="279">
        <v>1.1117841685551542</v>
      </c>
      <c r="H309" s="279">
        <v>1.134224815654334</v>
      </c>
      <c r="I309" s="279">
        <v>1.1571184127562872</v>
      </c>
      <c r="J309" s="279">
        <v>1.1804741023649752</v>
      </c>
      <c r="K309" s="279">
        <v>1.2043012115199112</v>
      </c>
      <c r="L309" s="279">
        <v>1.2286092555208927</v>
      </c>
      <c r="M309" s="279">
        <v>1.2534079417279116</v>
      </c>
      <c r="N309" s="279">
        <v>1.2787071734377671</v>
      </c>
      <c r="O309" s="279">
        <v>1.3045170538389224</v>
      </c>
      <c r="P309" s="279">
        <v>1.3308478900461922</v>
      </c>
      <c r="Q309" s="279">
        <v>1.3577101972168606</v>
      </c>
      <c r="R309" s="279">
        <v>1.3851147027498876</v>
      </c>
      <c r="S309" s="279">
        <v>1.4130723505698686</v>
      </c>
      <c r="T309" s="279">
        <v>1.4415943054974669</v>
      </c>
      <c r="U309" s="279">
        <v>1.4706919577080553</v>
      </c>
      <c r="V309" s="279">
        <v>1.5003769272803591</v>
      </c>
    </row>
    <row r="310" spans="1:22" x14ac:dyDescent="0.2">
      <c r="A310" s="267"/>
      <c r="B310" s="270" t="s">
        <v>22</v>
      </c>
      <c r="C310" s="278">
        <v>0</v>
      </c>
      <c r="D310" s="279">
        <v>0</v>
      </c>
      <c r="E310" s="279">
        <v>0</v>
      </c>
      <c r="F310" s="279">
        <v>0</v>
      </c>
      <c r="G310" s="279">
        <v>0</v>
      </c>
      <c r="H310" s="279">
        <v>0</v>
      </c>
      <c r="I310" s="279">
        <v>1.0681958582218158</v>
      </c>
      <c r="J310" s="279">
        <v>1.1840097771283182</v>
      </c>
      <c r="K310" s="279">
        <v>1.3976088349207383</v>
      </c>
      <c r="L310" s="279">
        <v>1.4349899051438015</v>
      </c>
      <c r="M310" s="279">
        <v>1.5959294049159558</v>
      </c>
      <c r="N310" s="279">
        <v>1.7580369296987326</v>
      </c>
      <c r="O310" s="279">
        <v>1.9478522105652174</v>
      </c>
      <c r="P310" s="279">
        <v>2.184054729516264</v>
      </c>
      <c r="Q310" s="279">
        <v>2.4311937291798587</v>
      </c>
      <c r="R310" s="279">
        <v>2.6930199652091784</v>
      </c>
      <c r="S310" s="279">
        <v>2.9569326100298987</v>
      </c>
      <c r="T310" s="279">
        <v>2.9050421319405713</v>
      </c>
      <c r="U310" s="279">
        <v>2.4854206703888995</v>
      </c>
      <c r="V310" s="279">
        <v>2.5769226836859134</v>
      </c>
    </row>
    <row r="311" spans="1:22" x14ac:dyDescent="0.2">
      <c r="A311" s="267"/>
      <c r="B311" s="270" t="s">
        <v>23</v>
      </c>
      <c r="C311" s="278">
        <v>0</v>
      </c>
      <c r="D311" s="279">
        <v>0</v>
      </c>
      <c r="E311" s="279">
        <v>0</v>
      </c>
      <c r="F311" s="279">
        <v>3.0280586162193881</v>
      </c>
      <c r="G311" s="279">
        <v>2.580095749192286</v>
      </c>
      <c r="H311" s="279">
        <v>2.678491881123592</v>
      </c>
      <c r="I311" s="279">
        <v>2.7818496526779875</v>
      </c>
      <c r="J311" s="279">
        <v>3.651356071463538</v>
      </c>
      <c r="K311" s="279">
        <v>3.1885012797620393</v>
      </c>
      <c r="L311" s="279">
        <v>3.3757742447386416</v>
      </c>
      <c r="M311" s="279">
        <v>3.2121784825115585</v>
      </c>
      <c r="N311" s="279">
        <v>3.3041779216575966</v>
      </c>
      <c r="O311" s="279">
        <v>3.3898581362872173</v>
      </c>
      <c r="P311" s="279">
        <v>3.0278545316448944</v>
      </c>
      <c r="Q311" s="279">
        <v>3.1361144970578594</v>
      </c>
      <c r="R311" s="279">
        <v>3.2009234986315303</v>
      </c>
      <c r="S311" s="279">
        <v>3.3991558642689212</v>
      </c>
      <c r="T311" s="279">
        <v>3.195559061352705</v>
      </c>
      <c r="U311" s="279">
        <v>3.5195153840807252</v>
      </c>
      <c r="V311" s="279">
        <v>1.9162021020378466</v>
      </c>
    </row>
    <row r="312" spans="1:22" x14ac:dyDescent="0.2">
      <c r="A312" s="269" t="s">
        <v>94</v>
      </c>
      <c r="B312" s="270"/>
      <c r="C312" s="273"/>
      <c r="D312" s="274"/>
      <c r="E312" s="274"/>
      <c r="F312" s="274"/>
      <c r="G312" s="274"/>
      <c r="H312" s="274"/>
      <c r="I312" s="274"/>
      <c r="J312" s="274"/>
      <c r="K312" s="274"/>
      <c r="L312" s="274"/>
      <c r="M312" s="274"/>
      <c r="N312" s="274"/>
      <c r="O312" s="274"/>
      <c r="P312" s="274"/>
      <c r="Q312" s="274"/>
      <c r="R312" s="274"/>
      <c r="S312" s="274"/>
      <c r="T312" s="274"/>
      <c r="U312" s="274"/>
      <c r="V312" s="274"/>
    </row>
    <row r="313" spans="1:22" x14ac:dyDescent="0.2">
      <c r="A313" s="267"/>
      <c r="B313" s="270" t="s">
        <v>34</v>
      </c>
      <c r="C313" s="278">
        <v>0</v>
      </c>
      <c r="D313" s="279">
        <v>33.142785244211765</v>
      </c>
      <c r="E313" s="279">
        <v>33.805640949096002</v>
      </c>
      <c r="F313" s="279">
        <v>34.481753768077922</v>
      </c>
      <c r="G313" s="279">
        <v>35.17138884343948</v>
      </c>
      <c r="H313" s="279">
        <v>35.874816620308273</v>
      </c>
      <c r="I313" s="279">
        <v>36.592312952714437</v>
      </c>
      <c r="J313" s="279">
        <v>37.324159211768723</v>
      </c>
      <c r="K313" s="279">
        <v>38.070642396004096</v>
      </c>
      <c r="L313" s="279">
        <v>38.832055243924181</v>
      </c>
      <c r="M313" s="279">
        <v>39.608696348802667</v>
      </c>
      <c r="N313" s="279">
        <v>40.400870275778722</v>
      </c>
      <c r="O313" s="279">
        <v>41.2088876812943</v>
      </c>
      <c r="P313" s="279">
        <v>42.033065434920182</v>
      </c>
      <c r="Q313" s="279">
        <v>42.87372674361859</v>
      </c>
      <c r="R313" s="279">
        <v>43.731201278490964</v>
      </c>
      <c r="S313" s="279">
        <v>44.605825304060787</v>
      </c>
      <c r="T313" s="279">
        <v>45.497941810142002</v>
      </c>
      <c r="U313" s="279">
        <v>46.407900646344835</v>
      </c>
      <c r="V313" s="279">
        <v>47.336058659271735</v>
      </c>
    </row>
    <row r="314" spans="1:22" x14ac:dyDescent="0.2">
      <c r="A314" s="267"/>
      <c r="B314" s="270" t="s">
        <v>95</v>
      </c>
      <c r="C314" s="278">
        <v>0</v>
      </c>
      <c r="D314" s="279">
        <v>2.6253414896786973</v>
      </c>
      <c r="E314" s="279">
        <v>2.6838234878304124</v>
      </c>
      <c r="F314" s="279">
        <v>2.7435862417416503</v>
      </c>
      <c r="G314" s="279">
        <v>2.86130217204445</v>
      </c>
      <c r="H314" s="279">
        <v>3.390813135106836</v>
      </c>
      <c r="I314" s="279">
        <v>4.2853923640282074</v>
      </c>
      <c r="J314" s="279">
        <v>4.7161235645850752</v>
      </c>
      <c r="K314" s="279">
        <v>5.219654016055765</v>
      </c>
      <c r="L314" s="279">
        <v>5.6723050357779359</v>
      </c>
      <c r="M314" s="279">
        <v>5.8739783280644193</v>
      </c>
      <c r="N314" s="279">
        <v>5.9465077778814628</v>
      </c>
      <c r="O314" s="279">
        <v>6.0208649698338963</v>
      </c>
      <c r="P314" s="279">
        <v>6.0971108344619216</v>
      </c>
      <c r="Q314" s="279">
        <v>6.1752628457056469</v>
      </c>
      <c r="R314" s="279">
        <v>6.255376472431589</v>
      </c>
      <c r="S314" s="279">
        <v>6.3374929398256814</v>
      </c>
      <c r="T314" s="279">
        <v>6.421645895611146</v>
      </c>
      <c r="U314" s="279">
        <v>6.507911090586826</v>
      </c>
      <c r="V314" s="279">
        <v>6.596341541956396</v>
      </c>
    </row>
    <row r="315" spans="1:22" x14ac:dyDescent="0.2">
      <c r="A315" s="267"/>
      <c r="B315" s="270" t="s">
        <v>36</v>
      </c>
      <c r="C315" s="278">
        <v>0</v>
      </c>
      <c r="D315" s="279">
        <v>3.2666167237714787</v>
      </c>
      <c r="E315" s="279">
        <v>3.3355423366430745</v>
      </c>
      <c r="F315" s="279">
        <v>3.4085907138155638</v>
      </c>
      <c r="G315" s="279">
        <v>3.4856248639477765</v>
      </c>
      <c r="H315" s="279">
        <v>3.5685827357097337</v>
      </c>
      <c r="I315" s="279">
        <v>3.6580117778226597</v>
      </c>
      <c r="J315" s="279">
        <v>3.7487406606639677</v>
      </c>
      <c r="K315" s="279">
        <v>3.8436290338361272</v>
      </c>
      <c r="L315" s="279">
        <v>3.9385666709718827</v>
      </c>
      <c r="M315" s="279">
        <v>4.03900012108166</v>
      </c>
      <c r="N315" s="279">
        <v>4.1367439240118511</v>
      </c>
      <c r="O315" s="279">
        <v>4.2409898708969367</v>
      </c>
      <c r="P315" s="279">
        <v>4.348711013617713</v>
      </c>
      <c r="Q315" s="279">
        <v>4.4574287889581488</v>
      </c>
      <c r="R315" s="279">
        <v>4.5693102515610002</v>
      </c>
      <c r="S315" s="279">
        <v>4.683543007850032</v>
      </c>
      <c r="T315" s="279">
        <v>4.7996948744447021</v>
      </c>
      <c r="U315" s="279">
        <v>4.9201672157932768</v>
      </c>
      <c r="V315" s="279">
        <v>5.0436634129096918</v>
      </c>
    </row>
    <row r="316" spans="1:22" x14ac:dyDescent="0.2">
      <c r="A316" s="267"/>
      <c r="B316" s="270" t="s">
        <v>39</v>
      </c>
      <c r="C316" s="278">
        <v>0</v>
      </c>
      <c r="D316" s="279">
        <v>7.0577928723404257</v>
      </c>
      <c r="E316" s="279">
        <v>62.798232872340421</v>
      </c>
      <c r="F316" s="279">
        <v>3.1024589361702128</v>
      </c>
      <c r="G316" s="279">
        <v>8.263042978723405</v>
      </c>
      <c r="H316" s="279">
        <v>18.131239127659576</v>
      </c>
      <c r="I316" s="279">
        <v>18.675176301489365</v>
      </c>
      <c r="J316" s="279">
        <v>19.235431590534045</v>
      </c>
      <c r="K316" s="279">
        <v>19.812494538250068</v>
      </c>
      <c r="L316" s="279">
        <v>20.406869374397569</v>
      </c>
      <c r="M316" s="279">
        <v>21.019075455629498</v>
      </c>
      <c r="N316" s="279">
        <v>21.649647719298382</v>
      </c>
      <c r="O316" s="279">
        <v>22.299137150877336</v>
      </c>
      <c r="P316" s="279">
        <v>22.968111265403653</v>
      </c>
      <c r="Q316" s="279">
        <v>23.657154603365765</v>
      </c>
      <c r="R316" s="279">
        <v>24.366869241466734</v>
      </c>
      <c r="S316" s="279">
        <v>25.097875318710738</v>
      </c>
      <c r="T316" s="279">
        <v>25.850811578272058</v>
      </c>
      <c r="U316" s="279">
        <v>26.626335925620221</v>
      </c>
      <c r="V316" s="279">
        <v>27.425126003388829</v>
      </c>
    </row>
    <row r="317" spans="1:22" x14ac:dyDescent="0.2">
      <c r="A317" s="267"/>
      <c r="B317" s="270" t="s">
        <v>96</v>
      </c>
      <c r="C317" s="280">
        <v>0</v>
      </c>
      <c r="D317" s="281">
        <v>0</v>
      </c>
      <c r="E317" s="281">
        <v>0</v>
      </c>
      <c r="F317" s="281">
        <v>0</v>
      </c>
      <c r="G317" s="281">
        <v>0</v>
      </c>
      <c r="H317" s="281">
        <v>0</v>
      </c>
      <c r="I317" s="281">
        <v>0</v>
      </c>
      <c r="J317" s="281">
        <v>0</v>
      </c>
      <c r="K317" s="281">
        <v>0</v>
      </c>
      <c r="L317" s="281">
        <v>0</v>
      </c>
      <c r="M317" s="281">
        <v>0</v>
      </c>
      <c r="N317" s="281">
        <v>0</v>
      </c>
      <c r="O317" s="281">
        <v>0</v>
      </c>
      <c r="P317" s="281">
        <v>0</v>
      </c>
      <c r="Q317" s="281">
        <v>0</v>
      </c>
      <c r="R317" s="281">
        <v>0</v>
      </c>
      <c r="S317" s="281">
        <v>0</v>
      </c>
      <c r="T317" s="281">
        <v>0</v>
      </c>
      <c r="U317" s="281">
        <v>0</v>
      </c>
      <c r="V317" s="281">
        <v>0</v>
      </c>
    </row>
    <row r="318" spans="1:22" x14ac:dyDescent="0.2">
      <c r="A318" s="267"/>
      <c r="B318" s="270"/>
      <c r="C318" s="267"/>
      <c r="D318" s="267"/>
      <c r="E318" s="267"/>
      <c r="F318" s="267"/>
      <c r="G318" s="267"/>
      <c r="H318" s="267"/>
      <c r="I318" s="267"/>
      <c r="J318" s="267"/>
      <c r="K318" s="267"/>
      <c r="L318" s="267"/>
      <c r="M318" s="267"/>
      <c r="N318" s="267"/>
      <c r="O318" s="267"/>
      <c r="P318" s="267"/>
      <c r="Q318" s="267"/>
      <c r="R318" s="267"/>
      <c r="S318" s="267"/>
      <c r="T318" s="267"/>
      <c r="U318" s="267"/>
      <c r="V318" s="267"/>
    </row>
    <row r="319" spans="1:22" x14ac:dyDescent="0.2">
      <c r="A319" s="267"/>
      <c r="B319" s="270"/>
      <c r="C319" s="267"/>
      <c r="D319" s="267"/>
      <c r="E319" s="267"/>
      <c r="F319" s="267"/>
      <c r="G319" s="267"/>
      <c r="H319" s="267"/>
      <c r="I319" s="267"/>
      <c r="J319" s="267"/>
      <c r="K319" s="267"/>
      <c r="L319" s="267"/>
      <c r="M319" s="267"/>
      <c r="N319" s="267"/>
      <c r="O319" s="267"/>
      <c r="P319" s="267"/>
      <c r="Q319" s="267"/>
      <c r="R319" s="267"/>
      <c r="S319" s="267"/>
      <c r="T319" s="267"/>
      <c r="U319" s="267"/>
      <c r="V319" s="267"/>
    </row>
    <row r="320" spans="1:22" x14ac:dyDescent="0.2">
      <c r="A320" s="24"/>
      <c r="B320" s="295"/>
      <c r="C320" s="296"/>
      <c r="D320" s="297"/>
      <c r="E320" s="297"/>
      <c r="F320" s="297"/>
      <c r="G320" s="297"/>
      <c r="H320" s="297"/>
      <c r="I320" s="297"/>
      <c r="J320" s="297"/>
      <c r="K320" s="297"/>
      <c r="L320" s="297"/>
      <c r="M320" s="297"/>
      <c r="N320" s="297"/>
      <c r="O320" s="297"/>
      <c r="P320" s="297"/>
      <c r="Q320" s="297"/>
      <c r="R320" s="297"/>
      <c r="S320" s="297"/>
      <c r="T320" s="297"/>
      <c r="U320" s="297"/>
      <c r="V320" s="297"/>
    </row>
    <row r="321" spans="1:22" x14ac:dyDescent="0.2">
      <c r="A321" s="298"/>
      <c r="B321" s="295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</row>
    <row r="322" spans="1:22" x14ac:dyDescent="0.2">
      <c r="A322" s="265" t="s">
        <v>98</v>
      </c>
      <c r="B322" s="266"/>
      <c r="C322" s="267"/>
      <c r="D322" s="267"/>
      <c r="E322" s="267"/>
      <c r="F322" s="267"/>
      <c r="G322" s="267"/>
      <c r="H322" s="267"/>
      <c r="I322" s="267"/>
      <c r="J322" s="267"/>
      <c r="K322" s="267"/>
      <c r="L322" s="267"/>
      <c r="M322" s="267"/>
      <c r="N322" s="267"/>
      <c r="O322" s="267"/>
      <c r="P322" s="267"/>
      <c r="Q322" s="267"/>
      <c r="R322" s="267"/>
      <c r="S322" s="267"/>
      <c r="T322" s="267"/>
      <c r="U322" s="267"/>
      <c r="V322" s="267"/>
    </row>
    <row r="323" spans="1:22" x14ac:dyDescent="0.2">
      <c r="A323" s="268" t="s">
        <v>70</v>
      </c>
      <c r="B323" s="266"/>
      <c r="C323" s="267"/>
      <c r="D323" s="267"/>
      <c r="E323" s="267"/>
      <c r="F323" s="267"/>
      <c r="G323" s="267"/>
      <c r="H323" s="267"/>
      <c r="I323" s="267"/>
      <c r="J323" s="267"/>
      <c r="K323" s="267"/>
      <c r="L323" s="267"/>
      <c r="M323" s="267"/>
      <c r="N323" s="267"/>
      <c r="O323" s="267"/>
      <c r="P323" s="267"/>
      <c r="Q323" s="267"/>
      <c r="R323" s="267"/>
      <c r="S323" s="267"/>
      <c r="T323" s="267"/>
      <c r="U323" s="267"/>
      <c r="V323" s="267"/>
    </row>
    <row r="324" spans="1:22" x14ac:dyDescent="0.2">
      <c r="A324" s="267"/>
      <c r="B324" s="266"/>
      <c r="C324" s="267"/>
      <c r="D324" s="267"/>
      <c r="E324" s="267"/>
      <c r="F324" s="267"/>
      <c r="G324" s="267"/>
      <c r="H324" s="267"/>
      <c r="I324" s="267"/>
      <c r="J324" s="267"/>
      <c r="K324" s="267"/>
      <c r="L324" s="267"/>
      <c r="M324" s="267"/>
      <c r="N324" s="267"/>
      <c r="O324" s="267"/>
      <c r="P324" s="267"/>
      <c r="Q324" s="267"/>
      <c r="R324" s="267"/>
      <c r="S324" s="267"/>
      <c r="T324" s="267"/>
      <c r="U324" s="267"/>
      <c r="V324" s="267"/>
    </row>
    <row r="325" spans="1:22" x14ac:dyDescent="0.2">
      <c r="A325" s="267"/>
      <c r="B325" s="266"/>
      <c r="C325" s="271">
        <v>2000</v>
      </c>
      <c r="D325" s="272">
        <v>2001</v>
      </c>
      <c r="E325" s="272">
        <v>2002</v>
      </c>
      <c r="F325" s="272">
        <v>2003</v>
      </c>
      <c r="G325" s="272">
        <v>2004</v>
      </c>
      <c r="H325" s="272">
        <v>2005</v>
      </c>
      <c r="I325" s="272">
        <v>2006</v>
      </c>
      <c r="J325" s="272">
        <v>2007</v>
      </c>
      <c r="K325" s="272">
        <v>2008</v>
      </c>
      <c r="L325" s="272">
        <v>2009</v>
      </c>
      <c r="M325" s="272">
        <v>2010</v>
      </c>
      <c r="N325" s="272">
        <v>2011</v>
      </c>
      <c r="O325" s="272">
        <v>2012</v>
      </c>
      <c r="P325" s="272">
        <v>2013</v>
      </c>
      <c r="Q325" s="272">
        <v>2014</v>
      </c>
      <c r="R325" s="272">
        <v>2015</v>
      </c>
      <c r="S325" s="272">
        <v>2016</v>
      </c>
      <c r="T325" s="272">
        <v>2017</v>
      </c>
      <c r="U325" s="272">
        <v>2018</v>
      </c>
      <c r="V325" s="272">
        <v>2019</v>
      </c>
    </row>
    <row r="326" spans="1:22" x14ac:dyDescent="0.2">
      <c r="A326" s="269" t="s">
        <v>129</v>
      </c>
      <c r="B326" s="266"/>
      <c r="C326" s="273"/>
      <c r="D326" s="274"/>
      <c r="E326" s="274"/>
      <c r="F326" s="274"/>
      <c r="G326" s="274"/>
      <c r="H326" s="274"/>
      <c r="I326" s="274"/>
      <c r="J326" s="274"/>
      <c r="K326" s="274"/>
      <c r="L326" s="274"/>
      <c r="M326" s="274"/>
      <c r="N326" s="274"/>
      <c r="O326" s="274"/>
      <c r="P326" s="274"/>
      <c r="Q326" s="274"/>
      <c r="R326" s="274"/>
      <c r="S326" s="274"/>
      <c r="T326" s="274"/>
      <c r="U326" s="274"/>
      <c r="V326" s="274"/>
    </row>
    <row r="327" spans="1:22" x14ac:dyDescent="0.2">
      <c r="A327" s="267"/>
      <c r="B327" s="270" t="s">
        <v>97</v>
      </c>
      <c r="C327" s="275">
        <v>0</v>
      </c>
      <c r="D327" s="276">
        <v>970349.43545949261</v>
      </c>
      <c r="E327" s="276">
        <v>957201.65637325286</v>
      </c>
      <c r="F327" s="276">
        <v>943790.921705288</v>
      </c>
      <c r="G327" s="276">
        <v>930111.97234396415</v>
      </c>
      <c r="H327" s="276">
        <v>916159.44399541419</v>
      </c>
      <c r="I327" s="276">
        <v>907556.38156199455</v>
      </c>
      <c r="J327" s="276">
        <v>907556.38156199455</v>
      </c>
      <c r="K327" s="276">
        <v>907556.38156199455</v>
      </c>
      <c r="L327" s="276">
        <v>907556.38156199455</v>
      </c>
      <c r="M327" s="276">
        <v>907556.38156199455</v>
      </c>
      <c r="N327" s="276">
        <v>907556.38156199455</v>
      </c>
      <c r="O327" s="276">
        <v>907556.38156199455</v>
      </c>
      <c r="P327" s="276">
        <v>907556.38156199455</v>
      </c>
      <c r="Q327" s="276">
        <v>907556.38156199455</v>
      </c>
      <c r="R327" s="276">
        <v>907556.38156199455</v>
      </c>
      <c r="S327" s="276">
        <v>907556.38156199455</v>
      </c>
      <c r="T327" s="276">
        <v>907556.38156199455</v>
      </c>
      <c r="U327" s="276">
        <v>907556.38156199455</v>
      </c>
      <c r="V327" s="276">
        <v>907556.38156199455</v>
      </c>
    </row>
    <row r="328" spans="1:22" x14ac:dyDescent="0.2">
      <c r="A328" s="267"/>
      <c r="B328" s="270" t="s">
        <v>91</v>
      </c>
      <c r="C328" s="275">
        <v>0</v>
      </c>
      <c r="D328" s="277">
        <v>0.86539440234329745</v>
      </c>
      <c r="E328" s="277">
        <v>0.85366871465936511</v>
      </c>
      <c r="F328" s="277">
        <v>0.84170851322175366</v>
      </c>
      <c r="G328" s="277">
        <v>0.82950910775539044</v>
      </c>
      <c r="H328" s="277">
        <v>0.8170657141797002</v>
      </c>
      <c r="I328" s="277">
        <v>0.80939317704943858</v>
      </c>
      <c r="J328" s="277">
        <v>0.80939317704943858</v>
      </c>
      <c r="K328" s="277">
        <v>0.80939317704943858</v>
      </c>
      <c r="L328" s="277">
        <v>0.80939317704943858</v>
      </c>
      <c r="M328" s="277">
        <v>0.80939317704943858</v>
      </c>
      <c r="N328" s="277">
        <v>0.80939317704943858</v>
      </c>
      <c r="O328" s="277">
        <v>0.80939317704943858</v>
      </c>
      <c r="P328" s="277">
        <v>0.80939317704943858</v>
      </c>
      <c r="Q328" s="277">
        <v>0.80939317704943858</v>
      </c>
      <c r="R328" s="277">
        <v>0.80939317704943858</v>
      </c>
      <c r="S328" s="277">
        <v>0.80939317704943858</v>
      </c>
      <c r="T328" s="277">
        <v>0.80939317704943858</v>
      </c>
      <c r="U328" s="277">
        <v>0.80939317704943858</v>
      </c>
      <c r="V328" s="277">
        <v>0.80939317704943858</v>
      </c>
    </row>
    <row r="329" spans="1:22" x14ac:dyDescent="0.2">
      <c r="A329" s="269" t="s">
        <v>93</v>
      </c>
      <c r="B329" s="270"/>
      <c r="C329" s="273"/>
      <c r="D329" s="274"/>
      <c r="E329" s="274"/>
      <c r="F329" s="274"/>
      <c r="G329" s="274"/>
      <c r="H329" s="274"/>
      <c r="I329" s="274"/>
      <c r="J329" s="274"/>
      <c r="K329" s="274"/>
      <c r="L329" s="274"/>
      <c r="M329" s="274"/>
      <c r="N329" s="274"/>
      <c r="O329" s="274"/>
      <c r="P329" s="274"/>
      <c r="Q329" s="274"/>
      <c r="R329" s="274"/>
      <c r="S329" s="274"/>
      <c r="T329" s="274"/>
      <c r="U329" s="274"/>
      <c r="V329" s="274"/>
    </row>
    <row r="330" spans="1:22" x14ac:dyDescent="0.2">
      <c r="A330" s="267"/>
      <c r="B330" s="270" t="s">
        <v>27</v>
      </c>
      <c r="C330" s="278">
        <v>0</v>
      </c>
      <c r="D330" s="279">
        <v>39.337612436551169</v>
      </c>
      <c r="E330" s="279">
        <v>38.876591511234523</v>
      </c>
      <c r="F330" s="279">
        <v>39.501092679672077</v>
      </c>
      <c r="G330" s="279">
        <v>39.043693036795212</v>
      </c>
      <c r="H330" s="279">
        <v>39.278934224594451</v>
      </c>
      <c r="I330" s="279">
        <v>41.862423523676888</v>
      </c>
      <c r="J330" s="279">
        <v>45.026862174247569</v>
      </c>
      <c r="K330" s="279">
        <v>46.23952641864426</v>
      </c>
      <c r="L330" s="279">
        <v>47.194347054021897</v>
      </c>
      <c r="M330" s="279">
        <v>47.363644589041819</v>
      </c>
      <c r="N330" s="279">
        <v>48.399012897511909</v>
      </c>
      <c r="O330" s="279">
        <v>48.922627728966312</v>
      </c>
      <c r="P330" s="279">
        <v>49.511331805816766</v>
      </c>
      <c r="Q330" s="279">
        <v>51.280779091661266</v>
      </c>
      <c r="R330" s="279">
        <v>54.89820187954593</v>
      </c>
      <c r="S330" s="279">
        <v>54.615722298042101</v>
      </c>
      <c r="T330" s="279">
        <v>55.357281017515618</v>
      </c>
      <c r="U330" s="279">
        <v>58.000117418601704</v>
      </c>
      <c r="V330" s="279">
        <v>59.738223495031583</v>
      </c>
    </row>
    <row r="331" spans="1:22" x14ac:dyDescent="0.2">
      <c r="A331" s="267"/>
      <c r="B331" s="270" t="s">
        <v>20</v>
      </c>
      <c r="C331" s="278">
        <v>0</v>
      </c>
      <c r="D331" s="279">
        <v>12.372203599999995</v>
      </c>
      <c r="E331" s="279">
        <v>12.550213600000001</v>
      </c>
      <c r="F331" s="279">
        <v>12.768911600000003</v>
      </c>
      <c r="G331" s="279">
        <v>13.134086400000001</v>
      </c>
      <c r="H331" s="279">
        <v>13.590809199999997</v>
      </c>
      <c r="I331" s="279">
        <v>14.112632799999993</v>
      </c>
      <c r="J331" s="279">
        <v>14.438136799999999</v>
      </c>
      <c r="K331" s="279">
        <v>14.748382799999991</v>
      </c>
      <c r="L331" s="279">
        <v>14.991493599999989</v>
      </c>
      <c r="M331" s="279">
        <v>15.111523199999993</v>
      </c>
      <c r="N331" s="279">
        <v>15.316997599999995</v>
      </c>
      <c r="O331" s="279">
        <v>15.649621999999992</v>
      </c>
      <c r="P331" s="279">
        <v>16.006659199999991</v>
      </c>
      <c r="Q331" s="279">
        <v>16.346404</v>
      </c>
      <c r="R331" s="279">
        <v>16.578325599999992</v>
      </c>
      <c r="S331" s="279">
        <v>16.918070399999998</v>
      </c>
      <c r="T331" s="279">
        <v>17.304606399999997</v>
      </c>
      <c r="U331" s="279">
        <v>17.728778799999994</v>
      </c>
      <c r="V331" s="279">
        <v>18.167191999999993</v>
      </c>
    </row>
    <row r="332" spans="1:22" x14ac:dyDescent="0.2">
      <c r="A332" s="267"/>
      <c r="B332" s="270" t="s">
        <v>92</v>
      </c>
      <c r="C332" s="278">
        <v>0</v>
      </c>
      <c r="D332" s="279">
        <v>1.0470911941003456</v>
      </c>
      <c r="E332" s="279">
        <v>1.068226055193036</v>
      </c>
      <c r="F332" s="279">
        <v>1.0897875098393</v>
      </c>
      <c r="G332" s="279">
        <v>1.1117841685551544</v>
      </c>
      <c r="H332" s="279">
        <v>1.1342248156543342</v>
      </c>
      <c r="I332" s="279">
        <v>1.1571184127562864</v>
      </c>
      <c r="J332" s="279">
        <v>1.1804741023649743</v>
      </c>
      <c r="K332" s="279">
        <v>1.2043012115199103</v>
      </c>
      <c r="L332" s="279">
        <v>1.2286092555208923</v>
      </c>
      <c r="M332" s="279">
        <v>1.2534079417279109</v>
      </c>
      <c r="N332" s="279">
        <v>1.2787071734377662</v>
      </c>
      <c r="O332" s="279">
        <v>1.3045170538389217</v>
      </c>
      <c r="P332" s="279">
        <v>1.3308478900461915</v>
      </c>
      <c r="Q332" s="279">
        <v>1.3577101972168599</v>
      </c>
      <c r="R332" s="279">
        <v>1.3851147027498867</v>
      </c>
      <c r="S332" s="279">
        <v>1.4130723505698675</v>
      </c>
      <c r="T332" s="279">
        <v>1.4415943054974658</v>
      </c>
      <c r="U332" s="279">
        <v>1.4706919577080542</v>
      </c>
      <c r="V332" s="279">
        <v>1.5003769272803582</v>
      </c>
    </row>
    <row r="333" spans="1:22" x14ac:dyDescent="0.2">
      <c r="A333" s="267"/>
      <c r="B333" s="270" t="s">
        <v>22</v>
      </c>
      <c r="C333" s="278">
        <v>0</v>
      </c>
      <c r="D333" s="279">
        <v>0</v>
      </c>
      <c r="E333" s="279">
        <v>0</v>
      </c>
      <c r="F333" s="279">
        <v>0</v>
      </c>
      <c r="G333" s="279">
        <v>0</v>
      </c>
      <c r="H333" s="279">
        <v>0</v>
      </c>
      <c r="I333" s="279">
        <v>1.0096433814747421</v>
      </c>
      <c r="J333" s="279">
        <v>1.1191090340576415</v>
      </c>
      <c r="K333" s="279">
        <v>1.3221011400682072</v>
      </c>
      <c r="L333" s="279">
        <v>1.3563318459437901</v>
      </c>
      <c r="M333" s="279">
        <v>1.5084495493706733</v>
      </c>
      <c r="N333" s="279">
        <v>1.6616712532599218</v>
      </c>
      <c r="O333" s="279">
        <v>1.8410819302013577</v>
      </c>
      <c r="P333" s="279">
        <v>2.0643371582674694</v>
      </c>
      <c r="Q333" s="279">
        <v>2.2979293908099239</v>
      </c>
      <c r="R333" s="279">
        <v>2.5454037881957192</v>
      </c>
      <c r="S333" s="279">
        <v>2.7948502292016735</v>
      </c>
      <c r="T333" s="279">
        <v>2.7458040946738134</v>
      </c>
      <c r="U333" s="279">
        <v>2.3491839167172475</v>
      </c>
      <c r="V333" s="279">
        <v>2.4356703053377142</v>
      </c>
    </row>
    <row r="334" spans="1:22" x14ac:dyDescent="0.2">
      <c r="A334" s="267"/>
      <c r="B334" s="270" t="s">
        <v>23</v>
      </c>
      <c r="C334" s="278">
        <v>0</v>
      </c>
      <c r="D334" s="279">
        <v>0</v>
      </c>
      <c r="E334" s="279">
        <v>0</v>
      </c>
      <c r="F334" s="279">
        <v>2.608815266305784</v>
      </c>
      <c r="G334" s="279">
        <v>2.222874135583055</v>
      </c>
      <c r="H334" s="279">
        <v>2.3076470424722633</v>
      </c>
      <c r="I334" s="279">
        <v>2.3966946358306447</v>
      </c>
      <c r="J334" s="279">
        <v>3.1458154115409744</v>
      </c>
      <c r="K334" s="279">
        <v>2.7470441855792873</v>
      </c>
      <c r="L334" s="279">
        <v>2.9083886745467065</v>
      </c>
      <c r="M334" s="279">
        <v>2.7674432120926791</v>
      </c>
      <c r="N334" s="279">
        <v>2.8467050665528846</v>
      </c>
      <c r="O334" s="279">
        <v>2.9205226111502167</v>
      </c>
      <c r="P334" s="279">
        <v>2.6086394378225739</v>
      </c>
      <c r="Q334" s="279">
        <v>2.70191050232122</v>
      </c>
      <c r="R334" s="279">
        <v>2.7577465128243852</v>
      </c>
      <c r="S334" s="279">
        <v>2.9285330421804177</v>
      </c>
      <c r="T334" s="279">
        <v>2.7531247971834878</v>
      </c>
      <c r="U334" s="279">
        <v>3.0322284432695477</v>
      </c>
      <c r="V334" s="279">
        <v>1.6508984569674459</v>
      </c>
    </row>
    <row r="335" spans="1:22" x14ac:dyDescent="0.2">
      <c r="A335" s="269" t="s">
        <v>94</v>
      </c>
      <c r="B335" s="270"/>
      <c r="C335" s="273"/>
      <c r="D335" s="274"/>
      <c r="E335" s="274"/>
      <c r="F335" s="274"/>
      <c r="G335" s="274"/>
      <c r="H335" s="274"/>
      <c r="I335" s="274"/>
      <c r="J335" s="274"/>
      <c r="K335" s="274"/>
      <c r="L335" s="274"/>
      <c r="M335" s="274"/>
      <c r="N335" s="274"/>
      <c r="O335" s="274"/>
      <c r="P335" s="274"/>
      <c r="Q335" s="274"/>
      <c r="R335" s="274"/>
      <c r="S335" s="274"/>
      <c r="T335" s="274"/>
      <c r="U335" s="274"/>
      <c r="V335" s="274"/>
    </row>
    <row r="336" spans="1:22" x14ac:dyDescent="0.2">
      <c r="A336" s="267"/>
      <c r="B336" s="270" t="s">
        <v>34</v>
      </c>
      <c r="C336" s="278">
        <v>0</v>
      </c>
      <c r="D336" s="279">
        <v>22.571337302044348</v>
      </c>
      <c r="E336" s="279">
        <v>23.022764048085236</v>
      </c>
      <c r="F336" s="279">
        <v>23.483219329046939</v>
      </c>
      <c r="G336" s="279">
        <v>23.95288371562788</v>
      </c>
      <c r="H336" s="279">
        <v>24.431941389940434</v>
      </c>
      <c r="I336" s="279">
        <v>24.920580217739243</v>
      </c>
      <c r="J336" s="279">
        <v>25.418991822094029</v>
      </c>
      <c r="K336" s="279">
        <v>25.927371658535908</v>
      </c>
      <c r="L336" s="279">
        <v>26.445919091706624</v>
      </c>
      <c r="M336" s="279">
        <v>26.974837473540759</v>
      </c>
      <c r="N336" s="279">
        <v>27.514334223011573</v>
      </c>
      <c r="O336" s="279">
        <v>28.064620907471806</v>
      </c>
      <c r="P336" s="279">
        <v>28.625913325621244</v>
      </c>
      <c r="Q336" s="279">
        <v>29.198431592133669</v>
      </c>
      <c r="R336" s="279">
        <v>29.782400223976346</v>
      </c>
      <c r="S336" s="279">
        <v>30.378048228455874</v>
      </c>
      <c r="T336" s="279">
        <v>30.985609193024992</v>
      </c>
      <c r="U336" s="279">
        <v>31.605321376885495</v>
      </c>
      <c r="V336" s="279">
        <v>32.237427804423206</v>
      </c>
    </row>
    <row r="337" spans="1:22" x14ac:dyDescent="0.2">
      <c r="A337" s="267"/>
      <c r="B337" s="270" t="s">
        <v>95</v>
      </c>
      <c r="C337" s="278">
        <v>0</v>
      </c>
      <c r="D337" s="279">
        <v>2.6226890401018403</v>
      </c>
      <c r="E337" s="279">
        <v>2.6798036256020672</v>
      </c>
      <c r="F337" s="279">
        <v>2.7438409394666832</v>
      </c>
      <c r="G337" s="279">
        <v>2.8601279304677858</v>
      </c>
      <c r="H337" s="279">
        <v>3.3878275408789711</v>
      </c>
      <c r="I337" s="279">
        <v>4.2215897758033822</v>
      </c>
      <c r="J337" s="279">
        <v>4.7147366522231247</v>
      </c>
      <c r="K337" s="279">
        <v>5.2166913998237865</v>
      </c>
      <c r="L337" s="279">
        <v>5.6070723092695891</v>
      </c>
      <c r="M337" s="279">
        <v>5.8104437098192445</v>
      </c>
      <c r="N337" s="279">
        <v>5.8812772926956951</v>
      </c>
      <c r="O337" s="279">
        <v>5.9574226728701811</v>
      </c>
      <c r="P337" s="279">
        <v>6.0318857741999086</v>
      </c>
      <c r="Q337" s="279">
        <v>6.1082104530628785</v>
      </c>
      <c r="R337" s="279">
        <v>6.1864508813653085</v>
      </c>
      <c r="S337" s="279">
        <v>6.2666473203753004</v>
      </c>
      <c r="T337" s="279">
        <v>6.3488326310727388</v>
      </c>
      <c r="U337" s="279">
        <v>6.433080793068684</v>
      </c>
      <c r="V337" s="279">
        <v>6.5194435839307276</v>
      </c>
    </row>
    <row r="338" spans="1:22" x14ac:dyDescent="0.2">
      <c r="A338" s="267"/>
      <c r="B338" s="270" t="s">
        <v>36</v>
      </c>
      <c r="C338" s="278">
        <v>0</v>
      </c>
      <c r="D338" s="279">
        <v>3.2666167237714845</v>
      </c>
      <c r="E338" s="279">
        <v>3.3355423366430781</v>
      </c>
      <c r="F338" s="279">
        <v>3.4085907138155704</v>
      </c>
      <c r="G338" s="279">
        <v>3.4856248639477734</v>
      </c>
      <c r="H338" s="279">
        <v>3.5685827357097342</v>
      </c>
      <c r="I338" s="279">
        <v>3.6580117778226642</v>
      </c>
      <c r="J338" s="279">
        <v>3.7487406606639766</v>
      </c>
      <c r="K338" s="279">
        <v>3.843629033836133</v>
      </c>
      <c r="L338" s="279">
        <v>3.9385666709718907</v>
      </c>
      <c r="M338" s="279">
        <v>4.0390001210816564</v>
      </c>
      <c r="N338" s="279">
        <v>4.136743924011852</v>
      </c>
      <c r="O338" s="279">
        <v>4.2409898708969376</v>
      </c>
      <c r="P338" s="279">
        <v>4.3487110136177103</v>
      </c>
      <c r="Q338" s="279">
        <v>4.4574287889581479</v>
      </c>
      <c r="R338" s="279">
        <v>4.5693102515610002</v>
      </c>
      <c r="S338" s="279">
        <v>4.6835430078500311</v>
      </c>
      <c r="T338" s="279">
        <v>4.799694874444711</v>
      </c>
      <c r="U338" s="279">
        <v>4.9201672157932821</v>
      </c>
      <c r="V338" s="279">
        <v>5.0436634129096873</v>
      </c>
    </row>
    <row r="339" spans="1:22" x14ac:dyDescent="0.2">
      <c r="A339" s="267"/>
      <c r="B339" s="270" t="s">
        <v>39</v>
      </c>
      <c r="C339" s="278">
        <v>0</v>
      </c>
      <c r="D339" s="279">
        <v>6.2835261718749997</v>
      </c>
      <c r="E339" s="279">
        <v>75.159967109374989</v>
      </c>
      <c r="F339" s="279">
        <v>4.7203946874999998</v>
      </c>
      <c r="G339" s="279">
        <v>8.2646007812499995</v>
      </c>
      <c r="H339" s="279">
        <v>20.701472078125001</v>
      </c>
      <c r="I339" s="279">
        <v>21.322516240468751</v>
      </c>
      <c r="J339" s="279">
        <v>21.962191727682814</v>
      </c>
      <c r="K339" s="279">
        <v>22.621057479513301</v>
      </c>
      <c r="L339" s="279">
        <v>23.299689203898698</v>
      </c>
      <c r="M339" s="279">
        <v>23.998679880015661</v>
      </c>
      <c r="N339" s="279">
        <v>24.718640276416131</v>
      </c>
      <c r="O339" s="279">
        <v>25.460199484708617</v>
      </c>
      <c r="P339" s="279">
        <v>26.224005469249878</v>
      </c>
      <c r="Q339" s="279">
        <v>27.010725633327375</v>
      </c>
      <c r="R339" s="279">
        <v>27.821047402327199</v>
      </c>
      <c r="S339" s="279">
        <v>28.655678824397015</v>
      </c>
      <c r="T339" s="279">
        <v>29.515349189128926</v>
      </c>
      <c r="U339" s="279">
        <v>30.400809664802797</v>
      </c>
      <c r="V339" s="279">
        <v>31.312833954746882</v>
      </c>
    </row>
    <row r="340" spans="1:22" x14ac:dyDescent="0.2">
      <c r="A340" s="267"/>
      <c r="B340" s="270" t="s">
        <v>96</v>
      </c>
      <c r="C340" s="280">
        <v>0</v>
      </c>
      <c r="D340" s="281">
        <v>0</v>
      </c>
      <c r="E340" s="281">
        <v>0</v>
      </c>
      <c r="F340" s="281">
        <v>0</v>
      </c>
      <c r="G340" s="281">
        <v>0</v>
      </c>
      <c r="H340" s="281">
        <v>0</v>
      </c>
      <c r="I340" s="281">
        <v>0</v>
      </c>
      <c r="J340" s="281">
        <v>0</v>
      </c>
      <c r="K340" s="281">
        <v>0</v>
      </c>
      <c r="L340" s="281">
        <v>0</v>
      </c>
      <c r="M340" s="281">
        <v>0</v>
      </c>
      <c r="N340" s="281">
        <v>0</v>
      </c>
      <c r="O340" s="281">
        <v>0</v>
      </c>
      <c r="P340" s="281">
        <v>0</v>
      </c>
      <c r="Q340" s="281">
        <v>0</v>
      </c>
      <c r="R340" s="281">
        <v>0</v>
      </c>
      <c r="S340" s="281">
        <v>0</v>
      </c>
      <c r="T340" s="281">
        <v>0</v>
      </c>
      <c r="U340" s="281">
        <v>0</v>
      </c>
      <c r="V340" s="281">
        <v>0</v>
      </c>
    </row>
    <row r="341" spans="1:22" x14ac:dyDescent="0.2">
      <c r="A341" s="267"/>
      <c r="B341" s="270"/>
      <c r="C341" s="267"/>
      <c r="D341" s="267"/>
      <c r="E341" s="267"/>
      <c r="F341" s="267"/>
      <c r="G341" s="267"/>
      <c r="H341" s="267"/>
      <c r="I341" s="267"/>
      <c r="J341" s="267"/>
      <c r="K341" s="267"/>
      <c r="L341" s="267"/>
      <c r="M341" s="267"/>
      <c r="N341" s="267"/>
      <c r="O341" s="267"/>
      <c r="P341" s="267"/>
      <c r="Q341" s="267"/>
      <c r="R341" s="267"/>
      <c r="S341" s="267"/>
      <c r="T341" s="267"/>
      <c r="U341" s="267"/>
      <c r="V341" s="267"/>
    </row>
    <row r="342" spans="1:22" x14ac:dyDescent="0.2">
      <c r="A342" s="267"/>
      <c r="B342" s="270"/>
      <c r="C342" s="267"/>
      <c r="D342" s="267"/>
      <c r="E342" s="267"/>
      <c r="F342" s="267"/>
      <c r="G342" s="267"/>
      <c r="H342" s="267"/>
      <c r="I342" s="267"/>
      <c r="J342" s="267"/>
      <c r="K342" s="267"/>
      <c r="L342" s="267"/>
      <c r="M342" s="267"/>
      <c r="N342" s="267"/>
      <c r="O342" s="267"/>
      <c r="P342" s="267"/>
      <c r="Q342" s="267"/>
      <c r="R342" s="267"/>
      <c r="S342" s="267"/>
      <c r="T342" s="267"/>
      <c r="U342" s="267"/>
      <c r="V342" s="267"/>
    </row>
    <row r="343" spans="1:22" x14ac:dyDescent="0.2">
      <c r="A343" s="24"/>
      <c r="B343" s="295"/>
      <c r="C343" s="299"/>
      <c r="D343" s="299"/>
      <c r="E343" s="299"/>
      <c r="F343" s="299"/>
      <c r="G343" s="299"/>
      <c r="H343" s="299"/>
      <c r="I343" s="299"/>
      <c r="J343" s="299"/>
      <c r="K343" s="299"/>
      <c r="L343" s="299"/>
      <c r="M343" s="299"/>
      <c r="N343" s="299"/>
      <c r="O343" s="299"/>
      <c r="P343" s="299"/>
      <c r="Q343" s="299"/>
      <c r="R343" s="299"/>
      <c r="S343" s="299"/>
      <c r="T343" s="299"/>
      <c r="U343" s="299"/>
      <c r="V343" s="299"/>
    </row>
    <row r="344" spans="1:22" x14ac:dyDescent="0.2">
      <c r="A344" s="24"/>
      <c r="B344" s="295"/>
      <c r="C344" s="299"/>
      <c r="D344" s="299"/>
      <c r="E344" s="299"/>
      <c r="F344" s="299"/>
      <c r="G344" s="299"/>
      <c r="H344" s="299"/>
      <c r="I344" s="299"/>
      <c r="J344" s="299"/>
      <c r="K344" s="299"/>
      <c r="L344" s="299"/>
      <c r="M344" s="299"/>
      <c r="N344" s="299"/>
      <c r="O344" s="299"/>
      <c r="P344" s="299"/>
      <c r="Q344" s="299"/>
      <c r="R344" s="299"/>
      <c r="S344" s="299"/>
      <c r="T344" s="299"/>
      <c r="U344" s="299"/>
      <c r="V344" s="299"/>
    </row>
    <row r="345" spans="1:22" x14ac:dyDescent="0.2">
      <c r="A345" s="265" t="s">
        <v>98</v>
      </c>
      <c r="B345" s="266"/>
      <c r="C345" s="267"/>
      <c r="D345" s="267"/>
      <c r="E345" s="267"/>
      <c r="F345" s="267"/>
      <c r="G345" s="267"/>
      <c r="H345" s="267"/>
      <c r="I345" s="267"/>
      <c r="J345" s="267"/>
      <c r="K345" s="267"/>
      <c r="L345" s="267"/>
      <c r="M345" s="267"/>
      <c r="N345" s="267"/>
      <c r="O345" s="267"/>
      <c r="P345" s="267"/>
      <c r="Q345" s="267"/>
      <c r="R345" s="267"/>
      <c r="S345" s="267"/>
      <c r="T345" s="267"/>
      <c r="U345" s="267"/>
      <c r="V345" s="267"/>
    </row>
    <row r="346" spans="1:22" x14ac:dyDescent="0.2">
      <c r="A346" s="268" t="s">
        <v>68</v>
      </c>
      <c r="B346" s="266"/>
      <c r="C346" s="267"/>
      <c r="D346" s="267"/>
      <c r="E346" s="267"/>
      <c r="F346" s="267"/>
      <c r="G346" s="267"/>
      <c r="H346" s="267"/>
      <c r="I346" s="267"/>
      <c r="J346" s="267"/>
      <c r="K346" s="267"/>
      <c r="L346" s="267"/>
      <c r="M346" s="267"/>
      <c r="N346" s="267"/>
      <c r="O346" s="267"/>
      <c r="P346" s="267"/>
      <c r="Q346" s="267"/>
      <c r="R346" s="267"/>
      <c r="S346" s="267"/>
      <c r="T346" s="267"/>
      <c r="U346" s="267"/>
      <c r="V346" s="267"/>
    </row>
    <row r="347" spans="1:22" x14ac:dyDescent="0.2">
      <c r="A347" s="267"/>
      <c r="B347" s="266"/>
      <c r="C347" s="267"/>
      <c r="D347" s="267"/>
      <c r="E347" s="267"/>
      <c r="F347" s="267"/>
      <c r="G347" s="267"/>
      <c r="H347" s="267"/>
      <c r="I347" s="267"/>
      <c r="J347" s="267"/>
      <c r="K347" s="267"/>
      <c r="L347" s="267"/>
      <c r="M347" s="267"/>
      <c r="N347" s="267"/>
      <c r="O347" s="267"/>
      <c r="P347" s="267"/>
      <c r="Q347" s="267"/>
      <c r="R347" s="267"/>
      <c r="S347" s="267"/>
      <c r="T347" s="267"/>
      <c r="U347" s="267"/>
      <c r="V347" s="267"/>
    </row>
    <row r="348" spans="1:22" x14ac:dyDescent="0.2">
      <c r="A348" s="267"/>
      <c r="B348" s="266"/>
      <c r="C348" s="271">
        <v>2000</v>
      </c>
      <c r="D348" s="272">
        <v>2001</v>
      </c>
      <c r="E348" s="272">
        <v>2002</v>
      </c>
      <c r="F348" s="272">
        <v>2003</v>
      </c>
      <c r="G348" s="272">
        <v>2004</v>
      </c>
      <c r="H348" s="272">
        <v>2005</v>
      </c>
      <c r="I348" s="272">
        <v>2006</v>
      </c>
      <c r="J348" s="272">
        <v>2007</v>
      </c>
      <c r="K348" s="272">
        <v>2008</v>
      </c>
      <c r="L348" s="272">
        <v>2009</v>
      </c>
      <c r="M348" s="272">
        <v>2010</v>
      </c>
      <c r="N348" s="272">
        <v>2011</v>
      </c>
      <c r="O348" s="272">
        <v>2012</v>
      </c>
      <c r="P348" s="272">
        <v>2013</v>
      </c>
      <c r="Q348" s="272">
        <v>2014</v>
      </c>
      <c r="R348" s="272">
        <v>2015</v>
      </c>
      <c r="S348" s="272">
        <v>2016</v>
      </c>
      <c r="T348" s="272">
        <v>2017</v>
      </c>
      <c r="U348" s="272">
        <v>2018</v>
      </c>
      <c r="V348" s="272">
        <v>2019</v>
      </c>
    </row>
    <row r="349" spans="1:22" x14ac:dyDescent="0.2">
      <c r="A349" s="269" t="s">
        <v>129</v>
      </c>
      <c r="B349" s="266"/>
      <c r="C349" s="273"/>
      <c r="D349" s="274"/>
      <c r="E349" s="274"/>
      <c r="F349" s="274"/>
      <c r="G349" s="274"/>
      <c r="H349" s="274"/>
      <c r="I349" s="274"/>
      <c r="J349" s="274"/>
      <c r="K349" s="274"/>
      <c r="L349" s="274"/>
      <c r="M349" s="274"/>
      <c r="N349" s="274"/>
      <c r="O349" s="274"/>
      <c r="P349" s="274"/>
      <c r="Q349" s="274"/>
      <c r="R349" s="274"/>
      <c r="S349" s="274"/>
      <c r="T349" s="274"/>
      <c r="U349" s="274"/>
      <c r="V349" s="274"/>
    </row>
    <row r="350" spans="1:22" x14ac:dyDescent="0.2">
      <c r="A350" s="267"/>
      <c r="B350" s="270" t="s">
        <v>97</v>
      </c>
      <c r="C350" s="275">
        <v>0</v>
      </c>
      <c r="D350" s="276">
        <v>1085346.1707531211</v>
      </c>
      <c r="E350" s="276">
        <v>1070640.2399165654</v>
      </c>
      <c r="F350" s="276">
        <v>1055640.1904632782</v>
      </c>
      <c r="G350" s="276">
        <v>1040340.1400209259</v>
      </c>
      <c r="H350" s="276">
        <v>1024734.0885697261</v>
      </c>
      <c r="I350" s="276">
        <v>1015111.4716776572</v>
      </c>
      <c r="J350" s="276">
        <v>1015111.4716776572</v>
      </c>
      <c r="K350" s="276">
        <v>1015111.4716776572</v>
      </c>
      <c r="L350" s="276">
        <v>1015111.4716776572</v>
      </c>
      <c r="M350" s="276">
        <v>1015111.4716776572</v>
      </c>
      <c r="N350" s="276">
        <v>1015111.4716776572</v>
      </c>
      <c r="O350" s="276">
        <v>1015111.4716776572</v>
      </c>
      <c r="P350" s="276">
        <v>1015111.4716776572</v>
      </c>
      <c r="Q350" s="276">
        <v>1015111.4716776572</v>
      </c>
      <c r="R350" s="276">
        <v>1015111.4716776572</v>
      </c>
      <c r="S350" s="276">
        <v>1015111.4716776572</v>
      </c>
      <c r="T350" s="276">
        <v>1015111.4716776572</v>
      </c>
      <c r="U350" s="276">
        <v>1015111.4716776572</v>
      </c>
      <c r="V350" s="276">
        <v>1015111.4716776572</v>
      </c>
    </row>
    <row r="351" spans="1:22" x14ac:dyDescent="0.2">
      <c r="A351" s="267"/>
      <c r="B351" s="270" t="s">
        <v>91</v>
      </c>
      <c r="C351" s="275">
        <v>0</v>
      </c>
      <c r="D351" s="277">
        <v>0.82598643131896587</v>
      </c>
      <c r="E351" s="277">
        <v>0.8147947031328503</v>
      </c>
      <c r="F351" s="277">
        <v>0.80337914038301228</v>
      </c>
      <c r="G351" s="277">
        <v>0.79173526637817804</v>
      </c>
      <c r="H351" s="277">
        <v>0.77985851489324665</v>
      </c>
      <c r="I351" s="277">
        <v>0.77253536657355948</v>
      </c>
      <c r="J351" s="277">
        <v>0.77253536657355948</v>
      </c>
      <c r="K351" s="277">
        <v>0.77253536657355948</v>
      </c>
      <c r="L351" s="277">
        <v>0.77253536657355948</v>
      </c>
      <c r="M351" s="277">
        <v>0.77253536657355948</v>
      </c>
      <c r="N351" s="277">
        <v>0.77253536657355948</v>
      </c>
      <c r="O351" s="277">
        <v>0.77253536657355948</v>
      </c>
      <c r="P351" s="277">
        <v>0.77253536657355948</v>
      </c>
      <c r="Q351" s="277">
        <v>0.77253536657355948</v>
      </c>
      <c r="R351" s="277">
        <v>0.77253536657355948</v>
      </c>
      <c r="S351" s="277">
        <v>0.77253536657355948</v>
      </c>
      <c r="T351" s="277">
        <v>0.77253536657355948</v>
      </c>
      <c r="U351" s="277">
        <v>0.77253536657355948</v>
      </c>
      <c r="V351" s="277">
        <v>0.77253536657355948</v>
      </c>
    </row>
    <row r="352" spans="1:22" x14ac:dyDescent="0.2">
      <c r="A352" s="269" t="s">
        <v>93</v>
      </c>
      <c r="B352" s="270"/>
      <c r="C352" s="273"/>
      <c r="D352" s="274"/>
      <c r="E352" s="274"/>
      <c r="F352" s="274"/>
      <c r="G352" s="274"/>
      <c r="H352" s="274"/>
      <c r="I352" s="274"/>
      <c r="J352" s="274"/>
      <c r="K352" s="274"/>
      <c r="L352" s="274"/>
      <c r="M352" s="274"/>
      <c r="N352" s="274"/>
      <c r="O352" s="274"/>
      <c r="P352" s="274"/>
      <c r="Q352" s="274"/>
      <c r="R352" s="274"/>
      <c r="S352" s="274"/>
      <c r="T352" s="274"/>
      <c r="U352" s="274"/>
      <c r="V352" s="274"/>
    </row>
    <row r="353" spans="1:22" x14ac:dyDescent="0.2">
      <c r="A353" s="267"/>
      <c r="B353" s="270" t="s">
        <v>27</v>
      </c>
      <c r="C353" s="278">
        <v>0</v>
      </c>
      <c r="D353" s="279">
        <v>39.337612436551176</v>
      </c>
      <c r="E353" s="279">
        <v>38.876591511234523</v>
      </c>
      <c r="F353" s="279">
        <v>39.501092679672077</v>
      </c>
      <c r="G353" s="279">
        <v>39.043693036795197</v>
      </c>
      <c r="H353" s="279">
        <v>39.278934224594451</v>
      </c>
      <c r="I353" s="279">
        <v>41.862423523676888</v>
      </c>
      <c r="J353" s="279">
        <v>45.026862174247604</v>
      </c>
      <c r="K353" s="279">
        <v>46.239526418644274</v>
      </c>
      <c r="L353" s="279">
        <v>47.194347054021897</v>
      </c>
      <c r="M353" s="279">
        <v>47.363644589041861</v>
      </c>
      <c r="N353" s="279">
        <v>48.399012897511959</v>
      </c>
      <c r="O353" s="279">
        <v>48.92262772896629</v>
      </c>
      <c r="P353" s="279">
        <v>49.51133180581683</v>
      </c>
      <c r="Q353" s="279">
        <v>51.28077909166128</v>
      </c>
      <c r="R353" s="279">
        <v>54.898201879545944</v>
      </c>
      <c r="S353" s="279">
        <v>54.615722298042087</v>
      </c>
      <c r="T353" s="279">
        <v>55.357281017515604</v>
      </c>
      <c r="U353" s="279">
        <v>58.000117418601739</v>
      </c>
      <c r="V353" s="279">
        <v>59.738223495031612</v>
      </c>
    </row>
    <row r="354" spans="1:22" x14ac:dyDescent="0.2">
      <c r="A354" s="267"/>
      <c r="B354" s="270" t="s">
        <v>20</v>
      </c>
      <c r="C354" s="278">
        <v>0</v>
      </c>
      <c r="D354" s="279">
        <v>12.085156799999991</v>
      </c>
      <c r="E354" s="279">
        <v>12.259036799999997</v>
      </c>
      <c r="F354" s="279">
        <v>12.472660799999996</v>
      </c>
      <c r="G354" s="279">
        <v>12.829363199999998</v>
      </c>
      <c r="H354" s="279">
        <v>13.275489599999998</v>
      </c>
      <c r="I354" s="279">
        <v>13.785206399999993</v>
      </c>
      <c r="J354" s="279">
        <v>14.103158399999996</v>
      </c>
      <c r="K354" s="279">
        <v>14.4062064</v>
      </c>
      <c r="L354" s="279">
        <v>14.643676800000003</v>
      </c>
      <c r="M354" s="279">
        <v>14.760921599999998</v>
      </c>
      <c r="N354" s="279">
        <v>14.961628799999998</v>
      </c>
      <c r="O354" s="279">
        <v>15.286535999999996</v>
      </c>
      <c r="P354" s="279">
        <v>15.635289600000004</v>
      </c>
      <c r="Q354" s="279">
        <v>15.967152000000004</v>
      </c>
      <c r="R354" s="279">
        <v>16.193692799999997</v>
      </c>
      <c r="S354" s="279">
        <v>16.525555200000003</v>
      </c>
      <c r="T354" s="279">
        <v>16.903123200000003</v>
      </c>
      <c r="U354" s="279">
        <v>17.317454400000006</v>
      </c>
      <c r="V354" s="279">
        <v>17.745695999999999</v>
      </c>
    </row>
    <row r="355" spans="1:22" x14ac:dyDescent="0.2">
      <c r="A355" s="267"/>
      <c r="B355" s="270" t="s">
        <v>92</v>
      </c>
      <c r="C355" s="278">
        <v>0</v>
      </c>
      <c r="D355" s="279">
        <v>1.0470911941003456</v>
      </c>
      <c r="E355" s="279">
        <v>1.0682260551930358</v>
      </c>
      <c r="F355" s="279">
        <v>1.0897875098393</v>
      </c>
      <c r="G355" s="279">
        <v>1.1117841685551539</v>
      </c>
      <c r="H355" s="279">
        <v>1.1342248156543338</v>
      </c>
      <c r="I355" s="279">
        <v>1.157118412756287</v>
      </c>
      <c r="J355" s="279">
        <v>1.180474102364975</v>
      </c>
      <c r="K355" s="279">
        <v>1.2043012115199108</v>
      </c>
      <c r="L355" s="279">
        <v>1.2286092555208925</v>
      </c>
      <c r="M355" s="279">
        <v>1.2534079417279116</v>
      </c>
      <c r="N355" s="279">
        <v>1.2787071734377664</v>
      </c>
      <c r="O355" s="279">
        <v>1.3045170538389217</v>
      </c>
      <c r="P355" s="279">
        <v>1.330847890046192</v>
      </c>
      <c r="Q355" s="279">
        <v>1.3577101972168604</v>
      </c>
      <c r="R355" s="279">
        <v>1.3851147027498871</v>
      </c>
      <c r="S355" s="279">
        <v>1.4130723505698686</v>
      </c>
      <c r="T355" s="279">
        <v>1.4415943054974663</v>
      </c>
      <c r="U355" s="279">
        <v>1.4706919577080548</v>
      </c>
      <c r="V355" s="279">
        <v>1.5003769272803582</v>
      </c>
    </row>
    <row r="356" spans="1:22" x14ac:dyDescent="0.2">
      <c r="A356" s="267"/>
      <c r="B356" s="270" t="s">
        <v>22</v>
      </c>
      <c r="C356" s="278">
        <v>0</v>
      </c>
      <c r="D356" s="279">
        <v>0</v>
      </c>
      <c r="E356" s="279">
        <v>0</v>
      </c>
      <c r="F356" s="279">
        <v>0</v>
      </c>
      <c r="G356" s="279">
        <v>0</v>
      </c>
      <c r="H356" s="279">
        <v>0</v>
      </c>
      <c r="I356" s="279">
        <v>0.83158252669537269</v>
      </c>
      <c r="J356" s="279">
        <v>0.92174280074013715</v>
      </c>
      <c r="K356" s="279">
        <v>1.102292329704242</v>
      </c>
      <c r="L356" s="279">
        <v>1.1171289627431205</v>
      </c>
      <c r="M356" s="279">
        <v>1.2424191656918633</v>
      </c>
      <c r="N356" s="279">
        <v>1.3686186674195724</v>
      </c>
      <c r="O356" s="279">
        <v>1.5163884510724537</v>
      </c>
      <c r="P356" s="279">
        <v>1.7002703543856703</v>
      </c>
      <c r="Q356" s="279">
        <v>1.8926662265502898</v>
      </c>
      <c r="R356" s="279">
        <v>2.0964960029312292</v>
      </c>
      <c r="S356" s="279">
        <v>2.3019500330303626</v>
      </c>
      <c r="T356" s="279">
        <v>2.2615536819784241</v>
      </c>
      <c r="U356" s="279">
        <v>1.9348814967542396</v>
      </c>
      <c r="V356" s="279">
        <v>2.006115133197945</v>
      </c>
    </row>
    <row r="357" spans="1:22" x14ac:dyDescent="0.2">
      <c r="A357" s="267"/>
      <c r="B357" s="270" t="s">
        <v>23</v>
      </c>
      <c r="C357" s="278">
        <v>0</v>
      </c>
      <c r="D357" s="279">
        <v>0</v>
      </c>
      <c r="E357" s="279">
        <v>0</v>
      </c>
      <c r="F357" s="279">
        <v>1.4723443453409593</v>
      </c>
      <c r="G357" s="279">
        <v>1.2545296733734956</v>
      </c>
      <c r="H357" s="279">
        <v>1.3023731951852899</v>
      </c>
      <c r="I357" s="279">
        <v>1.3526292337177124</v>
      </c>
      <c r="J357" s="279">
        <v>1.7754126144882449</v>
      </c>
      <c r="K357" s="279">
        <v>1.55035698589988</v>
      </c>
      <c r="L357" s="279">
        <v>1.6414154249742177</v>
      </c>
      <c r="M357" s="279">
        <v>1.5618696413666593</v>
      </c>
      <c r="N357" s="279">
        <v>1.6066028751540311</v>
      </c>
      <c r="O357" s="279">
        <v>1.64826348860511</v>
      </c>
      <c r="P357" s="279">
        <v>1.4722451125296732</v>
      </c>
      <c r="Q357" s="279">
        <v>1.5248847632447566</v>
      </c>
      <c r="R357" s="279">
        <v>1.5563970881657729</v>
      </c>
      <c r="S357" s="279">
        <v>1.6527843578990709</v>
      </c>
      <c r="T357" s="279">
        <v>1.5537887176239644</v>
      </c>
      <c r="U357" s="279">
        <v>1.7113072205192517</v>
      </c>
      <c r="V357" s="279">
        <v>0.93172216493892168</v>
      </c>
    </row>
    <row r="358" spans="1:22" x14ac:dyDescent="0.2">
      <c r="A358" s="269" t="s">
        <v>94</v>
      </c>
      <c r="B358" s="270"/>
      <c r="C358" s="273"/>
      <c r="D358" s="274"/>
      <c r="E358" s="274"/>
      <c r="F358" s="274"/>
      <c r="G358" s="274"/>
      <c r="H358" s="274"/>
      <c r="I358" s="274"/>
      <c r="J358" s="274"/>
      <c r="K358" s="274"/>
      <c r="L358" s="274"/>
      <c r="M358" s="274"/>
      <c r="N358" s="274"/>
      <c r="O358" s="274"/>
      <c r="P358" s="274"/>
      <c r="Q358" s="274"/>
      <c r="R358" s="274"/>
      <c r="S358" s="274"/>
      <c r="T358" s="274"/>
      <c r="U358" s="274"/>
      <c r="V358" s="274"/>
    </row>
    <row r="359" spans="1:22" x14ac:dyDescent="0.2">
      <c r="A359" s="267"/>
      <c r="B359" s="270" t="s">
        <v>34</v>
      </c>
      <c r="C359" s="278">
        <v>0</v>
      </c>
      <c r="D359" s="279">
        <v>24.428187755060065</v>
      </c>
      <c r="E359" s="279">
        <v>24.916751510161266</v>
      </c>
      <c r="F359" s="279">
        <v>25.415086540364491</v>
      </c>
      <c r="G359" s="279">
        <v>25.923388271171781</v>
      </c>
      <c r="H359" s="279">
        <v>26.441856036595219</v>
      </c>
      <c r="I359" s="279">
        <v>26.970693157327123</v>
      </c>
      <c r="J359" s="279">
        <v>27.510107020473665</v>
      </c>
      <c r="K359" s="279">
        <v>28.06030916088314</v>
      </c>
      <c r="L359" s="279">
        <v>28.621515344100807</v>
      </c>
      <c r="M359" s="279">
        <v>29.193945650982819</v>
      </c>
      <c r="N359" s="279">
        <v>29.777824564002479</v>
      </c>
      <c r="O359" s="279">
        <v>30.373381055282529</v>
      </c>
      <c r="P359" s="279">
        <v>30.980848676388177</v>
      </c>
      <c r="Q359" s="279">
        <v>31.60046564991594</v>
      </c>
      <c r="R359" s="279">
        <v>32.23247496291426</v>
      </c>
      <c r="S359" s="279">
        <v>32.877124462172546</v>
      </c>
      <c r="T359" s="279">
        <v>33.534666951416</v>
      </c>
      <c r="U359" s="279">
        <v>34.205360290444318</v>
      </c>
      <c r="V359" s="279">
        <v>34.889467496253211</v>
      </c>
    </row>
    <row r="360" spans="1:22" x14ac:dyDescent="0.2">
      <c r="A360" s="267"/>
      <c r="B360" s="270" t="s">
        <v>95</v>
      </c>
      <c r="C360" s="278">
        <v>0</v>
      </c>
      <c r="D360" s="279">
        <v>2.6209795179148254</v>
      </c>
      <c r="E360" s="279">
        <v>2.6772127964575447</v>
      </c>
      <c r="F360" s="279">
        <v>2.734677583800349</v>
      </c>
      <c r="G360" s="279">
        <v>2.85004361349027</v>
      </c>
      <c r="H360" s="279">
        <v>3.2027768404997459</v>
      </c>
      <c r="I360" s="279">
        <v>4.0355725665614077</v>
      </c>
      <c r="J360" s="279">
        <v>4.4667221699418853</v>
      </c>
      <c r="K360" s="279">
        <v>4.9053556255534501</v>
      </c>
      <c r="L360" s="279">
        <v>5.3553513852877463</v>
      </c>
      <c r="M360" s="279">
        <v>5.6197304997780719</v>
      </c>
      <c r="N360" s="279">
        <v>5.6969632592604134</v>
      </c>
      <c r="O360" s="279">
        <v>5.7684613068453858</v>
      </c>
      <c r="P360" s="279">
        <v>5.8417754048390158</v>
      </c>
      <c r="Q360" s="279">
        <v>5.9169223552824883</v>
      </c>
      <c r="R360" s="279">
        <v>5.9939554941820914</v>
      </c>
      <c r="S360" s="279">
        <v>6.0729144615541832</v>
      </c>
      <c r="T360" s="279">
        <v>6.1538316113171048</v>
      </c>
      <c r="U360" s="279">
        <v>6.2367797815390738</v>
      </c>
      <c r="V360" s="279">
        <v>6.3218099508336154</v>
      </c>
    </row>
    <row r="361" spans="1:22" x14ac:dyDescent="0.2">
      <c r="A361" s="267"/>
      <c r="B361" s="270" t="s">
        <v>36</v>
      </c>
      <c r="C361" s="278">
        <v>0</v>
      </c>
      <c r="D361" s="279">
        <v>3.26661672377148</v>
      </c>
      <c r="E361" s="279">
        <v>3.3355423366430803</v>
      </c>
      <c r="F361" s="279">
        <v>3.4085907138155669</v>
      </c>
      <c r="G361" s="279">
        <v>3.4856248639477734</v>
      </c>
      <c r="H361" s="279">
        <v>3.5685827357097395</v>
      </c>
      <c r="I361" s="279">
        <v>3.6580117778226602</v>
      </c>
      <c r="J361" s="279">
        <v>3.7487406606639735</v>
      </c>
      <c r="K361" s="279">
        <v>3.8436290338361334</v>
      </c>
      <c r="L361" s="279">
        <v>3.9385666709718867</v>
      </c>
      <c r="M361" s="279">
        <v>4.0390001210816528</v>
      </c>
      <c r="N361" s="279">
        <v>4.1367439240118538</v>
      </c>
      <c r="O361" s="279">
        <v>4.2409898708969402</v>
      </c>
      <c r="P361" s="279">
        <v>4.3487110136177138</v>
      </c>
      <c r="Q361" s="279">
        <v>4.4574287889581532</v>
      </c>
      <c r="R361" s="279">
        <v>4.5693102515609993</v>
      </c>
      <c r="S361" s="279">
        <v>4.6835430078500329</v>
      </c>
      <c r="T361" s="279">
        <v>4.7996948744447065</v>
      </c>
      <c r="U361" s="279">
        <v>4.9201672157932803</v>
      </c>
      <c r="V361" s="279">
        <v>5.0436634129096873</v>
      </c>
    </row>
    <row r="362" spans="1:22" x14ac:dyDescent="0.2">
      <c r="A362" s="267"/>
      <c r="B362" s="270" t="s">
        <v>39</v>
      </c>
      <c r="C362" s="278">
        <v>0</v>
      </c>
      <c r="D362" s="279">
        <v>11.056098466666667</v>
      </c>
      <c r="E362" s="279">
        <v>9.713765733333334</v>
      </c>
      <c r="F362" s="279">
        <v>46.917401533333333</v>
      </c>
      <c r="G362" s="279">
        <v>8.2645343333333319</v>
      </c>
      <c r="H362" s="279">
        <v>16.645902279999998</v>
      </c>
      <c r="I362" s="279">
        <v>17.145279348399999</v>
      </c>
      <c r="J362" s="279">
        <v>17.659637728852001</v>
      </c>
      <c r="K362" s="279">
        <v>18.18942686071756</v>
      </c>
      <c r="L362" s="279">
        <v>18.735109666539085</v>
      </c>
      <c r="M362" s="279">
        <v>19.29716295653526</v>
      </c>
      <c r="N362" s="279">
        <v>19.876077845231318</v>
      </c>
      <c r="O362" s="279">
        <v>20.472360180588257</v>
      </c>
      <c r="P362" s="279">
        <v>21.086530986005904</v>
      </c>
      <c r="Q362" s="279">
        <v>21.719126915586084</v>
      </c>
      <c r="R362" s="279">
        <v>22.370700723053666</v>
      </c>
      <c r="S362" s="279">
        <v>23.041821744745278</v>
      </c>
      <c r="T362" s="279">
        <v>23.733076397087636</v>
      </c>
      <c r="U362" s="279">
        <v>24.445068689000266</v>
      </c>
      <c r="V362" s="279">
        <v>25.178420749670273</v>
      </c>
    </row>
    <row r="363" spans="1:22" x14ac:dyDescent="0.2">
      <c r="A363" s="267"/>
      <c r="B363" s="270" t="s">
        <v>96</v>
      </c>
      <c r="C363" s="280">
        <v>0</v>
      </c>
      <c r="D363" s="281">
        <v>0</v>
      </c>
      <c r="E363" s="281">
        <v>0</v>
      </c>
      <c r="F363" s="281">
        <v>0</v>
      </c>
      <c r="G363" s="281">
        <v>0</v>
      </c>
      <c r="H363" s="281">
        <v>0</v>
      </c>
      <c r="I363" s="281">
        <v>0</v>
      </c>
      <c r="J363" s="281">
        <v>0</v>
      </c>
      <c r="K363" s="281">
        <v>0</v>
      </c>
      <c r="L363" s="281">
        <v>0</v>
      </c>
      <c r="M363" s="281">
        <v>0</v>
      </c>
      <c r="N363" s="281">
        <v>0</v>
      </c>
      <c r="O363" s="281">
        <v>0</v>
      </c>
      <c r="P363" s="281">
        <v>0</v>
      </c>
      <c r="Q363" s="281">
        <v>0</v>
      </c>
      <c r="R363" s="281">
        <v>0</v>
      </c>
      <c r="S363" s="281">
        <v>0</v>
      </c>
      <c r="T363" s="281">
        <v>0</v>
      </c>
      <c r="U363" s="281">
        <v>0</v>
      </c>
      <c r="V363" s="281">
        <v>0</v>
      </c>
    </row>
    <row r="364" spans="1:22" x14ac:dyDescent="0.2">
      <c r="A364" s="267"/>
      <c r="B364" s="270"/>
      <c r="C364" s="267"/>
      <c r="D364" s="267"/>
      <c r="E364" s="267"/>
      <c r="F364" s="267"/>
      <c r="G364" s="267"/>
      <c r="H364" s="267"/>
      <c r="I364" s="267"/>
      <c r="J364" s="267"/>
      <c r="K364" s="267"/>
      <c r="L364" s="267"/>
      <c r="M364" s="267"/>
      <c r="N364" s="267"/>
      <c r="O364" s="267"/>
      <c r="P364" s="267"/>
      <c r="Q364" s="267"/>
      <c r="R364" s="267"/>
      <c r="S364" s="267"/>
      <c r="T364" s="267"/>
      <c r="U364" s="267"/>
      <c r="V364" s="267"/>
    </row>
    <row r="365" spans="1:22" x14ac:dyDescent="0.2">
      <c r="A365" s="267"/>
      <c r="B365" s="270"/>
      <c r="C365" s="267"/>
      <c r="D365" s="267"/>
      <c r="E365" s="267"/>
      <c r="F365" s="267"/>
      <c r="G365" s="267"/>
      <c r="H365" s="267"/>
      <c r="I365" s="267"/>
      <c r="J365" s="267"/>
      <c r="K365" s="267"/>
      <c r="L365" s="267"/>
      <c r="M365" s="267"/>
      <c r="N365" s="267"/>
      <c r="O365" s="267"/>
      <c r="P365" s="267"/>
      <c r="Q365" s="267"/>
      <c r="R365" s="267"/>
      <c r="S365" s="267"/>
      <c r="T365" s="267"/>
      <c r="U365" s="267"/>
      <c r="V365" s="267"/>
    </row>
    <row r="366" spans="1:22" x14ac:dyDescent="0.2">
      <c r="A366" s="24"/>
      <c r="B366" s="295"/>
      <c r="C366" s="299"/>
      <c r="D366" s="299"/>
      <c r="E366" s="299"/>
      <c r="F366" s="299"/>
      <c r="G366" s="299"/>
      <c r="H366" s="299"/>
      <c r="I366" s="299"/>
      <c r="J366" s="299"/>
      <c r="K366" s="299"/>
      <c r="L366" s="299"/>
      <c r="M366" s="299"/>
      <c r="N366" s="299"/>
      <c r="O366" s="299"/>
      <c r="P366" s="299"/>
      <c r="Q366" s="299"/>
      <c r="R366" s="299"/>
      <c r="S366" s="299"/>
      <c r="T366" s="299"/>
      <c r="U366" s="299"/>
      <c r="V366" s="299"/>
    </row>
    <row r="367" spans="1:22" x14ac:dyDescent="0.2">
      <c r="A367" s="24"/>
      <c r="B367" s="295"/>
      <c r="C367" s="299"/>
      <c r="D367" s="299"/>
      <c r="E367" s="299"/>
      <c r="F367" s="299"/>
      <c r="G367" s="299"/>
      <c r="H367" s="299"/>
      <c r="I367" s="299"/>
      <c r="J367" s="299"/>
      <c r="K367" s="299"/>
      <c r="L367" s="299"/>
      <c r="M367" s="299"/>
      <c r="N367" s="299"/>
      <c r="O367" s="299"/>
      <c r="P367" s="299"/>
      <c r="Q367" s="299"/>
      <c r="R367" s="299"/>
      <c r="S367" s="299"/>
      <c r="T367" s="299"/>
      <c r="U367" s="299"/>
      <c r="V367" s="299"/>
    </row>
    <row r="368" spans="1:22" x14ac:dyDescent="0.2">
      <c r="A368" s="265" t="s">
        <v>98</v>
      </c>
      <c r="B368" s="266"/>
      <c r="C368" s="267"/>
      <c r="D368" s="267"/>
      <c r="E368" s="267"/>
      <c r="F368" s="267"/>
      <c r="G368" s="267"/>
      <c r="H368" s="267"/>
      <c r="I368" s="267"/>
      <c r="J368" s="267"/>
      <c r="K368" s="267"/>
      <c r="L368" s="267"/>
      <c r="M368" s="267"/>
      <c r="N368" s="267"/>
      <c r="O368" s="267"/>
      <c r="P368" s="267"/>
      <c r="Q368" s="267"/>
      <c r="R368" s="267"/>
      <c r="S368" s="267"/>
      <c r="T368" s="267"/>
      <c r="U368" s="267"/>
      <c r="V368" s="267"/>
    </row>
    <row r="369" spans="1:22" x14ac:dyDescent="0.2">
      <c r="A369" s="268" t="s">
        <v>69</v>
      </c>
      <c r="B369" s="266"/>
      <c r="C369" s="267"/>
      <c r="D369" s="267"/>
      <c r="E369" s="267"/>
      <c r="F369" s="267"/>
      <c r="G369" s="267"/>
      <c r="H369" s="267"/>
      <c r="I369" s="267"/>
      <c r="J369" s="267"/>
      <c r="K369" s="267"/>
      <c r="L369" s="267"/>
      <c r="M369" s="267"/>
      <c r="N369" s="267"/>
      <c r="O369" s="267"/>
      <c r="P369" s="267"/>
      <c r="Q369" s="267"/>
      <c r="R369" s="267"/>
      <c r="S369" s="267"/>
      <c r="T369" s="267"/>
      <c r="U369" s="267"/>
      <c r="V369" s="267"/>
    </row>
    <row r="370" spans="1:22" x14ac:dyDescent="0.2">
      <c r="A370" s="267"/>
      <c r="B370" s="266"/>
      <c r="C370" s="267"/>
      <c r="D370" s="267"/>
      <c r="E370" s="267"/>
      <c r="F370" s="267"/>
      <c r="G370" s="267"/>
      <c r="H370" s="267"/>
      <c r="I370" s="267"/>
      <c r="J370" s="267"/>
      <c r="K370" s="267"/>
      <c r="L370" s="267"/>
      <c r="M370" s="267"/>
      <c r="N370" s="267"/>
      <c r="O370" s="267"/>
      <c r="P370" s="267"/>
      <c r="Q370" s="267"/>
      <c r="R370" s="267"/>
      <c r="S370" s="267"/>
      <c r="T370" s="267"/>
      <c r="U370" s="267"/>
      <c r="V370" s="267"/>
    </row>
    <row r="371" spans="1:22" x14ac:dyDescent="0.2">
      <c r="A371" s="267"/>
      <c r="B371" s="266"/>
      <c r="C371" s="271">
        <v>2000</v>
      </c>
      <c r="D371" s="272">
        <v>2001</v>
      </c>
      <c r="E371" s="272">
        <v>2002</v>
      </c>
      <c r="F371" s="272">
        <v>2003</v>
      </c>
      <c r="G371" s="272">
        <v>2004</v>
      </c>
      <c r="H371" s="272">
        <v>2005</v>
      </c>
      <c r="I371" s="272">
        <v>2006</v>
      </c>
      <c r="J371" s="272">
        <v>2007</v>
      </c>
      <c r="K371" s="272">
        <v>2008</v>
      </c>
      <c r="L371" s="272">
        <v>2009</v>
      </c>
      <c r="M371" s="272">
        <v>2010</v>
      </c>
      <c r="N371" s="272">
        <v>2011</v>
      </c>
      <c r="O371" s="272">
        <v>2012</v>
      </c>
      <c r="P371" s="272">
        <v>2013</v>
      </c>
      <c r="Q371" s="272">
        <v>2014</v>
      </c>
      <c r="R371" s="272">
        <v>2015</v>
      </c>
      <c r="S371" s="272">
        <v>2016</v>
      </c>
      <c r="T371" s="272">
        <v>2017</v>
      </c>
      <c r="U371" s="272">
        <v>2018</v>
      </c>
      <c r="V371" s="272">
        <v>2019</v>
      </c>
    </row>
    <row r="372" spans="1:22" x14ac:dyDescent="0.2">
      <c r="A372" s="269" t="s">
        <v>129</v>
      </c>
      <c r="B372" s="266"/>
      <c r="C372" s="273"/>
      <c r="D372" s="274"/>
      <c r="E372" s="274"/>
      <c r="F372" s="274"/>
      <c r="G372" s="274"/>
      <c r="H372" s="274"/>
      <c r="I372" s="274"/>
      <c r="J372" s="274"/>
      <c r="K372" s="274"/>
      <c r="L372" s="274"/>
      <c r="M372" s="274"/>
      <c r="N372" s="274"/>
      <c r="O372" s="274"/>
      <c r="P372" s="274"/>
      <c r="Q372" s="274"/>
      <c r="R372" s="274"/>
      <c r="S372" s="274"/>
      <c r="T372" s="274"/>
      <c r="U372" s="274"/>
      <c r="V372" s="274"/>
    </row>
    <row r="373" spans="1:22" x14ac:dyDescent="0.2">
      <c r="A373" s="267"/>
      <c r="B373" s="270" t="s">
        <v>97</v>
      </c>
      <c r="C373" s="275">
        <v>0</v>
      </c>
      <c r="D373" s="276">
        <v>1705430.6719834381</v>
      </c>
      <c r="E373" s="276">
        <v>1682322.8874032183</v>
      </c>
      <c r="F373" s="276">
        <v>1658752.9471313937</v>
      </c>
      <c r="G373" s="276">
        <v>1634711.6080541336</v>
      </c>
      <c r="H373" s="276">
        <v>1610189.4421953287</v>
      </c>
      <c r="I373" s="276">
        <v>1595069.1916847536</v>
      </c>
      <c r="J373" s="276">
        <v>1595069.1916847536</v>
      </c>
      <c r="K373" s="276">
        <v>1595069.1916847536</v>
      </c>
      <c r="L373" s="276">
        <v>1595069.1916847536</v>
      </c>
      <c r="M373" s="276">
        <v>1595069.1916847536</v>
      </c>
      <c r="N373" s="276">
        <v>1595069.1916847536</v>
      </c>
      <c r="O373" s="276">
        <v>1595069.1916847536</v>
      </c>
      <c r="P373" s="276">
        <v>1595069.1916847536</v>
      </c>
      <c r="Q373" s="276">
        <v>1595069.1916847536</v>
      </c>
      <c r="R373" s="276">
        <v>1595069.1916847536</v>
      </c>
      <c r="S373" s="276">
        <v>1595069.1916847536</v>
      </c>
      <c r="T373" s="276">
        <v>1595069.1916847536</v>
      </c>
      <c r="U373" s="276">
        <v>1595069.1916847536</v>
      </c>
      <c r="V373" s="276">
        <v>1595069.1916847536</v>
      </c>
    </row>
    <row r="374" spans="1:22" x14ac:dyDescent="0.2">
      <c r="A374" s="267"/>
      <c r="B374" s="270" t="s">
        <v>91</v>
      </c>
      <c r="C374" s="275">
        <v>0</v>
      </c>
      <c r="D374" s="277">
        <v>0.81799943976796652</v>
      </c>
      <c r="E374" s="277">
        <v>0.80691593156595032</v>
      </c>
      <c r="F374" s="277">
        <v>0.79561075319989338</v>
      </c>
      <c r="G374" s="277">
        <v>0.78407947126651578</v>
      </c>
      <c r="H374" s="277">
        <v>0.77231756369447102</v>
      </c>
      <c r="I374" s="277">
        <v>0.76506522758372353</v>
      </c>
      <c r="J374" s="277">
        <v>0.76506522758372353</v>
      </c>
      <c r="K374" s="277">
        <v>0.76506522758372353</v>
      </c>
      <c r="L374" s="277">
        <v>0.76506522758372353</v>
      </c>
      <c r="M374" s="277">
        <v>0.76506522758372353</v>
      </c>
      <c r="N374" s="277">
        <v>0.76506522758372353</v>
      </c>
      <c r="O374" s="277">
        <v>0.76506522758372353</v>
      </c>
      <c r="P374" s="277">
        <v>0.76506522758372353</v>
      </c>
      <c r="Q374" s="277">
        <v>0.76506522758372353</v>
      </c>
      <c r="R374" s="277">
        <v>0.76506522758372353</v>
      </c>
      <c r="S374" s="277">
        <v>0.76506522758372353</v>
      </c>
      <c r="T374" s="277">
        <v>0.76506522758372353</v>
      </c>
      <c r="U374" s="277">
        <v>0.76506522758372353</v>
      </c>
      <c r="V374" s="277">
        <v>0.76506522758372353</v>
      </c>
    </row>
    <row r="375" spans="1:22" x14ac:dyDescent="0.2">
      <c r="A375" s="269" t="s">
        <v>93</v>
      </c>
      <c r="B375" s="270"/>
      <c r="C375" s="273"/>
      <c r="D375" s="274"/>
      <c r="E375" s="274"/>
      <c r="F375" s="274"/>
      <c r="G375" s="274"/>
      <c r="H375" s="274"/>
      <c r="I375" s="274"/>
      <c r="J375" s="274"/>
      <c r="K375" s="274"/>
      <c r="L375" s="274"/>
      <c r="M375" s="274"/>
      <c r="N375" s="274"/>
      <c r="O375" s="274"/>
      <c r="P375" s="274"/>
      <c r="Q375" s="274"/>
      <c r="R375" s="274"/>
      <c r="S375" s="274"/>
      <c r="T375" s="274"/>
      <c r="U375" s="274"/>
      <c r="V375" s="274"/>
    </row>
    <row r="376" spans="1:22" x14ac:dyDescent="0.2">
      <c r="A376" s="267"/>
      <c r="B376" s="270" t="s">
        <v>27</v>
      </c>
      <c r="C376" s="278">
        <v>0</v>
      </c>
      <c r="D376" s="279">
        <v>39.337612436551169</v>
      </c>
      <c r="E376" s="279">
        <v>38.87659151123453</v>
      </c>
      <c r="F376" s="279">
        <v>39.501092679672084</v>
      </c>
      <c r="G376" s="279">
        <v>39.043693036795212</v>
      </c>
      <c r="H376" s="279">
        <v>39.278934224594451</v>
      </c>
      <c r="I376" s="279">
        <v>41.862423523676853</v>
      </c>
      <c r="J376" s="279">
        <v>45.026862174247583</v>
      </c>
      <c r="K376" s="279">
        <v>46.239526418644296</v>
      </c>
      <c r="L376" s="279">
        <v>47.194347054021932</v>
      </c>
      <c r="M376" s="279">
        <v>47.363644589041812</v>
      </c>
      <c r="N376" s="279">
        <v>48.399012897511902</v>
      </c>
      <c r="O376" s="279">
        <v>48.922627728966283</v>
      </c>
      <c r="P376" s="279">
        <v>49.511331805816788</v>
      </c>
      <c r="Q376" s="279">
        <v>51.280779091661294</v>
      </c>
      <c r="R376" s="279">
        <v>54.898201879545972</v>
      </c>
      <c r="S376" s="279">
        <v>54.61572229804203</v>
      </c>
      <c r="T376" s="279">
        <v>55.357281017515611</v>
      </c>
      <c r="U376" s="279">
        <v>58.000117418601732</v>
      </c>
      <c r="V376" s="279">
        <v>59.738223495031662</v>
      </c>
    </row>
    <row r="377" spans="1:22" x14ac:dyDescent="0.2">
      <c r="A377" s="267"/>
      <c r="B377" s="270" t="s">
        <v>20</v>
      </c>
      <c r="C377" s="278">
        <v>0</v>
      </c>
      <c r="D377" s="279">
        <v>12.262736599999998</v>
      </c>
      <c r="E377" s="279">
        <v>12.439171600000002</v>
      </c>
      <c r="F377" s="279">
        <v>12.6559346</v>
      </c>
      <c r="G377" s="279">
        <v>13.017878400000004</v>
      </c>
      <c r="H377" s="279">
        <v>13.470560199999998</v>
      </c>
      <c r="I377" s="279">
        <v>13.987766799999992</v>
      </c>
      <c r="J377" s="279">
        <v>14.310390799999995</v>
      </c>
      <c r="K377" s="279">
        <v>14.617891799999999</v>
      </c>
      <c r="L377" s="279">
        <v>14.858851600000001</v>
      </c>
      <c r="M377" s="279">
        <v>14.977819199999994</v>
      </c>
      <c r="N377" s="279">
        <v>15.181475599999992</v>
      </c>
      <c r="O377" s="279">
        <v>15.511156999999999</v>
      </c>
      <c r="P377" s="279">
        <v>15.865035199999991</v>
      </c>
      <c r="Q377" s="279">
        <v>16.201773999999997</v>
      </c>
      <c r="R377" s="279">
        <v>16.43164359999999</v>
      </c>
      <c r="S377" s="279">
        <v>16.768382399999993</v>
      </c>
      <c r="T377" s="279">
        <v>17.151498399999998</v>
      </c>
      <c r="U377" s="279">
        <v>17.571917799999994</v>
      </c>
      <c r="V377" s="279">
        <v>18.006451999999996</v>
      </c>
    </row>
    <row r="378" spans="1:22" x14ac:dyDescent="0.2">
      <c r="A378" s="267"/>
      <c r="B378" s="270" t="s">
        <v>92</v>
      </c>
      <c r="C378" s="278">
        <v>0</v>
      </c>
      <c r="D378" s="279">
        <v>1.0192923128410449</v>
      </c>
      <c r="E378" s="279">
        <v>1.0398660714268491</v>
      </c>
      <c r="F378" s="279">
        <v>1.0608550980736546</v>
      </c>
      <c r="G378" s="279">
        <v>1.0822677746997078</v>
      </c>
      <c r="H378" s="279">
        <v>1.1041126524068743</v>
      </c>
      <c r="I378" s="279">
        <v>1.1263984548955011</v>
      </c>
      <c r="J378" s="279">
        <v>1.1491340819482061</v>
      </c>
      <c r="K378" s="279">
        <v>1.1723286129839849</v>
      </c>
      <c r="L378" s="279">
        <v>1.1959913106840554</v>
      </c>
      <c r="M378" s="279">
        <v>1.2201316246908875</v>
      </c>
      <c r="N378" s="279">
        <v>1.2447591953818975</v>
      </c>
      <c r="O378" s="279">
        <v>1.2698838577193055</v>
      </c>
      <c r="P378" s="279">
        <v>1.2955156451777099</v>
      </c>
      <c r="Q378" s="279">
        <v>1.3216647937509274</v>
      </c>
      <c r="R378" s="279">
        <v>1.3483417460397147</v>
      </c>
      <c r="S378" s="279">
        <v>1.3755571554219974</v>
      </c>
      <c r="T378" s="279">
        <v>1.4033218903072693</v>
      </c>
      <c r="U378" s="279">
        <v>1.4316470384768685</v>
      </c>
      <c r="V378" s="279">
        <v>1.4605439115118539</v>
      </c>
    </row>
    <row r="379" spans="1:22" x14ac:dyDescent="0.2">
      <c r="A379" s="267"/>
      <c r="B379" s="270" t="s">
        <v>22</v>
      </c>
      <c r="C379" s="278">
        <v>0</v>
      </c>
      <c r="D379" s="279">
        <v>0</v>
      </c>
      <c r="E379" s="279">
        <v>0</v>
      </c>
      <c r="F379" s="279">
        <v>0</v>
      </c>
      <c r="G379" s="279">
        <v>0</v>
      </c>
      <c r="H379" s="279">
        <v>0</v>
      </c>
      <c r="I379" s="279">
        <v>0.86684164970789535</v>
      </c>
      <c r="J379" s="279">
        <v>0.96082472196129975</v>
      </c>
      <c r="K379" s="279">
        <v>1.1466693537093164</v>
      </c>
      <c r="L379" s="279">
        <v>1.1644952628441338</v>
      </c>
      <c r="M379" s="279">
        <v>1.2950977739958753</v>
      </c>
      <c r="N379" s="279">
        <v>1.4266481382209211</v>
      </c>
      <c r="O379" s="279">
        <v>1.580683364944206</v>
      </c>
      <c r="P379" s="279">
        <v>1.7723618662384577</v>
      </c>
      <c r="Q379" s="279">
        <v>1.972915328907908</v>
      </c>
      <c r="R379" s="279">
        <v>2.1853874936608015</v>
      </c>
      <c r="S379" s="279">
        <v>2.3995527805361818</v>
      </c>
      <c r="T379" s="279">
        <v>2.357443623039575</v>
      </c>
      <c r="U379" s="279">
        <v>2.0169205277808047</v>
      </c>
      <c r="V379" s="279">
        <v>2.0911744724553496</v>
      </c>
    </row>
    <row r="380" spans="1:22" x14ac:dyDescent="0.2">
      <c r="A380" s="267"/>
      <c r="B380" s="270" t="s">
        <v>23</v>
      </c>
      <c r="C380" s="278">
        <v>0</v>
      </c>
      <c r="D380" s="279">
        <v>0</v>
      </c>
      <c r="E380" s="279">
        <v>0</v>
      </c>
      <c r="F380" s="279">
        <v>3.2321661810478415</v>
      </c>
      <c r="G380" s="279">
        <v>2.7540081885259</v>
      </c>
      <c r="H380" s="279">
        <v>2.8590367531219716</v>
      </c>
      <c r="I380" s="279">
        <v>2.9693613987471195</v>
      </c>
      <c r="J380" s="279">
        <v>3.8974772634629504</v>
      </c>
      <c r="K380" s="279">
        <v>3.403423549819403</v>
      </c>
      <c r="L380" s="279">
        <v>3.6033197277796787</v>
      </c>
      <c r="M380" s="279">
        <v>3.4286967243804543</v>
      </c>
      <c r="N380" s="279">
        <v>3.5268974244231961</v>
      </c>
      <c r="O380" s="279">
        <v>3.6183529499627016</v>
      </c>
      <c r="P380" s="279">
        <v>3.2319483400667508</v>
      </c>
      <c r="Q380" s="279">
        <v>3.347505613989695</v>
      </c>
      <c r="R380" s="279">
        <v>3.4166830935774013</v>
      </c>
      <c r="S380" s="279">
        <v>3.6282773952102545</v>
      </c>
      <c r="T380" s="279">
        <v>3.4109570641471585</v>
      </c>
      <c r="U380" s="279">
        <v>3.7567497990861645</v>
      </c>
      <c r="V380" s="279">
        <v>2.0453645108073366</v>
      </c>
    </row>
    <row r="381" spans="1:22" x14ac:dyDescent="0.2">
      <c r="A381" s="269" t="s">
        <v>94</v>
      </c>
      <c r="B381" s="270"/>
      <c r="C381" s="273"/>
      <c r="D381" s="274"/>
      <c r="E381" s="274"/>
      <c r="F381" s="274"/>
      <c r="G381" s="274"/>
      <c r="H381" s="274"/>
      <c r="I381" s="274"/>
      <c r="J381" s="274"/>
      <c r="K381" s="274"/>
      <c r="L381" s="274"/>
      <c r="M381" s="274"/>
      <c r="N381" s="274"/>
      <c r="O381" s="274"/>
      <c r="P381" s="274"/>
      <c r="Q381" s="274"/>
      <c r="R381" s="274"/>
      <c r="S381" s="274"/>
      <c r="T381" s="274"/>
      <c r="U381" s="274"/>
      <c r="V381" s="274"/>
    </row>
    <row r="382" spans="1:22" x14ac:dyDescent="0.2">
      <c r="A382" s="267"/>
      <c r="B382" s="270" t="s">
        <v>34</v>
      </c>
      <c r="C382" s="278">
        <v>0</v>
      </c>
      <c r="D382" s="279">
        <v>20.001900157917223</v>
      </c>
      <c r="E382" s="279">
        <v>20.40193816107557</v>
      </c>
      <c r="F382" s="279">
        <v>20.809976924297079</v>
      </c>
      <c r="G382" s="279">
        <v>21.22617646278302</v>
      </c>
      <c r="H382" s="279">
        <v>21.650699992038682</v>
      </c>
      <c r="I382" s="279">
        <v>22.083713991879453</v>
      </c>
      <c r="J382" s="279">
        <v>22.525388271717045</v>
      </c>
      <c r="K382" s="279">
        <v>22.975896037151387</v>
      </c>
      <c r="L382" s="279">
        <v>23.435413957894415</v>
      </c>
      <c r="M382" s="279">
        <v>23.904122237052302</v>
      </c>
      <c r="N382" s="279">
        <v>24.38220468179335</v>
      </c>
      <c r="O382" s="279">
        <v>24.869848775429215</v>
      </c>
      <c r="P382" s="279">
        <v>25.367245750937801</v>
      </c>
      <c r="Q382" s="279">
        <v>25.874590665956561</v>
      </c>
      <c r="R382" s="279">
        <v>26.392082479275693</v>
      </c>
      <c r="S382" s="279">
        <v>26.919924128861204</v>
      </c>
      <c r="T382" s="279">
        <v>27.458322611438433</v>
      </c>
      <c r="U382" s="279">
        <v>28.007489063667201</v>
      </c>
      <c r="V382" s="279">
        <v>28.567638844940547</v>
      </c>
    </row>
    <row r="383" spans="1:22" x14ac:dyDescent="0.2">
      <c r="A383" s="267"/>
      <c r="B383" s="270" t="s">
        <v>95</v>
      </c>
      <c r="C383" s="278">
        <v>0</v>
      </c>
      <c r="D383" s="279">
        <v>2.6141933720395496</v>
      </c>
      <c r="E383" s="279">
        <v>2.6669282007698163</v>
      </c>
      <c r="F383" s="279">
        <v>2.7208179222492759</v>
      </c>
      <c r="G383" s="279">
        <v>2.8325280895873401</v>
      </c>
      <c r="H383" s="279">
        <v>3.1810896581840864</v>
      </c>
      <c r="I383" s="279">
        <v>4.010048715624432</v>
      </c>
      <c r="J383" s="279">
        <v>4.4976504875911472</v>
      </c>
      <c r="K383" s="279">
        <v>4.994558331695119</v>
      </c>
      <c r="L383" s="279">
        <v>5.4404231656486148</v>
      </c>
      <c r="M383" s="279">
        <v>5.7005660157507272</v>
      </c>
      <c r="N383" s="279">
        <v>5.771471628001132</v>
      </c>
      <c r="O383" s="279">
        <v>5.8385215562936406</v>
      </c>
      <c r="P383" s="279">
        <v>5.9072745527647781</v>
      </c>
      <c r="Q383" s="279">
        <v>5.9777463741476957</v>
      </c>
      <c r="R383" s="279">
        <v>6.0499870382473224</v>
      </c>
      <c r="S383" s="279">
        <v>6.124033718949442</v>
      </c>
      <c r="T383" s="279">
        <v>6.1999167573329732</v>
      </c>
      <c r="U383" s="279">
        <v>6.2777044599799314</v>
      </c>
      <c r="V383" s="279">
        <v>6.3574446339633282</v>
      </c>
    </row>
    <row r="384" spans="1:22" x14ac:dyDescent="0.2">
      <c r="A384" s="267"/>
      <c r="B384" s="270" t="s">
        <v>36</v>
      </c>
      <c r="C384" s="278">
        <v>0</v>
      </c>
      <c r="D384" s="279">
        <v>3.2666167237714836</v>
      </c>
      <c r="E384" s="279">
        <v>3.3355423366430799</v>
      </c>
      <c r="F384" s="279">
        <v>3.4085907138155673</v>
      </c>
      <c r="G384" s="279">
        <v>3.4856248639477729</v>
      </c>
      <c r="H384" s="279">
        <v>3.5685827357097355</v>
      </c>
      <c r="I384" s="279">
        <v>3.6580117778226597</v>
      </c>
      <c r="J384" s="279">
        <v>3.7487406606639704</v>
      </c>
      <c r="K384" s="279">
        <v>3.8436290338361303</v>
      </c>
      <c r="L384" s="279">
        <v>3.9385666709718863</v>
      </c>
      <c r="M384" s="279">
        <v>4.0390001210816555</v>
      </c>
      <c r="N384" s="279">
        <v>4.1367439240118529</v>
      </c>
      <c r="O384" s="279">
        <v>4.2409898708969331</v>
      </c>
      <c r="P384" s="279">
        <v>4.348711013617689</v>
      </c>
      <c r="Q384" s="279">
        <v>4.4574287889581514</v>
      </c>
      <c r="R384" s="279">
        <v>4.5693102515610082</v>
      </c>
      <c r="S384" s="279">
        <v>4.6835430078500426</v>
      </c>
      <c r="T384" s="279">
        <v>4.7996948744447057</v>
      </c>
      <c r="U384" s="279">
        <v>4.9201672157932768</v>
      </c>
      <c r="V384" s="279">
        <v>5.043663412909706</v>
      </c>
    </row>
    <row r="385" spans="1:22" x14ac:dyDescent="0.2">
      <c r="A385" s="267"/>
      <c r="B385" s="270" t="s">
        <v>39</v>
      </c>
      <c r="C385" s="278">
        <v>0</v>
      </c>
      <c r="D385" s="279">
        <v>13.979964831932772</v>
      </c>
      <c r="E385" s="279">
        <v>8.9545198739495806</v>
      </c>
      <c r="F385" s="279">
        <v>14.011069075630251</v>
      </c>
      <c r="G385" s="279">
        <v>2.6280612605042015</v>
      </c>
      <c r="H385" s="279">
        <v>9.5352456386554607</v>
      </c>
      <c r="I385" s="279">
        <v>9.8213030078151249</v>
      </c>
      <c r="J385" s="279">
        <v>10.11594209804958</v>
      </c>
      <c r="K385" s="279">
        <v>10.419420360991069</v>
      </c>
      <c r="L385" s="279">
        <v>10.732002971820799</v>
      </c>
      <c r="M385" s="279">
        <v>11.053963060975423</v>
      </c>
      <c r="N385" s="279">
        <v>11.385581952804685</v>
      </c>
      <c r="O385" s="279">
        <v>11.727149411388828</v>
      </c>
      <c r="P385" s="279">
        <v>12.078963893730492</v>
      </c>
      <c r="Q385" s="279">
        <v>12.441332810542407</v>
      </c>
      <c r="R385" s="279">
        <v>12.814572794858679</v>
      </c>
      <c r="S385" s="279">
        <v>13.19900997870444</v>
      </c>
      <c r="T385" s="279">
        <v>13.594980278065574</v>
      </c>
      <c r="U385" s="279">
        <v>14.002829686407539</v>
      </c>
      <c r="V385" s="279">
        <v>14.422914576999768</v>
      </c>
    </row>
    <row r="386" spans="1:22" x14ac:dyDescent="0.2">
      <c r="A386" s="267"/>
      <c r="B386" s="270" t="s">
        <v>96</v>
      </c>
      <c r="C386" s="280">
        <v>0</v>
      </c>
      <c r="D386" s="281">
        <v>0</v>
      </c>
      <c r="E386" s="281">
        <v>0</v>
      </c>
      <c r="F386" s="281">
        <v>0</v>
      </c>
      <c r="G386" s="281">
        <v>0</v>
      </c>
      <c r="H386" s="281">
        <v>0</v>
      </c>
      <c r="I386" s="281">
        <v>0</v>
      </c>
      <c r="J386" s="281">
        <v>0</v>
      </c>
      <c r="K386" s="281">
        <v>0</v>
      </c>
      <c r="L386" s="281">
        <v>0</v>
      </c>
      <c r="M386" s="281">
        <v>0</v>
      </c>
      <c r="N386" s="281">
        <v>0</v>
      </c>
      <c r="O386" s="281">
        <v>0</v>
      </c>
      <c r="P386" s="281">
        <v>0</v>
      </c>
      <c r="Q386" s="281">
        <v>0</v>
      </c>
      <c r="R386" s="281">
        <v>0</v>
      </c>
      <c r="S386" s="281">
        <v>0</v>
      </c>
      <c r="T386" s="281">
        <v>0</v>
      </c>
      <c r="U386" s="281">
        <v>0</v>
      </c>
      <c r="V386" s="281">
        <v>0</v>
      </c>
    </row>
    <row r="387" spans="1:22" x14ac:dyDescent="0.2">
      <c r="A387" s="267"/>
      <c r="B387" s="270"/>
      <c r="C387" s="267"/>
      <c r="D387" s="267"/>
      <c r="E387" s="267"/>
      <c r="F387" s="267"/>
      <c r="G387" s="267"/>
      <c r="H387" s="267"/>
      <c r="I387" s="267"/>
      <c r="J387" s="267"/>
      <c r="K387" s="267"/>
      <c r="L387" s="267"/>
      <c r="M387" s="267"/>
      <c r="N387" s="267"/>
      <c r="O387" s="267"/>
      <c r="P387" s="267"/>
      <c r="Q387" s="267"/>
      <c r="R387" s="267"/>
      <c r="S387" s="267"/>
      <c r="T387" s="267"/>
      <c r="U387" s="267"/>
      <c r="V387" s="267"/>
    </row>
    <row r="388" spans="1:22" x14ac:dyDescent="0.2">
      <c r="A388" s="267"/>
      <c r="B388" s="270"/>
      <c r="C388" s="267"/>
      <c r="D388" s="267"/>
      <c r="E388" s="267"/>
      <c r="F388" s="267"/>
      <c r="G388" s="267"/>
      <c r="H388" s="267"/>
      <c r="I388" s="267"/>
      <c r="J388" s="267"/>
      <c r="K388" s="267"/>
      <c r="L388" s="267"/>
      <c r="M388" s="267"/>
      <c r="N388" s="267"/>
      <c r="O388" s="267"/>
      <c r="P388" s="267"/>
      <c r="Q388" s="267"/>
      <c r="R388" s="267"/>
      <c r="S388" s="267"/>
      <c r="T388" s="267"/>
      <c r="U388" s="267"/>
      <c r="V388" s="267"/>
    </row>
    <row r="389" spans="1:22" x14ac:dyDescent="0.2">
      <c r="A389" s="24"/>
      <c r="B389" s="295"/>
      <c r="C389" s="299"/>
      <c r="D389" s="299"/>
      <c r="E389" s="299"/>
      <c r="F389" s="299"/>
      <c r="G389" s="299"/>
      <c r="H389" s="299"/>
      <c r="I389" s="299"/>
      <c r="J389" s="299"/>
      <c r="K389" s="299"/>
      <c r="L389" s="299"/>
      <c r="M389" s="299"/>
      <c r="N389" s="299"/>
      <c r="O389" s="299"/>
      <c r="P389" s="299"/>
      <c r="Q389" s="299"/>
      <c r="R389" s="299"/>
      <c r="S389" s="299"/>
      <c r="T389" s="299"/>
      <c r="U389" s="299"/>
      <c r="V389" s="299"/>
    </row>
    <row r="390" spans="1:22" x14ac:dyDescent="0.2">
      <c r="A390" s="298"/>
      <c r="B390" s="295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</row>
    <row r="391" spans="1:22" x14ac:dyDescent="0.2">
      <c r="A391" s="265" t="s">
        <v>98</v>
      </c>
      <c r="B391" s="266"/>
      <c r="C391" s="267"/>
      <c r="D391" s="267"/>
      <c r="E391" s="267"/>
      <c r="F391" s="267"/>
      <c r="G391" s="267"/>
      <c r="H391" s="267"/>
      <c r="I391" s="267"/>
      <c r="J391" s="267"/>
      <c r="K391" s="267"/>
      <c r="L391" s="267"/>
      <c r="M391" s="267"/>
      <c r="N391" s="267"/>
      <c r="O391" s="267"/>
      <c r="P391" s="267"/>
      <c r="Q391" s="267"/>
      <c r="R391" s="267"/>
      <c r="S391" s="267"/>
      <c r="T391" s="267"/>
      <c r="U391" s="267"/>
      <c r="V391" s="267"/>
    </row>
    <row r="392" spans="1:22" x14ac:dyDescent="0.2">
      <c r="A392" s="268" t="s">
        <v>71</v>
      </c>
      <c r="B392" s="266"/>
      <c r="C392" s="267"/>
      <c r="D392" s="267"/>
      <c r="E392" s="267"/>
      <c r="F392" s="267"/>
      <c r="G392" s="267"/>
      <c r="H392" s="267"/>
      <c r="I392" s="267"/>
      <c r="J392" s="267"/>
      <c r="K392" s="267"/>
      <c r="L392" s="267"/>
      <c r="M392" s="267"/>
      <c r="N392" s="267"/>
      <c r="O392" s="267"/>
      <c r="P392" s="267"/>
      <c r="Q392" s="267"/>
      <c r="R392" s="267"/>
      <c r="S392" s="267"/>
      <c r="T392" s="267"/>
      <c r="U392" s="267"/>
      <c r="V392" s="267"/>
    </row>
    <row r="393" spans="1:22" x14ac:dyDescent="0.2">
      <c r="A393" s="267"/>
      <c r="B393" s="266"/>
      <c r="C393" s="267"/>
      <c r="D393" s="267"/>
      <c r="E393" s="267"/>
      <c r="F393" s="267"/>
      <c r="G393" s="267"/>
      <c r="H393" s="267"/>
      <c r="I393" s="267"/>
      <c r="J393" s="267"/>
      <c r="K393" s="267"/>
      <c r="L393" s="267"/>
      <c r="M393" s="267"/>
      <c r="N393" s="267"/>
      <c r="O393" s="267"/>
      <c r="P393" s="267"/>
      <c r="Q393" s="267"/>
      <c r="R393" s="267"/>
      <c r="S393" s="267"/>
      <c r="T393" s="267"/>
      <c r="U393" s="267"/>
      <c r="V393" s="267"/>
    </row>
    <row r="394" spans="1:22" x14ac:dyDescent="0.2">
      <c r="A394" s="267"/>
      <c r="B394" s="266"/>
      <c r="C394" s="271">
        <v>2000</v>
      </c>
      <c r="D394" s="272">
        <v>2001</v>
      </c>
      <c r="E394" s="272">
        <v>2002</v>
      </c>
      <c r="F394" s="272">
        <v>2003</v>
      </c>
      <c r="G394" s="272">
        <v>2004</v>
      </c>
      <c r="H394" s="272">
        <v>2005</v>
      </c>
      <c r="I394" s="272">
        <v>2006</v>
      </c>
      <c r="J394" s="272">
        <v>2007</v>
      </c>
      <c r="K394" s="272">
        <v>2008</v>
      </c>
      <c r="L394" s="272">
        <v>2009</v>
      </c>
      <c r="M394" s="272">
        <v>2010</v>
      </c>
      <c r="N394" s="272">
        <v>2011</v>
      </c>
      <c r="O394" s="272">
        <v>2012</v>
      </c>
      <c r="P394" s="272">
        <v>2013</v>
      </c>
      <c r="Q394" s="272">
        <v>2014</v>
      </c>
      <c r="R394" s="272">
        <v>2015</v>
      </c>
      <c r="S394" s="272">
        <v>2016</v>
      </c>
      <c r="T394" s="272">
        <v>2017</v>
      </c>
      <c r="U394" s="272">
        <v>2018</v>
      </c>
      <c r="V394" s="272">
        <v>2019</v>
      </c>
    </row>
    <row r="395" spans="1:22" x14ac:dyDescent="0.2">
      <c r="A395" s="269" t="s">
        <v>129</v>
      </c>
      <c r="B395" s="266"/>
      <c r="C395" s="273"/>
      <c r="D395" s="274"/>
      <c r="E395" s="274"/>
      <c r="F395" s="274"/>
      <c r="G395" s="274"/>
      <c r="H395" s="274"/>
      <c r="I395" s="274"/>
      <c r="J395" s="274"/>
      <c r="K395" s="274"/>
      <c r="L395" s="274"/>
      <c r="M395" s="274"/>
      <c r="N395" s="274"/>
      <c r="O395" s="274"/>
      <c r="P395" s="274"/>
      <c r="Q395" s="274"/>
      <c r="R395" s="274"/>
      <c r="S395" s="274"/>
      <c r="T395" s="274"/>
      <c r="U395" s="274"/>
      <c r="V395" s="274"/>
    </row>
    <row r="396" spans="1:22" x14ac:dyDescent="0.2">
      <c r="A396" s="267"/>
      <c r="B396" s="270" t="s">
        <v>97</v>
      </c>
      <c r="C396" s="275">
        <v>0</v>
      </c>
      <c r="D396" s="276">
        <v>1067759.7053368792</v>
      </c>
      <c r="E396" s="276">
        <v>1053292.0628465118</v>
      </c>
      <c r="F396" s="276">
        <v>1038535.0675063367</v>
      </c>
      <c r="G396" s="276">
        <v>1023482.9322593587</v>
      </c>
      <c r="H396" s="276">
        <v>1008129.7543074408</v>
      </c>
      <c r="I396" s="276">
        <v>998663.05800895416</v>
      </c>
      <c r="J396" s="276">
        <v>998663.05800895416</v>
      </c>
      <c r="K396" s="276">
        <v>998663.05800895416</v>
      </c>
      <c r="L396" s="276">
        <v>998663.05800895416</v>
      </c>
      <c r="M396" s="276">
        <v>998663.05800895416</v>
      </c>
      <c r="N396" s="276">
        <v>998663.05800895416</v>
      </c>
      <c r="O396" s="276">
        <v>998663.05800895416</v>
      </c>
      <c r="P396" s="276">
        <v>998663.05800895416</v>
      </c>
      <c r="Q396" s="276">
        <v>998663.05800895416</v>
      </c>
      <c r="R396" s="276">
        <v>998663.05800895416</v>
      </c>
      <c r="S396" s="276">
        <v>998663.05800895416</v>
      </c>
      <c r="T396" s="276">
        <v>998663.05800895416</v>
      </c>
      <c r="U396" s="276">
        <v>998663.05800895416</v>
      </c>
      <c r="V396" s="276">
        <v>998663.05800895416</v>
      </c>
    </row>
    <row r="397" spans="1:22" x14ac:dyDescent="0.2">
      <c r="A397" s="267"/>
      <c r="B397" s="270" t="s">
        <v>91</v>
      </c>
      <c r="C397" s="275">
        <v>0</v>
      </c>
      <c r="D397" s="277">
        <v>0.7851232033594947</v>
      </c>
      <c r="E397" s="277">
        <v>0.77448515271914631</v>
      </c>
      <c r="F397" s="277">
        <v>0.76363434106599071</v>
      </c>
      <c r="G397" s="277">
        <v>0.75256651317977241</v>
      </c>
      <c r="H397" s="277">
        <v>0.74127732873582963</v>
      </c>
      <c r="I397" s="277">
        <v>0.73431647145122703</v>
      </c>
      <c r="J397" s="277">
        <v>0.73431647145122703</v>
      </c>
      <c r="K397" s="277">
        <v>0.73431647145122703</v>
      </c>
      <c r="L397" s="277">
        <v>0.73431647145122703</v>
      </c>
      <c r="M397" s="277">
        <v>0.73431647145122703</v>
      </c>
      <c r="N397" s="277">
        <v>0.73431647145122703</v>
      </c>
      <c r="O397" s="277">
        <v>0.73431647145122703</v>
      </c>
      <c r="P397" s="277">
        <v>0.73431647145122703</v>
      </c>
      <c r="Q397" s="277">
        <v>0.73431647145122703</v>
      </c>
      <c r="R397" s="277">
        <v>0.73431647145122703</v>
      </c>
      <c r="S397" s="277">
        <v>0.73431647145122703</v>
      </c>
      <c r="T397" s="277">
        <v>0.73431647145122703</v>
      </c>
      <c r="U397" s="277">
        <v>0.73431647145122703</v>
      </c>
      <c r="V397" s="277">
        <v>0.73431647145122703</v>
      </c>
    </row>
    <row r="398" spans="1:22" x14ac:dyDescent="0.2">
      <c r="A398" s="269" t="s">
        <v>93</v>
      </c>
      <c r="B398" s="270"/>
      <c r="C398" s="273"/>
      <c r="D398" s="274"/>
      <c r="E398" s="274"/>
      <c r="F398" s="274"/>
      <c r="G398" s="274"/>
      <c r="H398" s="274"/>
      <c r="I398" s="274"/>
      <c r="J398" s="274"/>
      <c r="K398" s="274"/>
      <c r="L398" s="274"/>
      <c r="M398" s="274"/>
      <c r="N398" s="274"/>
      <c r="O398" s="274"/>
      <c r="P398" s="274"/>
      <c r="Q398" s="274"/>
      <c r="R398" s="274"/>
      <c r="S398" s="274"/>
      <c r="T398" s="274"/>
      <c r="U398" s="274"/>
      <c r="V398" s="274"/>
    </row>
    <row r="399" spans="1:22" x14ac:dyDescent="0.2">
      <c r="A399" s="267"/>
      <c r="B399" s="270" t="s">
        <v>27</v>
      </c>
      <c r="C399" s="278">
        <v>0</v>
      </c>
      <c r="D399" s="279">
        <v>39.337612436551176</v>
      </c>
      <c r="E399" s="279">
        <v>38.87659151123453</v>
      </c>
      <c r="F399" s="279">
        <v>39.501092679672084</v>
      </c>
      <c r="G399" s="279">
        <v>39.043693036795204</v>
      </c>
      <c r="H399" s="279">
        <v>39.278934224594472</v>
      </c>
      <c r="I399" s="279">
        <v>41.86242352367691</v>
      </c>
      <c r="J399" s="279">
        <v>45.02686217424759</v>
      </c>
      <c r="K399" s="279">
        <v>46.239526418644402</v>
      </c>
      <c r="L399" s="279">
        <v>47.194347054021996</v>
      </c>
      <c r="M399" s="279">
        <v>47.363644589041854</v>
      </c>
      <c r="N399" s="279">
        <v>48.399012897511945</v>
      </c>
      <c r="O399" s="279">
        <v>48.922627728966354</v>
      </c>
      <c r="P399" s="279">
        <v>49.511331805816845</v>
      </c>
      <c r="Q399" s="279">
        <v>51.280779091661302</v>
      </c>
      <c r="R399" s="279">
        <v>54.898201879545951</v>
      </c>
      <c r="S399" s="279">
        <v>54.615722298042094</v>
      </c>
      <c r="T399" s="279">
        <v>55.357281017515618</v>
      </c>
      <c r="U399" s="279">
        <v>58.000117418601761</v>
      </c>
      <c r="V399" s="279">
        <v>59.738223495031647</v>
      </c>
    </row>
    <row r="400" spans="1:22" x14ac:dyDescent="0.2">
      <c r="A400" s="267"/>
      <c r="B400" s="270" t="s">
        <v>20</v>
      </c>
      <c r="C400" s="278">
        <v>0</v>
      </c>
      <c r="D400" s="279">
        <v>12.312604899999997</v>
      </c>
      <c r="E400" s="279">
        <v>12.4897574</v>
      </c>
      <c r="F400" s="279">
        <v>12.707401900000004</v>
      </c>
      <c r="G400" s="279">
        <v>13.070817600000003</v>
      </c>
      <c r="H400" s="279">
        <v>13.525340300000003</v>
      </c>
      <c r="I400" s="279">
        <v>14.0446502</v>
      </c>
      <c r="J400" s="279">
        <v>14.368586199999998</v>
      </c>
      <c r="K400" s="279">
        <v>14.677337700000001</v>
      </c>
      <c r="L400" s="279">
        <v>14.919277399999999</v>
      </c>
      <c r="M400" s="279">
        <v>15.038728800000007</v>
      </c>
      <c r="N400" s="279">
        <v>15.2432134</v>
      </c>
      <c r="O400" s="279">
        <v>15.574235500000006</v>
      </c>
      <c r="P400" s="279">
        <v>15.929552800000005</v>
      </c>
      <c r="Q400" s="279">
        <v>16.267660999999997</v>
      </c>
      <c r="R400" s="279">
        <v>16.498465400000004</v>
      </c>
      <c r="S400" s="279">
        <v>16.836573599999998</v>
      </c>
      <c r="T400" s="279">
        <v>17.221247599999995</v>
      </c>
      <c r="U400" s="279">
        <v>17.643376700000005</v>
      </c>
      <c r="V400" s="279">
        <v>18.079678000000005</v>
      </c>
    </row>
    <row r="401" spans="1:22" x14ac:dyDescent="0.2">
      <c r="A401" s="267"/>
      <c r="B401" s="270" t="s">
        <v>92</v>
      </c>
      <c r="C401" s="278">
        <v>0</v>
      </c>
      <c r="D401" s="279">
        <v>1.0192923128410449</v>
      </c>
      <c r="E401" s="279">
        <v>1.0398660714268486</v>
      </c>
      <c r="F401" s="279">
        <v>1.0608550980736546</v>
      </c>
      <c r="G401" s="279">
        <v>1.082267774699708</v>
      </c>
      <c r="H401" s="279">
        <v>1.1041126524068747</v>
      </c>
      <c r="I401" s="279">
        <v>1.1263984548955015</v>
      </c>
      <c r="J401" s="279">
        <v>1.1491340819482061</v>
      </c>
      <c r="K401" s="279">
        <v>1.1723286129839854</v>
      </c>
      <c r="L401" s="279">
        <v>1.1959913106840558</v>
      </c>
      <c r="M401" s="279">
        <v>1.2201316246908882</v>
      </c>
      <c r="N401" s="279">
        <v>1.2447591953818979</v>
      </c>
      <c r="O401" s="279">
        <v>1.2698838577193063</v>
      </c>
      <c r="P401" s="279">
        <v>1.2955156451777103</v>
      </c>
      <c r="Q401" s="279">
        <v>1.321664793750928</v>
      </c>
      <c r="R401" s="279">
        <v>1.3483417460397153</v>
      </c>
      <c r="S401" s="279">
        <v>1.3755571554219979</v>
      </c>
      <c r="T401" s="279">
        <v>1.4033218903072699</v>
      </c>
      <c r="U401" s="279">
        <v>1.4316470384768691</v>
      </c>
      <c r="V401" s="279">
        <v>1.460543911511855</v>
      </c>
    </row>
    <row r="402" spans="1:22" x14ac:dyDescent="0.2">
      <c r="A402" s="267"/>
      <c r="B402" s="270" t="s">
        <v>22</v>
      </c>
      <c r="C402" s="278">
        <v>0</v>
      </c>
      <c r="D402" s="279">
        <v>0</v>
      </c>
      <c r="E402" s="279">
        <v>0</v>
      </c>
      <c r="F402" s="279">
        <v>0</v>
      </c>
      <c r="G402" s="279">
        <v>0</v>
      </c>
      <c r="H402" s="279">
        <v>0</v>
      </c>
      <c r="I402" s="279">
        <v>0.73495026529066787</v>
      </c>
      <c r="J402" s="279">
        <v>0.81463365834030721</v>
      </c>
      <c r="K402" s="279">
        <v>0.98570510825062418</v>
      </c>
      <c r="L402" s="279">
        <v>0.98731539104682198</v>
      </c>
      <c r="M402" s="279">
        <v>1.0980465150657761</v>
      </c>
      <c r="N402" s="279">
        <v>1.2095812747521171</v>
      </c>
      <c r="O402" s="279">
        <v>1.3401797880821271</v>
      </c>
      <c r="P402" s="279">
        <v>1.5026940897705627</v>
      </c>
      <c r="Q402" s="279">
        <v>1.6727330128467011</v>
      </c>
      <c r="R402" s="279">
        <v>1.8528771878579546</v>
      </c>
      <c r="S402" s="279">
        <v>2.0344568736727182</v>
      </c>
      <c r="T402" s="279">
        <v>1.9987546938296923</v>
      </c>
      <c r="U402" s="279">
        <v>1.7100427482484375</v>
      </c>
      <c r="V402" s="279">
        <v>1.7729988329679758</v>
      </c>
    </row>
    <row r="403" spans="1:22" x14ac:dyDescent="0.2">
      <c r="A403" s="267"/>
      <c r="B403" s="270" t="s">
        <v>23</v>
      </c>
      <c r="C403" s="278">
        <v>0</v>
      </c>
      <c r="D403" s="279">
        <v>0</v>
      </c>
      <c r="E403" s="279">
        <v>0</v>
      </c>
      <c r="F403" s="279">
        <v>3.0830447667337761</v>
      </c>
      <c r="G403" s="279">
        <v>2.6269473961342293</v>
      </c>
      <c r="H403" s="279">
        <v>2.7271302915355133</v>
      </c>
      <c r="I403" s="279">
        <v>2.8323649243742555</v>
      </c>
      <c r="J403" s="279">
        <v>3.7176606051511283</v>
      </c>
      <c r="K403" s="279">
        <v>3.2464008892164982</v>
      </c>
      <c r="L403" s="279">
        <v>3.4370745213348548</v>
      </c>
      <c r="M403" s="279">
        <v>3.2705080434296963</v>
      </c>
      <c r="N403" s="279">
        <v>3.3641780892743718</v>
      </c>
      <c r="O403" s="279">
        <v>3.4514141605682238</v>
      </c>
      <c r="P403" s="279">
        <v>3.082836976212155</v>
      </c>
      <c r="Q403" s="279">
        <v>3.1930628212553867</v>
      </c>
      <c r="R403" s="279">
        <v>3.2590486816573931</v>
      </c>
      <c r="S403" s="279">
        <v>3.4608807248688502</v>
      </c>
      <c r="T403" s="279">
        <v>3.2535868322102361</v>
      </c>
      <c r="U403" s="279">
        <v>3.58342583865719</v>
      </c>
      <c r="V403" s="279">
        <v>1.9509981844631559</v>
      </c>
    </row>
    <row r="404" spans="1:22" x14ac:dyDescent="0.2">
      <c r="A404" s="269" t="s">
        <v>94</v>
      </c>
      <c r="B404" s="270"/>
      <c r="C404" s="273"/>
      <c r="D404" s="274"/>
      <c r="E404" s="274"/>
      <c r="F404" s="274"/>
      <c r="G404" s="274"/>
      <c r="H404" s="274"/>
      <c r="I404" s="274"/>
      <c r="J404" s="274"/>
      <c r="K404" s="274"/>
      <c r="L404" s="274"/>
      <c r="M404" s="274"/>
      <c r="N404" s="274"/>
      <c r="O404" s="274"/>
      <c r="P404" s="274"/>
      <c r="Q404" s="274"/>
      <c r="R404" s="274"/>
      <c r="S404" s="274"/>
      <c r="T404" s="274"/>
      <c r="U404" s="274"/>
      <c r="V404" s="274"/>
    </row>
    <row r="405" spans="1:22" x14ac:dyDescent="0.2">
      <c r="A405" s="267"/>
      <c r="B405" s="270" t="s">
        <v>34</v>
      </c>
      <c r="C405" s="278">
        <v>0</v>
      </c>
      <c r="D405" s="279">
        <v>11.825732239526802</v>
      </c>
      <c r="E405" s="279">
        <v>12.062246884317339</v>
      </c>
      <c r="F405" s="279">
        <v>12.303491822003688</v>
      </c>
      <c r="G405" s="279">
        <v>12.549561658443761</v>
      </c>
      <c r="H405" s="279">
        <v>12.800552891612634</v>
      </c>
      <c r="I405" s="279">
        <v>13.056563949444888</v>
      </c>
      <c r="J405" s="279">
        <v>13.317695228433786</v>
      </c>
      <c r="K405" s="279">
        <v>13.584049133002461</v>
      </c>
      <c r="L405" s="279">
        <v>13.85573011566251</v>
      </c>
      <c r="M405" s="279">
        <v>14.132844717975759</v>
      </c>
      <c r="N405" s="279">
        <v>14.415501612335275</v>
      </c>
      <c r="O405" s="279">
        <v>14.703811644581982</v>
      </c>
      <c r="P405" s="279">
        <v>14.997887877473623</v>
      </c>
      <c r="Q405" s="279">
        <v>15.297845635023094</v>
      </c>
      <c r="R405" s="279">
        <v>15.603802547723555</v>
      </c>
      <c r="S405" s="279">
        <v>15.915878598678026</v>
      </c>
      <c r="T405" s="279">
        <v>16.234196170651586</v>
      </c>
      <c r="U405" s="279">
        <v>16.558880094064619</v>
      </c>
      <c r="V405" s="279">
        <v>16.890057695945909</v>
      </c>
    </row>
    <row r="406" spans="1:22" x14ac:dyDescent="0.2">
      <c r="A406" s="267"/>
      <c r="B406" s="270" t="s">
        <v>95</v>
      </c>
      <c r="C406" s="278">
        <v>0</v>
      </c>
      <c r="D406" s="279">
        <v>1.6844097682300141</v>
      </c>
      <c r="E406" s="279">
        <v>1.7307910932204937</v>
      </c>
      <c r="F406" s="279">
        <v>1.7781881692282651</v>
      </c>
      <c r="G406" s="279">
        <v>1.8266564191538115</v>
      </c>
      <c r="H406" s="279">
        <v>1.8782479455981484</v>
      </c>
      <c r="I406" s="279">
        <v>1.9291132670249922</v>
      </c>
      <c r="J406" s="279">
        <v>1.9833078465349354</v>
      </c>
      <c r="K406" s="279">
        <v>2.0367542097853</v>
      </c>
      <c r="L406" s="279">
        <v>2.0936936712266707</v>
      </c>
      <c r="M406" s="279">
        <v>2.153581426968191</v>
      </c>
      <c r="N406" s="279">
        <v>2.2149270379863943</v>
      </c>
      <c r="O406" s="279">
        <v>2.2856489443302896</v>
      </c>
      <c r="P406" s="279">
        <v>2.3461185646965155</v>
      </c>
      <c r="Q406" s="279">
        <v>2.4080999255718969</v>
      </c>
      <c r="R406" s="279">
        <v>2.4716370186052505</v>
      </c>
      <c r="S406" s="279">
        <v>2.5367625389644379</v>
      </c>
      <c r="T406" s="279">
        <v>2.6035031722285331</v>
      </c>
      <c r="U406" s="279">
        <v>2.6719189953875575</v>
      </c>
      <c r="V406" s="279">
        <v>2.7420520557078731</v>
      </c>
    </row>
    <row r="407" spans="1:22" x14ac:dyDescent="0.2">
      <c r="A407" s="267"/>
      <c r="B407" s="270" t="s">
        <v>36</v>
      </c>
      <c r="C407" s="278">
        <v>0</v>
      </c>
      <c r="D407" s="279">
        <v>2.3116030498589115</v>
      </c>
      <c r="E407" s="279">
        <v>2.3603778742109438</v>
      </c>
      <c r="F407" s="279">
        <v>2.4120701496561674</v>
      </c>
      <c r="G407" s="279">
        <v>2.4665829350383768</v>
      </c>
      <c r="H407" s="279">
        <v>2.5252876088922962</v>
      </c>
      <c r="I407" s="279">
        <v>2.5885715702428405</v>
      </c>
      <c r="J407" s="279">
        <v>2.6527753566130179</v>
      </c>
      <c r="K407" s="279">
        <v>2.7199225830460159</v>
      </c>
      <c r="L407" s="279">
        <v>2.7871046708472593</v>
      </c>
      <c r="M407" s="279">
        <v>2.858175839953855</v>
      </c>
      <c r="N407" s="279">
        <v>2.9273436952807472</v>
      </c>
      <c r="O407" s="279">
        <v>3.0011127564018163</v>
      </c>
      <c r="P407" s="279">
        <v>3.0773410204144152</v>
      </c>
      <c r="Q407" s="279">
        <v>3.154274545924773</v>
      </c>
      <c r="R407" s="279">
        <v>3.2334468370274849</v>
      </c>
      <c r="S407" s="279">
        <v>3.3142830079531787</v>
      </c>
      <c r="T407" s="279">
        <v>3.3964772265504157</v>
      </c>
      <c r="U407" s="279">
        <v>3.4817288049368371</v>
      </c>
      <c r="V407" s="279">
        <v>3.5691201979407476</v>
      </c>
    </row>
    <row r="408" spans="1:22" x14ac:dyDescent="0.2">
      <c r="A408" s="267"/>
      <c r="B408" s="270" t="s">
        <v>39</v>
      </c>
      <c r="C408" s="278">
        <v>0</v>
      </c>
      <c r="D408" s="279">
        <v>29.021521288244763</v>
      </c>
      <c r="E408" s="279">
        <v>13.587859388083736</v>
      </c>
      <c r="F408" s="279">
        <v>3.9267366827697261</v>
      </c>
      <c r="G408" s="279">
        <v>15.153588921095009</v>
      </c>
      <c r="H408" s="279">
        <v>15.679076637681156</v>
      </c>
      <c r="I408" s="279">
        <v>16.149448936811591</v>
      </c>
      <c r="J408" s="279">
        <v>16.633932404915942</v>
      </c>
      <c r="K408" s="279">
        <v>17.13295037706342</v>
      </c>
      <c r="L408" s="279">
        <v>17.646938888375324</v>
      </c>
      <c r="M408" s="279">
        <v>18.176347055026586</v>
      </c>
      <c r="N408" s="279">
        <v>18.721637466677386</v>
      </c>
      <c r="O408" s="279">
        <v>19.283286590677708</v>
      </c>
      <c r="P408" s="279">
        <v>19.861785188398041</v>
      </c>
      <c r="Q408" s="279">
        <v>20.457638744049984</v>
      </c>
      <c r="R408" s="279">
        <v>21.071367906371481</v>
      </c>
      <c r="S408" s="279">
        <v>21.703508943562628</v>
      </c>
      <c r="T408" s="279">
        <v>22.35461421186951</v>
      </c>
      <c r="U408" s="279">
        <v>23.025252638225595</v>
      </c>
      <c r="V408" s="279">
        <v>23.716010217372364</v>
      </c>
    </row>
    <row r="409" spans="1:22" x14ac:dyDescent="0.2">
      <c r="A409" s="267"/>
      <c r="B409" s="270" t="s">
        <v>96</v>
      </c>
      <c r="C409" s="280">
        <v>0</v>
      </c>
      <c r="D409" s="281">
        <v>0</v>
      </c>
      <c r="E409" s="281">
        <v>0</v>
      </c>
      <c r="F409" s="281">
        <v>0</v>
      </c>
      <c r="G409" s="281">
        <v>0</v>
      </c>
      <c r="H409" s="281">
        <v>0</v>
      </c>
      <c r="I409" s="281">
        <v>0</v>
      </c>
      <c r="J409" s="281">
        <v>0</v>
      </c>
      <c r="K409" s="281">
        <v>0</v>
      </c>
      <c r="L409" s="281">
        <v>0</v>
      </c>
      <c r="M409" s="281">
        <v>0</v>
      </c>
      <c r="N409" s="281">
        <v>0</v>
      </c>
      <c r="O409" s="281">
        <v>0</v>
      </c>
      <c r="P409" s="281">
        <v>0</v>
      </c>
      <c r="Q409" s="281">
        <v>0</v>
      </c>
      <c r="R409" s="281">
        <v>0</v>
      </c>
      <c r="S409" s="281">
        <v>0</v>
      </c>
      <c r="T409" s="281">
        <v>0</v>
      </c>
      <c r="U409" s="281">
        <v>0</v>
      </c>
      <c r="V409" s="281">
        <v>0</v>
      </c>
    </row>
    <row r="410" spans="1:22" x14ac:dyDescent="0.2">
      <c r="A410" s="267"/>
      <c r="B410" s="270"/>
      <c r="C410" s="267"/>
      <c r="D410" s="267"/>
      <c r="E410" s="267"/>
      <c r="F410" s="267"/>
      <c r="G410" s="267"/>
      <c r="H410" s="267"/>
      <c r="I410" s="267"/>
      <c r="J410" s="267"/>
      <c r="K410" s="267"/>
      <c r="L410" s="267"/>
      <c r="M410" s="267"/>
      <c r="N410" s="267"/>
      <c r="O410" s="267"/>
      <c r="P410" s="267"/>
      <c r="Q410" s="267"/>
      <c r="R410" s="267"/>
      <c r="S410" s="267"/>
      <c r="T410" s="267"/>
      <c r="U410" s="267"/>
      <c r="V410" s="267"/>
    </row>
    <row r="411" spans="1:22" x14ac:dyDescent="0.2">
      <c r="A411" s="267"/>
      <c r="B411" s="270"/>
      <c r="C411" s="267"/>
      <c r="D411" s="267"/>
      <c r="E411" s="267"/>
      <c r="F411" s="267"/>
      <c r="G411" s="267"/>
      <c r="H411" s="267"/>
      <c r="I411" s="267"/>
      <c r="J411" s="267"/>
      <c r="K411" s="267"/>
      <c r="L411" s="267"/>
      <c r="M411" s="267"/>
      <c r="N411" s="267"/>
      <c r="O411" s="267"/>
      <c r="P411" s="267"/>
      <c r="Q411" s="267"/>
      <c r="R411" s="267"/>
      <c r="S411" s="267"/>
      <c r="T411" s="267"/>
      <c r="U411" s="267"/>
      <c r="V411" s="267"/>
    </row>
    <row r="412" spans="1:22" x14ac:dyDescent="0.2">
      <c r="A412" s="24"/>
      <c r="B412" s="295"/>
      <c r="C412" s="299"/>
      <c r="D412" s="299"/>
      <c r="E412" s="299"/>
      <c r="F412" s="299"/>
      <c r="G412" s="299"/>
      <c r="H412" s="299"/>
      <c r="I412" s="299"/>
      <c r="J412" s="299"/>
      <c r="K412" s="299"/>
      <c r="L412" s="299"/>
      <c r="M412" s="299"/>
      <c r="N412" s="299"/>
      <c r="O412" s="299"/>
      <c r="P412" s="299"/>
      <c r="Q412" s="299"/>
      <c r="R412" s="299"/>
      <c r="S412" s="299"/>
      <c r="T412" s="299"/>
      <c r="U412" s="299"/>
      <c r="V412" s="299"/>
    </row>
    <row r="413" spans="1:22" x14ac:dyDescent="0.2">
      <c r="A413" s="24"/>
      <c r="B413" s="295"/>
      <c r="C413" s="299"/>
      <c r="D413" s="299"/>
      <c r="E413" s="299"/>
      <c r="F413" s="299"/>
      <c r="G413" s="299"/>
      <c r="H413" s="299"/>
      <c r="I413" s="299"/>
      <c r="J413" s="299"/>
      <c r="K413" s="299"/>
      <c r="L413" s="299"/>
      <c r="M413" s="299"/>
      <c r="N413" s="299"/>
      <c r="O413" s="299"/>
      <c r="P413" s="299"/>
      <c r="Q413" s="299"/>
      <c r="R413" s="299"/>
      <c r="S413" s="299"/>
      <c r="T413" s="299"/>
      <c r="U413" s="299"/>
      <c r="V413" s="299"/>
    </row>
    <row r="414" spans="1:22" x14ac:dyDescent="0.2">
      <c r="A414" s="265" t="s">
        <v>98</v>
      </c>
      <c r="B414" s="266"/>
      <c r="C414" s="267"/>
      <c r="D414" s="267"/>
      <c r="E414" s="267"/>
      <c r="F414" s="267"/>
      <c r="G414" s="267"/>
      <c r="H414" s="267"/>
      <c r="I414" s="267"/>
      <c r="J414" s="267"/>
      <c r="K414" s="267"/>
      <c r="L414" s="267"/>
      <c r="M414" s="267"/>
      <c r="N414" s="267"/>
      <c r="O414" s="267"/>
      <c r="P414" s="267"/>
      <c r="Q414" s="267"/>
      <c r="R414" s="267"/>
      <c r="S414" s="267"/>
      <c r="T414" s="267"/>
      <c r="U414" s="267"/>
      <c r="V414" s="267"/>
    </row>
    <row r="415" spans="1:22" x14ac:dyDescent="0.2">
      <c r="A415" s="268" t="s">
        <v>72</v>
      </c>
      <c r="B415" s="266"/>
      <c r="C415" s="267"/>
      <c r="D415" s="267"/>
      <c r="E415" s="267"/>
      <c r="F415" s="267"/>
      <c r="G415" s="267"/>
      <c r="H415" s="267"/>
      <c r="I415" s="267"/>
      <c r="J415" s="267"/>
      <c r="K415" s="267"/>
      <c r="L415" s="267"/>
      <c r="M415" s="267"/>
      <c r="N415" s="267"/>
      <c r="O415" s="267"/>
      <c r="P415" s="267"/>
      <c r="Q415" s="267"/>
      <c r="R415" s="267"/>
      <c r="S415" s="267"/>
      <c r="T415" s="267"/>
      <c r="U415" s="267"/>
      <c r="V415" s="267"/>
    </row>
    <row r="416" spans="1:22" x14ac:dyDescent="0.2">
      <c r="A416" s="267"/>
      <c r="B416" s="266"/>
      <c r="C416" s="267"/>
      <c r="D416" s="267"/>
      <c r="E416" s="267"/>
      <c r="F416" s="267"/>
      <c r="G416" s="267"/>
      <c r="H416" s="267"/>
      <c r="I416" s="267"/>
      <c r="J416" s="267"/>
      <c r="K416" s="267"/>
      <c r="L416" s="267"/>
      <c r="M416" s="267"/>
      <c r="N416" s="267"/>
      <c r="O416" s="267"/>
      <c r="P416" s="267"/>
      <c r="Q416" s="267"/>
      <c r="R416" s="267"/>
      <c r="S416" s="267"/>
      <c r="T416" s="267"/>
      <c r="U416" s="267"/>
      <c r="V416" s="267"/>
    </row>
    <row r="417" spans="1:22" x14ac:dyDescent="0.2">
      <c r="A417" s="267"/>
      <c r="B417" s="266"/>
      <c r="C417" s="271">
        <v>2000</v>
      </c>
      <c r="D417" s="272">
        <v>2001</v>
      </c>
      <c r="E417" s="272">
        <v>2002</v>
      </c>
      <c r="F417" s="272">
        <v>2003</v>
      </c>
      <c r="G417" s="272">
        <v>2004</v>
      </c>
      <c r="H417" s="272">
        <v>2005</v>
      </c>
      <c r="I417" s="272">
        <v>2006</v>
      </c>
      <c r="J417" s="272">
        <v>2007</v>
      </c>
      <c r="K417" s="272">
        <v>2008</v>
      </c>
      <c r="L417" s="272">
        <v>2009</v>
      </c>
      <c r="M417" s="272">
        <v>2010</v>
      </c>
      <c r="N417" s="272">
        <v>2011</v>
      </c>
      <c r="O417" s="272">
        <v>2012</v>
      </c>
      <c r="P417" s="272">
        <v>2013</v>
      </c>
      <c r="Q417" s="272">
        <v>2014</v>
      </c>
      <c r="R417" s="272">
        <v>2015</v>
      </c>
      <c r="S417" s="272">
        <v>2016</v>
      </c>
      <c r="T417" s="272">
        <v>2017</v>
      </c>
      <c r="U417" s="272">
        <v>2018</v>
      </c>
      <c r="V417" s="272">
        <v>2019</v>
      </c>
    </row>
    <row r="418" spans="1:22" x14ac:dyDescent="0.2">
      <c r="A418" s="269" t="s">
        <v>129</v>
      </c>
      <c r="B418" s="266"/>
      <c r="C418" s="273"/>
      <c r="D418" s="274"/>
      <c r="E418" s="274"/>
      <c r="F418" s="274"/>
      <c r="G418" s="274"/>
      <c r="H418" s="274"/>
      <c r="I418" s="274"/>
      <c r="J418" s="274"/>
      <c r="K418" s="274"/>
      <c r="L418" s="274"/>
      <c r="M418" s="274"/>
      <c r="N418" s="274"/>
      <c r="O418" s="274"/>
      <c r="P418" s="274"/>
      <c r="Q418" s="274"/>
      <c r="R418" s="274"/>
      <c r="S418" s="274"/>
      <c r="T418" s="274"/>
      <c r="U418" s="274"/>
      <c r="V418" s="274"/>
    </row>
    <row r="419" spans="1:22" x14ac:dyDescent="0.2">
      <c r="A419" s="267"/>
      <c r="B419" s="270" t="s">
        <v>97</v>
      </c>
      <c r="C419" s="275">
        <v>0</v>
      </c>
      <c r="D419" s="276">
        <v>4403233.7359135561</v>
      </c>
      <c r="E419" s="276">
        <v>4343571.9869504571</v>
      </c>
      <c r="F419" s="276">
        <v>4282717.0030080946</v>
      </c>
      <c r="G419" s="276">
        <v>4220644.9193868879</v>
      </c>
      <c r="H419" s="276">
        <v>4157331.3940932546</v>
      </c>
      <c r="I419" s="276">
        <v>4118292.5763697531</v>
      </c>
      <c r="J419" s="276">
        <v>4118292.5763697531</v>
      </c>
      <c r="K419" s="276">
        <v>4118292.5763697531</v>
      </c>
      <c r="L419" s="276">
        <v>4118292.5763697531</v>
      </c>
      <c r="M419" s="276">
        <v>4118292.5763697531</v>
      </c>
      <c r="N419" s="276">
        <v>4118292.5763697531</v>
      </c>
      <c r="O419" s="276">
        <v>4118292.5763697531</v>
      </c>
      <c r="P419" s="276">
        <v>4118292.5763697531</v>
      </c>
      <c r="Q419" s="276">
        <v>4118292.5763697531</v>
      </c>
      <c r="R419" s="276">
        <v>4118292.5763697531</v>
      </c>
      <c r="S419" s="276">
        <v>4118292.5763697531</v>
      </c>
      <c r="T419" s="276">
        <v>4118292.5763697531</v>
      </c>
      <c r="U419" s="276">
        <v>4118292.5763697531</v>
      </c>
      <c r="V419" s="276">
        <v>4118292.5763697531</v>
      </c>
    </row>
    <row r="420" spans="1:22" x14ac:dyDescent="0.2">
      <c r="A420" s="267"/>
      <c r="B420" s="270" t="s">
        <v>91</v>
      </c>
      <c r="C420" s="275">
        <v>0</v>
      </c>
      <c r="D420" s="277">
        <v>0.83151737462062614</v>
      </c>
      <c r="E420" s="277">
        <v>0.82025070475060669</v>
      </c>
      <c r="F420" s="277">
        <v>0.8087587014831864</v>
      </c>
      <c r="G420" s="277">
        <v>0.79703685815041836</v>
      </c>
      <c r="H420" s="277">
        <v>0.7850805779509944</v>
      </c>
      <c r="I420" s="277">
        <v>0.77770839260526137</v>
      </c>
      <c r="J420" s="277">
        <v>0.77770839260526137</v>
      </c>
      <c r="K420" s="277">
        <v>0.77770839260526137</v>
      </c>
      <c r="L420" s="277">
        <v>0.77770839260526137</v>
      </c>
      <c r="M420" s="277">
        <v>0.77770839260526137</v>
      </c>
      <c r="N420" s="277">
        <v>0.77770839260526137</v>
      </c>
      <c r="O420" s="277">
        <v>0.77770839260526137</v>
      </c>
      <c r="P420" s="277">
        <v>0.77770839260526137</v>
      </c>
      <c r="Q420" s="277">
        <v>0.77770839260526137</v>
      </c>
      <c r="R420" s="277">
        <v>0.77770839260526137</v>
      </c>
      <c r="S420" s="277">
        <v>0.77770839260526137</v>
      </c>
      <c r="T420" s="277">
        <v>0.77770839260526137</v>
      </c>
      <c r="U420" s="277">
        <v>0.77770839260526137</v>
      </c>
      <c r="V420" s="277">
        <v>0.77770839260526137</v>
      </c>
    </row>
    <row r="421" spans="1:22" x14ac:dyDescent="0.2">
      <c r="A421" s="269" t="s">
        <v>93</v>
      </c>
      <c r="B421" s="270"/>
      <c r="C421" s="273"/>
      <c r="D421" s="274"/>
      <c r="E421" s="274"/>
      <c r="F421" s="274"/>
      <c r="G421" s="274"/>
      <c r="H421" s="274"/>
      <c r="I421" s="274"/>
      <c r="J421" s="274"/>
      <c r="K421" s="274"/>
      <c r="L421" s="274"/>
      <c r="M421" s="274"/>
      <c r="N421" s="274"/>
      <c r="O421" s="274"/>
      <c r="P421" s="274"/>
      <c r="Q421" s="274"/>
      <c r="R421" s="274"/>
      <c r="S421" s="274"/>
      <c r="T421" s="274"/>
      <c r="U421" s="274"/>
      <c r="V421" s="274"/>
    </row>
    <row r="422" spans="1:22" x14ac:dyDescent="0.2">
      <c r="A422" s="267"/>
      <c r="B422" s="270" t="s">
        <v>27</v>
      </c>
      <c r="C422" s="278">
        <v>0</v>
      </c>
      <c r="D422" s="279">
        <v>39.337612436551183</v>
      </c>
      <c r="E422" s="279">
        <v>38.876591511234537</v>
      </c>
      <c r="F422" s="279">
        <v>39.501092679672084</v>
      </c>
      <c r="G422" s="279">
        <v>39.04369303679519</v>
      </c>
      <c r="H422" s="279">
        <v>39.278934224594465</v>
      </c>
      <c r="I422" s="279">
        <v>41.862423523676917</v>
      </c>
      <c r="J422" s="279">
        <v>45.026862174247618</v>
      </c>
      <c r="K422" s="279">
        <v>46.23952641864436</v>
      </c>
      <c r="L422" s="279">
        <v>47.194347054021961</v>
      </c>
      <c r="M422" s="279">
        <v>47.363644589041854</v>
      </c>
      <c r="N422" s="279">
        <v>48.399012897511952</v>
      </c>
      <c r="O422" s="279">
        <v>48.922627728966347</v>
      </c>
      <c r="P422" s="279">
        <v>49.511331805816852</v>
      </c>
      <c r="Q422" s="279">
        <v>51.280779091661309</v>
      </c>
      <c r="R422" s="279">
        <v>54.898201879545987</v>
      </c>
      <c r="S422" s="279">
        <v>54.615722298042087</v>
      </c>
      <c r="T422" s="279">
        <v>55.357281017515618</v>
      </c>
      <c r="U422" s="279">
        <v>58.000117418601747</v>
      </c>
      <c r="V422" s="279">
        <v>59.738223495031676</v>
      </c>
    </row>
    <row r="423" spans="1:22" x14ac:dyDescent="0.2">
      <c r="A423" s="267"/>
      <c r="B423" s="270" t="s">
        <v>20</v>
      </c>
      <c r="C423" s="278">
        <v>0</v>
      </c>
      <c r="D423" s="279">
        <v>8.6777082000000014</v>
      </c>
      <c r="E423" s="279">
        <v>8.6432994000000019</v>
      </c>
      <c r="F423" s="279">
        <v>8.6595480000000009</v>
      </c>
      <c r="G423" s="279">
        <v>8.7627743999999979</v>
      </c>
      <c r="H423" s="279">
        <v>8.9271720000000023</v>
      </c>
      <c r="I423" s="279">
        <v>9.2339838000000043</v>
      </c>
      <c r="J423" s="279">
        <v>9.6048342000000027</v>
      </c>
      <c r="K423" s="279">
        <v>9.9039996000000006</v>
      </c>
      <c r="L423" s="279">
        <v>10.2050766</v>
      </c>
      <c r="M423" s="279">
        <v>10.565413200000004</v>
      </c>
      <c r="N423" s="279">
        <v>10.916191800000004</v>
      </c>
      <c r="O423" s="279">
        <v>11.137937400000006</v>
      </c>
      <c r="P423" s="279">
        <v>11.287998000000004</v>
      </c>
      <c r="Q423" s="279">
        <v>11.510699400000002</v>
      </c>
      <c r="R423" s="279">
        <v>11.732445000000004</v>
      </c>
      <c r="S423" s="279">
        <v>11.961837000000008</v>
      </c>
      <c r="T423" s="279">
        <v>12.194096400000005</v>
      </c>
      <c r="U423" s="279">
        <v>12.431134800000002</v>
      </c>
      <c r="V423" s="279">
        <v>12.671996400000008</v>
      </c>
    </row>
    <row r="424" spans="1:22" x14ac:dyDescent="0.2">
      <c r="A424" s="267"/>
      <c r="B424" s="270" t="s">
        <v>92</v>
      </c>
      <c r="C424" s="278">
        <v>0</v>
      </c>
      <c r="D424" s="279">
        <v>0.96369455032244233</v>
      </c>
      <c r="E424" s="279">
        <v>0.98314610389447554</v>
      </c>
      <c r="F424" s="279">
        <v>1.5307902745423649</v>
      </c>
      <c r="G424" s="279">
        <v>1.5642299869888148</v>
      </c>
      <c r="H424" s="279">
        <v>1.598408200911954</v>
      </c>
      <c r="I424" s="279">
        <v>1.6333414110489284</v>
      </c>
      <c r="J424" s="279">
        <v>1.6690464847865427</v>
      </c>
      <c r="K424" s="279">
        <v>1.705540670675803</v>
      </c>
      <c r="L424" s="279">
        <v>1.742841607143143</v>
      </c>
      <c r="M424" s="279">
        <v>1.7809673314029217</v>
      </c>
      <c r="N424" s="279">
        <v>1.8199362885758918</v>
      </c>
      <c r="O424" s="279">
        <v>1.8597673410184483</v>
      </c>
      <c r="P424" s="279">
        <v>1.9004797778675806</v>
      </c>
      <c r="Q424" s="279">
        <v>1.9420933248065655</v>
      </c>
      <c r="R424" s="279">
        <v>1.9846281540565616</v>
      </c>
      <c r="S424" s="279">
        <v>2.0281048945993763</v>
      </c>
      <c r="T424" s="279">
        <v>2.0725446426368253</v>
      </c>
      <c r="U424" s="279">
        <v>2.1179689722921959</v>
      </c>
      <c r="V424" s="279">
        <v>2.164399946559489</v>
      </c>
    </row>
    <row r="425" spans="1:22" x14ac:dyDescent="0.2">
      <c r="A425" s="267"/>
      <c r="B425" s="270" t="s">
        <v>22</v>
      </c>
      <c r="C425" s="278">
        <v>0</v>
      </c>
      <c r="D425" s="279">
        <v>0</v>
      </c>
      <c r="E425" s="279">
        <v>0</v>
      </c>
      <c r="F425" s="279">
        <v>0</v>
      </c>
      <c r="G425" s="279">
        <v>0</v>
      </c>
      <c r="H425" s="279">
        <v>0</v>
      </c>
      <c r="I425" s="279">
        <v>-0.11991306442485641</v>
      </c>
      <c r="J425" s="279">
        <v>-0.13291405278503293</v>
      </c>
      <c r="K425" s="279">
        <v>-0.12559314467596236</v>
      </c>
      <c r="L425" s="279">
        <v>-0.16108847045238703</v>
      </c>
      <c r="M425" s="279">
        <v>-0.17915514657375708</v>
      </c>
      <c r="N425" s="279">
        <v>-0.19735294233697079</v>
      </c>
      <c r="O425" s="279">
        <v>-0.21866114328923314</v>
      </c>
      <c r="P425" s="279">
        <v>-0.24517666256810347</v>
      </c>
      <c r="Q425" s="279">
        <v>-0.27291988452543975</v>
      </c>
      <c r="R425" s="279">
        <v>-0.30231185985229242</v>
      </c>
      <c r="S425" s="279">
        <v>-0.33193805034661045</v>
      </c>
      <c r="T425" s="279">
        <v>-0.32611295170550519</v>
      </c>
      <c r="U425" s="279">
        <v>-0.27900726882365934</v>
      </c>
      <c r="V425" s="279">
        <v>-0.28927906189516012</v>
      </c>
    </row>
    <row r="426" spans="1:22" x14ac:dyDescent="0.2">
      <c r="A426" s="267"/>
      <c r="B426" s="270" t="s">
        <v>23</v>
      </c>
      <c r="C426" s="278">
        <v>0</v>
      </c>
      <c r="D426" s="279">
        <v>0</v>
      </c>
      <c r="E426" s="279">
        <v>0</v>
      </c>
      <c r="F426" s="279">
        <v>0.54899858965382875</v>
      </c>
      <c r="G426" s="279">
        <v>0.46778121133166906</v>
      </c>
      <c r="H426" s="279">
        <v>0.485620805772917</v>
      </c>
      <c r="I426" s="279">
        <v>0.50435996442367337</v>
      </c>
      <c r="J426" s="279">
        <v>0.66200479832857761</v>
      </c>
      <c r="K426" s="279">
        <v>0.5780874571986695</v>
      </c>
      <c r="L426" s="279">
        <v>0.61204076084402947</v>
      </c>
      <c r="M426" s="279">
        <v>0.58238022446770688</v>
      </c>
      <c r="N426" s="279">
        <v>0.59906007408144357</v>
      </c>
      <c r="O426" s="279">
        <v>0.61459422416062115</v>
      </c>
      <c r="P426" s="279">
        <v>0.54896158834118347</v>
      </c>
      <c r="Q426" s="279">
        <v>0.5685895334573503</v>
      </c>
      <c r="R426" s="279">
        <v>0.58033965291350542</v>
      </c>
      <c r="S426" s="279">
        <v>0.61627993774674505</v>
      </c>
      <c r="T426" s="279">
        <v>0.57936705995094306</v>
      </c>
      <c r="U426" s="279">
        <v>0.63810157827713587</v>
      </c>
      <c r="V426" s="279">
        <v>0.34741475804848204</v>
      </c>
    </row>
    <row r="427" spans="1:22" x14ac:dyDescent="0.2">
      <c r="A427" s="269" t="s">
        <v>94</v>
      </c>
      <c r="B427" s="270"/>
      <c r="C427" s="273"/>
      <c r="D427" s="274"/>
      <c r="E427" s="274"/>
      <c r="F427" s="274"/>
      <c r="G427" s="274"/>
      <c r="H427" s="274"/>
      <c r="I427" s="274"/>
      <c r="J427" s="274"/>
      <c r="K427" s="274"/>
      <c r="L427" s="274"/>
      <c r="M427" s="274"/>
      <c r="N427" s="274"/>
      <c r="O427" s="274"/>
      <c r="P427" s="274"/>
      <c r="Q427" s="274"/>
      <c r="R427" s="274"/>
      <c r="S427" s="274"/>
      <c r="T427" s="274"/>
      <c r="U427" s="274"/>
      <c r="V427" s="274"/>
    </row>
    <row r="428" spans="1:22" x14ac:dyDescent="0.2">
      <c r="A428" s="267"/>
      <c r="B428" s="270" t="s">
        <v>34</v>
      </c>
      <c r="C428" s="278">
        <v>0</v>
      </c>
      <c r="D428" s="279">
        <v>18.051338921925449</v>
      </c>
      <c r="E428" s="279">
        <v>18.41236570036396</v>
      </c>
      <c r="F428" s="279">
        <v>18.867904991211603</v>
      </c>
      <c r="G428" s="279">
        <v>19.245699550920037</v>
      </c>
      <c r="H428" s="279">
        <v>19.631060913319747</v>
      </c>
      <c r="I428" s="279">
        <v>20.024140687251979</v>
      </c>
      <c r="J428" s="279">
        <v>20.425093520554508</v>
      </c>
      <c r="K428" s="279">
        <v>20.834077161012022</v>
      </c>
      <c r="L428" s="279">
        <v>21.251252518529846</v>
      </c>
      <c r="M428" s="279">
        <v>21.676783728555463</v>
      </c>
      <c r="N428" s="279">
        <v>22.110838216772972</v>
      </c>
      <c r="O428" s="279">
        <v>22.553586765095993</v>
      </c>
      <c r="P428" s="279">
        <v>23.005203578985157</v>
      </c>
      <c r="Q428" s="279">
        <v>23.465866356116791</v>
      </c>
      <c r="R428" s="279">
        <v>23.935756356429852</v>
      </c>
      <c r="S428" s="279">
        <v>24.415058473578945</v>
      </c>
      <c r="T428" s="279">
        <v>24.903961307821533</v>
      </c>
      <c r="U428" s="279">
        <v>25.402657240368246</v>
      </c>
      <c r="V428" s="279">
        <v>25.911342509225651</v>
      </c>
    </row>
    <row r="429" spans="1:22" x14ac:dyDescent="0.2">
      <c r="A429" s="267"/>
      <c r="B429" s="270" t="s">
        <v>95</v>
      </c>
      <c r="C429" s="278">
        <v>0</v>
      </c>
      <c r="D429" s="279">
        <v>6.2787493185101022</v>
      </c>
      <c r="E429" s="279">
        <v>6.2923968857189578</v>
      </c>
      <c r="F429" s="279">
        <v>6.3063433346496875</v>
      </c>
      <c r="G429" s="279">
        <v>6.320604973326251</v>
      </c>
      <c r="H429" s="279">
        <v>6.3352060390033165</v>
      </c>
      <c r="I429" s="279">
        <v>6.3501730088541208</v>
      </c>
      <c r="J429" s="279">
        <v>6.3655112012532822</v>
      </c>
      <c r="K429" s="279">
        <v>6.3812376349995796</v>
      </c>
      <c r="L429" s="279">
        <v>6.3973525116594105</v>
      </c>
      <c r="M429" s="279">
        <v>6.4138783176740661</v>
      </c>
      <c r="N429" s="279">
        <v>6.4308040481942772</v>
      </c>
      <c r="O429" s="279">
        <v>6.4481563071235977</v>
      </c>
      <c r="P429" s="279">
        <v>6.4659493134297223</v>
      </c>
      <c r="Q429" s="279">
        <v>6.4841871448935011</v>
      </c>
      <c r="R429" s="279">
        <v>6.5028827459270202</v>
      </c>
      <c r="S429" s="279">
        <v>6.5220457369863771</v>
      </c>
      <c r="T429" s="279">
        <v>6.5416839702240059</v>
      </c>
      <c r="U429" s="279">
        <v>6.5618151231158999</v>
      </c>
      <c r="V429" s="279">
        <v>6.5824515679453794</v>
      </c>
    </row>
    <row r="430" spans="1:22" x14ac:dyDescent="0.2">
      <c r="A430" s="267"/>
      <c r="B430" s="270" t="s">
        <v>36</v>
      </c>
      <c r="C430" s="278">
        <v>0</v>
      </c>
      <c r="D430" s="279">
        <v>2.1745697585753847</v>
      </c>
      <c r="E430" s="279">
        <v>2.2204531804813401</v>
      </c>
      <c r="F430" s="279">
        <v>2.2690811051338957</v>
      </c>
      <c r="G430" s="279">
        <v>2.3203623381098923</v>
      </c>
      <c r="H430" s="279">
        <v>2.3755869617569227</v>
      </c>
      <c r="I430" s="279">
        <v>2.4351194098405791</v>
      </c>
      <c r="J430" s="279">
        <v>2.4955171551347561</v>
      </c>
      <c r="K430" s="279">
        <v>2.5586838515025971</v>
      </c>
      <c r="L430" s="279">
        <v>2.6218833426347063</v>
      </c>
      <c r="M430" s="279">
        <v>2.6887413678718777</v>
      </c>
      <c r="N430" s="279">
        <v>2.753808908974392</v>
      </c>
      <c r="O430" s="279">
        <v>2.8232048934805456</v>
      </c>
      <c r="P430" s="279">
        <v>2.894914297774938</v>
      </c>
      <c r="Q430" s="279">
        <v>2.9672871552193216</v>
      </c>
      <c r="R430" s="279">
        <v>3.0417660628153187</v>
      </c>
      <c r="S430" s="279">
        <v>3.1178102143857074</v>
      </c>
      <c r="T430" s="279">
        <v>3.1951319077024647</v>
      </c>
      <c r="U430" s="279">
        <v>3.2753297185858061</v>
      </c>
      <c r="V430" s="279">
        <v>3.3575404945223157</v>
      </c>
    </row>
    <row r="431" spans="1:22" x14ac:dyDescent="0.2">
      <c r="A431" s="267"/>
      <c r="B431" s="270" t="s">
        <v>39</v>
      </c>
      <c r="C431" s="278">
        <v>0</v>
      </c>
      <c r="D431" s="279">
        <v>3.3872484863523571</v>
      </c>
      <c r="E431" s="279">
        <v>12.862032373862709</v>
      </c>
      <c r="F431" s="279">
        <v>5.0512151695616208</v>
      </c>
      <c r="G431" s="279">
        <v>8.8920743920595537</v>
      </c>
      <c r="H431" s="279">
        <v>10.286007258891647</v>
      </c>
      <c r="I431" s="279">
        <v>10.594587476658399</v>
      </c>
      <c r="J431" s="279">
        <v>10.912425100958151</v>
      </c>
      <c r="K431" s="279">
        <v>11.239797853986895</v>
      </c>
      <c r="L431" s="279">
        <v>11.576991789606502</v>
      </c>
      <c r="M431" s="279">
        <v>11.924301543294698</v>
      </c>
      <c r="N431" s="279">
        <v>12.282030589593539</v>
      </c>
      <c r="O431" s="279">
        <v>12.650491507281345</v>
      </c>
      <c r="P431" s="279">
        <v>13.030006252499785</v>
      </c>
      <c r="Q431" s="279">
        <v>13.420906440074781</v>
      </c>
      <c r="R431" s="279">
        <v>13.823533633277023</v>
      </c>
      <c r="S431" s="279">
        <v>14.238239642275335</v>
      </c>
      <c r="T431" s="279">
        <v>14.665386831543596</v>
      </c>
      <c r="U431" s="279">
        <v>15.105348436489905</v>
      </c>
      <c r="V431" s="279">
        <v>15.558508889584603</v>
      </c>
    </row>
    <row r="432" spans="1:22" x14ac:dyDescent="0.2">
      <c r="A432" s="267"/>
      <c r="B432" s="270" t="s">
        <v>96</v>
      </c>
      <c r="C432" s="280">
        <v>0</v>
      </c>
      <c r="D432" s="281">
        <v>4.4761258064516127</v>
      </c>
      <c r="E432" s="281">
        <v>55.576175202646823</v>
      </c>
      <c r="F432" s="281">
        <v>8.335477270471463</v>
      </c>
      <c r="G432" s="281">
        <v>0</v>
      </c>
      <c r="H432" s="281">
        <v>0</v>
      </c>
      <c r="I432" s="281">
        <v>0</v>
      </c>
      <c r="J432" s="281">
        <v>0</v>
      </c>
      <c r="K432" s="281">
        <v>0</v>
      </c>
      <c r="L432" s="281">
        <v>0</v>
      </c>
      <c r="M432" s="281">
        <v>0</v>
      </c>
      <c r="N432" s="281">
        <v>0</v>
      </c>
      <c r="O432" s="281">
        <v>0</v>
      </c>
      <c r="P432" s="281">
        <v>0</v>
      </c>
      <c r="Q432" s="281">
        <v>0</v>
      </c>
      <c r="R432" s="281">
        <v>0</v>
      </c>
      <c r="S432" s="281">
        <v>0</v>
      </c>
      <c r="T432" s="281">
        <v>0</v>
      </c>
      <c r="U432" s="281">
        <v>0</v>
      </c>
      <c r="V432" s="281">
        <v>0</v>
      </c>
    </row>
    <row r="433" spans="1:22" x14ac:dyDescent="0.2">
      <c r="A433" s="267"/>
      <c r="B433" s="270"/>
      <c r="C433" s="267"/>
      <c r="D433" s="267"/>
      <c r="E433" s="267"/>
      <c r="F433" s="267"/>
      <c r="G433" s="267"/>
      <c r="H433" s="267"/>
      <c r="I433" s="267"/>
      <c r="J433" s="267"/>
      <c r="K433" s="267"/>
      <c r="L433" s="267"/>
      <c r="M433" s="267"/>
      <c r="N433" s="267"/>
      <c r="O433" s="267"/>
      <c r="P433" s="267"/>
      <c r="Q433" s="267"/>
      <c r="R433" s="267"/>
      <c r="S433" s="267"/>
      <c r="T433" s="267"/>
      <c r="U433" s="267"/>
      <c r="V433" s="267"/>
    </row>
    <row r="434" spans="1:22" x14ac:dyDescent="0.2">
      <c r="A434" s="267"/>
      <c r="B434" s="270"/>
      <c r="C434" s="267"/>
      <c r="D434" s="267"/>
      <c r="E434" s="267"/>
      <c r="F434" s="267"/>
      <c r="G434" s="267"/>
      <c r="H434" s="267"/>
      <c r="I434" s="267"/>
      <c r="J434" s="267"/>
      <c r="K434" s="267"/>
      <c r="L434" s="267"/>
      <c r="M434" s="267"/>
      <c r="N434" s="267"/>
      <c r="O434" s="267"/>
      <c r="P434" s="267"/>
      <c r="Q434" s="267"/>
      <c r="R434" s="267"/>
      <c r="S434" s="267"/>
      <c r="T434" s="267"/>
      <c r="U434" s="267"/>
      <c r="V434" s="267"/>
    </row>
    <row r="435" spans="1:22" x14ac:dyDescent="0.2">
      <c r="A435" s="24"/>
      <c r="B435" s="295"/>
      <c r="C435" s="299"/>
      <c r="D435" s="299"/>
      <c r="E435" s="299"/>
      <c r="F435" s="299"/>
      <c r="G435" s="299"/>
      <c r="H435" s="299"/>
      <c r="I435" s="299"/>
      <c r="J435" s="299"/>
      <c r="K435" s="299"/>
      <c r="L435" s="299"/>
      <c r="M435" s="299"/>
      <c r="N435" s="299"/>
      <c r="O435" s="299"/>
      <c r="P435" s="299"/>
      <c r="Q435" s="299"/>
      <c r="R435" s="299"/>
      <c r="S435" s="299"/>
      <c r="T435" s="299"/>
      <c r="U435" s="299"/>
      <c r="V435" s="299"/>
    </row>
    <row r="436" spans="1:22" x14ac:dyDescent="0.2">
      <c r="A436" s="24"/>
      <c r="B436" s="295"/>
      <c r="C436" s="299"/>
      <c r="D436" s="299"/>
      <c r="E436" s="299"/>
      <c r="F436" s="299"/>
      <c r="G436" s="299"/>
      <c r="H436" s="299"/>
      <c r="I436" s="299"/>
      <c r="J436" s="299"/>
      <c r="K436" s="299"/>
      <c r="L436" s="299"/>
      <c r="M436" s="299"/>
      <c r="N436" s="299"/>
      <c r="O436" s="299"/>
      <c r="P436" s="299"/>
      <c r="Q436" s="299"/>
      <c r="R436" s="299"/>
      <c r="S436" s="299"/>
      <c r="T436" s="299"/>
      <c r="U436" s="299"/>
      <c r="V436" s="299"/>
    </row>
    <row r="437" spans="1:22" x14ac:dyDescent="0.2">
      <c r="A437" s="265" t="s">
        <v>98</v>
      </c>
      <c r="B437" s="266"/>
      <c r="C437" s="267"/>
      <c r="D437" s="267"/>
      <c r="E437" s="267"/>
      <c r="F437" s="267"/>
      <c r="G437" s="267"/>
      <c r="H437" s="267"/>
      <c r="I437" s="267"/>
      <c r="J437" s="267"/>
      <c r="K437" s="267"/>
      <c r="L437" s="267"/>
      <c r="M437" s="267"/>
      <c r="N437" s="267"/>
      <c r="O437" s="267"/>
      <c r="P437" s="267"/>
      <c r="Q437" s="267"/>
      <c r="R437" s="267"/>
      <c r="S437" s="267"/>
      <c r="T437" s="267"/>
      <c r="U437" s="267"/>
      <c r="V437" s="267"/>
    </row>
    <row r="438" spans="1:22" x14ac:dyDescent="0.2">
      <c r="A438" s="268" t="s">
        <v>73</v>
      </c>
      <c r="B438" s="266"/>
      <c r="C438" s="267"/>
      <c r="D438" s="267"/>
      <c r="E438" s="267"/>
      <c r="F438" s="267"/>
      <c r="G438" s="267"/>
      <c r="H438" s="267"/>
      <c r="I438" s="267"/>
      <c r="J438" s="267"/>
      <c r="K438" s="267"/>
      <c r="L438" s="267"/>
      <c r="M438" s="267"/>
      <c r="N438" s="267"/>
      <c r="O438" s="267"/>
      <c r="P438" s="267"/>
      <c r="Q438" s="267"/>
      <c r="R438" s="267"/>
      <c r="S438" s="267"/>
      <c r="T438" s="267"/>
      <c r="U438" s="267"/>
      <c r="V438" s="267"/>
    </row>
    <row r="439" spans="1:22" x14ac:dyDescent="0.2">
      <c r="A439" s="267"/>
      <c r="B439" s="266"/>
      <c r="C439" s="267"/>
      <c r="D439" s="267"/>
      <c r="E439" s="267"/>
      <c r="F439" s="267"/>
      <c r="G439" s="267"/>
      <c r="H439" s="267"/>
      <c r="I439" s="267"/>
      <c r="J439" s="267"/>
      <c r="K439" s="267"/>
      <c r="L439" s="267"/>
      <c r="M439" s="267"/>
      <c r="N439" s="267"/>
      <c r="O439" s="267"/>
      <c r="P439" s="267"/>
      <c r="Q439" s="267"/>
      <c r="R439" s="267"/>
      <c r="S439" s="267"/>
      <c r="T439" s="267"/>
      <c r="U439" s="267"/>
      <c r="V439" s="267"/>
    </row>
    <row r="440" spans="1:22" x14ac:dyDescent="0.2">
      <c r="A440" s="267"/>
      <c r="B440" s="266"/>
      <c r="C440" s="271">
        <v>2000</v>
      </c>
      <c r="D440" s="272">
        <v>2001</v>
      </c>
      <c r="E440" s="272">
        <v>2002</v>
      </c>
      <c r="F440" s="272">
        <v>2003</v>
      </c>
      <c r="G440" s="272">
        <v>2004</v>
      </c>
      <c r="H440" s="272">
        <v>2005</v>
      </c>
      <c r="I440" s="272">
        <v>2006</v>
      </c>
      <c r="J440" s="272">
        <v>2007</v>
      </c>
      <c r="K440" s="272">
        <v>2008</v>
      </c>
      <c r="L440" s="272">
        <v>2009</v>
      </c>
      <c r="M440" s="272">
        <v>2010</v>
      </c>
      <c r="N440" s="272">
        <v>2011</v>
      </c>
      <c r="O440" s="272">
        <v>2012</v>
      </c>
      <c r="P440" s="272">
        <v>2013</v>
      </c>
      <c r="Q440" s="272">
        <v>2014</v>
      </c>
      <c r="R440" s="272">
        <v>2015</v>
      </c>
      <c r="S440" s="272">
        <v>2016</v>
      </c>
      <c r="T440" s="272">
        <v>2017</v>
      </c>
      <c r="U440" s="272">
        <v>2018</v>
      </c>
      <c r="V440" s="272">
        <v>2019</v>
      </c>
    </row>
    <row r="441" spans="1:22" x14ac:dyDescent="0.2">
      <c r="A441" s="269" t="s">
        <v>129</v>
      </c>
      <c r="B441" s="266"/>
      <c r="C441" s="273"/>
      <c r="D441" s="274"/>
      <c r="E441" s="274"/>
      <c r="F441" s="274"/>
      <c r="G441" s="274"/>
      <c r="H441" s="274"/>
      <c r="I441" s="274"/>
      <c r="J441" s="274"/>
      <c r="K441" s="274"/>
      <c r="L441" s="274"/>
      <c r="M441" s="274"/>
      <c r="N441" s="274"/>
      <c r="O441" s="274"/>
      <c r="P441" s="274"/>
      <c r="Q441" s="274"/>
      <c r="R441" s="274"/>
      <c r="S441" s="274"/>
      <c r="T441" s="274"/>
      <c r="U441" s="274"/>
      <c r="V441" s="274"/>
    </row>
    <row r="442" spans="1:22" x14ac:dyDescent="0.2">
      <c r="A442" s="267"/>
      <c r="B442" s="270" t="s">
        <v>97</v>
      </c>
      <c r="C442" s="275">
        <v>0</v>
      </c>
      <c r="D442" s="276">
        <v>9510.3199459308416</v>
      </c>
      <c r="E442" s="276">
        <v>11412.38393511701</v>
      </c>
      <c r="F442" s="276">
        <v>10271.145541605309</v>
      </c>
      <c r="G442" s="276">
        <v>9890.7327437680742</v>
      </c>
      <c r="H442" s="276">
        <v>13694.860722140409</v>
      </c>
      <c r="I442" s="276">
        <v>12553.62232862871</v>
      </c>
      <c r="J442" s="276">
        <v>14455.686317814878</v>
      </c>
      <c r="K442" s="276">
        <v>27009.308646443591</v>
      </c>
      <c r="L442" s="276">
        <v>26248.483050769126</v>
      </c>
      <c r="M442" s="276">
        <v>25868.070252931888</v>
      </c>
      <c r="N442" s="276">
        <v>26248.483050769126</v>
      </c>
      <c r="O442" s="276">
        <v>27009.308646443584</v>
      </c>
      <c r="P442" s="276">
        <v>30433.02382697869</v>
      </c>
      <c r="Q442" s="276">
        <v>36139.215794537195</v>
      </c>
      <c r="R442" s="276">
        <v>27389.721444280825</v>
      </c>
      <c r="S442" s="276">
        <v>23205.180668071254</v>
      </c>
      <c r="T442" s="276">
        <v>27770.134242118052</v>
      </c>
      <c r="U442" s="276">
        <v>32335.087816164862</v>
      </c>
      <c r="V442" s="276">
        <v>27009.308646443584</v>
      </c>
    </row>
    <row r="443" spans="1:22" x14ac:dyDescent="0.2">
      <c r="A443" s="267"/>
      <c r="B443" s="270" t="s">
        <v>91</v>
      </c>
      <c r="C443" s="275">
        <v>0</v>
      </c>
      <c r="D443" s="277">
        <v>1.1800575672437514E-2</v>
      </c>
      <c r="E443" s="277">
        <v>1.4160690806925016E-2</v>
      </c>
      <c r="F443" s="277">
        <v>1.2744621726232516E-2</v>
      </c>
      <c r="G443" s="277">
        <v>1.2272598699335014E-2</v>
      </c>
      <c r="H443" s="277">
        <v>1.6992828968310017E-2</v>
      </c>
      <c r="I443" s="277">
        <v>1.5576759887617517E-2</v>
      </c>
      <c r="J443" s="277">
        <v>1.7936875022105021E-2</v>
      </c>
      <c r="K443" s="277">
        <v>3.3513634909722541E-2</v>
      </c>
      <c r="L443" s="277">
        <v>3.2569588855927541E-2</v>
      </c>
      <c r="M443" s="277">
        <v>3.2097565829030034E-2</v>
      </c>
      <c r="N443" s="277">
        <v>3.2569588855927541E-2</v>
      </c>
      <c r="O443" s="277">
        <v>3.3513634909722534E-2</v>
      </c>
      <c r="P443" s="277">
        <v>3.7761842151800042E-2</v>
      </c>
      <c r="Q443" s="277">
        <v>4.484218755526255E-2</v>
      </c>
      <c r="R443" s="277">
        <v>3.3985657936620041E-2</v>
      </c>
      <c r="S443" s="277">
        <v>2.8793404640747536E-2</v>
      </c>
      <c r="T443" s="277">
        <v>3.4457680963517534E-2</v>
      </c>
      <c r="U443" s="277">
        <v>4.0121957286287549E-2</v>
      </c>
      <c r="V443" s="277">
        <v>3.3513634909722534E-2</v>
      </c>
    </row>
    <row r="444" spans="1:22" x14ac:dyDescent="0.2">
      <c r="A444" s="269" t="s">
        <v>93</v>
      </c>
      <c r="B444" s="270"/>
      <c r="C444" s="273"/>
      <c r="D444" s="274"/>
      <c r="E444" s="274"/>
      <c r="F444" s="274"/>
      <c r="G444" s="274"/>
      <c r="H444" s="274"/>
      <c r="I444" s="274"/>
      <c r="J444" s="274"/>
      <c r="K444" s="274"/>
      <c r="L444" s="274"/>
      <c r="M444" s="274"/>
      <c r="N444" s="274"/>
      <c r="O444" s="274"/>
      <c r="P444" s="274"/>
      <c r="Q444" s="274"/>
      <c r="R444" s="274"/>
      <c r="S444" s="274"/>
      <c r="T444" s="274"/>
      <c r="U444" s="274"/>
      <c r="V444" s="274"/>
    </row>
    <row r="445" spans="1:22" x14ac:dyDescent="0.2">
      <c r="A445" s="267"/>
      <c r="B445" s="270" t="s">
        <v>27</v>
      </c>
      <c r="C445" s="278">
        <v>0</v>
      </c>
      <c r="D445" s="279">
        <v>611.70186636030769</v>
      </c>
      <c r="E445" s="279">
        <v>378.80536569457149</v>
      </c>
      <c r="F445" s="279">
        <v>332.85607056006086</v>
      </c>
      <c r="G445" s="279">
        <v>297.91387607785066</v>
      </c>
      <c r="H445" s="279">
        <v>221.42071285266005</v>
      </c>
      <c r="I445" s="279">
        <v>180.73170085407162</v>
      </c>
      <c r="J445" s="279">
        <v>178.18410446062822</v>
      </c>
      <c r="K445" s="279">
        <v>153.43574544083225</v>
      </c>
      <c r="L445" s="279">
        <v>159.18762054181354</v>
      </c>
      <c r="M445" s="279">
        <v>177.20164159211853</v>
      </c>
      <c r="N445" s="279">
        <v>146.42354297744637</v>
      </c>
      <c r="O445" s="279">
        <v>154.97527740245903</v>
      </c>
      <c r="P445" s="279">
        <v>155.87775915409668</v>
      </c>
      <c r="Q445" s="279">
        <v>158.5059767982479</v>
      </c>
      <c r="R445" s="279">
        <v>168.75755449668389</v>
      </c>
      <c r="S445" s="279">
        <v>161.36825119412052</v>
      </c>
      <c r="T445" s="279">
        <v>168.58978074091272</v>
      </c>
      <c r="U445" s="279">
        <v>173.87204900099167</v>
      </c>
      <c r="V445" s="279">
        <v>164.26227046626582</v>
      </c>
    </row>
    <row r="446" spans="1:22" x14ac:dyDescent="0.2">
      <c r="A446" s="267"/>
      <c r="B446" s="270" t="s">
        <v>20</v>
      </c>
      <c r="C446" s="278">
        <v>0</v>
      </c>
      <c r="D446" s="279">
        <v>87.901390304878021</v>
      </c>
      <c r="E446" s="279">
        <v>80.652090168150139</v>
      </c>
      <c r="F446" s="279">
        <v>78.355708375663937</v>
      </c>
      <c r="G446" s="279">
        <v>78.980054874121947</v>
      </c>
      <c r="H446" s="279">
        <v>79.511378307766506</v>
      </c>
      <c r="I446" s="279">
        <v>80.867066636479521</v>
      </c>
      <c r="J446" s="279">
        <v>81.934415979334659</v>
      </c>
      <c r="K446" s="279">
        <v>75.781666537032095</v>
      </c>
      <c r="L446" s="279">
        <v>77.593965601941321</v>
      </c>
      <c r="M446" s="279">
        <v>80.430850905466244</v>
      </c>
      <c r="N446" s="279">
        <v>82.831239612632743</v>
      </c>
      <c r="O446" s="279">
        <v>81.650042328122979</v>
      </c>
      <c r="P446" s="279">
        <v>86.659257273017033</v>
      </c>
      <c r="Q446" s="279">
        <v>85.806727845446702</v>
      </c>
      <c r="R446" s="279">
        <v>93.896838683474201</v>
      </c>
      <c r="S446" s="279">
        <v>98.379345382341597</v>
      </c>
      <c r="T446" s="279">
        <v>100.80291654497262</v>
      </c>
      <c r="U446" s="279">
        <v>107.71845425933111</v>
      </c>
      <c r="V446" s="279">
        <v>108.96522764701655</v>
      </c>
    </row>
    <row r="447" spans="1:22" x14ac:dyDescent="0.2">
      <c r="A447" s="267"/>
      <c r="B447" s="270" t="s">
        <v>92</v>
      </c>
      <c r="C447" s="278">
        <v>0</v>
      </c>
      <c r="D447" s="279">
        <v>3.7235301121569981</v>
      </c>
      <c r="E447" s="279">
        <v>3.7951574127903416</v>
      </c>
      <c r="F447" s="279">
        <v>3.8721372492655659</v>
      </c>
      <c r="G447" s="279">
        <v>3.9501041593276809</v>
      </c>
      <c r="H447" s="279">
        <v>4.0305203486502368</v>
      </c>
      <c r="I447" s="279">
        <v>4.1149933673137964</v>
      </c>
      <c r="J447" s="279">
        <v>4.1951222364909464</v>
      </c>
      <c r="K447" s="279">
        <v>4.2786076328807452</v>
      </c>
      <c r="L447" s="279">
        <v>4.3656285089210938</v>
      </c>
      <c r="M447" s="279">
        <v>4.4588931565226479</v>
      </c>
      <c r="N447" s="279">
        <v>4.5361974544635917</v>
      </c>
      <c r="O447" s="279">
        <v>4.6378851218128894</v>
      </c>
      <c r="P447" s="279">
        <v>4.7341130972811793</v>
      </c>
      <c r="Q447" s="279">
        <v>4.8236379703886652</v>
      </c>
      <c r="R447" s="279">
        <v>4.9182103300946123</v>
      </c>
      <c r="S447" s="279">
        <v>5.0209813347268373</v>
      </c>
      <c r="T447" s="279">
        <v>5.1253130335391113</v>
      </c>
      <c r="U447" s="279">
        <v>5.2297385262074156</v>
      </c>
      <c r="V447" s="279">
        <v>5.3274696551727896</v>
      </c>
    </row>
    <row r="448" spans="1:22" x14ac:dyDescent="0.2">
      <c r="A448" s="267"/>
      <c r="B448" s="270" t="s">
        <v>22</v>
      </c>
      <c r="C448" s="278">
        <v>0</v>
      </c>
      <c r="D448" s="279">
        <v>0</v>
      </c>
      <c r="E448" s="279">
        <v>0</v>
      </c>
      <c r="F448" s="279">
        <v>0</v>
      </c>
      <c r="G448" s="279">
        <v>0</v>
      </c>
      <c r="H448" s="279">
        <v>0</v>
      </c>
      <c r="I448" s="279">
        <v>1.1544660108461693</v>
      </c>
      <c r="J448" s="279">
        <v>1.2796333497113674</v>
      </c>
      <c r="K448" s="279">
        <v>1.4728146726438318</v>
      </c>
      <c r="L448" s="279">
        <v>1.5508832567031698</v>
      </c>
      <c r="M448" s="279">
        <v>1.7248206305091587</v>
      </c>
      <c r="N448" s="279">
        <v>1.9000203619288787</v>
      </c>
      <c r="O448" s="279">
        <v>2.1051655966841984</v>
      </c>
      <c r="P448" s="279">
        <v>2.3604444181722024</v>
      </c>
      <c r="Q448" s="279">
        <v>2.6275429777388846</v>
      </c>
      <c r="R448" s="279">
        <v>2.9105149513868764</v>
      </c>
      <c r="S448" s="279">
        <v>3.1957418373862496</v>
      </c>
      <c r="T448" s="279">
        <v>3.1396605553071288</v>
      </c>
      <c r="U448" s="279">
        <v>2.6861494215067947</v>
      </c>
      <c r="V448" s="279">
        <v>2.7850413648356573</v>
      </c>
    </row>
    <row r="449" spans="1:22" x14ac:dyDescent="0.2">
      <c r="A449" s="267"/>
      <c r="B449" s="270" t="s">
        <v>23</v>
      </c>
      <c r="C449" s="278">
        <v>0</v>
      </c>
      <c r="D449" s="279">
        <v>0</v>
      </c>
      <c r="E449" s="279">
        <v>0</v>
      </c>
      <c r="F449" s="279">
        <v>0</v>
      </c>
      <c r="G449" s="279">
        <v>0</v>
      </c>
      <c r="H449" s="279">
        <v>0</v>
      </c>
      <c r="I449" s="279">
        <v>1.1544660108461693</v>
      </c>
      <c r="J449" s="279">
        <v>1.2796333497113674</v>
      </c>
      <c r="K449" s="279">
        <v>1.4728146726438318</v>
      </c>
      <c r="L449" s="279">
        <v>1.5508832567031698</v>
      </c>
      <c r="M449" s="279">
        <v>1.7248206305091587</v>
      </c>
      <c r="N449" s="279">
        <v>1.9000203619288787</v>
      </c>
      <c r="O449" s="279">
        <v>2.1051655966841984</v>
      </c>
      <c r="P449" s="279">
        <v>2.3604444181722024</v>
      </c>
      <c r="Q449" s="279">
        <v>2.6275429777388846</v>
      </c>
      <c r="R449" s="279">
        <v>2.9105149513868764</v>
      </c>
      <c r="S449" s="279">
        <v>3.1957418373862496</v>
      </c>
      <c r="T449" s="279">
        <v>3.1396605553071288</v>
      </c>
      <c r="U449" s="279">
        <v>2.6861494215067947</v>
      </c>
      <c r="V449" s="279">
        <v>2.7850413648356573</v>
      </c>
    </row>
    <row r="450" spans="1:22" x14ac:dyDescent="0.2">
      <c r="A450" s="269" t="s">
        <v>94</v>
      </c>
      <c r="B450" s="270"/>
      <c r="C450" s="273"/>
      <c r="D450" s="274"/>
      <c r="E450" s="274"/>
      <c r="F450" s="274"/>
      <c r="G450" s="274"/>
      <c r="H450" s="274"/>
      <c r="I450" s="274"/>
      <c r="J450" s="274"/>
      <c r="K450" s="274"/>
      <c r="L450" s="274"/>
      <c r="M450" s="274"/>
      <c r="N450" s="274"/>
      <c r="O450" s="274"/>
      <c r="P450" s="274"/>
      <c r="Q450" s="274"/>
      <c r="R450" s="274"/>
      <c r="S450" s="274"/>
      <c r="T450" s="274"/>
      <c r="U450" s="274"/>
      <c r="V450" s="274"/>
    </row>
    <row r="451" spans="1:22" x14ac:dyDescent="0.2">
      <c r="A451" s="267"/>
      <c r="B451" s="270" t="s">
        <v>34</v>
      </c>
      <c r="C451" s="278">
        <v>0</v>
      </c>
      <c r="D451" s="279">
        <v>2.9356777876316342</v>
      </c>
      <c r="E451" s="279">
        <v>2.994391343384267</v>
      </c>
      <c r="F451" s="279">
        <v>3.0542791702519527</v>
      </c>
      <c r="G451" s="279">
        <v>3.1153647536569915</v>
      </c>
      <c r="H451" s="279">
        <v>3.1776720487301318</v>
      </c>
      <c r="I451" s="279">
        <v>3.2412254897047341</v>
      </c>
      <c r="J451" s="279">
        <v>3.3060499994988293</v>
      </c>
      <c r="K451" s="279">
        <v>3.3721709994888061</v>
      </c>
      <c r="L451" s="279">
        <v>3.4396144194785823</v>
      </c>
      <c r="M451" s="279">
        <v>3.5084067078681538</v>
      </c>
      <c r="N451" s="279">
        <v>3.578574842025517</v>
      </c>
      <c r="O451" s="279">
        <v>3.6501463388660276</v>
      </c>
      <c r="P451" s="279">
        <v>3.7231492656433485</v>
      </c>
      <c r="Q451" s="279">
        <v>3.7976122509562158</v>
      </c>
      <c r="R451" s="279">
        <v>3.8735644959753404</v>
      </c>
      <c r="S451" s="279">
        <v>3.9510357858948475</v>
      </c>
      <c r="T451" s="279">
        <v>4.0300565016127443</v>
      </c>
      <c r="U451" s="279">
        <v>4.1106576316449992</v>
      </c>
      <c r="V451" s="279">
        <v>4.1928707842778996</v>
      </c>
    </row>
    <row r="452" spans="1:22" x14ac:dyDescent="0.2">
      <c r="A452" s="267"/>
      <c r="B452" s="270" t="s">
        <v>95</v>
      </c>
      <c r="C452" s="278">
        <v>0</v>
      </c>
      <c r="D452" s="279">
        <v>0.77605945085073869</v>
      </c>
      <c r="E452" s="279">
        <v>0.77605945085073869</v>
      </c>
      <c r="F452" s="279">
        <v>0.77605945085073869</v>
      </c>
      <c r="G452" s="279">
        <v>0.77605945085073869</v>
      </c>
      <c r="H452" s="279">
        <v>0.77605945085073869</v>
      </c>
      <c r="I452" s="279">
        <v>0.77605945085073869</v>
      </c>
      <c r="J452" s="279">
        <v>0.77605945085073869</v>
      </c>
      <c r="K452" s="279">
        <v>0.77605945085073869</v>
      </c>
      <c r="L452" s="279">
        <v>0.77605945085073869</v>
      </c>
      <c r="M452" s="279">
        <v>0.77605945085073869</v>
      </c>
      <c r="N452" s="279">
        <v>0.77605945085073869</v>
      </c>
      <c r="O452" s="279">
        <v>0.77605945085073869</v>
      </c>
      <c r="P452" s="279">
        <v>0.77605945085073869</v>
      </c>
      <c r="Q452" s="279">
        <v>0.77605945085073869</v>
      </c>
      <c r="R452" s="279">
        <v>0.77605945085073869</v>
      </c>
      <c r="S452" s="279">
        <v>0.77605945085073869</v>
      </c>
      <c r="T452" s="279">
        <v>0.77605945085073869</v>
      </c>
      <c r="U452" s="279">
        <v>0.77605945085073869</v>
      </c>
      <c r="V452" s="279">
        <v>0.77605945085073869</v>
      </c>
    </row>
    <row r="453" spans="1:22" x14ac:dyDescent="0.2">
      <c r="A453" s="267"/>
      <c r="B453" s="270" t="s">
        <v>36</v>
      </c>
      <c r="C453" s="278">
        <v>0</v>
      </c>
      <c r="D453" s="279">
        <v>0.12175221394134783</v>
      </c>
      <c r="E453" s="279">
        <v>0.12432118565551088</v>
      </c>
      <c r="F453" s="279">
        <v>0.12704381962136632</v>
      </c>
      <c r="G453" s="279">
        <v>0.12991500994480867</v>
      </c>
      <c r="H453" s="279">
        <v>0.13300698718149565</v>
      </c>
      <c r="I453" s="279">
        <v>0.13634015565169455</v>
      </c>
      <c r="J453" s="279">
        <v>0.13972177133803154</v>
      </c>
      <c r="K453" s="279">
        <v>0.14325841811600543</v>
      </c>
      <c r="L453" s="279">
        <v>0.14679690104347065</v>
      </c>
      <c r="M453" s="279">
        <v>0.15054022202007936</v>
      </c>
      <c r="N453" s="279">
        <v>0.1541832953929663</v>
      </c>
      <c r="O453" s="279">
        <v>0.15806871443686848</v>
      </c>
      <c r="P453" s="279">
        <v>0.16208365978356412</v>
      </c>
      <c r="Q453" s="279">
        <v>0.16613575127815325</v>
      </c>
      <c r="R453" s="279">
        <v>0.17030575863523478</v>
      </c>
      <c r="S453" s="279">
        <v>0.1745634026011163</v>
      </c>
      <c r="T453" s="279">
        <v>0.17889257498562391</v>
      </c>
      <c r="U453" s="279">
        <v>0.18338277861776303</v>
      </c>
      <c r="V453" s="279">
        <v>0.18798568636106847</v>
      </c>
    </row>
    <row r="454" spans="1:22" x14ac:dyDescent="0.2">
      <c r="A454" s="267"/>
      <c r="B454" s="270" t="s">
        <v>39</v>
      </c>
      <c r="C454" s="278">
        <v>0</v>
      </c>
      <c r="D454" s="279">
        <v>3.0607173913043479E-2</v>
      </c>
      <c r="E454" s="279">
        <v>3.6195621739130432</v>
      </c>
      <c r="F454" s="279">
        <v>3.3128152173913045E-2</v>
      </c>
      <c r="G454" s="279">
        <v>3.4600978260869567E-2</v>
      </c>
      <c r="H454" s="279">
        <v>0.75004197826086949</v>
      </c>
      <c r="I454" s="279">
        <v>0.77254323760869559</v>
      </c>
      <c r="J454" s="279">
        <v>0.79571953473695656</v>
      </c>
      <c r="K454" s="279">
        <v>0.81959112077906526</v>
      </c>
      <c r="L454" s="279">
        <v>0.84417885440243723</v>
      </c>
      <c r="M454" s="279">
        <v>0.86950422003451033</v>
      </c>
      <c r="N454" s="279">
        <v>0.89558934663554579</v>
      </c>
      <c r="O454" s="279">
        <v>0.92245702703461208</v>
      </c>
      <c r="P454" s="279">
        <v>0.9501307378456505</v>
      </c>
      <c r="Q454" s="279">
        <v>0.97863465998102006</v>
      </c>
      <c r="R454" s="279">
        <v>1.0079936997804506</v>
      </c>
      <c r="S454" s="279">
        <v>1.0382335107738643</v>
      </c>
      <c r="T454" s="279">
        <v>1.0693805160970802</v>
      </c>
      <c r="U454" s="279">
        <v>1.1014619315799927</v>
      </c>
      <c r="V454" s="279">
        <v>1.1345057895273927</v>
      </c>
    </row>
    <row r="455" spans="1:22" x14ac:dyDescent="0.2">
      <c r="A455" s="267"/>
      <c r="B455" s="270" t="s">
        <v>96</v>
      </c>
      <c r="C455" s="280">
        <v>0</v>
      </c>
      <c r="D455" s="281">
        <v>0</v>
      </c>
      <c r="E455" s="281">
        <v>0</v>
      </c>
      <c r="F455" s="281">
        <v>0</v>
      </c>
      <c r="G455" s="281">
        <v>0</v>
      </c>
      <c r="H455" s="281">
        <v>0</v>
      </c>
      <c r="I455" s="281">
        <v>0</v>
      </c>
      <c r="J455" s="281">
        <v>0</v>
      </c>
      <c r="K455" s="281">
        <v>0</v>
      </c>
      <c r="L455" s="281">
        <v>0</v>
      </c>
      <c r="M455" s="281">
        <v>0</v>
      </c>
      <c r="N455" s="281">
        <v>0</v>
      </c>
      <c r="O455" s="281">
        <v>0</v>
      </c>
      <c r="P455" s="281">
        <v>0</v>
      </c>
      <c r="Q455" s="281">
        <v>0</v>
      </c>
      <c r="R455" s="281">
        <v>0</v>
      </c>
      <c r="S455" s="281">
        <v>0</v>
      </c>
      <c r="T455" s="281">
        <v>0</v>
      </c>
      <c r="U455" s="281">
        <v>0</v>
      </c>
      <c r="V455" s="281">
        <v>0</v>
      </c>
    </row>
    <row r="456" spans="1:22" x14ac:dyDescent="0.2">
      <c r="A456" s="267"/>
      <c r="B456" s="270"/>
      <c r="C456" s="267"/>
      <c r="D456" s="267"/>
      <c r="E456" s="267"/>
      <c r="F456" s="267"/>
      <c r="G456" s="267"/>
      <c r="H456" s="267"/>
      <c r="I456" s="267"/>
      <c r="J456" s="267"/>
      <c r="K456" s="267"/>
      <c r="L456" s="267"/>
      <c r="M456" s="267"/>
      <c r="N456" s="267"/>
      <c r="O456" s="267"/>
      <c r="P456" s="267"/>
      <c r="Q456" s="267"/>
      <c r="R456" s="267"/>
      <c r="S456" s="267"/>
      <c r="T456" s="267"/>
      <c r="U456" s="267"/>
      <c r="V456" s="267"/>
    </row>
    <row r="457" spans="1:22" x14ac:dyDescent="0.2">
      <c r="A457" s="267"/>
      <c r="B457" s="270"/>
      <c r="C457" s="267"/>
      <c r="D457" s="267"/>
      <c r="E457" s="267"/>
      <c r="F457" s="267"/>
      <c r="G457" s="267"/>
      <c r="H457" s="267"/>
      <c r="I457" s="267"/>
      <c r="J457" s="267"/>
      <c r="K457" s="267"/>
      <c r="L457" s="267"/>
      <c r="M457" s="267"/>
      <c r="N457" s="267"/>
      <c r="O457" s="267"/>
      <c r="P457" s="267"/>
      <c r="Q457" s="267"/>
      <c r="R457" s="267"/>
      <c r="S457" s="267"/>
      <c r="T457" s="267"/>
      <c r="U457" s="267"/>
      <c r="V457" s="267"/>
    </row>
    <row r="458" spans="1:22" x14ac:dyDescent="0.2">
      <c r="A458" s="24"/>
      <c r="B458" s="295"/>
      <c r="C458" s="299"/>
      <c r="D458" s="299"/>
      <c r="E458" s="299"/>
      <c r="F458" s="299"/>
      <c r="G458" s="299"/>
      <c r="H458" s="299"/>
      <c r="I458" s="299"/>
      <c r="J458" s="299"/>
      <c r="K458" s="299"/>
      <c r="L458" s="299"/>
      <c r="M458" s="299"/>
      <c r="N458" s="299"/>
      <c r="O458" s="299"/>
      <c r="P458" s="299"/>
      <c r="Q458" s="299"/>
      <c r="R458" s="299"/>
      <c r="S458" s="299"/>
      <c r="T458" s="299"/>
      <c r="U458" s="299"/>
      <c r="V458" s="299"/>
    </row>
    <row r="459" spans="1:22" x14ac:dyDescent="0.2">
      <c r="A459" s="106"/>
      <c r="B459" s="107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spans="1:22" x14ac:dyDescent="0.2">
      <c r="A460" s="265" t="s">
        <v>98</v>
      </c>
      <c r="B460" s="266"/>
      <c r="C460" s="267"/>
      <c r="D460" s="267"/>
      <c r="E460" s="267"/>
      <c r="F460" s="267"/>
      <c r="G460" s="267"/>
      <c r="H460" s="267"/>
      <c r="I460" s="267"/>
      <c r="J460" s="267"/>
      <c r="K460" s="267"/>
      <c r="L460" s="267"/>
      <c r="M460" s="267"/>
      <c r="N460" s="267"/>
      <c r="O460" s="267"/>
      <c r="P460" s="267"/>
      <c r="Q460" s="267"/>
      <c r="R460" s="267"/>
      <c r="S460" s="267"/>
      <c r="T460" s="267"/>
      <c r="U460" s="267"/>
      <c r="V460" s="267"/>
    </row>
    <row r="461" spans="1:22" x14ac:dyDescent="0.2">
      <c r="A461" s="268" t="s">
        <v>74</v>
      </c>
      <c r="B461" s="266"/>
      <c r="C461" s="267"/>
      <c r="D461" s="267"/>
      <c r="E461" s="267"/>
      <c r="F461" s="267"/>
      <c r="G461" s="267"/>
      <c r="H461" s="267"/>
      <c r="I461" s="267"/>
      <c r="J461" s="267"/>
      <c r="K461" s="267"/>
      <c r="L461" s="267"/>
      <c r="M461" s="267"/>
      <c r="N461" s="267"/>
      <c r="O461" s="267"/>
      <c r="P461" s="267"/>
      <c r="Q461" s="267"/>
      <c r="R461" s="267"/>
      <c r="S461" s="267"/>
      <c r="T461" s="267"/>
      <c r="U461" s="267"/>
      <c r="V461" s="267"/>
    </row>
    <row r="462" spans="1:22" x14ac:dyDescent="0.2">
      <c r="A462" s="267"/>
      <c r="B462" s="266"/>
      <c r="C462" s="267"/>
      <c r="D462" s="267"/>
      <c r="E462" s="267"/>
      <c r="F462" s="267"/>
      <c r="G462" s="267"/>
      <c r="H462" s="267"/>
      <c r="I462" s="267"/>
      <c r="J462" s="267"/>
      <c r="K462" s="267"/>
      <c r="L462" s="267"/>
      <c r="M462" s="267"/>
      <c r="N462" s="267"/>
      <c r="O462" s="267"/>
      <c r="P462" s="267"/>
      <c r="Q462" s="267"/>
      <c r="R462" s="267"/>
      <c r="S462" s="267"/>
      <c r="T462" s="267"/>
      <c r="U462" s="267"/>
      <c r="V462" s="267"/>
    </row>
    <row r="463" spans="1:22" x14ac:dyDescent="0.2">
      <c r="A463" s="267"/>
      <c r="B463" s="266"/>
      <c r="C463" s="271">
        <v>2000</v>
      </c>
      <c r="D463" s="272">
        <v>2001</v>
      </c>
      <c r="E463" s="272">
        <v>2002</v>
      </c>
      <c r="F463" s="272">
        <v>2003</v>
      </c>
      <c r="G463" s="272">
        <v>2004</v>
      </c>
      <c r="H463" s="272">
        <v>2005</v>
      </c>
      <c r="I463" s="272">
        <v>2006</v>
      </c>
      <c r="J463" s="272">
        <v>2007</v>
      </c>
      <c r="K463" s="272">
        <v>2008</v>
      </c>
      <c r="L463" s="272">
        <v>2009</v>
      </c>
      <c r="M463" s="272">
        <v>2010</v>
      </c>
      <c r="N463" s="272">
        <v>2011</v>
      </c>
      <c r="O463" s="272">
        <v>2012</v>
      </c>
      <c r="P463" s="272">
        <v>2013</v>
      </c>
      <c r="Q463" s="272">
        <v>2014</v>
      </c>
      <c r="R463" s="272">
        <v>2015</v>
      </c>
      <c r="S463" s="272">
        <v>2016</v>
      </c>
      <c r="T463" s="272">
        <v>2017</v>
      </c>
      <c r="U463" s="272">
        <v>2018</v>
      </c>
      <c r="V463" s="272">
        <v>2019</v>
      </c>
    </row>
    <row r="464" spans="1:22" x14ac:dyDescent="0.2">
      <c r="A464" s="269" t="s">
        <v>129</v>
      </c>
      <c r="B464" s="266"/>
      <c r="C464" s="273"/>
      <c r="D464" s="274"/>
      <c r="E464" s="274"/>
      <c r="F464" s="274"/>
      <c r="G464" s="274"/>
      <c r="H464" s="274"/>
      <c r="I464" s="274"/>
      <c r="J464" s="274"/>
      <c r="K464" s="274"/>
      <c r="L464" s="274"/>
      <c r="M464" s="274"/>
      <c r="N464" s="274"/>
      <c r="O464" s="274"/>
      <c r="P464" s="274"/>
      <c r="Q464" s="274"/>
      <c r="R464" s="274"/>
      <c r="S464" s="274"/>
      <c r="T464" s="274"/>
      <c r="U464" s="274"/>
      <c r="V464" s="274"/>
    </row>
    <row r="465" spans="1:22" x14ac:dyDescent="0.2">
      <c r="A465" s="267"/>
      <c r="B465" s="270" t="s">
        <v>97</v>
      </c>
      <c r="C465" s="275">
        <v>0</v>
      </c>
      <c r="D465" s="276">
        <v>1467.8972090458471</v>
      </c>
      <c r="E465" s="276">
        <v>1761.4766508550167</v>
      </c>
      <c r="F465" s="276">
        <v>1585.3289857695149</v>
      </c>
      <c r="G465" s="276">
        <v>1526.6130974076809</v>
      </c>
      <c r="H465" s="276">
        <v>2113.7719810260196</v>
      </c>
      <c r="I465" s="276">
        <v>1937.624315940518</v>
      </c>
      <c r="J465" s="276">
        <v>2231.2037577496876</v>
      </c>
      <c r="K465" s="276">
        <v>4168.8280736902061</v>
      </c>
      <c r="L465" s="276">
        <v>4051.396296966539</v>
      </c>
      <c r="M465" s="276">
        <v>3992.6804086047041</v>
      </c>
      <c r="N465" s="276">
        <v>4051.396296966539</v>
      </c>
      <c r="O465" s="276">
        <v>4168.8280736902052</v>
      </c>
      <c r="P465" s="276">
        <v>4697.2710689467103</v>
      </c>
      <c r="Q465" s="276">
        <v>5578.0093943742186</v>
      </c>
      <c r="R465" s="276">
        <v>4227.5439620520401</v>
      </c>
      <c r="S465" s="276">
        <v>3581.6691900718674</v>
      </c>
      <c r="T465" s="276">
        <v>4286.2598504138732</v>
      </c>
      <c r="U465" s="276">
        <v>4990.8505107558804</v>
      </c>
      <c r="V465" s="276">
        <v>4168.8280736902052</v>
      </c>
    </row>
    <row r="466" spans="1:22" x14ac:dyDescent="0.2">
      <c r="A466" s="267"/>
      <c r="B466" s="270" t="s">
        <v>91</v>
      </c>
      <c r="C466" s="275">
        <v>0</v>
      </c>
      <c r="D466" s="277">
        <v>1.1800575672437514E-2</v>
      </c>
      <c r="E466" s="277">
        <v>1.4160690806925016E-2</v>
      </c>
      <c r="F466" s="277">
        <v>1.2744621726232516E-2</v>
      </c>
      <c r="G466" s="277">
        <v>1.2272598699335014E-2</v>
      </c>
      <c r="H466" s="277">
        <v>1.6992828968310017E-2</v>
      </c>
      <c r="I466" s="277">
        <v>1.5576759887617517E-2</v>
      </c>
      <c r="J466" s="277">
        <v>1.7936875022105021E-2</v>
      </c>
      <c r="K466" s="277">
        <v>3.3513634909722541E-2</v>
      </c>
      <c r="L466" s="277">
        <v>3.2569588855927541E-2</v>
      </c>
      <c r="M466" s="277">
        <v>3.2097565829030034E-2</v>
      </c>
      <c r="N466" s="277">
        <v>3.2569588855927541E-2</v>
      </c>
      <c r="O466" s="277">
        <v>3.3513634909722534E-2</v>
      </c>
      <c r="P466" s="277">
        <v>3.7761842151800042E-2</v>
      </c>
      <c r="Q466" s="277">
        <v>4.484218755526255E-2</v>
      </c>
      <c r="R466" s="277">
        <v>3.3985657936620041E-2</v>
      </c>
      <c r="S466" s="277">
        <v>2.8793404640747536E-2</v>
      </c>
      <c r="T466" s="277">
        <v>3.4457680963517534E-2</v>
      </c>
      <c r="U466" s="277">
        <v>4.0121957286287549E-2</v>
      </c>
      <c r="V466" s="277">
        <v>3.3513634909722534E-2</v>
      </c>
    </row>
    <row r="467" spans="1:22" x14ac:dyDescent="0.2">
      <c r="A467" s="269" t="s">
        <v>93</v>
      </c>
      <c r="B467" s="270"/>
      <c r="C467" s="273"/>
      <c r="D467" s="274"/>
      <c r="E467" s="274"/>
      <c r="F467" s="274"/>
      <c r="G467" s="274"/>
      <c r="H467" s="274"/>
      <c r="I467" s="274"/>
      <c r="J467" s="274"/>
      <c r="K467" s="274"/>
      <c r="L467" s="274"/>
      <c r="M467" s="274"/>
      <c r="N467" s="274"/>
      <c r="O467" s="274"/>
      <c r="P467" s="274"/>
      <c r="Q467" s="274"/>
      <c r="R467" s="274"/>
      <c r="S467" s="274"/>
      <c r="T467" s="274"/>
      <c r="U467" s="274"/>
      <c r="V467" s="274"/>
    </row>
    <row r="468" spans="1:22" x14ac:dyDescent="0.2">
      <c r="A468" s="267"/>
      <c r="B468" s="270" t="s">
        <v>27</v>
      </c>
      <c r="C468" s="278">
        <v>0</v>
      </c>
      <c r="D468" s="279">
        <v>611.70186636030758</v>
      </c>
      <c r="E468" s="279">
        <v>378.80536569457149</v>
      </c>
      <c r="F468" s="279">
        <v>332.85607056006086</v>
      </c>
      <c r="G468" s="279">
        <v>297.91387607785066</v>
      </c>
      <c r="H468" s="279">
        <v>221.4207128526599</v>
      </c>
      <c r="I468" s="279">
        <v>180.73170085407162</v>
      </c>
      <c r="J468" s="279">
        <v>178.18410446062825</v>
      </c>
      <c r="K468" s="279">
        <v>153.43574544083219</v>
      </c>
      <c r="L468" s="279">
        <v>159.18762054181349</v>
      </c>
      <c r="M468" s="279">
        <v>177.20164159211851</v>
      </c>
      <c r="N468" s="279">
        <v>146.42354297744635</v>
      </c>
      <c r="O468" s="279">
        <v>154.97527740245903</v>
      </c>
      <c r="P468" s="279">
        <v>155.87775915409662</v>
      </c>
      <c r="Q468" s="279">
        <v>158.50597679824784</v>
      </c>
      <c r="R468" s="279">
        <v>168.75755449668392</v>
      </c>
      <c r="S468" s="279">
        <v>161.36825119412052</v>
      </c>
      <c r="T468" s="279">
        <v>168.58978074091266</v>
      </c>
      <c r="U468" s="279">
        <v>173.87204900099167</v>
      </c>
      <c r="V468" s="279">
        <v>164.26227046626585</v>
      </c>
    </row>
    <row r="469" spans="1:22" x14ac:dyDescent="0.2">
      <c r="A469" s="267"/>
      <c r="B469" s="270" t="s">
        <v>20</v>
      </c>
      <c r="C469" s="278">
        <v>0</v>
      </c>
      <c r="D469" s="279">
        <v>87.901390304878035</v>
      </c>
      <c r="E469" s="279">
        <v>80.652090168150139</v>
      </c>
      <c r="F469" s="279">
        <v>78.355708375663937</v>
      </c>
      <c r="G469" s="279">
        <v>78.980054874121933</v>
      </c>
      <c r="H469" s="279">
        <v>79.511378307766492</v>
      </c>
      <c r="I469" s="279">
        <v>80.867066636479521</v>
      </c>
      <c r="J469" s="279">
        <v>81.934415979334659</v>
      </c>
      <c r="K469" s="279">
        <v>75.781666537032081</v>
      </c>
      <c r="L469" s="279">
        <v>77.593965601941321</v>
      </c>
      <c r="M469" s="279">
        <v>80.430850905466258</v>
      </c>
      <c r="N469" s="279">
        <v>82.831239612632729</v>
      </c>
      <c r="O469" s="279">
        <v>81.650042328122979</v>
      </c>
      <c r="P469" s="279">
        <v>86.659257273017047</v>
      </c>
      <c r="Q469" s="279">
        <v>85.80672784544673</v>
      </c>
      <c r="R469" s="279">
        <v>93.896838683474201</v>
      </c>
      <c r="S469" s="279">
        <v>98.379345382341597</v>
      </c>
      <c r="T469" s="279">
        <v>100.80291654497262</v>
      </c>
      <c r="U469" s="279">
        <v>107.71845425933108</v>
      </c>
      <c r="V469" s="279">
        <v>108.96522764701653</v>
      </c>
    </row>
    <row r="470" spans="1:22" x14ac:dyDescent="0.2">
      <c r="A470" s="267"/>
      <c r="B470" s="270" t="s">
        <v>92</v>
      </c>
      <c r="C470" s="278">
        <v>0</v>
      </c>
      <c r="D470" s="279">
        <v>3.7235301121569986</v>
      </c>
      <c r="E470" s="279">
        <v>3.7951574127903411</v>
      </c>
      <c r="F470" s="279">
        <v>3.8721372492655655</v>
      </c>
      <c r="G470" s="279">
        <v>3.9501041593276813</v>
      </c>
      <c r="H470" s="279">
        <v>4.0305203486502359</v>
      </c>
      <c r="I470" s="279">
        <v>4.1149933673137964</v>
      </c>
      <c r="J470" s="279">
        <v>4.1951222364909464</v>
      </c>
      <c r="K470" s="279">
        <v>4.278607632880747</v>
      </c>
      <c r="L470" s="279">
        <v>4.3656285089210938</v>
      </c>
      <c r="M470" s="279">
        <v>4.4588931565226479</v>
      </c>
      <c r="N470" s="279">
        <v>4.5361974544635917</v>
      </c>
      <c r="O470" s="279">
        <v>4.6378851218128894</v>
      </c>
      <c r="P470" s="279">
        <v>4.7341130972811802</v>
      </c>
      <c r="Q470" s="279">
        <v>4.823637970388666</v>
      </c>
      <c r="R470" s="279">
        <v>4.9182103300946132</v>
      </c>
      <c r="S470" s="279">
        <v>5.0209813347268382</v>
      </c>
      <c r="T470" s="279">
        <v>5.1253130335391104</v>
      </c>
      <c r="U470" s="279">
        <v>5.2297385262074165</v>
      </c>
      <c r="V470" s="279">
        <v>5.3274696551727896</v>
      </c>
    </row>
    <row r="471" spans="1:22" x14ac:dyDescent="0.2">
      <c r="A471" s="267"/>
      <c r="B471" s="270" t="s">
        <v>22</v>
      </c>
      <c r="C471" s="278">
        <v>0</v>
      </c>
      <c r="D471" s="279">
        <v>0</v>
      </c>
      <c r="E471" s="279">
        <v>0</v>
      </c>
      <c r="F471" s="279">
        <v>0</v>
      </c>
      <c r="G471" s="279">
        <v>0</v>
      </c>
      <c r="H471" s="279">
        <v>0</v>
      </c>
      <c r="I471" s="279">
        <v>1.1544660108461693</v>
      </c>
      <c r="J471" s="279">
        <v>1.2796333497113672</v>
      </c>
      <c r="K471" s="279">
        <v>1.4728146726438316</v>
      </c>
      <c r="L471" s="279">
        <v>1.5508832567031701</v>
      </c>
      <c r="M471" s="279">
        <v>1.7248206305091587</v>
      </c>
      <c r="N471" s="279">
        <v>1.9000203619288789</v>
      </c>
      <c r="O471" s="279">
        <v>2.1051655966841989</v>
      </c>
      <c r="P471" s="279">
        <v>2.3604444181722029</v>
      </c>
      <c r="Q471" s="279">
        <v>2.6275429777388846</v>
      </c>
      <c r="R471" s="279">
        <v>2.9105149513868764</v>
      </c>
      <c r="S471" s="279">
        <v>3.1957418373862492</v>
      </c>
      <c r="T471" s="279">
        <v>3.139660555307128</v>
      </c>
      <c r="U471" s="279">
        <v>2.6861494215067947</v>
      </c>
      <c r="V471" s="279">
        <v>2.7850413648356578</v>
      </c>
    </row>
    <row r="472" spans="1:22" x14ac:dyDescent="0.2">
      <c r="A472" s="267"/>
      <c r="B472" s="270" t="s">
        <v>23</v>
      </c>
      <c r="C472" s="278">
        <v>0</v>
      </c>
      <c r="D472" s="279">
        <v>0</v>
      </c>
      <c r="E472" s="279">
        <v>0</v>
      </c>
      <c r="F472" s="279">
        <v>0</v>
      </c>
      <c r="G472" s="279">
        <v>0</v>
      </c>
      <c r="H472" s="279">
        <v>0</v>
      </c>
      <c r="I472" s="279">
        <v>1.1544660108461693</v>
      </c>
      <c r="J472" s="279">
        <v>1.2796333497113672</v>
      </c>
      <c r="K472" s="279">
        <v>1.4728146726438316</v>
      </c>
      <c r="L472" s="279">
        <v>1.5508832567031701</v>
      </c>
      <c r="M472" s="279">
        <v>1.7248206305091587</v>
      </c>
      <c r="N472" s="279">
        <v>1.9000203619288789</v>
      </c>
      <c r="O472" s="279">
        <v>2.1051655966841989</v>
      </c>
      <c r="P472" s="279">
        <v>2.3604444181722029</v>
      </c>
      <c r="Q472" s="279">
        <v>2.6275429777388846</v>
      </c>
      <c r="R472" s="279">
        <v>2.9105149513868764</v>
      </c>
      <c r="S472" s="279">
        <v>3.1957418373862492</v>
      </c>
      <c r="T472" s="279">
        <v>3.139660555307128</v>
      </c>
      <c r="U472" s="279">
        <v>2.6861494215067947</v>
      </c>
      <c r="V472" s="279">
        <v>2.7850413648356578</v>
      </c>
    </row>
    <row r="473" spans="1:22" x14ac:dyDescent="0.2">
      <c r="A473" s="269" t="s">
        <v>94</v>
      </c>
      <c r="B473" s="270"/>
      <c r="C473" s="273"/>
      <c r="D473" s="274"/>
      <c r="E473" s="274"/>
      <c r="F473" s="274"/>
      <c r="G473" s="274"/>
      <c r="H473" s="274"/>
      <c r="I473" s="274"/>
      <c r="J473" s="274"/>
      <c r="K473" s="274"/>
      <c r="L473" s="274"/>
      <c r="M473" s="274"/>
      <c r="N473" s="274"/>
      <c r="O473" s="274"/>
      <c r="P473" s="274"/>
      <c r="Q473" s="274"/>
      <c r="R473" s="274"/>
      <c r="S473" s="274"/>
      <c r="T473" s="274"/>
      <c r="U473" s="274"/>
      <c r="V473" s="274"/>
    </row>
    <row r="474" spans="1:22" x14ac:dyDescent="0.2">
      <c r="A474" s="267"/>
      <c r="B474" s="270" t="s">
        <v>34</v>
      </c>
      <c r="C474" s="278">
        <v>0</v>
      </c>
      <c r="D474" s="279">
        <v>3.0726842720262875</v>
      </c>
      <c r="E474" s="279">
        <v>3.1341379574668133</v>
      </c>
      <c r="F474" s="279">
        <v>3.1968207166161497</v>
      </c>
      <c r="G474" s="279">
        <v>3.2607571309484729</v>
      </c>
      <c r="H474" s="279">
        <v>3.3259722735674422</v>
      </c>
      <c r="I474" s="279">
        <v>3.3924917190387909</v>
      </c>
      <c r="J474" s="279">
        <v>3.4603415534195672</v>
      </c>
      <c r="K474" s="279">
        <v>3.5295483844879585</v>
      </c>
      <c r="L474" s="279">
        <v>3.6001393521777176</v>
      </c>
      <c r="M474" s="279">
        <v>3.6721421392212719</v>
      </c>
      <c r="N474" s="279">
        <v>3.7455849820056977</v>
      </c>
      <c r="O474" s="279">
        <v>3.8204966816458117</v>
      </c>
      <c r="P474" s="279">
        <v>3.8969066152787275</v>
      </c>
      <c r="Q474" s="279">
        <v>3.9748447475843021</v>
      </c>
      <c r="R474" s="279">
        <v>4.0543416425359879</v>
      </c>
      <c r="S474" s="279">
        <v>4.1354284753867079</v>
      </c>
      <c r="T474" s="279">
        <v>4.2181370448944415</v>
      </c>
      <c r="U474" s="279">
        <v>4.3024997857923308</v>
      </c>
      <c r="V474" s="279">
        <v>4.3885497815081775</v>
      </c>
    </row>
    <row r="475" spans="1:22" x14ac:dyDescent="0.2">
      <c r="A475" s="267"/>
      <c r="B475" s="270" t="s">
        <v>95</v>
      </c>
      <c r="C475" s="278">
        <v>0</v>
      </c>
      <c r="D475" s="279">
        <v>0.79651339537880883</v>
      </c>
      <c r="E475" s="279">
        <v>0.79651339537880883</v>
      </c>
      <c r="F475" s="279">
        <v>0.79651339537880883</v>
      </c>
      <c r="G475" s="279">
        <v>0.79651339537880883</v>
      </c>
      <c r="H475" s="279">
        <v>0.79651339537880883</v>
      </c>
      <c r="I475" s="279">
        <v>0.79651339537880883</v>
      </c>
      <c r="J475" s="279">
        <v>0.79651339537880883</v>
      </c>
      <c r="K475" s="279">
        <v>0.79651339537880883</v>
      </c>
      <c r="L475" s="279">
        <v>0.79651339537880883</v>
      </c>
      <c r="M475" s="279">
        <v>0.79651339537880883</v>
      </c>
      <c r="N475" s="279">
        <v>0.79651339537880883</v>
      </c>
      <c r="O475" s="279">
        <v>0.79651339537880883</v>
      </c>
      <c r="P475" s="279">
        <v>0.79651339537880883</v>
      </c>
      <c r="Q475" s="279">
        <v>0.79651339537880883</v>
      </c>
      <c r="R475" s="279">
        <v>0.79651339537880883</v>
      </c>
      <c r="S475" s="279">
        <v>0.79651339537880883</v>
      </c>
      <c r="T475" s="279">
        <v>0.79651339537880883</v>
      </c>
      <c r="U475" s="279">
        <v>0.79651339537880883</v>
      </c>
      <c r="V475" s="279">
        <v>0.79651339537880883</v>
      </c>
    </row>
    <row r="476" spans="1:22" x14ac:dyDescent="0.2">
      <c r="A476" s="267"/>
      <c r="B476" s="270" t="s">
        <v>36</v>
      </c>
      <c r="C476" s="278">
        <v>0</v>
      </c>
      <c r="D476" s="279">
        <v>0.12175221394134789</v>
      </c>
      <c r="E476" s="279">
        <v>0.12432118565551058</v>
      </c>
      <c r="F476" s="279">
        <v>0.1270438196213669</v>
      </c>
      <c r="G476" s="279">
        <v>0.12991500994480845</v>
      </c>
      <c r="H476" s="279">
        <v>0.13300698718149509</v>
      </c>
      <c r="I476" s="279">
        <v>0.13634015565169508</v>
      </c>
      <c r="J476" s="279">
        <v>0.13972177133803168</v>
      </c>
      <c r="K476" s="279">
        <v>0.14325841811600562</v>
      </c>
      <c r="L476" s="279">
        <v>0.14679690104347112</v>
      </c>
      <c r="M476" s="279">
        <v>0.15054022202007888</v>
      </c>
      <c r="N476" s="279">
        <v>0.15418329539296549</v>
      </c>
      <c r="O476" s="279">
        <v>0.15806871443686829</v>
      </c>
      <c r="P476" s="279">
        <v>0.16208365978356407</v>
      </c>
      <c r="Q476" s="279">
        <v>0.16613575127815353</v>
      </c>
      <c r="R476" s="279">
        <v>0.17030575863523523</v>
      </c>
      <c r="S476" s="279">
        <v>0.17456340260111619</v>
      </c>
      <c r="T476" s="279">
        <v>0.17889257498562325</v>
      </c>
      <c r="U476" s="279">
        <v>0.18338277861776267</v>
      </c>
      <c r="V476" s="279">
        <v>0.18798568636106902</v>
      </c>
    </row>
    <row r="477" spans="1:22" x14ac:dyDescent="0.2">
      <c r="A477" s="267"/>
      <c r="B477" s="270" t="s">
        <v>39</v>
      </c>
      <c r="C477" s="278">
        <v>0</v>
      </c>
      <c r="D477" s="279">
        <v>3.0846478873239436E-2</v>
      </c>
      <c r="E477" s="279">
        <v>3.2091549295774645E-2</v>
      </c>
      <c r="F477" s="279">
        <v>3.3387323943661971E-2</v>
      </c>
      <c r="G477" s="279">
        <v>3.4871830985915495E-2</v>
      </c>
      <c r="H477" s="279">
        <v>3.5211267605633805</v>
      </c>
      <c r="I477" s="279">
        <v>3.6267605633802815</v>
      </c>
      <c r="J477" s="279">
        <v>3.7355633802816901</v>
      </c>
      <c r="K477" s="279">
        <v>3.8476302816901407</v>
      </c>
      <c r="L477" s="279">
        <v>3.9630591901408447</v>
      </c>
      <c r="M477" s="279">
        <v>4.0819509658450706</v>
      </c>
      <c r="N477" s="279">
        <v>4.2044094948204229</v>
      </c>
      <c r="O477" s="279">
        <v>4.330541779665035</v>
      </c>
      <c r="P477" s="279">
        <v>4.4604580330549863</v>
      </c>
      <c r="Q477" s="279">
        <v>4.5942717740466366</v>
      </c>
      <c r="R477" s="279">
        <v>4.7320999272680346</v>
      </c>
      <c r="S477" s="279">
        <v>4.8740629250860765</v>
      </c>
      <c r="T477" s="279">
        <v>5.0202848128386588</v>
      </c>
      <c r="U477" s="279">
        <v>5.1708933572238189</v>
      </c>
      <c r="V477" s="279">
        <v>5.3260201579405333</v>
      </c>
    </row>
    <row r="478" spans="1:22" x14ac:dyDescent="0.2">
      <c r="A478" s="267"/>
      <c r="B478" s="270" t="s">
        <v>96</v>
      </c>
      <c r="C478" s="280">
        <v>0</v>
      </c>
      <c r="D478" s="281">
        <v>0</v>
      </c>
      <c r="E478" s="281">
        <v>0</v>
      </c>
      <c r="F478" s="281">
        <v>0</v>
      </c>
      <c r="G478" s="281">
        <v>0</v>
      </c>
      <c r="H478" s="281">
        <v>0</v>
      </c>
      <c r="I478" s="281">
        <v>0</v>
      </c>
      <c r="J478" s="281">
        <v>0</v>
      </c>
      <c r="K478" s="281">
        <v>0</v>
      </c>
      <c r="L478" s="281">
        <v>0</v>
      </c>
      <c r="M478" s="281">
        <v>0</v>
      </c>
      <c r="N478" s="281">
        <v>0</v>
      </c>
      <c r="O478" s="281">
        <v>0</v>
      </c>
      <c r="P478" s="281">
        <v>0</v>
      </c>
      <c r="Q478" s="281">
        <v>0</v>
      </c>
      <c r="R478" s="281">
        <v>0</v>
      </c>
      <c r="S478" s="281">
        <v>0</v>
      </c>
      <c r="T478" s="281">
        <v>0</v>
      </c>
      <c r="U478" s="281">
        <v>0</v>
      </c>
      <c r="V478" s="281">
        <v>0</v>
      </c>
    </row>
    <row r="479" spans="1:22" x14ac:dyDescent="0.2">
      <c r="A479" s="267"/>
      <c r="B479" s="270"/>
      <c r="C479" s="267"/>
      <c r="D479" s="267"/>
      <c r="E479" s="267"/>
      <c r="F479" s="267"/>
      <c r="G479" s="267"/>
      <c r="H479" s="267"/>
      <c r="I479" s="267"/>
      <c r="J479" s="267"/>
      <c r="K479" s="267"/>
      <c r="L479" s="267"/>
      <c r="M479" s="267"/>
      <c r="N479" s="267"/>
      <c r="O479" s="267"/>
      <c r="P479" s="267"/>
      <c r="Q479" s="267"/>
      <c r="R479" s="267"/>
      <c r="S479" s="267"/>
      <c r="T479" s="267"/>
      <c r="U479" s="267"/>
      <c r="V479" s="267"/>
    </row>
    <row r="480" spans="1:22" x14ac:dyDescent="0.2">
      <c r="A480" s="267"/>
      <c r="B480" s="270"/>
      <c r="C480" s="267"/>
      <c r="D480" s="267"/>
      <c r="E480" s="267"/>
      <c r="F480" s="267"/>
      <c r="G480" s="267"/>
      <c r="H480" s="267"/>
      <c r="I480" s="267"/>
      <c r="J480" s="267"/>
      <c r="K480" s="267"/>
      <c r="L480" s="267"/>
      <c r="M480" s="267"/>
      <c r="N480" s="267"/>
      <c r="O480" s="267"/>
      <c r="P480" s="267"/>
      <c r="Q480" s="267"/>
      <c r="R480" s="267"/>
      <c r="S480" s="267"/>
      <c r="T480" s="267"/>
      <c r="U480" s="267"/>
      <c r="V480" s="267"/>
    </row>
    <row r="481" spans="1:22" x14ac:dyDescent="0.2">
      <c r="A481" s="106"/>
      <c r="B481" s="107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spans="1:22" x14ac:dyDescent="0.2">
      <c r="A482" s="106"/>
      <c r="B482" s="107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spans="1:22" x14ac:dyDescent="0.2">
      <c r="A483" s="265" t="s">
        <v>98</v>
      </c>
      <c r="B483" s="266"/>
      <c r="C483" s="267"/>
      <c r="D483" s="267"/>
      <c r="E483" s="267"/>
      <c r="F483" s="267"/>
      <c r="G483" s="267"/>
      <c r="H483" s="267"/>
      <c r="I483" s="267"/>
      <c r="J483" s="267"/>
      <c r="K483" s="267"/>
      <c r="L483" s="267"/>
      <c r="M483" s="267"/>
      <c r="N483" s="267"/>
      <c r="O483" s="267"/>
      <c r="P483" s="267"/>
      <c r="Q483" s="267"/>
      <c r="R483" s="267"/>
      <c r="S483" s="267"/>
      <c r="T483" s="267"/>
      <c r="U483" s="267"/>
      <c r="V483" s="267"/>
    </row>
    <row r="484" spans="1:22" x14ac:dyDescent="0.2">
      <c r="A484" s="268" t="s">
        <v>75</v>
      </c>
      <c r="B484" s="266"/>
      <c r="C484" s="267"/>
      <c r="D484" s="267"/>
      <c r="E484" s="267"/>
      <c r="F484" s="267"/>
      <c r="G484" s="267"/>
      <c r="H484" s="267"/>
      <c r="I484" s="267"/>
      <c r="J484" s="267"/>
      <c r="K484" s="267"/>
      <c r="L484" s="267"/>
      <c r="M484" s="267"/>
      <c r="N484" s="267"/>
      <c r="O484" s="267"/>
      <c r="P484" s="267"/>
      <c r="Q484" s="267"/>
      <c r="R484" s="267"/>
      <c r="S484" s="267"/>
      <c r="T484" s="267"/>
      <c r="U484" s="267"/>
      <c r="V484" s="267"/>
    </row>
    <row r="485" spans="1:22" x14ac:dyDescent="0.2">
      <c r="A485" s="267"/>
      <c r="B485" s="266"/>
      <c r="C485" s="267"/>
      <c r="D485" s="267"/>
      <c r="E485" s="267"/>
      <c r="F485" s="267"/>
      <c r="G485" s="267"/>
      <c r="H485" s="267"/>
      <c r="I485" s="267"/>
      <c r="J485" s="267"/>
      <c r="K485" s="267"/>
      <c r="L485" s="267"/>
      <c r="M485" s="267"/>
      <c r="N485" s="267"/>
      <c r="O485" s="267"/>
      <c r="P485" s="267"/>
      <c r="Q485" s="267"/>
      <c r="R485" s="267"/>
      <c r="S485" s="267"/>
      <c r="T485" s="267"/>
      <c r="U485" s="267"/>
      <c r="V485" s="267"/>
    </row>
    <row r="486" spans="1:22" x14ac:dyDescent="0.2">
      <c r="A486" s="267"/>
      <c r="B486" s="266"/>
      <c r="C486" s="271">
        <v>2000</v>
      </c>
      <c r="D486" s="272">
        <v>2001</v>
      </c>
      <c r="E486" s="272">
        <v>2002</v>
      </c>
      <c r="F486" s="272">
        <v>2003</v>
      </c>
      <c r="G486" s="272">
        <v>2004</v>
      </c>
      <c r="H486" s="272">
        <v>2005</v>
      </c>
      <c r="I486" s="272">
        <v>2006</v>
      </c>
      <c r="J486" s="272">
        <v>2007</v>
      </c>
      <c r="K486" s="272">
        <v>2008</v>
      </c>
      <c r="L486" s="272">
        <v>2009</v>
      </c>
      <c r="M486" s="272">
        <v>2010</v>
      </c>
      <c r="N486" s="272">
        <v>2011</v>
      </c>
      <c r="O486" s="272">
        <v>2012</v>
      </c>
      <c r="P486" s="272">
        <v>2013</v>
      </c>
      <c r="Q486" s="272">
        <v>2014</v>
      </c>
      <c r="R486" s="272">
        <v>2015</v>
      </c>
      <c r="S486" s="272">
        <v>2016</v>
      </c>
      <c r="T486" s="272">
        <v>2017</v>
      </c>
      <c r="U486" s="272">
        <v>2018</v>
      </c>
      <c r="V486" s="272">
        <v>2019</v>
      </c>
    </row>
    <row r="487" spans="1:22" x14ac:dyDescent="0.2">
      <c r="A487" s="269" t="s">
        <v>129</v>
      </c>
      <c r="B487" s="266"/>
      <c r="C487" s="273"/>
      <c r="D487" s="274"/>
      <c r="E487" s="274"/>
      <c r="F487" s="274"/>
      <c r="G487" s="274"/>
      <c r="H487" s="274"/>
      <c r="I487" s="274"/>
      <c r="J487" s="274"/>
      <c r="K487" s="274"/>
      <c r="L487" s="274"/>
      <c r="M487" s="274"/>
      <c r="N487" s="274"/>
      <c r="O487" s="274"/>
      <c r="P487" s="274"/>
      <c r="Q487" s="274"/>
      <c r="R487" s="274"/>
      <c r="S487" s="274"/>
      <c r="T487" s="274"/>
      <c r="U487" s="274"/>
      <c r="V487" s="274"/>
    </row>
    <row r="488" spans="1:22" x14ac:dyDescent="0.2">
      <c r="A488" s="267"/>
      <c r="B488" s="270" t="s">
        <v>97</v>
      </c>
      <c r="C488" s="275">
        <v>0</v>
      </c>
      <c r="D488" s="276">
        <v>3283.6143035822597</v>
      </c>
      <c r="E488" s="276">
        <v>3940.3371642987113</v>
      </c>
      <c r="F488" s="276">
        <v>3152.2697314389693</v>
      </c>
      <c r="G488" s="276">
        <v>3414.9588757255506</v>
      </c>
      <c r="H488" s="276">
        <v>4203.0263085852939</v>
      </c>
      <c r="I488" s="276">
        <v>3808.9925921554213</v>
      </c>
      <c r="J488" s="276">
        <v>4991.0937414450345</v>
      </c>
      <c r="K488" s="276">
        <v>8012.0189007407134</v>
      </c>
      <c r="L488" s="276">
        <v>8931.4309057437476</v>
      </c>
      <c r="M488" s="276">
        <v>8668.7417614571677</v>
      </c>
      <c r="N488" s="276">
        <v>7880.6743285974244</v>
      </c>
      <c r="O488" s="276">
        <v>8143.3634728840061</v>
      </c>
      <c r="P488" s="276">
        <v>8931.4309057437476</v>
      </c>
      <c r="Q488" s="276">
        <v>10901.599487893103</v>
      </c>
      <c r="R488" s="276">
        <v>9194.1200500303294</v>
      </c>
      <c r="S488" s="276">
        <v>7617.9851843108427</v>
      </c>
      <c r="T488" s="276">
        <v>9588.1537664601983</v>
      </c>
      <c r="U488" s="276">
        <v>9850.84291074678</v>
      </c>
      <c r="V488" s="276">
        <v>9062.7754778870367</v>
      </c>
    </row>
    <row r="489" spans="1:22" x14ac:dyDescent="0.2">
      <c r="A489" s="267"/>
      <c r="B489" s="270" t="s">
        <v>91</v>
      </c>
      <c r="C489" s="275">
        <v>0</v>
      </c>
      <c r="D489" s="277">
        <v>1.2494727182580897E-2</v>
      </c>
      <c r="E489" s="277">
        <v>1.4993672619097075E-2</v>
      </c>
      <c r="F489" s="277">
        <v>1.1994938095277661E-2</v>
      </c>
      <c r="G489" s="277">
        <v>1.2994516269884133E-2</v>
      </c>
      <c r="H489" s="277">
        <v>1.5993250793703551E-2</v>
      </c>
      <c r="I489" s="277">
        <v>1.4493883531793841E-2</v>
      </c>
      <c r="J489" s="277">
        <v>1.8991985317522962E-2</v>
      </c>
      <c r="K489" s="277">
        <v>3.0487134325497389E-2</v>
      </c>
      <c r="L489" s="277">
        <v>3.3985657936620041E-2</v>
      </c>
      <c r="M489" s="277">
        <v>3.2986079762013572E-2</v>
      </c>
      <c r="N489" s="277">
        <v>2.9987345238194157E-2</v>
      </c>
      <c r="O489" s="277">
        <v>3.098692341280063E-2</v>
      </c>
      <c r="P489" s="277">
        <v>3.3985657936620041E-2</v>
      </c>
      <c r="Q489" s="277">
        <v>4.148249424616858E-2</v>
      </c>
      <c r="R489" s="277">
        <v>3.4985236111226524E-2</v>
      </c>
      <c r="S489" s="277">
        <v>2.8987767063587681E-2</v>
      </c>
      <c r="T489" s="277">
        <v>3.6484603373136221E-2</v>
      </c>
      <c r="U489" s="277">
        <v>3.7484181547742697E-2</v>
      </c>
      <c r="V489" s="277">
        <v>3.4485447023923275E-2</v>
      </c>
    </row>
    <row r="490" spans="1:22" x14ac:dyDescent="0.2">
      <c r="A490" s="269" t="s">
        <v>93</v>
      </c>
      <c r="B490" s="270"/>
      <c r="C490" s="273"/>
      <c r="D490" s="274"/>
      <c r="E490" s="274"/>
      <c r="F490" s="274"/>
      <c r="G490" s="274"/>
      <c r="H490" s="274"/>
      <c r="I490" s="274"/>
      <c r="J490" s="274"/>
      <c r="K490" s="274"/>
      <c r="L490" s="274"/>
      <c r="M490" s="274"/>
      <c r="N490" s="274"/>
      <c r="O490" s="274"/>
      <c r="P490" s="274"/>
      <c r="Q490" s="274"/>
      <c r="R490" s="274"/>
      <c r="S490" s="274"/>
      <c r="T490" s="274"/>
      <c r="U490" s="274"/>
      <c r="V490" s="274"/>
    </row>
    <row r="491" spans="1:22" x14ac:dyDescent="0.2">
      <c r="A491" s="267"/>
      <c r="B491" s="270" t="s">
        <v>27</v>
      </c>
      <c r="C491" s="278">
        <v>0</v>
      </c>
      <c r="D491" s="279">
        <v>611.70186636030758</v>
      </c>
      <c r="E491" s="279">
        <v>378.80536569457155</v>
      </c>
      <c r="F491" s="279">
        <v>360.66134535279116</v>
      </c>
      <c r="G491" s="279">
        <v>297.9138760778506</v>
      </c>
      <c r="H491" s="279">
        <v>236.21278937714629</v>
      </c>
      <c r="I491" s="279">
        <v>190.67318458737776</v>
      </c>
      <c r="J491" s="279">
        <v>178.18410446062825</v>
      </c>
      <c r="K491" s="279">
        <v>163.04487076954297</v>
      </c>
      <c r="L491" s="279">
        <v>159.97573452621626</v>
      </c>
      <c r="M491" s="279">
        <v>179.63494365464427</v>
      </c>
      <c r="N491" s="279">
        <v>153.18344738508364</v>
      </c>
      <c r="O491" s="279">
        <v>162.88574519996845</v>
      </c>
      <c r="P491" s="279">
        <v>164.89117606126015</v>
      </c>
      <c r="Q491" s="279">
        <v>165.90046672688226</v>
      </c>
      <c r="R491" s="279">
        <v>169.92275311463055</v>
      </c>
      <c r="S491" s="279">
        <v>163.00461931862483</v>
      </c>
      <c r="T491" s="279">
        <v>168.58978074091269</v>
      </c>
      <c r="U491" s="279">
        <v>179.4272174635459</v>
      </c>
      <c r="V491" s="279">
        <v>165.01889973042023</v>
      </c>
    </row>
    <row r="492" spans="1:22" x14ac:dyDescent="0.2">
      <c r="A492" s="267"/>
      <c r="B492" s="270" t="s">
        <v>20</v>
      </c>
      <c r="C492" s="278">
        <v>0</v>
      </c>
      <c r="D492" s="279">
        <v>87.901390304878049</v>
      </c>
      <c r="E492" s="279">
        <v>80.652090168150167</v>
      </c>
      <c r="F492" s="279">
        <v>78.40131705341463</v>
      </c>
      <c r="G492" s="279">
        <v>78.980054874121933</v>
      </c>
      <c r="H492" s="279">
        <v>79.511378307766464</v>
      </c>
      <c r="I492" s="279">
        <v>80.958811664026385</v>
      </c>
      <c r="J492" s="279">
        <v>81.934415979334673</v>
      </c>
      <c r="K492" s="279">
        <v>75.515543776924204</v>
      </c>
      <c r="L492" s="279">
        <v>77.463423937065926</v>
      </c>
      <c r="M492" s="279">
        <v>80.468736374569147</v>
      </c>
      <c r="N492" s="279">
        <v>83.127285740808944</v>
      </c>
      <c r="O492" s="279">
        <v>81.675906236421667</v>
      </c>
      <c r="P492" s="279">
        <v>87.051380609094025</v>
      </c>
      <c r="Q492" s="279">
        <v>85.509583127419049</v>
      </c>
      <c r="R492" s="279">
        <v>93.57901961774617</v>
      </c>
      <c r="S492" s="279">
        <v>97.959263598327524</v>
      </c>
      <c r="T492" s="279">
        <v>100.80291654497262</v>
      </c>
      <c r="U492" s="279">
        <v>107.55562251084692</v>
      </c>
      <c r="V492" s="279">
        <v>108.58030335652552</v>
      </c>
    </row>
    <row r="493" spans="1:22" x14ac:dyDescent="0.2">
      <c r="A493" s="267"/>
      <c r="B493" s="270" t="s">
        <v>92</v>
      </c>
      <c r="C493" s="278">
        <v>0</v>
      </c>
      <c r="D493" s="279">
        <v>3.7235301121569986</v>
      </c>
      <c r="E493" s="279">
        <v>3.795157412790342</v>
      </c>
      <c r="F493" s="279">
        <v>3.8723460013189066</v>
      </c>
      <c r="G493" s="279">
        <v>3.9501041593276804</v>
      </c>
      <c r="H493" s="279">
        <v>4.0316383842912984</v>
      </c>
      <c r="I493" s="279">
        <v>4.1157390869207502</v>
      </c>
      <c r="J493" s="279">
        <v>4.1951222364909464</v>
      </c>
      <c r="K493" s="279">
        <v>4.2812864502661352</v>
      </c>
      <c r="L493" s="279">
        <v>4.3662978970285717</v>
      </c>
      <c r="M493" s="279">
        <v>4.4586651670455266</v>
      </c>
      <c r="N493" s="279">
        <v>4.5356660622550971</v>
      </c>
      <c r="O493" s="279">
        <v>4.6390782473819021</v>
      </c>
      <c r="P493" s="279">
        <v>4.7359016863263692</v>
      </c>
      <c r="Q493" s="279">
        <v>4.8250266868888199</v>
      </c>
      <c r="R493" s="279">
        <v>4.9193437280045051</v>
      </c>
      <c r="S493" s="279">
        <v>5.0229693568993499</v>
      </c>
      <c r="T493" s="279">
        <v>5.1253130335391113</v>
      </c>
      <c r="U493" s="279">
        <v>5.2294370276179256</v>
      </c>
      <c r="V493" s="279">
        <v>5.3275562600191178</v>
      </c>
    </row>
    <row r="494" spans="1:22" x14ac:dyDescent="0.2">
      <c r="A494" s="267"/>
      <c r="B494" s="270" t="s">
        <v>22</v>
      </c>
      <c r="C494" s="278">
        <v>0</v>
      </c>
      <c r="D494" s="279">
        <v>0</v>
      </c>
      <c r="E494" s="279">
        <v>0</v>
      </c>
      <c r="F494" s="279">
        <v>0</v>
      </c>
      <c r="G494" s="279">
        <v>0</v>
      </c>
      <c r="H494" s="279">
        <v>0</v>
      </c>
      <c r="I494" s="279">
        <v>1.1544660108461693</v>
      </c>
      <c r="J494" s="279">
        <v>1.2796333497113674</v>
      </c>
      <c r="K494" s="279">
        <v>1.4772793224936953</v>
      </c>
      <c r="L494" s="279">
        <v>1.5508832567031701</v>
      </c>
      <c r="M494" s="279">
        <v>1.7248206305091585</v>
      </c>
      <c r="N494" s="279">
        <v>1.9000203619288789</v>
      </c>
      <c r="O494" s="279">
        <v>2.1051655966841984</v>
      </c>
      <c r="P494" s="279">
        <v>2.360444418172202</v>
      </c>
      <c r="Q494" s="279">
        <v>2.6275429777388846</v>
      </c>
      <c r="R494" s="279">
        <v>2.910514951386876</v>
      </c>
      <c r="S494" s="279">
        <v>3.1957418373862505</v>
      </c>
      <c r="T494" s="279">
        <v>3.1396605553071288</v>
      </c>
      <c r="U494" s="279">
        <v>2.6861494215067951</v>
      </c>
      <c r="V494" s="279">
        <v>2.7850413648356573</v>
      </c>
    </row>
    <row r="495" spans="1:22" x14ac:dyDescent="0.2">
      <c r="A495" s="267"/>
      <c r="B495" s="270" t="s">
        <v>23</v>
      </c>
      <c r="C495" s="278">
        <v>0</v>
      </c>
      <c r="D495" s="279">
        <v>0</v>
      </c>
      <c r="E495" s="279">
        <v>0</v>
      </c>
      <c r="F495" s="279">
        <v>0</v>
      </c>
      <c r="G495" s="279">
        <v>0</v>
      </c>
      <c r="H495" s="279">
        <v>0</v>
      </c>
      <c r="I495" s="279">
        <v>1.1544660108461693</v>
      </c>
      <c r="J495" s="279">
        <v>1.2796333497113674</v>
      </c>
      <c r="K495" s="279">
        <v>1.4772793224936953</v>
      </c>
      <c r="L495" s="279">
        <v>1.5508832567031701</v>
      </c>
      <c r="M495" s="279">
        <v>1.7248206305091585</v>
      </c>
      <c r="N495" s="279">
        <v>1.9000203619288789</v>
      </c>
      <c r="O495" s="279">
        <v>2.1051655966841984</v>
      </c>
      <c r="P495" s="279">
        <v>2.360444418172202</v>
      </c>
      <c r="Q495" s="279">
        <v>2.6275429777388846</v>
      </c>
      <c r="R495" s="279">
        <v>2.910514951386876</v>
      </c>
      <c r="S495" s="279">
        <v>3.1957418373862505</v>
      </c>
      <c r="T495" s="279">
        <v>3.1396605553071288</v>
      </c>
      <c r="U495" s="279">
        <v>2.6861494215067951</v>
      </c>
      <c r="V495" s="279">
        <v>2.7850413648356573</v>
      </c>
    </row>
    <row r="496" spans="1:22" x14ac:dyDescent="0.2">
      <c r="A496" s="269" t="s">
        <v>94</v>
      </c>
      <c r="B496" s="270"/>
      <c r="C496" s="273"/>
      <c r="D496" s="274"/>
      <c r="E496" s="274"/>
      <c r="F496" s="274"/>
      <c r="G496" s="274"/>
      <c r="H496" s="274"/>
      <c r="I496" s="274"/>
      <c r="J496" s="274"/>
      <c r="K496" s="274"/>
      <c r="L496" s="274"/>
      <c r="M496" s="274"/>
      <c r="N496" s="274"/>
      <c r="O496" s="274"/>
      <c r="P496" s="274"/>
      <c r="Q496" s="274"/>
      <c r="R496" s="274"/>
      <c r="S496" s="274"/>
      <c r="T496" s="274"/>
      <c r="U496" s="274"/>
      <c r="V496" s="274"/>
    </row>
    <row r="497" spans="1:22" x14ac:dyDescent="0.2">
      <c r="A497" s="267"/>
      <c r="B497" s="270" t="s">
        <v>34</v>
      </c>
      <c r="C497" s="278">
        <v>0</v>
      </c>
      <c r="D497" s="279">
        <v>3.196047292188501</v>
      </c>
      <c r="E497" s="279">
        <v>3.259968238032271</v>
      </c>
      <c r="F497" s="279">
        <v>3.3251676027929169</v>
      </c>
      <c r="G497" s="279">
        <v>3.3916709548487751</v>
      </c>
      <c r="H497" s="279">
        <v>3.4595043739457507</v>
      </c>
      <c r="I497" s="279">
        <v>3.5286944614246658</v>
      </c>
      <c r="J497" s="279">
        <v>3.5992683506531593</v>
      </c>
      <c r="K497" s="279">
        <v>3.6712537176662225</v>
      </c>
      <c r="L497" s="279">
        <v>3.7446787920195472</v>
      </c>
      <c r="M497" s="279">
        <v>3.8195723678599385</v>
      </c>
      <c r="N497" s="279">
        <v>3.8959638152171374</v>
      </c>
      <c r="O497" s="279">
        <v>3.97388309152148</v>
      </c>
      <c r="P497" s="279">
        <v>4.0533607533519094</v>
      </c>
      <c r="Q497" s="279">
        <v>4.1344279684189482</v>
      </c>
      <c r="R497" s="279">
        <v>4.2171165277873266</v>
      </c>
      <c r="S497" s="279">
        <v>4.3014588583430733</v>
      </c>
      <c r="T497" s="279">
        <v>4.3874880355099348</v>
      </c>
      <c r="U497" s="279">
        <v>4.4752377962201342</v>
      </c>
      <c r="V497" s="279">
        <v>4.5647425521445362</v>
      </c>
    </row>
    <row r="498" spans="1:22" x14ac:dyDescent="0.2">
      <c r="A498" s="267"/>
      <c r="B498" s="270" t="s">
        <v>95</v>
      </c>
      <c r="C498" s="278">
        <v>0</v>
      </c>
      <c r="D498" s="279">
        <v>0.84828676607843134</v>
      </c>
      <c r="E498" s="279">
        <v>0.84828676607843134</v>
      </c>
      <c r="F498" s="279">
        <v>0.84828676607843134</v>
      </c>
      <c r="G498" s="279">
        <v>0.84828676607843134</v>
      </c>
      <c r="H498" s="279">
        <v>0.84828676607843134</v>
      </c>
      <c r="I498" s="279">
        <v>0.84828676607843134</v>
      </c>
      <c r="J498" s="279">
        <v>0.84828676607843134</v>
      </c>
      <c r="K498" s="279">
        <v>0.84828676607843134</v>
      </c>
      <c r="L498" s="279">
        <v>0.84828676607843134</v>
      </c>
      <c r="M498" s="279">
        <v>0.84828676607843134</v>
      </c>
      <c r="N498" s="279">
        <v>0.84828676607843134</v>
      </c>
      <c r="O498" s="279">
        <v>0.84828676607843134</v>
      </c>
      <c r="P498" s="279">
        <v>0.84828676607843134</v>
      </c>
      <c r="Q498" s="279">
        <v>0.84828676607843134</v>
      </c>
      <c r="R498" s="279">
        <v>0.84828676607843134</v>
      </c>
      <c r="S498" s="279">
        <v>0.84828676607843134</v>
      </c>
      <c r="T498" s="279">
        <v>0.84828676607843134</v>
      </c>
      <c r="U498" s="279">
        <v>0.84828676607843134</v>
      </c>
      <c r="V498" s="279">
        <v>0.84828676607843134</v>
      </c>
    </row>
    <row r="499" spans="1:22" x14ac:dyDescent="0.2">
      <c r="A499" s="267"/>
      <c r="B499" s="270" t="s">
        <v>36</v>
      </c>
      <c r="C499" s="278">
        <v>0</v>
      </c>
      <c r="D499" s="279">
        <v>0.12175221394134766</v>
      </c>
      <c r="E499" s="279">
        <v>0.12432118565551066</v>
      </c>
      <c r="F499" s="279">
        <v>0.12704381962136665</v>
      </c>
      <c r="G499" s="279">
        <v>0.12991500994480834</v>
      </c>
      <c r="H499" s="279">
        <v>0.13300698718149534</v>
      </c>
      <c r="I499" s="279">
        <v>0.13634015565169499</v>
      </c>
      <c r="J499" s="279">
        <v>0.13972177133803168</v>
      </c>
      <c r="K499" s="279">
        <v>0.14325841811600568</v>
      </c>
      <c r="L499" s="279">
        <v>0.14679690104347135</v>
      </c>
      <c r="M499" s="279">
        <v>0.15054022202007933</v>
      </c>
      <c r="N499" s="279">
        <v>0.15418329539296569</v>
      </c>
      <c r="O499" s="279">
        <v>0.15806871443686799</v>
      </c>
      <c r="P499" s="279">
        <v>0.16208365978356432</v>
      </c>
      <c r="Q499" s="279">
        <v>0.16613575127815333</v>
      </c>
      <c r="R499" s="279">
        <v>0.17030575863523501</v>
      </c>
      <c r="S499" s="279">
        <v>0.17456340260111602</v>
      </c>
      <c r="T499" s="279">
        <v>0.17889257498562336</v>
      </c>
      <c r="U499" s="279">
        <v>0.183382778617763</v>
      </c>
      <c r="V499" s="279">
        <v>0.18798568636106866</v>
      </c>
    </row>
    <row r="500" spans="1:22" x14ac:dyDescent="0.2">
      <c r="A500" s="267"/>
      <c r="B500" s="270" t="s">
        <v>39</v>
      </c>
      <c r="C500" s="278">
        <v>0</v>
      </c>
      <c r="D500" s="279">
        <v>3.0244666666666666E-2</v>
      </c>
      <c r="E500" s="279">
        <v>3.1464666666666669E-2</v>
      </c>
      <c r="F500" s="279">
        <v>3.2735333333333332E-2</v>
      </c>
      <c r="G500" s="279">
        <v>3.4190666666666668E-2</v>
      </c>
      <c r="H500" s="279">
        <v>3.3333333333333335</v>
      </c>
      <c r="I500" s="279">
        <v>3.4333333333333331</v>
      </c>
      <c r="J500" s="279">
        <v>3.5363333333333333</v>
      </c>
      <c r="K500" s="279">
        <v>3.6424233333333333</v>
      </c>
      <c r="L500" s="279">
        <v>3.7516960333333333</v>
      </c>
      <c r="M500" s="279">
        <v>3.8642469143333331</v>
      </c>
      <c r="N500" s="279">
        <v>3.9801743217633332</v>
      </c>
      <c r="O500" s="279">
        <v>4.099579551416233</v>
      </c>
      <c r="P500" s="279">
        <v>4.2225669379587201</v>
      </c>
      <c r="Q500" s="279">
        <v>4.3492439460974825</v>
      </c>
      <c r="R500" s="279">
        <v>4.479721264480407</v>
      </c>
      <c r="S500" s="279">
        <v>4.6141129024148189</v>
      </c>
      <c r="T500" s="279">
        <v>4.7525362894872636</v>
      </c>
      <c r="U500" s="279">
        <v>4.8951123781718815</v>
      </c>
      <c r="V500" s="279">
        <v>5.0419657495170389</v>
      </c>
    </row>
    <row r="501" spans="1:22" x14ac:dyDescent="0.2">
      <c r="A501" s="267"/>
      <c r="B501" s="270" t="s">
        <v>96</v>
      </c>
      <c r="C501" s="280">
        <v>0</v>
      </c>
      <c r="D501" s="281">
        <v>0</v>
      </c>
      <c r="E501" s="281">
        <v>0</v>
      </c>
      <c r="F501" s="281">
        <v>0</v>
      </c>
      <c r="G501" s="281">
        <v>0</v>
      </c>
      <c r="H501" s="281">
        <v>0</v>
      </c>
      <c r="I501" s="281">
        <v>0</v>
      </c>
      <c r="J501" s="281">
        <v>0</v>
      </c>
      <c r="K501" s="281">
        <v>0</v>
      </c>
      <c r="L501" s="281">
        <v>0</v>
      </c>
      <c r="M501" s="281">
        <v>0</v>
      </c>
      <c r="N501" s="281">
        <v>0</v>
      </c>
      <c r="O501" s="281">
        <v>0</v>
      </c>
      <c r="P501" s="281">
        <v>0</v>
      </c>
      <c r="Q501" s="281">
        <v>0</v>
      </c>
      <c r="R501" s="281">
        <v>0</v>
      </c>
      <c r="S501" s="281">
        <v>0</v>
      </c>
      <c r="T501" s="281">
        <v>0</v>
      </c>
      <c r="U501" s="281">
        <v>0</v>
      </c>
      <c r="V501" s="281">
        <v>0</v>
      </c>
    </row>
    <row r="502" spans="1:22" x14ac:dyDescent="0.2">
      <c r="A502" s="267"/>
      <c r="B502" s="270"/>
      <c r="C502" s="267"/>
      <c r="D502" s="267"/>
      <c r="E502" s="267"/>
      <c r="F502" s="267"/>
      <c r="G502" s="267"/>
      <c r="H502" s="267"/>
      <c r="I502" s="267"/>
      <c r="J502" s="267"/>
      <c r="K502" s="267"/>
      <c r="L502" s="267"/>
      <c r="M502" s="267"/>
      <c r="N502" s="267"/>
      <c r="O502" s="267"/>
      <c r="P502" s="267"/>
      <c r="Q502" s="267"/>
      <c r="R502" s="267"/>
      <c r="S502" s="267"/>
      <c r="T502" s="267"/>
      <c r="U502" s="267"/>
      <c r="V502" s="267"/>
    </row>
    <row r="503" spans="1:22" x14ac:dyDescent="0.2">
      <c r="A503" s="267"/>
      <c r="B503" s="270"/>
      <c r="C503" s="267"/>
      <c r="D503" s="267"/>
      <c r="E503" s="267"/>
      <c r="F503" s="267"/>
      <c r="G503" s="267"/>
      <c r="H503" s="267"/>
      <c r="I503" s="267"/>
      <c r="J503" s="267"/>
      <c r="K503" s="267"/>
      <c r="L503" s="267"/>
      <c r="M503" s="267"/>
      <c r="N503" s="267"/>
      <c r="O503" s="267"/>
      <c r="P503" s="267"/>
      <c r="Q503" s="267"/>
      <c r="R503" s="267"/>
      <c r="S503" s="267"/>
      <c r="T503" s="267"/>
      <c r="U503" s="267"/>
      <c r="V503" s="267"/>
    </row>
    <row r="504" spans="1:22" x14ac:dyDescent="0.2">
      <c r="A504" s="302"/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</row>
    <row r="505" spans="1:22" x14ac:dyDescent="0.2">
      <c r="A505" s="24"/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</row>
    <row r="506" spans="1:22" x14ac:dyDescent="0.2">
      <c r="A506" s="265" t="s">
        <v>98</v>
      </c>
      <c r="B506" s="266"/>
      <c r="C506" s="267"/>
      <c r="D506" s="267"/>
      <c r="E506" s="267"/>
      <c r="F506" s="267"/>
      <c r="G506" s="267"/>
      <c r="H506" s="267"/>
      <c r="I506" s="267"/>
      <c r="J506" s="267"/>
      <c r="K506" s="267"/>
      <c r="L506" s="267"/>
      <c r="M506" s="267"/>
      <c r="N506" s="267"/>
      <c r="O506" s="267"/>
      <c r="P506" s="267"/>
      <c r="Q506" s="267"/>
      <c r="R506" s="267"/>
      <c r="S506" s="267"/>
      <c r="T506" s="267"/>
      <c r="U506" s="267"/>
      <c r="V506" s="267"/>
    </row>
    <row r="507" spans="1:22" x14ac:dyDescent="0.2">
      <c r="A507" s="268" t="s">
        <v>86</v>
      </c>
      <c r="B507" s="266"/>
      <c r="C507" s="267"/>
      <c r="D507" s="267"/>
      <c r="E507" s="267"/>
      <c r="F507" s="267"/>
      <c r="G507" s="267"/>
      <c r="H507" s="267"/>
      <c r="I507" s="267"/>
      <c r="J507" s="267"/>
      <c r="K507" s="267"/>
      <c r="L507" s="267"/>
      <c r="M507" s="267"/>
      <c r="N507" s="267"/>
      <c r="O507" s="267"/>
      <c r="P507" s="267"/>
      <c r="Q507" s="267"/>
      <c r="R507" s="267"/>
      <c r="S507" s="267"/>
      <c r="T507" s="267"/>
      <c r="U507" s="267"/>
      <c r="V507" s="267"/>
    </row>
    <row r="508" spans="1:22" x14ac:dyDescent="0.2">
      <c r="A508" s="267"/>
      <c r="B508" s="266"/>
      <c r="C508" s="267"/>
      <c r="D508" s="267"/>
      <c r="E508" s="267"/>
      <c r="F508" s="267"/>
      <c r="G508" s="267"/>
      <c r="H508" s="267"/>
      <c r="I508" s="267"/>
      <c r="J508" s="267"/>
      <c r="K508" s="267"/>
      <c r="L508" s="267"/>
      <c r="M508" s="267"/>
      <c r="N508" s="267"/>
      <c r="O508" s="267"/>
      <c r="P508" s="267"/>
      <c r="Q508" s="267"/>
      <c r="R508" s="267"/>
      <c r="S508" s="267"/>
      <c r="T508" s="267"/>
      <c r="U508" s="267"/>
      <c r="V508" s="267"/>
    </row>
    <row r="509" spans="1:22" x14ac:dyDescent="0.2">
      <c r="A509" s="267"/>
      <c r="B509" s="266"/>
      <c r="C509" s="271">
        <v>2000</v>
      </c>
      <c r="D509" s="272">
        <v>2001</v>
      </c>
      <c r="E509" s="272">
        <v>2002</v>
      </c>
      <c r="F509" s="272">
        <v>2003</v>
      </c>
      <c r="G509" s="272">
        <v>2004</v>
      </c>
      <c r="H509" s="272">
        <v>2005</v>
      </c>
      <c r="I509" s="272">
        <v>2006</v>
      </c>
      <c r="J509" s="272">
        <v>2007</v>
      </c>
      <c r="K509" s="272">
        <v>2008</v>
      </c>
      <c r="L509" s="272">
        <v>2009</v>
      </c>
      <c r="M509" s="272">
        <v>2010</v>
      </c>
      <c r="N509" s="272">
        <v>2011</v>
      </c>
      <c r="O509" s="272">
        <v>2012</v>
      </c>
      <c r="P509" s="272">
        <v>2013</v>
      </c>
      <c r="Q509" s="272">
        <v>2014</v>
      </c>
      <c r="R509" s="272">
        <v>2015</v>
      </c>
      <c r="S509" s="272">
        <v>2016</v>
      </c>
      <c r="T509" s="272">
        <v>2017</v>
      </c>
      <c r="U509" s="272">
        <v>2018</v>
      </c>
      <c r="V509" s="272">
        <v>2019</v>
      </c>
    </row>
    <row r="510" spans="1:22" x14ac:dyDescent="0.2">
      <c r="A510" s="269" t="s">
        <v>129</v>
      </c>
      <c r="B510" s="266"/>
      <c r="C510" s="273"/>
      <c r="D510" s="274"/>
      <c r="E510" s="274"/>
      <c r="F510" s="274"/>
      <c r="G510" s="274"/>
      <c r="H510" s="274"/>
      <c r="I510" s="274"/>
      <c r="J510" s="274"/>
      <c r="K510" s="274"/>
      <c r="L510" s="274"/>
      <c r="M510" s="274"/>
      <c r="N510" s="274"/>
      <c r="O510" s="274"/>
      <c r="P510" s="274"/>
      <c r="Q510" s="274"/>
      <c r="R510" s="274"/>
      <c r="S510" s="274"/>
      <c r="T510" s="274"/>
      <c r="U510" s="274"/>
      <c r="V510" s="274"/>
    </row>
    <row r="511" spans="1:22" x14ac:dyDescent="0.2">
      <c r="A511" s="267"/>
      <c r="B511" s="270" t="s">
        <v>97</v>
      </c>
      <c r="C511" s="275">
        <v>0</v>
      </c>
      <c r="D511" s="276">
        <v>6576.1794965253948</v>
      </c>
      <c r="E511" s="276">
        <v>7985.36081720941</v>
      </c>
      <c r="F511" s="276">
        <v>6811.0430499727308</v>
      </c>
      <c r="G511" s="276">
        <v>6341.3159430780588</v>
      </c>
      <c r="H511" s="276">
        <v>9394.5421378934207</v>
      </c>
      <c r="I511" s="276">
        <v>8689.9514775514144</v>
      </c>
      <c r="J511" s="276">
        <v>10803.723458577435</v>
      </c>
      <c r="K511" s="276">
        <v>19023.947829234177</v>
      </c>
      <c r="L511" s="276">
        <v>16440.448741313488</v>
      </c>
      <c r="M511" s="276">
        <v>17379.902955102829</v>
      </c>
      <c r="N511" s="276">
        <v>18319.357168892177</v>
      </c>
      <c r="O511" s="276">
        <v>17849.630061997497</v>
      </c>
      <c r="P511" s="276">
        <v>19023.947829234177</v>
      </c>
      <c r="Q511" s="276">
        <v>23486.355344733551</v>
      </c>
      <c r="R511" s="276">
        <v>17849.630061997497</v>
      </c>
      <c r="S511" s="276">
        <v>16675.312294760821</v>
      </c>
      <c r="T511" s="276">
        <v>19023.947829234177</v>
      </c>
      <c r="U511" s="276">
        <v>22312.037577496874</v>
      </c>
      <c r="V511" s="276">
        <v>21607.44691715487</v>
      </c>
    </row>
    <row r="512" spans="1:22" x14ac:dyDescent="0.2">
      <c r="A512" s="267"/>
      <c r="B512" s="270" t="s">
        <v>91</v>
      </c>
      <c r="C512" s="275">
        <v>0</v>
      </c>
      <c r="D512" s="277">
        <v>1.3216644753130016E-2</v>
      </c>
      <c r="E512" s="277">
        <v>1.604878291451502E-2</v>
      </c>
      <c r="F512" s="277">
        <v>1.3688667780027515E-2</v>
      </c>
      <c r="G512" s="277">
        <v>1.2744621726232514E-2</v>
      </c>
      <c r="H512" s="277">
        <v>1.8880921075900021E-2</v>
      </c>
      <c r="I512" s="277">
        <v>1.7464851995207521E-2</v>
      </c>
      <c r="J512" s="277">
        <v>2.1713059237285025E-2</v>
      </c>
      <c r="K512" s="277">
        <v>3.8233865178697542E-2</v>
      </c>
      <c r="L512" s="277">
        <v>3.3041611882825041E-2</v>
      </c>
      <c r="M512" s="277">
        <v>3.4929703990415041E-2</v>
      </c>
      <c r="N512" s="277">
        <v>3.6817796098005048E-2</v>
      </c>
      <c r="O512" s="277">
        <v>3.5873750044210034E-2</v>
      </c>
      <c r="P512" s="277">
        <v>3.8233865178697542E-2</v>
      </c>
      <c r="Q512" s="277">
        <v>4.720230268975005E-2</v>
      </c>
      <c r="R512" s="277">
        <v>3.5873750044210034E-2</v>
      </c>
      <c r="S512" s="277">
        <v>3.3513634909722534E-2</v>
      </c>
      <c r="T512" s="277">
        <v>3.8233865178697542E-2</v>
      </c>
      <c r="U512" s="277">
        <v>4.484218755526255E-2</v>
      </c>
      <c r="V512" s="277">
        <v>4.342611847457005E-2</v>
      </c>
    </row>
    <row r="513" spans="1:22" x14ac:dyDescent="0.2">
      <c r="A513" s="269" t="s">
        <v>93</v>
      </c>
      <c r="B513" s="270"/>
      <c r="C513" s="273"/>
      <c r="D513" s="274"/>
      <c r="E513" s="274"/>
      <c r="F513" s="274"/>
      <c r="G513" s="274"/>
      <c r="H513" s="274"/>
      <c r="I513" s="274"/>
      <c r="J513" s="274"/>
      <c r="K513" s="274"/>
      <c r="L513" s="274"/>
      <c r="M513" s="274"/>
      <c r="N513" s="274"/>
      <c r="O513" s="274"/>
      <c r="P513" s="274"/>
      <c r="Q513" s="274"/>
      <c r="R513" s="274"/>
      <c r="S513" s="274"/>
      <c r="T513" s="274"/>
      <c r="U513" s="274"/>
      <c r="V513" s="274"/>
    </row>
    <row r="514" spans="1:22" x14ac:dyDescent="0.2">
      <c r="A514" s="267"/>
      <c r="B514" s="270" t="s">
        <v>27</v>
      </c>
      <c r="C514" s="278">
        <v>0</v>
      </c>
      <c r="D514" s="279">
        <v>555.84035504171675</v>
      </c>
      <c r="E514" s="279">
        <v>344.17999223612827</v>
      </c>
      <c r="F514" s="279">
        <v>315.61440930568034</v>
      </c>
      <c r="G514" s="279">
        <v>289.85071596987746</v>
      </c>
      <c r="H514" s="279">
        <v>207.95569968211933</v>
      </c>
      <c r="I514" s="279">
        <v>170.90429982972373</v>
      </c>
      <c r="J514" s="279">
        <v>163.53629186479793</v>
      </c>
      <c r="K514" s="279">
        <v>145.57102249737383</v>
      </c>
      <c r="L514" s="279">
        <v>158.31665075225871</v>
      </c>
      <c r="M514" s="279">
        <v>170.55046357628615</v>
      </c>
      <c r="N514" s="279">
        <v>140.55108927858387</v>
      </c>
      <c r="O514" s="279">
        <v>151.42510023674754</v>
      </c>
      <c r="P514" s="279">
        <v>155.26354225460884</v>
      </c>
      <c r="Q514" s="279">
        <v>155.79004543445805</v>
      </c>
      <c r="R514" s="279">
        <v>165.3880555751347</v>
      </c>
      <c r="S514" s="279">
        <v>154.14471476428787</v>
      </c>
      <c r="T514" s="279">
        <v>163.37190887013307</v>
      </c>
      <c r="U514" s="279">
        <v>168.65980028385525</v>
      </c>
      <c r="V514" s="279">
        <v>154.05068624114938</v>
      </c>
    </row>
    <row r="515" spans="1:22" x14ac:dyDescent="0.2">
      <c r="A515" s="267"/>
      <c r="B515" s="270" t="s">
        <v>20</v>
      </c>
      <c r="C515" s="278">
        <v>0</v>
      </c>
      <c r="D515" s="279">
        <v>77.357770170731712</v>
      </c>
      <c r="E515" s="279">
        <v>71.325781302053855</v>
      </c>
      <c r="F515" s="279">
        <v>68.914050935172398</v>
      </c>
      <c r="G515" s="279">
        <v>69.168242158658302</v>
      </c>
      <c r="H515" s="279">
        <v>70.376065786891388</v>
      </c>
      <c r="I515" s="279">
        <v>71.483344778632784</v>
      </c>
      <c r="J515" s="279">
        <v>71.459550196488934</v>
      </c>
      <c r="K515" s="279">
        <v>66.510937043021244</v>
      </c>
      <c r="L515" s="279">
        <v>67.812611712133346</v>
      </c>
      <c r="M515" s="279">
        <v>70.39605881400972</v>
      </c>
      <c r="N515" s="279">
        <v>72.249809957630106</v>
      </c>
      <c r="O515" s="279">
        <v>71.737637134278856</v>
      </c>
      <c r="P515" s="279">
        <v>75.76785802076752</v>
      </c>
      <c r="Q515" s="279">
        <v>75.214070654179238</v>
      </c>
      <c r="R515" s="279">
        <v>81.956740214264926</v>
      </c>
      <c r="S515" s="279">
        <v>86.05427198888691</v>
      </c>
      <c r="T515" s="279">
        <v>88.367099644643972</v>
      </c>
      <c r="U515" s="279">
        <v>94.116220514089989</v>
      </c>
      <c r="V515" s="279">
        <v>96.018143461330709</v>
      </c>
    </row>
    <row r="516" spans="1:22" x14ac:dyDescent="0.2">
      <c r="A516" s="267"/>
      <c r="B516" s="270" t="s">
        <v>92</v>
      </c>
      <c r="C516" s="278">
        <v>0</v>
      </c>
      <c r="D516" s="279">
        <v>3.7248023395191074</v>
      </c>
      <c r="E516" s="279">
        <v>3.7948353225876956</v>
      </c>
      <c r="F516" s="279">
        <v>3.8722511836327973</v>
      </c>
      <c r="G516" s="279">
        <v>3.9510250759418315</v>
      </c>
      <c r="H516" s="279">
        <v>4.0336642900512309</v>
      </c>
      <c r="I516" s="279">
        <v>4.1144245906336243</v>
      </c>
      <c r="J516" s="279">
        <v>4.1958887427128886</v>
      </c>
      <c r="K516" s="279">
        <v>4.2765064750316615</v>
      </c>
      <c r="L516" s="279">
        <v>4.365184137150468</v>
      </c>
      <c r="M516" s="279">
        <v>4.4589046317399799</v>
      </c>
      <c r="N516" s="279">
        <v>4.5372866254996236</v>
      </c>
      <c r="O516" s="279">
        <v>4.6377824006134052</v>
      </c>
      <c r="P516" s="279">
        <v>4.733440192170522</v>
      </c>
      <c r="Q516" s="279">
        <v>4.8223592449461909</v>
      </c>
      <c r="R516" s="279">
        <v>4.9193495870511557</v>
      </c>
      <c r="S516" s="279">
        <v>5.0218314987052253</v>
      </c>
      <c r="T516" s="279">
        <v>5.1237373395126493</v>
      </c>
      <c r="U516" s="279">
        <v>5.2288785722438123</v>
      </c>
      <c r="V516" s="279">
        <v>5.3265169940980996</v>
      </c>
    </row>
    <row r="517" spans="1:22" x14ac:dyDescent="0.2">
      <c r="A517" s="267"/>
      <c r="B517" s="270" t="s">
        <v>22</v>
      </c>
      <c r="C517" s="278">
        <v>0</v>
      </c>
      <c r="D517" s="279">
        <v>0</v>
      </c>
      <c r="E517" s="279">
        <v>0</v>
      </c>
      <c r="F517" s="279">
        <v>0</v>
      </c>
      <c r="G517" s="279">
        <v>0</v>
      </c>
      <c r="H517" s="279">
        <v>0</v>
      </c>
      <c r="I517" s="279">
        <v>1.0080316596572712</v>
      </c>
      <c r="J517" s="279">
        <v>1.1173225691736901</v>
      </c>
      <c r="K517" s="279">
        <v>1.2829399259975582</v>
      </c>
      <c r="L517" s="279">
        <v>1.3541666956858405</v>
      </c>
      <c r="M517" s="279">
        <v>1.5060415693909277</v>
      </c>
      <c r="N517" s="279">
        <v>1.6590186812117285</v>
      </c>
      <c r="O517" s="279">
        <v>1.8381429598984749</v>
      </c>
      <c r="P517" s="279">
        <v>2.0610417994332089</v>
      </c>
      <c r="Q517" s="279">
        <v>2.2942611421964716</v>
      </c>
      <c r="R517" s="279">
        <v>2.5413404893171441</v>
      </c>
      <c r="S517" s="279">
        <v>2.7903887320298821</v>
      </c>
      <c r="T517" s="279">
        <v>2.7414208912110016</v>
      </c>
      <c r="U517" s="279">
        <v>2.3454338490782236</v>
      </c>
      <c r="V517" s="279">
        <v>2.4317821770705392</v>
      </c>
    </row>
    <row r="518" spans="1:22" x14ac:dyDescent="0.2">
      <c r="A518" s="267"/>
      <c r="B518" s="270" t="s">
        <v>23</v>
      </c>
      <c r="C518" s="278">
        <v>0</v>
      </c>
      <c r="D518" s="279">
        <v>0</v>
      </c>
      <c r="E518" s="279">
        <v>0</v>
      </c>
      <c r="F518" s="279">
        <v>0</v>
      </c>
      <c r="G518" s="279">
        <v>0</v>
      </c>
      <c r="H518" s="279">
        <v>0</v>
      </c>
      <c r="I518" s="279">
        <v>1.0080316596572712</v>
      </c>
      <c r="J518" s="279">
        <v>1.1173225691736901</v>
      </c>
      <c r="K518" s="279">
        <v>1.2829399259975582</v>
      </c>
      <c r="L518" s="279">
        <v>1.3541666956858405</v>
      </c>
      <c r="M518" s="279">
        <v>1.5060415693909277</v>
      </c>
      <c r="N518" s="279">
        <v>1.6590186812117285</v>
      </c>
      <c r="O518" s="279">
        <v>1.8381429598984749</v>
      </c>
      <c r="P518" s="279">
        <v>2.0610417994332089</v>
      </c>
      <c r="Q518" s="279">
        <v>2.2942611421964716</v>
      </c>
      <c r="R518" s="279">
        <v>2.5413404893171441</v>
      </c>
      <c r="S518" s="279">
        <v>2.7903887320298821</v>
      </c>
      <c r="T518" s="279">
        <v>2.7414208912110016</v>
      </c>
      <c r="U518" s="279">
        <v>2.3454338490782236</v>
      </c>
      <c r="V518" s="279">
        <v>2.4317821770705392</v>
      </c>
    </row>
    <row r="519" spans="1:22" x14ac:dyDescent="0.2">
      <c r="A519" s="269" t="s">
        <v>94</v>
      </c>
      <c r="B519" s="270"/>
      <c r="C519" s="273"/>
      <c r="D519" s="274"/>
      <c r="E519" s="274"/>
      <c r="F519" s="274"/>
      <c r="G519" s="274"/>
      <c r="H519" s="274"/>
      <c r="I519" s="274"/>
      <c r="J519" s="274"/>
      <c r="K519" s="274"/>
      <c r="L519" s="274"/>
      <c r="M519" s="274"/>
      <c r="N519" s="274"/>
      <c r="O519" s="274"/>
      <c r="P519" s="274"/>
      <c r="Q519" s="274"/>
      <c r="R519" s="274"/>
      <c r="S519" s="274"/>
      <c r="T519" s="274"/>
      <c r="U519" s="274"/>
      <c r="V519" s="274"/>
    </row>
    <row r="520" spans="1:22" x14ac:dyDescent="0.2">
      <c r="A520" s="267"/>
      <c r="B520" s="270" t="s">
        <v>34</v>
      </c>
      <c r="C520" s="278">
        <v>0</v>
      </c>
      <c r="D520" s="279">
        <v>3.3934844256250276</v>
      </c>
      <c r="E520" s="279">
        <v>3.4613541141375284</v>
      </c>
      <c r="F520" s="279">
        <v>3.5305811964202789</v>
      </c>
      <c r="G520" s="279">
        <v>3.6011928203486847</v>
      </c>
      <c r="H520" s="279">
        <v>3.6732166767556582</v>
      </c>
      <c r="I520" s="279">
        <v>3.7466810102907715</v>
      </c>
      <c r="J520" s="279">
        <v>3.8216146304965868</v>
      </c>
      <c r="K520" s="279">
        <v>3.8980469231065187</v>
      </c>
      <c r="L520" s="279">
        <v>3.9760078615686489</v>
      </c>
      <c r="M520" s="279">
        <v>4.0555280188000218</v>
      </c>
      <c r="N520" s="279">
        <v>4.1366385791760232</v>
      </c>
      <c r="O520" s="279">
        <v>4.2193713507595438</v>
      </c>
      <c r="P520" s="279">
        <v>4.3037587777747346</v>
      </c>
      <c r="Q520" s="279">
        <v>4.3898339533302293</v>
      </c>
      <c r="R520" s="279">
        <v>4.477630632396834</v>
      </c>
      <c r="S520" s="279">
        <v>4.5671832450447702</v>
      </c>
      <c r="T520" s="279">
        <v>4.6585269099456665</v>
      </c>
      <c r="U520" s="279">
        <v>4.7516974481445802</v>
      </c>
      <c r="V520" s="279">
        <v>4.8467313971074715</v>
      </c>
    </row>
    <row r="521" spans="1:22" x14ac:dyDescent="0.2">
      <c r="A521" s="267"/>
      <c r="B521" s="270" t="s">
        <v>95</v>
      </c>
      <c r="C521" s="278">
        <v>0</v>
      </c>
      <c r="D521" s="279">
        <v>1.0439287627640845</v>
      </c>
      <c r="E521" s="279">
        <v>1.0439287627640845</v>
      </c>
      <c r="F521" s="279">
        <v>1.0439287627640845</v>
      </c>
      <c r="G521" s="279">
        <v>1.0439287627640845</v>
      </c>
      <c r="H521" s="279">
        <v>1.0439287627640845</v>
      </c>
      <c r="I521" s="279">
        <v>1.0439287627640845</v>
      </c>
      <c r="J521" s="279">
        <v>1.0439287627640845</v>
      </c>
      <c r="K521" s="279">
        <v>1.0439287627640845</v>
      </c>
      <c r="L521" s="279">
        <v>1.0439287627640845</v>
      </c>
      <c r="M521" s="279">
        <v>1.0439287627640845</v>
      </c>
      <c r="N521" s="279">
        <v>1.0439287627640845</v>
      </c>
      <c r="O521" s="279">
        <v>1.0439287627640845</v>
      </c>
      <c r="P521" s="279">
        <v>1.0439287627640845</v>
      </c>
      <c r="Q521" s="279">
        <v>1.0439287627640845</v>
      </c>
      <c r="R521" s="279">
        <v>1.0439287627640845</v>
      </c>
      <c r="S521" s="279">
        <v>1.0439287627640845</v>
      </c>
      <c r="T521" s="279">
        <v>1.0439287627640845</v>
      </c>
      <c r="U521" s="279">
        <v>1.0439287627640845</v>
      </c>
      <c r="V521" s="279">
        <v>1.0439287627640845</v>
      </c>
    </row>
    <row r="522" spans="1:22" x14ac:dyDescent="0.2">
      <c r="A522" s="267"/>
      <c r="B522" s="270" t="s">
        <v>36</v>
      </c>
      <c r="C522" s="278">
        <v>0</v>
      </c>
      <c r="D522" s="279">
        <v>9.7316030157344732E-2</v>
      </c>
      <c r="E522" s="279">
        <v>9.936939839366532E-2</v>
      </c>
      <c r="F522" s="279">
        <v>0.10154558821848662</v>
      </c>
      <c r="G522" s="279">
        <v>0.10384051851222377</v>
      </c>
      <c r="H522" s="279">
        <v>0.10631192285281479</v>
      </c>
      <c r="I522" s="279">
        <v>0.10897611032723503</v>
      </c>
      <c r="J522" s="279">
        <v>0.11167902145680686</v>
      </c>
      <c r="K522" s="279">
        <v>0.11450584828286374</v>
      </c>
      <c r="L522" s="279">
        <v>0.11733414273545054</v>
      </c>
      <c r="M522" s="279">
        <v>0.12032616337520405</v>
      </c>
      <c r="N522" s="279">
        <v>0.12323805652888468</v>
      </c>
      <c r="O522" s="279">
        <v>0.12634365555341215</v>
      </c>
      <c r="P522" s="279">
        <v>0.12955278440446849</v>
      </c>
      <c r="Q522" s="279">
        <v>0.13279160401458009</v>
      </c>
      <c r="R522" s="279">
        <v>0.13612467327534614</v>
      </c>
      <c r="S522" s="279">
        <v>0.1395277901072301</v>
      </c>
      <c r="T522" s="279">
        <v>0.14298807930188909</v>
      </c>
      <c r="U522" s="279">
        <v>0.14657708009236689</v>
      </c>
      <c r="V522" s="279">
        <v>0.15025616480268522</v>
      </c>
    </row>
    <row r="523" spans="1:22" x14ac:dyDescent="0.2">
      <c r="A523" s="267"/>
      <c r="B523" s="270" t="s">
        <v>39</v>
      </c>
      <c r="C523" s="278">
        <v>0</v>
      </c>
      <c r="D523" s="279">
        <v>3.0846478873239436E-2</v>
      </c>
      <c r="E523" s="279">
        <v>3.2091549295774645E-2</v>
      </c>
      <c r="F523" s="279">
        <v>3.3387323943661971E-2</v>
      </c>
      <c r="G523" s="279">
        <v>3.4871830985915495E-2</v>
      </c>
      <c r="H523" s="279">
        <v>3.5211267605633805</v>
      </c>
      <c r="I523" s="279">
        <v>3.6267605633802815</v>
      </c>
      <c r="J523" s="279">
        <v>3.7355633802816901</v>
      </c>
      <c r="K523" s="279">
        <v>3.8476302816901407</v>
      </c>
      <c r="L523" s="279">
        <v>3.9630591901408447</v>
      </c>
      <c r="M523" s="279">
        <v>4.0819509658450706</v>
      </c>
      <c r="N523" s="279">
        <v>4.2044094948204229</v>
      </c>
      <c r="O523" s="279">
        <v>4.330541779665035</v>
      </c>
      <c r="P523" s="279">
        <v>4.4604580330549863</v>
      </c>
      <c r="Q523" s="279">
        <v>4.5942717740466366</v>
      </c>
      <c r="R523" s="279">
        <v>4.7320999272680346</v>
      </c>
      <c r="S523" s="279">
        <v>4.8740629250860765</v>
      </c>
      <c r="T523" s="279">
        <v>5.0202848128386588</v>
      </c>
      <c r="U523" s="279">
        <v>5.1708933572238189</v>
      </c>
      <c r="V523" s="279">
        <v>5.3260201579405333</v>
      </c>
    </row>
    <row r="524" spans="1:22" x14ac:dyDescent="0.2">
      <c r="A524" s="267"/>
      <c r="B524" s="270" t="s">
        <v>96</v>
      </c>
      <c r="C524" s="280">
        <v>0</v>
      </c>
      <c r="D524" s="281">
        <v>0</v>
      </c>
      <c r="E524" s="281">
        <v>0</v>
      </c>
      <c r="F524" s="281">
        <v>0</v>
      </c>
      <c r="G524" s="281">
        <v>0</v>
      </c>
      <c r="H524" s="281">
        <v>0</v>
      </c>
      <c r="I524" s="281">
        <v>0</v>
      </c>
      <c r="J524" s="281">
        <v>0</v>
      </c>
      <c r="K524" s="281">
        <v>0</v>
      </c>
      <c r="L524" s="281">
        <v>0</v>
      </c>
      <c r="M524" s="281">
        <v>0</v>
      </c>
      <c r="N524" s="281">
        <v>0</v>
      </c>
      <c r="O524" s="281">
        <v>0</v>
      </c>
      <c r="P524" s="281">
        <v>0</v>
      </c>
      <c r="Q524" s="281">
        <v>0</v>
      </c>
      <c r="R524" s="281">
        <v>0</v>
      </c>
      <c r="S524" s="281">
        <v>0</v>
      </c>
      <c r="T524" s="281">
        <v>0</v>
      </c>
      <c r="U524" s="281">
        <v>0</v>
      </c>
      <c r="V524" s="281">
        <v>0</v>
      </c>
    </row>
    <row r="525" spans="1:22" x14ac:dyDescent="0.2">
      <c r="A525" s="267"/>
      <c r="B525" s="270"/>
      <c r="C525" s="267"/>
      <c r="D525" s="267"/>
      <c r="E525" s="267"/>
      <c r="F525" s="267"/>
      <c r="G525" s="267"/>
      <c r="H525" s="267"/>
      <c r="I525" s="267"/>
      <c r="J525" s="267"/>
      <c r="K525" s="267"/>
      <c r="L525" s="267"/>
      <c r="M525" s="267"/>
      <c r="N525" s="267"/>
      <c r="O525" s="267"/>
      <c r="P525" s="267"/>
      <c r="Q525" s="267"/>
      <c r="R525" s="267"/>
      <c r="S525" s="267"/>
      <c r="T525" s="267"/>
      <c r="U525" s="267"/>
      <c r="V525" s="267"/>
    </row>
    <row r="526" spans="1:22" x14ac:dyDescent="0.2">
      <c r="A526" s="267"/>
      <c r="B526" s="270"/>
      <c r="C526" s="267"/>
      <c r="D526" s="267"/>
      <c r="E526" s="267"/>
      <c r="F526" s="267"/>
      <c r="G526" s="267"/>
      <c r="H526" s="267"/>
      <c r="I526" s="267"/>
      <c r="J526" s="267"/>
      <c r="K526" s="267"/>
      <c r="L526" s="267"/>
      <c r="M526" s="267"/>
      <c r="N526" s="267"/>
      <c r="O526" s="267"/>
      <c r="P526" s="267"/>
      <c r="Q526" s="267"/>
      <c r="R526" s="267"/>
      <c r="S526" s="267"/>
      <c r="T526" s="267"/>
      <c r="U526" s="267"/>
      <c r="V526" s="267"/>
    </row>
    <row r="527" spans="1:22" x14ac:dyDescent="0.2">
      <c r="A527" s="24"/>
      <c r="B527" s="23"/>
      <c r="C527" s="301"/>
      <c r="D527" s="301"/>
      <c r="E527" s="301"/>
      <c r="F527" s="301"/>
      <c r="G527" s="301"/>
      <c r="H527" s="301"/>
      <c r="I527" s="301"/>
      <c r="J527" s="301"/>
      <c r="K527" s="301"/>
      <c r="L527" s="301"/>
      <c r="M527" s="301"/>
      <c r="N527" s="301"/>
      <c r="O527" s="301"/>
      <c r="P527" s="301"/>
      <c r="Q527" s="301"/>
      <c r="R527" s="301"/>
      <c r="S527" s="301"/>
      <c r="T527" s="301"/>
      <c r="U527" s="301"/>
      <c r="V527" s="301"/>
    </row>
    <row r="528" spans="1:22" x14ac:dyDescent="0.2">
      <c r="A528" s="298"/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</row>
    <row r="529" spans="1:22" x14ac:dyDescent="0.2">
      <c r="A529" s="265" t="s">
        <v>98</v>
      </c>
      <c r="B529" s="266"/>
      <c r="C529" s="267"/>
      <c r="D529" s="267"/>
      <c r="E529" s="267"/>
      <c r="F529" s="267"/>
      <c r="G529" s="267"/>
      <c r="H529" s="267"/>
      <c r="I529" s="267"/>
      <c r="J529" s="267"/>
      <c r="K529" s="267"/>
      <c r="L529" s="267"/>
      <c r="M529" s="267"/>
      <c r="N529" s="267"/>
      <c r="O529" s="267"/>
      <c r="P529" s="267"/>
      <c r="Q529" s="267"/>
      <c r="R529" s="267"/>
      <c r="S529" s="267"/>
      <c r="T529" s="267"/>
      <c r="U529" s="267"/>
      <c r="V529" s="267"/>
    </row>
    <row r="530" spans="1:22" x14ac:dyDescent="0.2">
      <c r="A530" s="268" t="s">
        <v>76</v>
      </c>
      <c r="B530" s="266"/>
      <c r="C530" s="267"/>
      <c r="D530" s="267"/>
      <c r="E530" s="267"/>
      <c r="F530" s="267"/>
      <c r="G530" s="267"/>
      <c r="H530" s="267"/>
      <c r="I530" s="267"/>
      <c r="J530" s="267"/>
      <c r="K530" s="267"/>
      <c r="L530" s="267"/>
      <c r="M530" s="267"/>
      <c r="N530" s="267"/>
      <c r="O530" s="267"/>
      <c r="P530" s="267"/>
      <c r="Q530" s="267"/>
      <c r="R530" s="267"/>
      <c r="S530" s="267"/>
      <c r="T530" s="267"/>
      <c r="U530" s="267"/>
      <c r="V530" s="267"/>
    </row>
    <row r="531" spans="1:22" x14ac:dyDescent="0.2">
      <c r="A531" s="267"/>
      <c r="B531" s="266"/>
      <c r="C531" s="267"/>
      <c r="D531" s="267"/>
      <c r="E531" s="267"/>
      <c r="F531" s="267"/>
      <c r="G531" s="267"/>
      <c r="H531" s="267"/>
      <c r="I531" s="267"/>
      <c r="J531" s="267"/>
      <c r="K531" s="267"/>
      <c r="L531" s="267"/>
      <c r="M531" s="267"/>
      <c r="N531" s="267"/>
      <c r="O531" s="267"/>
      <c r="P531" s="267"/>
      <c r="Q531" s="267"/>
      <c r="R531" s="267"/>
      <c r="S531" s="267"/>
      <c r="T531" s="267"/>
      <c r="U531" s="267"/>
      <c r="V531" s="267"/>
    </row>
    <row r="532" spans="1:22" x14ac:dyDescent="0.2">
      <c r="A532" s="267"/>
      <c r="B532" s="266"/>
      <c r="C532" s="271">
        <v>2000</v>
      </c>
      <c r="D532" s="272">
        <v>2001</v>
      </c>
      <c r="E532" s="272">
        <v>2002</v>
      </c>
      <c r="F532" s="272">
        <v>2003</v>
      </c>
      <c r="G532" s="272">
        <v>2004</v>
      </c>
      <c r="H532" s="272">
        <v>2005</v>
      </c>
      <c r="I532" s="272">
        <v>2006</v>
      </c>
      <c r="J532" s="272">
        <v>2007</v>
      </c>
      <c r="K532" s="272">
        <v>2008</v>
      </c>
      <c r="L532" s="272">
        <v>2009</v>
      </c>
      <c r="M532" s="272">
        <v>2010</v>
      </c>
      <c r="N532" s="272">
        <v>2011</v>
      </c>
      <c r="O532" s="272">
        <v>2012</v>
      </c>
      <c r="P532" s="272">
        <v>2013</v>
      </c>
      <c r="Q532" s="272">
        <v>2014</v>
      </c>
      <c r="R532" s="272">
        <v>2015</v>
      </c>
      <c r="S532" s="272">
        <v>2016</v>
      </c>
      <c r="T532" s="272">
        <v>2017</v>
      </c>
      <c r="U532" s="272">
        <v>2018</v>
      </c>
      <c r="V532" s="272">
        <v>2019</v>
      </c>
    </row>
    <row r="533" spans="1:22" x14ac:dyDescent="0.2">
      <c r="A533" s="269" t="s">
        <v>129</v>
      </c>
      <c r="B533" s="266"/>
      <c r="C533" s="273"/>
      <c r="D533" s="274"/>
      <c r="E533" s="274"/>
      <c r="F533" s="274"/>
      <c r="G533" s="274"/>
      <c r="H533" s="274"/>
      <c r="I533" s="274"/>
      <c r="J533" s="274"/>
      <c r="K533" s="274"/>
      <c r="L533" s="274"/>
      <c r="M533" s="274"/>
      <c r="N533" s="274"/>
      <c r="O533" s="274"/>
      <c r="P533" s="274"/>
      <c r="Q533" s="274"/>
      <c r="R533" s="274"/>
      <c r="S533" s="274"/>
      <c r="T533" s="274"/>
      <c r="U533" s="274"/>
      <c r="V533" s="274"/>
    </row>
    <row r="534" spans="1:22" x14ac:dyDescent="0.2">
      <c r="A534" s="267"/>
      <c r="B534" s="270" t="s">
        <v>97</v>
      </c>
      <c r="C534" s="275">
        <v>0</v>
      </c>
      <c r="D534" s="276">
        <v>13325.426749534879</v>
      </c>
      <c r="E534" s="276">
        <v>16334.394080075012</v>
      </c>
      <c r="F534" s="276">
        <v>14614.984176909224</v>
      </c>
      <c r="G534" s="276">
        <v>14400.057939013494</v>
      </c>
      <c r="H534" s="276">
        <v>20632.918837989488</v>
      </c>
      <c r="I534" s="276">
        <v>22782.181216946723</v>
      </c>
      <c r="J534" s="276">
        <v>20203.066362198046</v>
      </c>
      <c r="K534" s="276">
        <v>32883.714398045755</v>
      </c>
      <c r="L534" s="276">
        <v>33098.640635941469</v>
      </c>
      <c r="M534" s="276">
        <v>31594.156970671411</v>
      </c>
      <c r="N534" s="276">
        <v>26435.927261174034</v>
      </c>
      <c r="O534" s="276">
        <v>34388.198063315809</v>
      </c>
      <c r="P534" s="276">
        <v>25791.148547486864</v>
      </c>
      <c r="Q534" s="276">
        <v>32668.788160150023</v>
      </c>
      <c r="R534" s="276">
        <v>29229.968353818447</v>
      </c>
      <c r="S534" s="276">
        <v>22352.328741155281</v>
      </c>
      <c r="T534" s="276">
        <v>22782.181216946727</v>
      </c>
      <c r="U534" s="276">
        <v>28585.189640131277</v>
      </c>
      <c r="V534" s="276">
        <v>36967.312918064505</v>
      </c>
    </row>
    <row r="535" spans="1:22" x14ac:dyDescent="0.2">
      <c r="A535" s="267"/>
      <c r="B535" s="270" t="s">
        <v>91</v>
      </c>
      <c r="C535" s="275">
        <v>0</v>
      </c>
      <c r="D535" s="277">
        <v>2.9695801603933935E-2</v>
      </c>
      <c r="E535" s="277">
        <v>3.6401305191919017E-2</v>
      </c>
      <c r="F535" s="277">
        <v>3.2569588855927541E-2</v>
      </c>
      <c r="G535" s="277">
        <v>3.2090624313928597E-2</v>
      </c>
      <c r="H535" s="277">
        <v>4.5980596031897705E-2</v>
      </c>
      <c r="I535" s="277">
        <v>5.0770241451887042E-2</v>
      </c>
      <c r="J535" s="277">
        <v>4.5022666947899845E-2</v>
      </c>
      <c r="K535" s="277">
        <v>7.3281574925836979E-2</v>
      </c>
      <c r="L535" s="277">
        <v>7.3760539467835895E-2</v>
      </c>
      <c r="M535" s="277">
        <v>7.0407787673843369E-2</v>
      </c>
      <c r="N535" s="277">
        <v>5.8912638665868933E-2</v>
      </c>
      <c r="O535" s="277">
        <v>7.6634326719829504E-2</v>
      </c>
      <c r="P535" s="277">
        <v>5.7475745039872135E-2</v>
      </c>
      <c r="Q535" s="277">
        <v>7.2802610383838035E-2</v>
      </c>
      <c r="R535" s="277">
        <v>6.5139177711855081E-2</v>
      </c>
      <c r="S535" s="277">
        <v>4.9812312367889182E-2</v>
      </c>
      <c r="T535" s="277">
        <v>5.0770241451887049E-2</v>
      </c>
      <c r="U535" s="277">
        <v>6.3702284085858291E-2</v>
      </c>
      <c r="V535" s="277">
        <v>8.2381901223816736E-2</v>
      </c>
    </row>
    <row r="536" spans="1:22" x14ac:dyDescent="0.2">
      <c r="A536" s="269" t="s">
        <v>93</v>
      </c>
      <c r="B536" s="270"/>
      <c r="C536" s="273"/>
      <c r="D536" s="274"/>
      <c r="E536" s="274"/>
      <c r="F536" s="274"/>
      <c r="G536" s="274"/>
      <c r="H536" s="274"/>
      <c r="I536" s="274"/>
      <c r="J536" s="274"/>
      <c r="K536" s="274"/>
      <c r="L536" s="274"/>
      <c r="M536" s="274"/>
      <c r="N536" s="274"/>
      <c r="O536" s="274"/>
      <c r="P536" s="274"/>
      <c r="Q536" s="274"/>
      <c r="R536" s="274"/>
      <c r="S536" s="274"/>
      <c r="T536" s="274"/>
      <c r="U536" s="274"/>
      <c r="V536" s="274"/>
    </row>
    <row r="537" spans="1:22" x14ac:dyDescent="0.2">
      <c r="A537" s="267"/>
      <c r="B537" s="270" t="s">
        <v>27</v>
      </c>
      <c r="C537" s="278">
        <v>0</v>
      </c>
      <c r="D537" s="279">
        <v>295.12219942453686</v>
      </c>
      <c r="E537" s="279">
        <v>192.29613066491285</v>
      </c>
      <c r="F537" s="279">
        <v>178.96158269912351</v>
      </c>
      <c r="G537" s="279">
        <v>161.58009237381216</v>
      </c>
      <c r="H537" s="279">
        <v>132.0585002432511</v>
      </c>
      <c r="I537" s="279">
        <v>112.45112349573397</v>
      </c>
      <c r="J537" s="279">
        <v>124.11871364481526</v>
      </c>
      <c r="K537" s="279">
        <v>114.30158128667259</v>
      </c>
      <c r="L537" s="279">
        <v>116.14739833591156</v>
      </c>
      <c r="M537" s="279">
        <v>128.3401594444293</v>
      </c>
      <c r="N537" s="279">
        <v>120.20051787728447</v>
      </c>
      <c r="O537" s="279">
        <v>117.38873499534797</v>
      </c>
      <c r="P537" s="279">
        <v>134.20009555737499</v>
      </c>
      <c r="Q537" s="279">
        <v>133.98138581136334</v>
      </c>
      <c r="R537" s="279">
        <v>135.21491702964528</v>
      </c>
      <c r="S537" s="279">
        <v>139.03629554081832</v>
      </c>
      <c r="T537" s="279">
        <v>149.5638400683205</v>
      </c>
      <c r="U537" s="279">
        <v>152.97016863950813</v>
      </c>
      <c r="V537" s="279">
        <v>131.37442236061125</v>
      </c>
    </row>
    <row r="538" spans="1:22" x14ac:dyDescent="0.2">
      <c r="A538" s="267"/>
      <c r="B538" s="270" t="s">
        <v>20</v>
      </c>
      <c r="C538" s="278">
        <v>0</v>
      </c>
      <c r="D538" s="279">
        <v>69.154605630212416</v>
      </c>
      <c r="E538" s="279">
        <v>62.26948339115588</v>
      </c>
      <c r="F538" s="279">
        <v>60.806868303357234</v>
      </c>
      <c r="G538" s="279">
        <v>62.620763859352323</v>
      </c>
      <c r="H538" s="279">
        <v>63.462335030451797</v>
      </c>
      <c r="I538" s="279">
        <v>62.523377331542747</v>
      </c>
      <c r="J538" s="279">
        <v>62.572408711601753</v>
      </c>
      <c r="K538" s="279">
        <v>58.324256418593563</v>
      </c>
      <c r="L538" s="279">
        <v>59.474917935214208</v>
      </c>
      <c r="M538" s="279">
        <v>62.334688604949683</v>
      </c>
      <c r="N538" s="279">
        <v>62.949756730164047</v>
      </c>
      <c r="O538" s="279">
        <v>63.165885652046732</v>
      </c>
      <c r="P538" s="279">
        <v>65.904935959093137</v>
      </c>
      <c r="Q538" s="279">
        <v>66.591171411077667</v>
      </c>
      <c r="R538" s="279">
        <v>72.394364065020241</v>
      </c>
      <c r="S538" s="279">
        <v>75.458772616910821</v>
      </c>
      <c r="T538" s="279">
        <v>77.610640757919569</v>
      </c>
      <c r="U538" s="279">
        <v>82.892709011799425</v>
      </c>
      <c r="V538" s="279">
        <v>84.88578289347663</v>
      </c>
    </row>
    <row r="539" spans="1:22" x14ac:dyDescent="0.2">
      <c r="A539" s="267"/>
      <c r="B539" s="270" t="s">
        <v>92</v>
      </c>
      <c r="C539" s="278">
        <v>0</v>
      </c>
      <c r="D539" s="279">
        <v>2.2334073931917424</v>
      </c>
      <c r="E539" s="279">
        <v>2.271771395441184</v>
      </c>
      <c r="F539" s="279">
        <v>2.3205944257882272</v>
      </c>
      <c r="G539" s="279">
        <v>2.3622851598898231</v>
      </c>
      <c r="H539" s="279">
        <v>2.4152479908390108</v>
      </c>
      <c r="I539" s="279">
        <v>2.4614863346486771</v>
      </c>
      <c r="J539" s="279">
        <v>2.511757048316571</v>
      </c>
      <c r="K539" s="279">
        <v>2.5585467558783153</v>
      </c>
      <c r="L539" s="279">
        <v>2.6113191340269397</v>
      </c>
      <c r="M539" s="279">
        <v>2.6637470723568581</v>
      </c>
      <c r="N539" s="279">
        <v>2.7163576348155063</v>
      </c>
      <c r="O539" s="279">
        <v>2.7715687862784413</v>
      </c>
      <c r="P539" s="279">
        <v>2.8300220997050651</v>
      </c>
      <c r="Q539" s="279">
        <v>2.8847052013988042</v>
      </c>
      <c r="R539" s="279">
        <v>2.9441262330086708</v>
      </c>
      <c r="S539" s="279">
        <v>3.0072573189987355</v>
      </c>
      <c r="T539" s="279">
        <v>3.0617291074864146</v>
      </c>
      <c r="U539" s="279">
        <v>3.1272786057215596</v>
      </c>
      <c r="V539" s="279">
        <v>3.1876892261730743</v>
      </c>
    </row>
    <row r="540" spans="1:22" x14ac:dyDescent="0.2">
      <c r="A540" s="267"/>
      <c r="B540" s="270" t="s">
        <v>22</v>
      </c>
      <c r="C540" s="278">
        <v>0</v>
      </c>
      <c r="D540" s="279">
        <v>0</v>
      </c>
      <c r="E540" s="279">
        <v>0</v>
      </c>
      <c r="F540" s="279">
        <v>0</v>
      </c>
      <c r="G540" s="279">
        <v>0</v>
      </c>
      <c r="H540" s="279">
        <v>0</v>
      </c>
      <c r="I540" s="279">
        <v>0.86759749691871413</v>
      </c>
      <c r="J540" s="279">
        <v>0.9616625182144275</v>
      </c>
      <c r="K540" s="279">
        <v>1.1022490741983371</v>
      </c>
      <c r="L540" s="279">
        <v>1.1655106507142592</v>
      </c>
      <c r="M540" s="279">
        <v>1.2962270414238328</v>
      </c>
      <c r="N540" s="279">
        <v>1.4278921116922669</v>
      </c>
      <c r="O540" s="279">
        <v>1.5820616502550038</v>
      </c>
      <c r="P540" s="279">
        <v>1.7739072866432217</v>
      </c>
      <c r="Q540" s="279">
        <v>1.9746356229766562</v>
      </c>
      <c r="R540" s="279">
        <v>2.1872930539695372</v>
      </c>
      <c r="S540" s="279">
        <v>2.401645083411788</v>
      </c>
      <c r="T540" s="279">
        <v>2.3594992086101771</v>
      </c>
      <c r="U540" s="279">
        <v>2.0186791924179746</v>
      </c>
      <c r="V540" s="279">
        <v>2.0929978832165563</v>
      </c>
    </row>
    <row r="541" spans="1:22" x14ac:dyDescent="0.2">
      <c r="A541" s="267"/>
      <c r="B541" s="270" t="s">
        <v>23</v>
      </c>
      <c r="C541" s="278">
        <v>0</v>
      </c>
      <c r="D541" s="279">
        <v>0</v>
      </c>
      <c r="E541" s="279">
        <v>0</v>
      </c>
      <c r="F541" s="279">
        <v>0</v>
      </c>
      <c r="G541" s="279">
        <v>0</v>
      </c>
      <c r="H541" s="279">
        <v>0</v>
      </c>
      <c r="I541" s="279">
        <v>0.86759749691871413</v>
      </c>
      <c r="J541" s="279">
        <v>0.9616625182144275</v>
      </c>
      <c r="K541" s="279">
        <v>1.1022490741983371</v>
      </c>
      <c r="L541" s="279">
        <v>1.1655106507142592</v>
      </c>
      <c r="M541" s="279">
        <v>1.2962270414238328</v>
      </c>
      <c r="N541" s="279">
        <v>1.4278921116922669</v>
      </c>
      <c r="O541" s="279">
        <v>1.5820616502550038</v>
      </c>
      <c r="P541" s="279">
        <v>1.7739072866432217</v>
      </c>
      <c r="Q541" s="279">
        <v>1.9746356229766562</v>
      </c>
      <c r="R541" s="279">
        <v>2.1872930539695372</v>
      </c>
      <c r="S541" s="279">
        <v>2.401645083411788</v>
      </c>
      <c r="T541" s="279">
        <v>2.3594992086101771</v>
      </c>
      <c r="U541" s="279">
        <v>2.0186791924179746</v>
      </c>
      <c r="V541" s="279">
        <v>2.0929978832165563</v>
      </c>
    </row>
    <row r="542" spans="1:22" x14ac:dyDescent="0.2">
      <c r="A542" s="269" t="s">
        <v>94</v>
      </c>
      <c r="B542" s="270"/>
      <c r="C542" s="273"/>
      <c r="D542" s="274"/>
      <c r="E542" s="274"/>
      <c r="F542" s="274"/>
      <c r="G542" s="274"/>
      <c r="H542" s="274"/>
      <c r="I542" s="274"/>
      <c r="J542" s="274"/>
      <c r="K542" s="274"/>
      <c r="L542" s="274"/>
      <c r="M542" s="274"/>
      <c r="N542" s="274"/>
      <c r="O542" s="274"/>
      <c r="P542" s="274"/>
      <c r="Q542" s="274"/>
      <c r="R542" s="274"/>
      <c r="S542" s="274"/>
      <c r="T542" s="274"/>
      <c r="U542" s="274"/>
      <c r="V542" s="274"/>
    </row>
    <row r="543" spans="1:22" x14ac:dyDescent="0.2">
      <c r="A543" s="267"/>
      <c r="B543" s="270" t="s">
        <v>34</v>
      </c>
      <c r="C543" s="278">
        <v>0</v>
      </c>
      <c r="D543" s="279">
        <v>1.787530920037963</v>
      </c>
      <c r="E543" s="279">
        <v>1.8232815384387222</v>
      </c>
      <c r="F543" s="279">
        <v>1.8597471692074967</v>
      </c>
      <c r="G543" s="279">
        <v>1.8969421125916468</v>
      </c>
      <c r="H543" s="279">
        <v>1.9348809548434798</v>
      </c>
      <c r="I543" s="279">
        <v>1.9735785739403493</v>
      </c>
      <c r="J543" s="279">
        <v>2.0130501454191565</v>
      </c>
      <c r="K543" s="279">
        <v>2.0533111483275395</v>
      </c>
      <c r="L543" s="279">
        <v>2.0943773712940903</v>
      </c>
      <c r="M543" s="279">
        <v>2.1362649187199723</v>
      </c>
      <c r="N543" s="279">
        <v>2.1789902170943716</v>
      </c>
      <c r="O543" s="279">
        <v>2.2225700214362591</v>
      </c>
      <c r="P543" s="279">
        <v>2.2670214218649845</v>
      </c>
      <c r="Q543" s="279">
        <v>2.3123618503022842</v>
      </c>
      <c r="R543" s="279">
        <v>2.3586090873083299</v>
      </c>
      <c r="S543" s="279">
        <v>2.4057812690544966</v>
      </c>
      <c r="T543" s="279">
        <v>2.4538968944355863</v>
      </c>
      <c r="U543" s="279">
        <v>2.5029748323242984</v>
      </c>
      <c r="V543" s="279">
        <v>2.5530343289707842</v>
      </c>
    </row>
    <row r="544" spans="1:22" x14ac:dyDescent="0.2">
      <c r="A544" s="267"/>
      <c r="B544" s="270" t="s">
        <v>95</v>
      </c>
      <c r="C544" s="278">
        <v>0</v>
      </c>
      <c r="D544" s="279">
        <v>0.88162831570278188</v>
      </c>
      <c r="E544" s="279">
        <v>0.88162831570278188</v>
      </c>
      <c r="F544" s="279">
        <v>0.88162831570278188</v>
      </c>
      <c r="G544" s="279">
        <v>0.88162831570278188</v>
      </c>
      <c r="H544" s="279">
        <v>0.88162831570278188</v>
      </c>
      <c r="I544" s="279">
        <v>0.88162831570278188</v>
      </c>
      <c r="J544" s="279">
        <v>0.88162831570278188</v>
      </c>
      <c r="K544" s="279">
        <v>0.88162831570278188</v>
      </c>
      <c r="L544" s="279">
        <v>0.88162831570278188</v>
      </c>
      <c r="M544" s="279">
        <v>0.88162831570278188</v>
      </c>
      <c r="N544" s="279">
        <v>0.88162831570278188</v>
      </c>
      <c r="O544" s="279">
        <v>0.88162831570278188</v>
      </c>
      <c r="P544" s="279">
        <v>0.88162831570278188</v>
      </c>
      <c r="Q544" s="279">
        <v>0.88162831570278188</v>
      </c>
      <c r="R544" s="279">
        <v>0.88162831570278188</v>
      </c>
      <c r="S544" s="279">
        <v>0.88162831570278188</v>
      </c>
      <c r="T544" s="279">
        <v>0.88162831570278188</v>
      </c>
      <c r="U544" s="279">
        <v>0.88162831570278188</v>
      </c>
      <c r="V544" s="279">
        <v>0.88162831570278188</v>
      </c>
    </row>
    <row r="545" spans="1:22" x14ac:dyDescent="0.2">
      <c r="A545" s="267"/>
      <c r="B545" s="270" t="s">
        <v>36</v>
      </c>
      <c r="C545" s="278">
        <v>0</v>
      </c>
      <c r="D545" s="279">
        <v>8.093046139000272E-2</v>
      </c>
      <c r="E545" s="279">
        <v>8.2638094125332157E-2</v>
      </c>
      <c r="F545" s="279">
        <v>8.4447868386677005E-2</v>
      </c>
      <c r="G545" s="279">
        <v>8.635639021221532E-2</v>
      </c>
      <c r="H545" s="279">
        <v>8.8411672299266178E-2</v>
      </c>
      <c r="I545" s="279">
        <v>9.0627277695270084E-2</v>
      </c>
      <c r="J545" s="279">
        <v>9.2875086658076519E-2</v>
      </c>
      <c r="K545" s="279">
        <v>9.5225947034650857E-2</v>
      </c>
      <c r="L545" s="279">
        <v>9.7578027926406824E-2</v>
      </c>
      <c r="M545" s="279">
        <v>0.10006626763853002</v>
      </c>
      <c r="N545" s="279">
        <v>0.10248787131538292</v>
      </c>
      <c r="O545" s="279">
        <v>0.1050705656725302</v>
      </c>
      <c r="P545" s="279">
        <v>0.1077393580406122</v>
      </c>
      <c r="Q545" s="279">
        <v>0.11043284199162752</v>
      </c>
      <c r="R545" s="279">
        <v>0.11320470632561737</v>
      </c>
      <c r="S545" s="279">
        <v>0.11603482398375792</v>
      </c>
      <c r="T545" s="279">
        <v>0.118912487618555</v>
      </c>
      <c r="U545" s="279">
        <v>0.12189719105778096</v>
      </c>
      <c r="V545" s="279">
        <v>0.12495681055333119</v>
      </c>
    </row>
    <row r="546" spans="1:22" x14ac:dyDescent="0.2">
      <c r="A546" s="267"/>
      <c r="B546" s="270" t="s">
        <v>39</v>
      </c>
      <c r="C546" s="278">
        <v>0</v>
      </c>
      <c r="D546" s="279">
        <v>2.7790727183992191E-2</v>
      </c>
      <c r="E546" s="279">
        <v>2.8912054660810153E-2</v>
      </c>
      <c r="F546" s="279">
        <v>3.0079648609077598E-2</v>
      </c>
      <c r="G546" s="279">
        <v>3.1416886285993165E-2</v>
      </c>
      <c r="H546" s="279">
        <v>1.9521717911176184</v>
      </c>
      <c r="I546" s="279">
        <v>2.0107369448511467</v>
      </c>
      <c r="J546" s="279">
        <v>2.0710590531966813</v>
      </c>
      <c r="K546" s="279">
        <v>2.1331908247925817</v>
      </c>
      <c r="L546" s="279">
        <v>2.1971865495363589</v>
      </c>
      <c r="M546" s="279">
        <v>2.2631021460224496</v>
      </c>
      <c r="N546" s="279">
        <v>2.3309952104031235</v>
      </c>
      <c r="O546" s="279">
        <v>2.4009250667152173</v>
      </c>
      <c r="P546" s="279">
        <v>2.4729528187166738</v>
      </c>
      <c r="Q546" s="279">
        <v>2.5471414032781738</v>
      </c>
      <c r="R546" s="279">
        <v>2.6235556453765194</v>
      </c>
      <c r="S546" s="279">
        <v>2.7022623147378151</v>
      </c>
      <c r="T546" s="279">
        <v>2.7833301841799498</v>
      </c>
      <c r="U546" s="279">
        <v>2.8668300897053483</v>
      </c>
      <c r="V546" s="279">
        <v>2.9528349923965087</v>
      </c>
    </row>
    <row r="547" spans="1:22" x14ac:dyDescent="0.2">
      <c r="A547" s="267"/>
      <c r="B547" s="270" t="s">
        <v>96</v>
      </c>
      <c r="C547" s="280">
        <v>0</v>
      </c>
      <c r="D547" s="281">
        <v>0</v>
      </c>
      <c r="E547" s="281">
        <v>0</v>
      </c>
      <c r="F547" s="281">
        <v>0</v>
      </c>
      <c r="G547" s="281">
        <v>0</v>
      </c>
      <c r="H547" s="281">
        <v>0</v>
      </c>
      <c r="I547" s="281">
        <v>0</v>
      </c>
      <c r="J547" s="281">
        <v>0</v>
      </c>
      <c r="K547" s="281">
        <v>0</v>
      </c>
      <c r="L547" s="281">
        <v>0</v>
      </c>
      <c r="M547" s="281">
        <v>0</v>
      </c>
      <c r="N547" s="281">
        <v>0</v>
      </c>
      <c r="O547" s="281">
        <v>0</v>
      </c>
      <c r="P547" s="281">
        <v>0</v>
      </c>
      <c r="Q547" s="281">
        <v>0</v>
      </c>
      <c r="R547" s="281">
        <v>0</v>
      </c>
      <c r="S547" s="281">
        <v>0</v>
      </c>
      <c r="T547" s="281">
        <v>0</v>
      </c>
      <c r="U547" s="281">
        <v>0</v>
      </c>
      <c r="V547" s="281">
        <v>0</v>
      </c>
    </row>
    <row r="548" spans="1:22" x14ac:dyDescent="0.2">
      <c r="A548" s="267"/>
      <c r="B548" s="270"/>
      <c r="C548" s="267"/>
      <c r="D548" s="267"/>
      <c r="E548" s="267"/>
      <c r="F548" s="267"/>
      <c r="G548" s="267"/>
      <c r="H548" s="267"/>
      <c r="I548" s="267"/>
      <c r="J548" s="267"/>
      <c r="K548" s="267"/>
      <c r="L548" s="267"/>
      <c r="M548" s="267"/>
      <c r="N548" s="267"/>
      <c r="O548" s="267"/>
      <c r="P548" s="267"/>
      <c r="Q548" s="267"/>
      <c r="R548" s="267"/>
      <c r="S548" s="267"/>
      <c r="T548" s="267"/>
      <c r="U548" s="267"/>
      <c r="V548" s="267"/>
    </row>
    <row r="549" spans="1:22" x14ac:dyDescent="0.2">
      <c r="A549" s="267"/>
      <c r="B549" s="270"/>
      <c r="C549" s="267"/>
      <c r="D549" s="267"/>
      <c r="E549" s="267"/>
      <c r="F549" s="267"/>
      <c r="G549" s="267"/>
      <c r="H549" s="267"/>
      <c r="I549" s="267"/>
      <c r="J549" s="267"/>
      <c r="K549" s="267"/>
      <c r="L549" s="267"/>
      <c r="M549" s="267"/>
      <c r="N549" s="267"/>
      <c r="O549" s="267"/>
      <c r="P549" s="267"/>
      <c r="Q549" s="267"/>
      <c r="R549" s="267"/>
      <c r="S549" s="267"/>
      <c r="T549" s="267"/>
      <c r="U549" s="267"/>
      <c r="V549" s="267"/>
    </row>
    <row r="550" spans="1:22" x14ac:dyDescent="0.2">
      <c r="A550" s="24"/>
      <c r="B550" s="295"/>
      <c r="C550" s="296"/>
      <c r="D550" s="296"/>
      <c r="E550" s="296"/>
      <c r="F550" s="296"/>
      <c r="G550" s="296"/>
      <c r="H550" s="296"/>
      <c r="I550" s="296"/>
      <c r="J550" s="296"/>
      <c r="K550" s="296"/>
      <c r="L550" s="296"/>
      <c r="M550" s="296"/>
      <c r="N550" s="296"/>
      <c r="O550" s="296"/>
      <c r="P550" s="296"/>
      <c r="Q550" s="296"/>
      <c r="R550" s="296"/>
      <c r="S550" s="296"/>
      <c r="T550" s="296"/>
      <c r="U550" s="296"/>
      <c r="V550" s="296"/>
    </row>
    <row r="551" spans="1:22" x14ac:dyDescent="0.2">
      <c r="A551" s="24"/>
      <c r="B551" s="295"/>
      <c r="C551" s="296"/>
      <c r="D551" s="297"/>
      <c r="E551" s="297"/>
      <c r="F551" s="297"/>
      <c r="G551" s="297"/>
      <c r="H551" s="297"/>
      <c r="I551" s="297"/>
      <c r="J551" s="297"/>
      <c r="K551" s="297"/>
      <c r="L551" s="297"/>
      <c r="M551" s="297"/>
      <c r="N551" s="297"/>
      <c r="O551" s="297"/>
      <c r="P551" s="297"/>
      <c r="Q551" s="297"/>
      <c r="R551" s="297"/>
      <c r="S551" s="297"/>
      <c r="T551" s="297"/>
      <c r="U551" s="297"/>
      <c r="V551" s="297"/>
    </row>
    <row r="552" spans="1:22" x14ac:dyDescent="0.2">
      <c r="A552" s="265" t="s">
        <v>98</v>
      </c>
      <c r="B552" s="266"/>
      <c r="C552" s="267"/>
      <c r="D552" s="267"/>
      <c r="E552" s="267"/>
      <c r="F552" s="267"/>
      <c r="G552" s="267"/>
      <c r="H552" s="267"/>
      <c r="I552" s="267"/>
      <c r="J552" s="267"/>
      <c r="K552" s="267"/>
      <c r="L552" s="267"/>
      <c r="M552" s="267"/>
      <c r="N552" s="267"/>
      <c r="O552" s="267"/>
      <c r="P552" s="267"/>
      <c r="Q552" s="267"/>
      <c r="R552" s="267"/>
      <c r="S552" s="267"/>
      <c r="T552" s="267"/>
      <c r="U552" s="267"/>
      <c r="V552" s="267"/>
    </row>
    <row r="553" spans="1:22" x14ac:dyDescent="0.2">
      <c r="A553" s="268" t="s">
        <v>77</v>
      </c>
      <c r="B553" s="266"/>
      <c r="C553" s="267"/>
      <c r="D553" s="267"/>
      <c r="E553" s="267"/>
      <c r="F553" s="267"/>
      <c r="G553" s="267"/>
      <c r="H553" s="267"/>
      <c r="I553" s="267"/>
      <c r="J553" s="267"/>
      <c r="K553" s="267"/>
      <c r="L553" s="267"/>
      <c r="M553" s="267"/>
      <c r="N553" s="267"/>
      <c r="O553" s="267"/>
      <c r="P553" s="267"/>
      <c r="Q553" s="267"/>
      <c r="R553" s="267"/>
      <c r="S553" s="267"/>
      <c r="T553" s="267"/>
      <c r="U553" s="267"/>
      <c r="V553" s="267"/>
    </row>
    <row r="554" spans="1:22" x14ac:dyDescent="0.2">
      <c r="A554" s="267"/>
      <c r="B554" s="266"/>
      <c r="C554" s="267"/>
      <c r="D554" s="267"/>
      <c r="E554" s="267"/>
      <c r="F554" s="267"/>
      <c r="G554" s="267"/>
      <c r="H554" s="267"/>
      <c r="I554" s="267"/>
      <c r="J554" s="267"/>
      <c r="K554" s="267"/>
      <c r="L554" s="267"/>
      <c r="M554" s="267"/>
      <c r="N554" s="267"/>
      <c r="O554" s="267"/>
      <c r="P554" s="267"/>
      <c r="Q554" s="267"/>
      <c r="R554" s="267"/>
      <c r="S554" s="267"/>
      <c r="T554" s="267"/>
      <c r="U554" s="267"/>
      <c r="V554" s="267"/>
    </row>
    <row r="555" spans="1:22" x14ac:dyDescent="0.2">
      <c r="A555" s="267"/>
      <c r="B555" s="266"/>
      <c r="C555" s="271">
        <v>2000</v>
      </c>
      <c r="D555" s="272">
        <v>2001</v>
      </c>
      <c r="E555" s="272">
        <v>2002</v>
      </c>
      <c r="F555" s="272">
        <v>2003</v>
      </c>
      <c r="G555" s="272">
        <v>2004</v>
      </c>
      <c r="H555" s="272">
        <v>2005</v>
      </c>
      <c r="I555" s="272">
        <v>2006</v>
      </c>
      <c r="J555" s="272">
        <v>2007</v>
      </c>
      <c r="K555" s="272">
        <v>2008</v>
      </c>
      <c r="L555" s="272">
        <v>2009</v>
      </c>
      <c r="M555" s="272">
        <v>2010</v>
      </c>
      <c r="N555" s="272">
        <v>2011</v>
      </c>
      <c r="O555" s="272">
        <v>2012</v>
      </c>
      <c r="P555" s="272">
        <v>2013</v>
      </c>
      <c r="Q555" s="272">
        <v>2014</v>
      </c>
      <c r="R555" s="272">
        <v>2015</v>
      </c>
      <c r="S555" s="272">
        <v>2016</v>
      </c>
      <c r="T555" s="272">
        <v>2017</v>
      </c>
      <c r="U555" s="272">
        <v>2018</v>
      </c>
      <c r="V555" s="272">
        <v>2019</v>
      </c>
    </row>
    <row r="556" spans="1:22" x14ac:dyDescent="0.2">
      <c r="A556" s="269" t="s">
        <v>129</v>
      </c>
      <c r="B556" s="266"/>
      <c r="C556" s="273"/>
      <c r="D556" s="274"/>
      <c r="E556" s="274"/>
      <c r="F556" s="274"/>
      <c r="G556" s="274"/>
      <c r="H556" s="274"/>
      <c r="I556" s="274"/>
      <c r="J556" s="274"/>
      <c r="K556" s="274"/>
      <c r="L556" s="274"/>
      <c r="M556" s="274"/>
      <c r="N556" s="274"/>
      <c r="O556" s="274"/>
      <c r="P556" s="274"/>
      <c r="Q556" s="274"/>
      <c r="R556" s="274"/>
      <c r="S556" s="274"/>
      <c r="T556" s="274"/>
      <c r="U556" s="274"/>
      <c r="V556" s="274"/>
    </row>
    <row r="557" spans="1:22" x14ac:dyDescent="0.2">
      <c r="A557" s="267"/>
      <c r="B557" s="270" t="s">
        <v>97</v>
      </c>
      <c r="C557" s="275">
        <v>0</v>
      </c>
      <c r="D557" s="276">
        <v>13325.426749534879</v>
      </c>
      <c r="E557" s="276">
        <v>16334.394080075012</v>
      </c>
      <c r="F557" s="276">
        <v>14614.984176909224</v>
      </c>
      <c r="G557" s="276">
        <v>14400.057939013494</v>
      </c>
      <c r="H557" s="276">
        <v>20632.918837989488</v>
      </c>
      <c r="I557" s="276">
        <v>22782.181216946723</v>
      </c>
      <c r="J557" s="276">
        <v>20203.066362198046</v>
      </c>
      <c r="K557" s="276">
        <v>32883.714398045755</v>
      </c>
      <c r="L557" s="276">
        <v>33098.640635941469</v>
      </c>
      <c r="M557" s="276">
        <v>31594.156970671411</v>
      </c>
      <c r="N557" s="276">
        <v>26435.927261174034</v>
      </c>
      <c r="O557" s="276">
        <v>34388.198063315809</v>
      </c>
      <c r="P557" s="276">
        <v>25791.148547486864</v>
      </c>
      <c r="Q557" s="276">
        <v>32668.788160150023</v>
      </c>
      <c r="R557" s="276">
        <v>29229.968353818447</v>
      </c>
      <c r="S557" s="276">
        <v>22352.328741155281</v>
      </c>
      <c r="T557" s="276">
        <v>22782.181216946727</v>
      </c>
      <c r="U557" s="276">
        <v>28585.189640131277</v>
      </c>
      <c r="V557" s="276">
        <v>36967.312918064505</v>
      </c>
    </row>
    <row r="558" spans="1:22" x14ac:dyDescent="0.2">
      <c r="A558" s="267"/>
      <c r="B558" s="270" t="s">
        <v>91</v>
      </c>
      <c r="C558" s="275">
        <v>0</v>
      </c>
      <c r="D558" s="277">
        <v>2.9695801603933935E-2</v>
      </c>
      <c r="E558" s="277">
        <v>3.6401305191919017E-2</v>
      </c>
      <c r="F558" s="277">
        <v>3.2569588855927541E-2</v>
      </c>
      <c r="G558" s="277">
        <v>3.2090624313928597E-2</v>
      </c>
      <c r="H558" s="277">
        <v>4.5980596031897705E-2</v>
      </c>
      <c r="I558" s="277">
        <v>5.0770241451887042E-2</v>
      </c>
      <c r="J558" s="277">
        <v>4.5022666947899845E-2</v>
      </c>
      <c r="K558" s="277">
        <v>7.3281574925836979E-2</v>
      </c>
      <c r="L558" s="277">
        <v>7.3760539467835895E-2</v>
      </c>
      <c r="M558" s="277">
        <v>7.0407787673843369E-2</v>
      </c>
      <c r="N558" s="277">
        <v>5.8912638665868933E-2</v>
      </c>
      <c r="O558" s="277">
        <v>7.6634326719829504E-2</v>
      </c>
      <c r="P558" s="277">
        <v>5.7475745039872135E-2</v>
      </c>
      <c r="Q558" s="277">
        <v>7.2802610383838035E-2</v>
      </c>
      <c r="R558" s="277">
        <v>6.5139177711855081E-2</v>
      </c>
      <c r="S558" s="277">
        <v>4.9812312367889182E-2</v>
      </c>
      <c r="T558" s="277">
        <v>5.0770241451887049E-2</v>
      </c>
      <c r="U558" s="277">
        <v>6.3702284085858291E-2</v>
      </c>
      <c r="V558" s="277">
        <v>8.2381901223816736E-2</v>
      </c>
    </row>
    <row r="559" spans="1:22" x14ac:dyDescent="0.2">
      <c r="A559" s="269" t="s">
        <v>93</v>
      </c>
      <c r="B559" s="270"/>
      <c r="C559" s="273"/>
      <c r="D559" s="274"/>
      <c r="E559" s="274"/>
      <c r="F559" s="274"/>
      <c r="G559" s="274"/>
      <c r="H559" s="274"/>
      <c r="I559" s="274"/>
      <c r="J559" s="274"/>
      <c r="K559" s="274"/>
      <c r="L559" s="274"/>
      <c r="M559" s="274"/>
      <c r="N559" s="274"/>
      <c r="O559" s="274"/>
      <c r="P559" s="274"/>
      <c r="Q559" s="274"/>
      <c r="R559" s="274"/>
      <c r="S559" s="274"/>
      <c r="T559" s="274"/>
      <c r="U559" s="274"/>
      <c r="V559" s="274"/>
    </row>
    <row r="560" spans="1:22" x14ac:dyDescent="0.2">
      <c r="A560" s="267"/>
      <c r="B560" s="270" t="s">
        <v>27</v>
      </c>
      <c r="C560" s="278">
        <v>0</v>
      </c>
      <c r="D560" s="279">
        <v>295.12219942453686</v>
      </c>
      <c r="E560" s="279">
        <v>192.29613066491285</v>
      </c>
      <c r="F560" s="279">
        <v>178.96158269912351</v>
      </c>
      <c r="G560" s="279">
        <v>161.58009237381216</v>
      </c>
      <c r="H560" s="279">
        <v>132.0585002432511</v>
      </c>
      <c r="I560" s="279">
        <v>112.45112349573397</v>
      </c>
      <c r="J560" s="279">
        <v>124.11871364481526</v>
      </c>
      <c r="K560" s="279">
        <v>114.30158128667259</v>
      </c>
      <c r="L560" s="279">
        <v>116.14739833591156</v>
      </c>
      <c r="M560" s="279">
        <v>128.3401594444293</v>
      </c>
      <c r="N560" s="279">
        <v>120.20051787728447</v>
      </c>
      <c r="O560" s="279">
        <v>117.38873499534797</v>
      </c>
      <c r="P560" s="279">
        <v>134.20009555737499</v>
      </c>
      <c r="Q560" s="279">
        <v>133.98138581136334</v>
      </c>
      <c r="R560" s="279">
        <v>135.21491702964528</v>
      </c>
      <c r="S560" s="279">
        <v>139.03629554081832</v>
      </c>
      <c r="T560" s="279">
        <v>149.5638400683205</v>
      </c>
      <c r="U560" s="279">
        <v>152.97016863950813</v>
      </c>
      <c r="V560" s="279">
        <v>131.37442236061125</v>
      </c>
    </row>
    <row r="561" spans="1:22" x14ac:dyDescent="0.2">
      <c r="A561" s="267"/>
      <c r="B561" s="270" t="s">
        <v>20</v>
      </c>
      <c r="C561" s="278">
        <v>0</v>
      </c>
      <c r="D561" s="279">
        <v>69.154605630212416</v>
      </c>
      <c r="E561" s="279">
        <v>62.26948339115588</v>
      </c>
      <c r="F561" s="279">
        <v>60.806868303357234</v>
      </c>
      <c r="G561" s="279">
        <v>62.620763859352323</v>
      </c>
      <c r="H561" s="279">
        <v>63.462335030451797</v>
      </c>
      <c r="I561" s="279">
        <v>62.523377331542747</v>
      </c>
      <c r="J561" s="279">
        <v>62.572408711601753</v>
      </c>
      <c r="K561" s="279">
        <v>58.324256418593563</v>
      </c>
      <c r="L561" s="279">
        <v>59.474917935214208</v>
      </c>
      <c r="M561" s="279">
        <v>62.334688604949683</v>
      </c>
      <c r="N561" s="279">
        <v>62.949756730164047</v>
      </c>
      <c r="O561" s="279">
        <v>63.165885652046732</v>
      </c>
      <c r="P561" s="279">
        <v>65.904935959093137</v>
      </c>
      <c r="Q561" s="279">
        <v>66.591171411077667</v>
      </c>
      <c r="R561" s="279">
        <v>72.394364065020241</v>
      </c>
      <c r="S561" s="279">
        <v>75.458772616910821</v>
      </c>
      <c r="T561" s="279">
        <v>77.610640757919569</v>
      </c>
      <c r="U561" s="279">
        <v>82.892709011799425</v>
      </c>
      <c r="V561" s="279">
        <v>84.88578289347663</v>
      </c>
    </row>
    <row r="562" spans="1:22" x14ac:dyDescent="0.2">
      <c r="A562" s="267"/>
      <c r="B562" s="270" t="s">
        <v>92</v>
      </c>
      <c r="C562" s="278">
        <v>0</v>
      </c>
      <c r="D562" s="279">
        <v>2.2334073931917424</v>
      </c>
      <c r="E562" s="279">
        <v>2.271771395441184</v>
      </c>
      <c r="F562" s="279">
        <v>2.3205944257882272</v>
      </c>
      <c r="G562" s="279">
        <v>2.3622851598898231</v>
      </c>
      <c r="H562" s="279">
        <v>2.4152479908390108</v>
      </c>
      <c r="I562" s="279">
        <v>2.4614863346486771</v>
      </c>
      <c r="J562" s="279">
        <v>2.511757048316571</v>
      </c>
      <c r="K562" s="279">
        <v>2.5585467558783153</v>
      </c>
      <c r="L562" s="279">
        <v>2.6113191340269397</v>
      </c>
      <c r="M562" s="279">
        <v>2.6637470723568581</v>
      </c>
      <c r="N562" s="279">
        <v>2.7163576348155063</v>
      </c>
      <c r="O562" s="279">
        <v>2.7715687862784413</v>
      </c>
      <c r="P562" s="279">
        <v>2.8300220997050651</v>
      </c>
      <c r="Q562" s="279">
        <v>2.8847052013988042</v>
      </c>
      <c r="R562" s="279">
        <v>2.9441262330086708</v>
      </c>
      <c r="S562" s="279">
        <v>3.0072573189987355</v>
      </c>
      <c r="T562" s="279">
        <v>3.0617291074864146</v>
      </c>
      <c r="U562" s="279">
        <v>3.1272786057215596</v>
      </c>
      <c r="V562" s="279">
        <v>3.1876892261730743</v>
      </c>
    </row>
    <row r="563" spans="1:22" x14ac:dyDescent="0.2">
      <c r="A563" s="267"/>
      <c r="B563" s="270" t="s">
        <v>22</v>
      </c>
      <c r="C563" s="278">
        <v>0</v>
      </c>
      <c r="D563" s="279">
        <v>0</v>
      </c>
      <c r="E563" s="279">
        <v>0</v>
      </c>
      <c r="F563" s="279">
        <v>0</v>
      </c>
      <c r="G563" s="279">
        <v>0</v>
      </c>
      <c r="H563" s="279">
        <v>0</v>
      </c>
      <c r="I563" s="279">
        <v>0.86759749691871413</v>
      </c>
      <c r="J563" s="279">
        <v>0.9616625182144275</v>
      </c>
      <c r="K563" s="279">
        <v>1.1022490741983371</v>
      </c>
      <c r="L563" s="279">
        <v>1.1655106507142592</v>
      </c>
      <c r="M563" s="279">
        <v>1.2962270414238328</v>
      </c>
      <c r="N563" s="279">
        <v>1.4278921116922669</v>
      </c>
      <c r="O563" s="279">
        <v>1.5820616502550038</v>
      </c>
      <c r="P563" s="279">
        <v>1.7739072866432217</v>
      </c>
      <c r="Q563" s="279">
        <v>1.9746356229766562</v>
      </c>
      <c r="R563" s="279">
        <v>2.1872930539695372</v>
      </c>
      <c r="S563" s="279">
        <v>2.401645083411788</v>
      </c>
      <c r="T563" s="279">
        <v>2.3594992086101771</v>
      </c>
      <c r="U563" s="279">
        <v>2.0186791924179746</v>
      </c>
      <c r="V563" s="279">
        <v>2.0929978832165563</v>
      </c>
    </row>
    <row r="564" spans="1:22" x14ac:dyDescent="0.2">
      <c r="A564" s="267"/>
      <c r="B564" s="270" t="s">
        <v>23</v>
      </c>
      <c r="C564" s="278">
        <v>0</v>
      </c>
      <c r="D564" s="279">
        <v>0</v>
      </c>
      <c r="E564" s="279">
        <v>0</v>
      </c>
      <c r="F564" s="279">
        <v>0</v>
      </c>
      <c r="G564" s="279">
        <v>0</v>
      </c>
      <c r="H564" s="279">
        <v>0</v>
      </c>
      <c r="I564" s="279">
        <v>0.86759749691871413</v>
      </c>
      <c r="J564" s="279">
        <v>0.9616625182144275</v>
      </c>
      <c r="K564" s="279">
        <v>1.1022490741983371</v>
      </c>
      <c r="L564" s="279">
        <v>1.1655106507142592</v>
      </c>
      <c r="M564" s="279">
        <v>1.2962270414238328</v>
      </c>
      <c r="N564" s="279">
        <v>1.4278921116922669</v>
      </c>
      <c r="O564" s="279">
        <v>1.5820616502550038</v>
      </c>
      <c r="P564" s="279">
        <v>1.7739072866432217</v>
      </c>
      <c r="Q564" s="279">
        <v>1.9746356229766562</v>
      </c>
      <c r="R564" s="279">
        <v>2.1872930539695372</v>
      </c>
      <c r="S564" s="279">
        <v>2.401645083411788</v>
      </c>
      <c r="T564" s="279">
        <v>2.3594992086101771</v>
      </c>
      <c r="U564" s="279">
        <v>2.0186791924179746</v>
      </c>
      <c r="V564" s="279">
        <v>2.0929978832165563</v>
      </c>
    </row>
    <row r="565" spans="1:22" x14ac:dyDescent="0.2">
      <c r="A565" s="269" t="s">
        <v>94</v>
      </c>
      <c r="B565" s="270"/>
      <c r="C565" s="273"/>
      <c r="D565" s="274"/>
      <c r="E565" s="274"/>
      <c r="F565" s="274"/>
      <c r="G565" s="274"/>
      <c r="H565" s="274"/>
      <c r="I565" s="274"/>
      <c r="J565" s="274"/>
      <c r="K565" s="274"/>
      <c r="L565" s="274"/>
      <c r="M565" s="274"/>
      <c r="N565" s="274"/>
      <c r="O565" s="274"/>
      <c r="P565" s="274"/>
      <c r="Q565" s="274"/>
      <c r="R565" s="274"/>
      <c r="S565" s="274"/>
      <c r="T565" s="274"/>
      <c r="U565" s="274"/>
      <c r="V565" s="274"/>
    </row>
    <row r="566" spans="1:22" x14ac:dyDescent="0.2">
      <c r="A566" s="267"/>
      <c r="B566" s="270" t="s">
        <v>34</v>
      </c>
      <c r="C566" s="278">
        <v>0</v>
      </c>
      <c r="D566" s="279">
        <v>1.787530920037963</v>
      </c>
      <c r="E566" s="279">
        <v>1.8232815384387222</v>
      </c>
      <c r="F566" s="279">
        <v>1.8597471692074967</v>
      </c>
      <c r="G566" s="279">
        <v>1.8969421125916468</v>
      </c>
      <c r="H566" s="279">
        <v>1.9348809548434798</v>
      </c>
      <c r="I566" s="279">
        <v>1.9735785739403493</v>
      </c>
      <c r="J566" s="279">
        <v>2.0130501454191565</v>
      </c>
      <c r="K566" s="279">
        <v>2.0533111483275395</v>
      </c>
      <c r="L566" s="279">
        <v>2.0943773712940903</v>
      </c>
      <c r="M566" s="279">
        <v>2.1362649187199723</v>
      </c>
      <c r="N566" s="279">
        <v>2.1789902170943716</v>
      </c>
      <c r="O566" s="279">
        <v>2.2225700214362591</v>
      </c>
      <c r="P566" s="279">
        <v>2.2670214218649845</v>
      </c>
      <c r="Q566" s="279">
        <v>2.3123618503022842</v>
      </c>
      <c r="R566" s="279">
        <v>2.3586090873083299</v>
      </c>
      <c r="S566" s="279">
        <v>2.4057812690544966</v>
      </c>
      <c r="T566" s="279">
        <v>2.4538968944355863</v>
      </c>
      <c r="U566" s="279">
        <v>2.5029748323242984</v>
      </c>
      <c r="V566" s="279">
        <v>2.5530343289707842</v>
      </c>
    </row>
    <row r="567" spans="1:22" x14ac:dyDescent="0.2">
      <c r="A567" s="267"/>
      <c r="B567" s="270" t="s">
        <v>95</v>
      </c>
      <c r="C567" s="278">
        <v>0</v>
      </c>
      <c r="D567" s="279">
        <v>0.88162831570278188</v>
      </c>
      <c r="E567" s="279">
        <v>0.88162831570278188</v>
      </c>
      <c r="F567" s="279">
        <v>0.88162831570278188</v>
      </c>
      <c r="G567" s="279">
        <v>0.88162831570278188</v>
      </c>
      <c r="H567" s="279">
        <v>0.88162831570278188</v>
      </c>
      <c r="I567" s="279">
        <v>0.88162831570278188</v>
      </c>
      <c r="J567" s="279">
        <v>0.88162831570278188</v>
      </c>
      <c r="K567" s="279">
        <v>0.88162831570278188</v>
      </c>
      <c r="L567" s="279">
        <v>0.88162831570278188</v>
      </c>
      <c r="M567" s="279">
        <v>0.88162831570278188</v>
      </c>
      <c r="N567" s="279">
        <v>0.88162831570278188</v>
      </c>
      <c r="O567" s="279">
        <v>0.88162831570278188</v>
      </c>
      <c r="P567" s="279">
        <v>0.88162831570278188</v>
      </c>
      <c r="Q567" s="279">
        <v>0.88162831570278188</v>
      </c>
      <c r="R567" s="279">
        <v>0.88162831570278188</v>
      </c>
      <c r="S567" s="279">
        <v>0.88162831570278188</v>
      </c>
      <c r="T567" s="279">
        <v>0.88162831570278188</v>
      </c>
      <c r="U567" s="279">
        <v>0.88162831570278188</v>
      </c>
      <c r="V567" s="279">
        <v>0.88162831570278188</v>
      </c>
    </row>
    <row r="568" spans="1:22" x14ac:dyDescent="0.2">
      <c r="A568" s="267"/>
      <c r="B568" s="270" t="s">
        <v>36</v>
      </c>
      <c r="C568" s="278">
        <v>0</v>
      </c>
      <c r="D568" s="279">
        <v>8.093046139000272E-2</v>
      </c>
      <c r="E568" s="279">
        <v>8.2638094125332157E-2</v>
      </c>
      <c r="F568" s="279">
        <v>8.4447868386677005E-2</v>
      </c>
      <c r="G568" s="279">
        <v>8.635639021221532E-2</v>
      </c>
      <c r="H568" s="279">
        <v>8.8411672299266178E-2</v>
      </c>
      <c r="I568" s="279">
        <v>9.0627277695270084E-2</v>
      </c>
      <c r="J568" s="279">
        <v>9.2875086658076519E-2</v>
      </c>
      <c r="K568" s="279">
        <v>9.5225947034650857E-2</v>
      </c>
      <c r="L568" s="279">
        <v>9.7578027926406824E-2</v>
      </c>
      <c r="M568" s="279">
        <v>0.10006626763853002</v>
      </c>
      <c r="N568" s="279">
        <v>0.10248787131538292</v>
      </c>
      <c r="O568" s="279">
        <v>0.1050705656725302</v>
      </c>
      <c r="P568" s="279">
        <v>0.1077393580406122</v>
      </c>
      <c r="Q568" s="279">
        <v>0.11043284199162752</v>
      </c>
      <c r="R568" s="279">
        <v>0.11320470632561737</v>
      </c>
      <c r="S568" s="279">
        <v>0.11603482398375792</v>
      </c>
      <c r="T568" s="279">
        <v>0.118912487618555</v>
      </c>
      <c r="U568" s="279">
        <v>0.12189719105778096</v>
      </c>
      <c r="V568" s="279">
        <v>0.12495681055333119</v>
      </c>
    </row>
    <row r="569" spans="1:22" x14ac:dyDescent="0.2">
      <c r="A569" s="267"/>
      <c r="B569" s="270" t="s">
        <v>39</v>
      </c>
      <c r="C569" s="278">
        <v>0</v>
      </c>
      <c r="D569" s="279">
        <v>2.7790727183992191E-2</v>
      </c>
      <c r="E569" s="279">
        <v>2.8912054660810153E-2</v>
      </c>
      <c r="F569" s="279">
        <v>3.0079648609077598E-2</v>
      </c>
      <c r="G569" s="279">
        <v>3.1416886285993165E-2</v>
      </c>
      <c r="H569" s="279">
        <v>1.9521717911176184</v>
      </c>
      <c r="I569" s="279">
        <v>2.0107369448511467</v>
      </c>
      <c r="J569" s="279">
        <v>2.0710590531966813</v>
      </c>
      <c r="K569" s="279">
        <v>2.1331908247925817</v>
      </c>
      <c r="L569" s="279">
        <v>2.1971865495363589</v>
      </c>
      <c r="M569" s="279">
        <v>2.2631021460224496</v>
      </c>
      <c r="N569" s="279">
        <v>2.3309952104031235</v>
      </c>
      <c r="O569" s="279">
        <v>2.4009250667152173</v>
      </c>
      <c r="P569" s="279">
        <v>2.4729528187166738</v>
      </c>
      <c r="Q569" s="279">
        <v>2.5471414032781738</v>
      </c>
      <c r="R569" s="279">
        <v>2.6235556453765194</v>
      </c>
      <c r="S569" s="279">
        <v>2.7022623147378151</v>
      </c>
      <c r="T569" s="279">
        <v>2.7833301841799498</v>
      </c>
      <c r="U569" s="279">
        <v>2.8668300897053483</v>
      </c>
      <c r="V569" s="279">
        <v>2.9528349923965087</v>
      </c>
    </row>
    <row r="570" spans="1:22" x14ac:dyDescent="0.2">
      <c r="A570" s="267"/>
      <c r="B570" s="270" t="s">
        <v>96</v>
      </c>
      <c r="C570" s="280">
        <v>0</v>
      </c>
      <c r="D570" s="281">
        <v>0</v>
      </c>
      <c r="E570" s="281">
        <v>0</v>
      </c>
      <c r="F570" s="281">
        <v>0</v>
      </c>
      <c r="G570" s="281">
        <v>0</v>
      </c>
      <c r="H570" s="281">
        <v>0</v>
      </c>
      <c r="I570" s="281">
        <v>0</v>
      </c>
      <c r="J570" s="281">
        <v>0</v>
      </c>
      <c r="K570" s="281">
        <v>0</v>
      </c>
      <c r="L570" s="281">
        <v>0</v>
      </c>
      <c r="M570" s="281">
        <v>0</v>
      </c>
      <c r="N570" s="281">
        <v>0</v>
      </c>
      <c r="O570" s="281">
        <v>0</v>
      </c>
      <c r="P570" s="281">
        <v>0</v>
      </c>
      <c r="Q570" s="281">
        <v>0</v>
      </c>
      <c r="R570" s="281">
        <v>0</v>
      </c>
      <c r="S570" s="281">
        <v>0</v>
      </c>
      <c r="T570" s="281">
        <v>0</v>
      </c>
      <c r="U570" s="281">
        <v>0</v>
      </c>
      <c r="V570" s="281">
        <v>0</v>
      </c>
    </row>
    <row r="571" spans="1:22" x14ac:dyDescent="0.2">
      <c r="A571" s="267"/>
      <c r="B571" s="270"/>
      <c r="C571" s="267"/>
      <c r="D571" s="267"/>
      <c r="E571" s="267"/>
      <c r="F571" s="267"/>
      <c r="G571" s="267"/>
      <c r="H571" s="267"/>
      <c r="I571" s="267"/>
      <c r="J571" s="267"/>
      <c r="K571" s="267"/>
      <c r="L571" s="267"/>
      <c r="M571" s="267"/>
      <c r="N571" s="267"/>
      <c r="O571" s="267"/>
      <c r="P571" s="267"/>
      <c r="Q571" s="267"/>
      <c r="R571" s="267"/>
      <c r="S571" s="267"/>
      <c r="T571" s="267"/>
      <c r="U571" s="267"/>
      <c r="V571" s="267"/>
    </row>
    <row r="572" spans="1:22" x14ac:dyDescent="0.2">
      <c r="A572" s="267"/>
      <c r="B572" s="270"/>
      <c r="C572" s="267"/>
      <c r="D572" s="267"/>
      <c r="E572" s="267"/>
      <c r="F572" s="267"/>
      <c r="G572" s="267"/>
      <c r="H572" s="267"/>
      <c r="I572" s="267"/>
      <c r="J572" s="267"/>
      <c r="K572" s="267"/>
      <c r="L572" s="267"/>
      <c r="M572" s="267"/>
      <c r="N572" s="267"/>
      <c r="O572" s="267"/>
      <c r="P572" s="267"/>
      <c r="Q572" s="267"/>
      <c r="R572" s="267"/>
      <c r="S572" s="267"/>
      <c r="T572" s="267"/>
      <c r="U572" s="267"/>
      <c r="V572" s="267"/>
    </row>
    <row r="573" spans="1:22" x14ac:dyDescent="0.2">
      <c r="A573" s="298"/>
      <c r="B573" s="295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</row>
    <row r="574" spans="1:22" x14ac:dyDescent="0.2">
      <c r="A574" s="24"/>
      <c r="B574" s="295"/>
      <c r="C574" s="299"/>
      <c r="D574" s="299"/>
      <c r="E574" s="299"/>
      <c r="F574" s="299"/>
      <c r="G574" s="299"/>
      <c r="H574" s="299"/>
      <c r="I574" s="299"/>
      <c r="J574" s="299"/>
      <c r="K574" s="299"/>
      <c r="L574" s="299"/>
      <c r="M574" s="299"/>
      <c r="N574" s="299"/>
      <c r="O574" s="299"/>
      <c r="P574" s="299"/>
      <c r="Q574" s="299"/>
      <c r="R574" s="299"/>
      <c r="S574" s="299"/>
      <c r="T574" s="299"/>
      <c r="U574" s="299"/>
      <c r="V574" s="299"/>
    </row>
    <row r="575" spans="1:22" x14ac:dyDescent="0.2">
      <c r="A575" s="265" t="s">
        <v>98</v>
      </c>
      <c r="B575" s="266"/>
      <c r="C575" s="267"/>
      <c r="D575" s="267"/>
      <c r="E575" s="267"/>
      <c r="F575" s="267"/>
      <c r="G575" s="267"/>
      <c r="H575" s="267"/>
      <c r="I575" s="267"/>
      <c r="J575" s="267"/>
      <c r="K575" s="267"/>
      <c r="L575" s="267"/>
      <c r="M575" s="267"/>
      <c r="N575" s="267"/>
      <c r="O575" s="267"/>
      <c r="P575" s="267"/>
      <c r="Q575" s="267"/>
      <c r="R575" s="267"/>
      <c r="S575" s="267"/>
      <c r="T575" s="267"/>
      <c r="U575" s="267"/>
      <c r="V575" s="267"/>
    </row>
    <row r="576" spans="1:22" x14ac:dyDescent="0.2">
      <c r="A576" s="268" t="s">
        <v>78</v>
      </c>
      <c r="B576" s="266"/>
      <c r="C576" s="267"/>
      <c r="D576" s="267"/>
      <c r="E576" s="267"/>
      <c r="F576" s="267"/>
      <c r="G576" s="267"/>
      <c r="H576" s="267"/>
      <c r="I576" s="267"/>
      <c r="J576" s="267"/>
      <c r="K576" s="267"/>
      <c r="L576" s="267"/>
      <c r="M576" s="267"/>
      <c r="N576" s="267"/>
      <c r="O576" s="267"/>
      <c r="P576" s="267"/>
      <c r="Q576" s="267"/>
      <c r="R576" s="267"/>
      <c r="S576" s="267"/>
      <c r="T576" s="267"/>
      <c r="U576" s="267"/>
      <c r="V576" s="267"/>
    </row>
    <row r="577" spans="1:22" x14ac:dyDescent="0.2">
      <c r="A577" s="267"/>
      <c r="B577" s="266"/>
      <c r="C577" s="267"/>
      <c r="D577" s="267"/>
      <c r="E577" s="267"/>
      <c r="F577" s="267"/>
      <c r="G577" s="267"/>
      <c r="H577" s="267"/>
      <c r="I577" s="267"/>
      <c r="J577" s="267"/>
      <c r="K577" s="267"/>
      <c r="L577" s="267"/>
      <c r="M577" s="267"/>
      <c r="N577" s="267"/>
      <c r="O577" s="267"/>
      <c r="P577" s="267"/>
      <c r="Q577" s="267"/>
      <c r="R577" s="267"/>
      <c r="S577" s="267"/>
      <c r="T577" s="267"/>
      <c r="U577" s="267"/>
      <c r="V577" s="267"/>
    </row>
    <row r="578" spans="1:22" x14ac:dyDescent="0.2">
      <c r="A578" s="267"/>
      <c r="B578" s="266"/>
      <c r="C578" s="271">
        <v>2000</v>
      </c>
      <c r="D578" s="272">
        <v>2001</v>
      </c>
      <c r="E578" s="272">
        <v>2002</v>
      </c>
      <c r="F578" s="272">
        <v>2003</v>
      </c>
      <c r="G578" s="272">
        <v>2004</v>
      </c>
      <c r="H578" s="272">
        <v>2005</v>
      </c>
      <c r="I578" s="272">
        <v>2006</v>
      </c>
      <c r="J578" s="272">
        <v>2007</v>
      </c>
      <c r="K578" s="272">
        <v>2008</v>
      </c>
      <c r="L578" s="272">
        <v>2009</v>
      </c>
      <c r="M578" s="272">
        <v>2010</v>
      </c>
      <c r="N578" s="272">
        <v>2011</v>
      </c>
      <c r="O578" s="272">
        <v>2012</v>
      </c>
      <c r="P578" s="272">
        <v>2013</v>
      </c>
      <c r="Q578" s="272">
        <v>2014</v>
      </c>
      <c r="R578" s="272">
        <v>2015</v>
      </c>
      <c r="S578" s="272">
        <v>2016</v>
      </c>
      <c r="T578" s="272">
        <v>2017</v>
      </c>
      <c r="U578" s="272">
        <v>2018</v>
      </c>
      <c r="V578" s="272">
        <v>2019</v>
      </c>
    </row>
    <row r="579" spans="1:22" x14ac:dyDescent="0.2">
      <c r="A579" s="269" t="s">
        <v>129</v>
      </c>
      <c r="B579" s="266"/>
      <c r="C579" s="273"/>
      <c r="D579" s="274"/>
      <c r="E579" s="274"/>
      <c r="F579" s="274"/>
      <c r="G579" s="274"/>
      <c r="H579" s="274"/>
      <c r="I579" s="274"/>
      <c r="J579" s="274"/>
      <c r="K579" s="274"/>
      <c r="L579" s="274"/>
      <c r="M579" s="274"/>
      <c r="N579" s="274"/>
      <c r="O579" s="274"/>
      <c r="P579" s="274"/>
      <c r="Q579" s="274"/>
      <c r="R579" s="274"/>
      <c r="S579" s="274"/>
      <c r="T579" s="274"/>
      <c r="U579" s="274"/>
      <c r="V579" s="274"/>
    </row>
    <row r="580" spans="1:22" x14ac:dyDescent="0.2">
      <c r="A580" s="267"/>
      <c r="B580" s="270" t="s">
        <v>97</v>
      </c>
      <c r="C580" s="275">
        <v>0</v>
      </c>
      <c r="D580" s="276">
        <v>13325.426749534879</v>
      </c>
      <c r="E580" s="276">
        <v>16334.394080075012</v>
      </c>
      <c r="F580" s="276">
        <v>14614.984176909224</v>
      </c>
      <c r="G580" s="276">
        <v>14400.057939013494</v>
      </c>
      <c r="H580" s="276">
        <v>20632.918837989488</v>
      </c>
      <c r="I580" s="276">
        <v>22782.181216946723</v>
      </c>
      <c r="J580" s="276">
        <v>20203.066362198046</v>
      </c>
      <c r="K580" s="276">
        <v>32883.714398045755</v>
      </c>
      <c r="L580" s="276">
        <v>33098.640635941469</v>
      </c>
      <c r="M580" s="276">
        <v>31594.156970671411</v>
      </c>
      <c r="N580" s="276">
        <v>26435.927261174034</v>
      </c>
      <c r="O580" s="276">
        <v>34388.198063315809</v>
      </c>
      <c r="P580" s="276">
        <v>25791.148547486864</v>
      </c>
      <c r="Q580" s="276">
        <v>32668.788160150023</v>
      </c>
      <c r="R580" s="276">
        <v>29229.968353818447</v>
      </c>
      <c r="S580" s="276">
        <v>22352.328741155281</v>
      </c>
      <c r="T580" s="276">
        <v>22782.181216946727</v>
      </c>
      <c r="U580" s="276">
        <v>28585.189640131277</v>
      </c>
      <c r="V580" s="276">
        <v>36967.312918064505</v>
      </c>
    </row>
    <row r="581" spans="1:22" x14ac:dyDescent="0.2">
      <c r="A581" s="267"/>
      <c r="B581" s="270" t="s">
        <v>91</v>
      </c>
      <c r="C581" s="275">
        <v>0</v>
      </c>
      <c r="D581" s="277">
        <v>2.9695801603933935E-2</v>
      </c>
      <c r="E581" s="277">
        <v>3.6401305191919017E-2</v>
      </c>
      <c r="F581" s="277">
        <v>3.2569588855927541E-2</v>
      </c>
      <c r="G581" s="277">
        <v>3.2090624313928597E-2</v>
      </c>
      <c r="H581" s="277">
        <v>4.5980596031897705E-2</v>
      </c>
      <c r="I581" s="277">
        <v>5.0770241451887042E-2</v>
      </c>
      <c r="J581" s="277">
        <v>4.5022666947899845E-2</v>
      </c>
      <c r="K581" s="277">
        <v>7.3281574925836979E-2</v>
      </c>
      <c r="L581" s="277">
        <v>7.3760539467835895E-2</v>
      </c>
      <c r="M581" s="277">
        <v>7.0407787673843369E-2</v>
      </c>
      <c r="N581" s="277">
        <v>5.8912638665868933E-2</v>
      </c>
      <c r="O581" s="277">
        <v>7.6634326719829504E-2</v>
      </c>
      <c r="P581" s="277">
        <v>5.7475745039872135E-2</v>
      </c>
      <c r="Q581" s="277">
        <v>7.2802610383838035E-2</v>
      </c>
      <c r="R581" s="277">
        <v>6.5139177711855081E-2</v>
      </c>
      <c r="S581" s="277">
        <v>4.9812312367889182E-2</v>
      </c>
      <c r="T581" s="277">
        <v>5.0770241451887049E-2</v>
      </c>
      <c r="U581" s="277">
        <v>6.3702284085858291E-2</v>
      </c>
      <c r="V581" s="277">
        <v>8.2381901223816736E-2</v>
      </c>
    </row>
    <row r="582" spans="1:22" x14ac:dyDescent="0.2">
      <c r="A582" s="269" t="s">
        <v>93</v>
      </c>
      <c r="B582" s="270"/>
      <c r="C582" s="273"/>
      <c r="D582" s="274"/>
      <c r="E582" s="274"/>
      <c r="F582" s="274"/>
      <c r="G582" s="274"/>
      <c r="H582" s="274"/>
      <c r="I582" s="274"/>
      <c r="J582" s="274"/>
      <c r="K582" s="274"/>
      <c r="L582" s="274"/>
      <c r="M582" s="274"/>
      <c r="N582" s="274"/>
      <c r="O582" s="274"/>
      <c r="P582" s="274"/>
      <c r="Q582" s="274"/>
      <c r="R582" s="274"/>
      <c r="S582" s="274"/>
      <c r="T582" s="274"/>
      <c r="U582" s="274"/>
      <c r="V582" s="274"/>
    </row>
    <row r="583" spans="1:22" x14ac:dyDescent="0.2">
      <c r="A583" s="267"/>
      <c r="B583" s="270" t="s">
        <v>27</v>
      </c>
      <c r="C583" s="278">
        <v>0</v>
      </c>
      <c r="D583" s="279">
        <v>295.12219942453686</v>
      </c>
      <c r="E583" s="279">
        <v>192.29613066491285</v>
      </c>
      <c r="F583" s="279">
        <v>178.96158269912351</v>
      </c>
      <c r="G583" s="279">
        <v>161.58009237381216</v>
      </c>
      <c r="H583" s="279">
        <v>132.0585002432511</v>
      </c>
      <c r="I583" s="279">
        <v>112.45112349573397</v>
      </c>
      <c r="J583" s="279">
        <v>124.11871364481526</v>
      </c>
      <c r="K583" s="279">
        <v>114.30158128667259</v>
      </c>
      <c r="L583" s="279">
        <v>116.14739833591156</v>
      </c>
      <c r="M583" s="279">
        <v>128.3401594444293</v>
      </c>
      <c r="N583" s="279">
        <v>120.20051787728447</v>
      </c>
      <c r="O583" s="279">
        <v>117.38873499534797</v>
      </c>
      <c r="P583" s="279">
        <v>134.20009555737499</v>
      </c>
      <c r="Q583" s="279">
        <v>133.98138581136334</v>
      </c>
      <c r="R583" s="279">
        <v>135.21491702964528</v>
      </c>
      <c r="S583" s="279">
        <v>139.03629554081832</v>
      </c>
      <c r="T583" s="279">
        <v>149.5638400683205</v>
      </c>
      <c r="U583" s="279">
        <v>152.97016863950813</v>
      </c>
      <c r="V583" s="279">
        <v>131.37442236061125</v>
      </c>
    </row>
    <row r="584" spans="1:22" x14ac:dyDescent="0.2">
      <c r="A584" s="267"/>
      <c r="B584" s="270" t="s">
        <v>20</v>
      </c>
      <c r="C584" s="278">
        <v>0</v>
      </c>
      <c r="D584" s="279">
        <v>69.154605630212416</v>
      </c>
      <c r="E584" s="279">
        <v>62.26948339115588</v>
      </c>
      <c r="F584" s="279">
        <v>60.806868303357234</v>
      </c>
      <c r="G584" s="279">
        <v>62.620763859352323</v>
      </c>
      <c r="H584" s="279">
        <v>63.462335030451797</v>
      </c>
      <c r="I584" s="279">
        <v>62.523377331542747</v>
      </c>
      <c r="J584" s="279">
        <v>62.572408711601753</v>
      </c>
      <c r="K584" s="279">
        <v>58.324256418593563</v>
      </c>
      <c r="L584" s="279">
        <v>59.474917935214208</v>
      </c>
      <c r="M584" s="279">
        <v>62.334688604949683</v>
      </c>
      <c r="N584" s="279">
        <v>62.949756730164047</v>
      </c>
      <c r="O584" s="279">
        <v>63.165885652046732</v>
      </c>
      <c r="P584" s="279">
        <v>65.904935959093137</v>
      </c>
      <c r="Q584" s="279">
        <v>66.591171411077667</v>
      </c>
      <c r="R584" s="279">
        <v>72.394364065020241</v>
      </c>
      <c r="S584" s="279">
        <v>75.458772616910821</v>
      </c>
      <c r="T584" s="279">
        <v>77.610640757919569</v>
      </c>
      <c r="U584" s="279">
        <v>82.892709011799425</v>
      </c>
      <c r="V584" s="279">
        <v>84.88578289347663</v>
      </c>
    </row>
    <row r="585" spans="1:22" x14ac:dyDescent="0.2">
      <c r="A585" s="267"/>
      <c r="B585" s="270" t="s">
        <v>92</v>
      </c>
      <c r="C585" s="278">
        <v>0</v>
      </c>
      <c r="D585" s="279">
        <v>2.2334073931917424</v>
      </c>
      <c r="E585" s="279">
        <v>2.271771395441184</v>
      </c>
      <c r="F585" s="279">
        <v>2.3205944257882272</v>
      </c>
      <c r="G585" s="279">
        <v>2.3622851598898231</v>
      </c>
      <c r="H585" s="279">
        <v>2.4152479908390108</v>
      </c>
      <c r="I585" s="279">
        <v>2.4614863346486771</v>
      </c>
      <c r="J585" s="279">
        <v>2.511757048316571</v>
      </c>
      <c r="K585" s="279">
        <v>2.5585467558783153</v>
      </c>
      <c r="L585" s="279">
        <v>2.6113191340269397</v>
      </c>
      <c r="M585" s="279">
        <v>2.6637470723568581</v>
      </c>
      <c r="N585" s="279">
        <v>2.7163576348155063</v>
      </c>
      <c r="O585" s="279">
        <v>2.7715687862784413</v>
      </c>
      <c r="P585" s="279">
        <v>2.8300220997050651</v>
      </c>
      <c r="Q585" s="279">
        <v>2.8847052013988042</v>
      </c>
      <c r="R585" s="279">
        <v>2.9441262330086708</v>
      </c>
      <c r="S585" s="279">
        <v>3.0072573189987355</v>
      </c>
      <c r="T585" s="279">
        <v>3.0617291074864146</v>
      </c>
      <c r="U585" s="279">
        <v>3.1272786057215596</v>
      </c>
      <c r="V585" s="279">
        <v>3.1876892261730743</v>
      </c>
    </row>
    <row r="586" spans="1:22" x14ac:dyDescent="0.2">
      <c r="A586" s="267"/>
      <c r="B586" s="270" t="s">
        <v>22</v>
      </c>
      <c r="C586" s="278">
        <v>0</v>
      </c>
      <c r="D586" s="279">
        <v>0</v>
      </c>
      <c r="E586" s="279">
        <v>0</v>
      </c>
      <c r="F586" s="279">
        <v>0</v>
      </c>
      <c r="G586" s="279">
        <v>0</v>
      </c>
      <c r="H586" s="279">
        <v>0</v>
      </c>
      <c r="I586" s="279">
        <v>0.86759749691871413</v>
      </c>
      <c r="J586" s="279">
        <v>0.9616625182144275</v>
      </c>
      <c r="K586" s="279">
        <v>1.1022490741983371</v>
      </c>
      <c r="L586" s="279">
        <v>1.1655106507142592</v>
      </c>
      <c r="M586" s="279">
        <v>1.2962270414238328</v>
      </c>
      <c r="N586" s="279">
        <v>1.4278921116922669</v>
      </c>
      <c r="O586" s="279">
        <v>1.5820616502550038</v>
      </c>
      <c r="P586" s="279">
        <v>1.7739072866432217</v>
      </c>
      <c r="Q586" s="279">
        <v>1.9746356229766562</v>
      </c>
      <c r="R586" s="279">
        <v>2.1872930539695372</v>
      </c>
      <c r="S586" s="279">
        <v>2.401645083411788</v>
      </c>
      <c r="T586" s="279">
        <v>2.3594992086101771</v>
      </c>
      <c r="U586" s="279">
        <v>2.0186791924179746</v>
      </c>
      <c r="V586" s="279">
        <v>2.0929978832165563</v>
      </c>
    </row>
    <row r="587" spans="1:22" x14ac:dyDescent="0.2">
      <c r="A587" s="267"/>
      <c r="B587" s="270" t="s">
        <v>23</v>
      </c>
      <c r="C587" s="278">
        <v>0</v>
      </c>
      <c r="D587" s="279">
        <v>0</v>
      </c>
      <c r="E587" s="279">
        <v>0</v>
      </c>
      <c r="F587" s="279">
        <v>0</v>
      </c>
      <c r="G587" s="279">
        <v>0</v>
      </c>
      <c r="H587" s="279">
        <v>0</v>
      </c>
      <c r="I587" s="279">
        <v>0.86759749691871413</v>
      </c>
      <c r="J587" s="279">
        <v>0.9616625182144275</v>
      </c>
      <c r="K587" s="279">
        <v>1.1022490741983371</v>
      </c>
      <c r="L587" s="279">
        <v>1.1655106507142592</v>
      </c>
      <c r="M587" s="279">
        <v>1.2962270414238328</v>
      </c>
      <c r="N587" s="279">
        <v>1.4278921116922669</v>
      </c>
      <c r="O587" s="279">
        <v>1.5820616502550038</v>
      </c>
      <c r="P587" s="279">
        <v>1.7739072866432217</v>
      </c>
      <c r="Q587" s="279">
        <v>1.9746356229766562</v>
      </c>
      <c r="R587" s="279">
        <v>2.1872930539695372</v>
      </c>
      <c r="S587" s="279">
        <v>2.401645083411788</v>
      </c>
      <c r="T587" s="279">
        <v>2.3594992086101771</v>
      </c>
      <c r="U587" s="279">
        <v>2.0186791924179746</v>
      </c>
      <c r="V587" s="279">
        <v>2.0929978832165563</v>
      </c>
    </row>
    <row r="588" spans="1:22" x14ac:dyDescent="0.2">
      <c r="A588" s="269" t="s">
        <v>94</v>
      </c>
      <c r="B588" s="270"/>
      <c r="C588" s="273"/>
      <c r="D588" s="274"/>
      <c r="E588" s="274"/>
      <c r="F588" s="274"/>
      <c r="G588" s="274"/>
      <c r="H588" s="274"/>
      <c r="I588" s="274"/>
      <c r="J588" s="274"/>
      <c r="K588" s="274"/>
      <c r="L588" s="274"/>
      <c r="M588" s="274"/>
      <c r="N588" s="274"/>
      <c r="O588" s="274"/>
      <c r="P588" s="274"/>
      <c r="Q588" s="274"/>
      <c r="R588" s="274"/>
      <c r="S588" s="274"/>
      <c r="T588" s="274"/>
      <c r="U588" s="274"/>
      <c r="V588" s="274"/>
    </row>
    <row r="589" spans="1:22" x14ac:dyDescent="0.2">
      <c r="A589" s="267"/>
      <c r="B589" s="270" t="s">
        <v>34</v>
      </c>
      <c r="C589" s="278">
        <v>0</v>
      </c>
      <c r="D589" s="279">
        <v>1.787530920037963</v>
      </c>
      <c r="E589" s="279">
        <v>1.8232815384387222</v>
      </c>
      <c r="F589" s="279">
        <v>1.8597471692074967</v>
      </c>
      <c r="G589" s="279">
        <v>1.8969421125916468</v>
      </c>
      <c r="H589" s="279">
        <v>1.9348809548434798</v>
      </c>
      <c r="I589" s="279">
        <v>1.9735785739403493</v>
      </c>
      <c r="J589" s="279">
        <v>2.0130501454191565</v>
      </c>
      <c r="K589" s="279">
        <v>2.0533111483275395</v>
      </c>
      <c r="L589" s="279">
        <v>2.0943773712940903</v>
      </c>
      <c r="M589" s="279">
        <v>2.1362649187199723</v>
      </c>
      <c r="N589" s="279">
        <v>2.1789902170943716</v>
      </c>
      <c r="O589" s="279">
        <v>2.2225700214362591</v>
      </c>
      <c r="P589" s="279">
        <v>2.2670214218649845</v>
      </c>
      <c r="Q589" s="279">
        <v>2.3123618503022842</v>
      </c>
      <c r="R589" s="279">
        <v>2.3586090873083299</v>
      </c>
      <c r="S589" s="279">
        <v>2.4057812690544966</v>
      </c>
      <c r="T589" s="279">
        <v>2.4538968944355863</v>
      </c>
      <c r="U589" s="279">
        <v>2.5029748323242984</v>
      </c>
      <c r="V589" s="279">
        <v>2.5530343289707842</v>
      </c>
    </row>
    <row r="590" spans="1:22" x14ac:dyDescent="0.2">
      <c r="A590" s="267"/>
      <c r="B590" s="270" t="s">
        <v>95</v>
      </c>
      <c r="C590" s="278">
        <v>0</v>
      </c>
      <c r="D590" s="279">
        <v>0.88162831570278188</v>
      </c>
      <c r="E590" s="279">
        <v>0.88162831570278188</v>
      </c>
      <c r="F590" s="279">
        <v>0.88162831570278188</v>
      </c>
      <c r="G590" s="279">
        <v>0.88162831570278188</v>
      </c>
      <c r="H590" s="279">
        <v>0.88162831570278188</v>
      </c>
      <c r="I590" s="279">
        <v>0.88162831570278188</v>
      </c>
      <c r="J590" s="279">
        <v>0.88162831570278188</v>
      </c>
      <c r="K590" s="279">
        <v>0.88162831570278188</v>
      </c>
      <c r="L590" s="279">
        <v>0.88162831570278188</v>
      </c>
      <c r="M590" s="279">
        <v>0.88162831570278188</v>
      </c>
      <c r="N590" s="279">
        <v>0.88162831570278188</v>
      </c>
      <c r="O590" s="279">
        <v>0.88162831570278188</v>
      </c>
      <c r="P590" s="279">
        <v>0.88162831570278188</v>
      </c>
      <c r="Q590" s="279">
        <v>0.88162831570278188</v>
      </c>
      <c r="R590" s="279">
        <v>0.88162831570278188</v>
      </c>
      <c r="S590" s="279">
        <v>0.88162831570278188</v>
      </c>
      <c r="T590" s="279">
        <v>0.88162831570278188</v>
      </c>
      <c r="U590" s="279">
        <v>0.88162831570278188</v>
      </c>
      <c r="V590" s="279">
        <v>0.88162831570278188</v>
      </c>
    </row>
    <row r="591" spans="1:22" x14ac:dyDescent="0.2">
      <c r="A591" s="267"/>
      <c r="B591" s="270" t="s">
        <v>36</v>
      </c>
      <c r="C591" s="278">
        <v>0</v>
      </c>
      <c r="D591" s="279">
        <v>8.093046139000272E-2</v>
      </c>
      <c r="E591" s="279">
        <v>8.2638094125332157E-2</v>
      </c>
      <c r="F591" s="279">
        <v>8.4447868386677005E-2</v>
      </c>
      <c r="G591" s="279">
        <v>8.635639021221532E-2</v>
      </c>
      <c r="H591" s="279">
        <v>8.8411672299266178E-2</v>
      </c>
      <c r="I591" s="279">
        <v>9.0627277695270084E-2</v>
      </c>
      <c r="J591" s="279">
        <v>9.2875086658076519E-2</v>
      </c>
      <c r="K591" s="279">
        <v>9.5225947034650857E-2</v>
      </c>
      <c r="L591" s="279">
        <v>9.7578027926406824E-2</v>
      </c>
      <c r="M591" s="279">
        <v>0.10006626763853002</v>
      </c>
      <c r="N591" s="279">
        <v>0.10248787131538292</v>
      </c>
      <c r="O591" s="279">
        <v>0.1050705656725302</v>
      </c>
      <c r="P591" s="279">
        <v>0.1077393580406122</v>
      </c>
      <c r="Q591" s="279">
        <v>0.11043284199162752</v>
      </c>
      <c r="R591" s="279">
        <v>0.11320470632561737</v>
      </c>
      <c r="S591" s="279">
        <v>0.11603482398375792</v>
      </c>
      <c r="T591" s="279">
        <v>0.118912487618555</v>
      </c>
      <c r="U591" s="279">
        <v>0.12189719105778096</v>
      </c>
      <c r="V591" s="279">
        <v>0.12495681055333119</v>
      </c>
    </row>
    <row r="592" spans="1:22" x14ac:dyDescent="0.2">
      <c r="A592" s="267"/>
      <c r="B592" s="270" t="s">
        <v>39</v>
      </c>
      <c r="C592" s="278">
        <v>0</v>
      </c>
      <c r="D592" s="279">
        <v>2.7790727183992191E-2</v>
      </c>
      <c r="E592" s="279">
        <v>2.8912054660810153E-2</v>
      </c>
      <c r="F592" s="279">
        <v>3.0079648609077598E-2</v>
      </c>
      <c r="G592" s="279">
        <v>3.1416886285993165E-2</v>
      </c>
      <c r="H592" s="279">
        <v>1.9521717911176184</v>
      </c>
      <c r="I592" s="279">
        <v>2.0107369448511467</v>
      </c>
      <c r="J592" s="279">
        <v>2.0710590531966813</v>
      </c>
      <c r="K592" s="279">
        <v>2.1331908247925817</v>
      </c>
      <c r="L592" s="279">
        <v>2.1971865495363589</v>
      </c>
      <c r="M592" s="279">
        <v>2.2631021460224496</v>
      </c>
      <c r="N592" s="279">
        <v>2.3309952104031235</v>
      </c>
      <c r="O592" s="279">
        <v>2.4009250667152173</v>
      </c>
      <c r="P592" s="279">
        <v>2.4729528187166738</v>
      </c>
      <c r="Q592" s="279">
        <v>2.5471414032781738</v>
      </c>
      <c r="R592" s="279">
        <v>2.6235556453765194</v>
      </c>
      <c r="S592" s="279">
        <v>2.7022623147378151</v>
      </c>
      <c r="T592" s="279">
        <v>2.7833301841799498</v>
      </c>
      <c r="U592" s="279">
        <v>2.8668300897053483</v>
      </c>
      <c r="V592" s="279">
        <v>2.9528349923965087</v>
      </c>
    </row>
    <row r="593" spans="1:22" x14ac:dyDescent="0.2">
      <c r="A593" s="267"/>
      <c r="B593" s="270" t="s">
        <v>96</v>
      </c>
      <c r="C593" s="280">
        <v>0</v>
      </c>
      <c r="D593" s="281">
        <v>0</v>
      </c>
      <c r="E593" s="281">
        <v>0</v>
      </c>
      <c r="F593" s="281">
        <v>0</v>
      </c>
      <c r="G593" s="281">
        <v>0</v>
      </c>
      <c r="H593" s="281">
        <v>0</v>
      </c>
      <c r="I593" s="281">
        <v>0</v>
      </c>
      <c r="J593" s="281">
        <v>0</v>
      </c>
      <c r="K593" s="281">
        <v>0</v>
      </c>
      <c r="L593" s="281">
        <v>0</v>
      </c>
      <c r="M593" s="281">
        <v>0</v>
      </c>
      <c r="N593" s="281">
        <v>0</v>
      </c>
      <c r="O593" s="281">
        <v>0</v>
      </c>
      <c r="P593" s="281">
        <v>0</v>
      </c>
      <c r="Q593" s="281">
        <v>0</v>
      </c>
      <c r="R593" s="281">
        <v>0</v>
      </c>
      <c r="S593" s="281">
        <v>0</v>
      </c>
      <c r="T593" s="281">
        <v>0</v>
      </c>
      <c r="U593" s="281">
        <v>0</v>
      </c>
      <c r="V593" s="281">
        <v>0</v>
      </c>
    </row>
    <row r="594" spans="1:22" x14ac:dyDescent="0.2">
      <c r="A594" s="267"/>
      <c r="B594" s="270"/>
      <c r="C594" s="267"/>
      <c r="D594" s="267"/>
      <c r="E594" s="267"/>
      <c r="F594" s="267"/>
      <c r="G594" s="267"/>
      <c r="H594" s="267"/>
      <c r="I594" s="267"/>
      <c r="J594" s="267"/>
      <c r="K594" s="267"/>
      <c r="L594" s="267"/>
      <c r="M594" s="267"/>
      <c r="N594" s="267"/>
      <c r="O594" s="267"/>
      <c r="P594" s="267"/>
      <c r="Q594" s="267"/>
      <c r="R594" s="267"/>
      <c r="S594" s="267"/>
      <c r="T594" s="267"/>
      <c r="U594" s="267"/>
      <c r="V594" s="267"/>
    </row>
    <row r="595" spans="1:22" x14ac:dyDescent="0.2">
      <c r="A595" s="267"/>
      <c r="B595" s="270"/>
      <c r="C595" s="267"/>
      <c r="D595" s="267"/>
      <c r="E595" s="267"/>
      <c r="F595" s="267"/>
      <c r="G595" s="267"/>
      <c r="H595" s="267"/>
      <c r="I595" s="267"/>
      <c r="J595" s="267"/>
      <c r="K595" s="267"/>
      <c r="L595" s="267"/>
      <c r="M595" s="267"/>
      <c r="N595" s="267"/>
      <c r="O595" s="267"/>
      <c r="P595" s="267"/>
      <c r="Q595" s="267"/>
      <c r="R595" s="267"/>
      <c r="S595" s="267"/>
      <c r="T595" s="267"/>
      <c r="U595" s="267"/>
      <c r="V595" s="267"/>
    </row>
    <row r="596" spans="1:22" x14ac:dyDescent="0.2">
      <c r="A596" s="24"/>
      <c r="B596" s="295"/>
      <c r="C596" s="299"/>
      <c r="D596" s="299"/>
      <c r="E596" s="299"/>
      <c r="F596" s="299"/>
      <c r="G596" s="299"/>
      <c r="H596" s="299"/>
      <c r="I596" s="299"/>
      <c r="J596" s="299"/>
      <c r="K596" s="299"/>
      <c r="L596" s="299"/>
      <c r="M596" s="299"/>
      <c r="N596" s="299"/>
      <c r="O596" s="299"/>
      <c r="P596" s="299"/>
      <c r="Q596" s="299"/>
      <c r="R596" s="299"/>
      <c r="S596" s="299"/>
      <c r="T596" s="299"/>
      <c r="U596" s="299"/>
      <c r="V596" s="299"/>
    </row>
    <row r="597" spans="1:22" x14ac:dyDescent="0.2">
      <c r="A597" s="24"/>
      <c r="B597" s="295"/>
      <c r="C597" s="299"/>
      <c r="D597" s="299"/>
      <c r="E597" s="299"/>
      <c r="F597" s="299"/>
      <c r="G597" s="299"/>
      <c r="H597" s="299"/>
      <c r="I597" s="299"/>
      <c r="J597" s="299"/>
      <c r="K597" s="299"/>
      <c r="L597" s="299"/>
      <c r="M597" s="299"/>
      <c r="N597" s="299"/>
      <c r="O597" s="299"/>
      <c r="P597" s="299"/>
      <c r="Q597" s="299"/>
      <c r="R597" s="299"/>
      <c r="S597" s="299"/>
      <c r="T597" s="299"/>
      <c r="U597" s="299"/>
      <c r="V597" s="299"/>
    </row>
    <row r="598" spans="1:22" x14ac:dyDescent="0.2">
      <c r="A598" s="265" t="s">
        <v>98</v>
      </c>
      <c r="B598" s="266"/>
      <c r="C598" s="267"/>
      <c r="D598" s="267"/>
      <c r="E598" s="267"/>
      <c r="F598" s="267"/>
      <c r="G598" s="267"/>
      <c r="H598" s="267"/>
      <c r="I598" s="267"/>
      <c r="J598" s="267"/>
      <c r="K598" s="267"/>
      <c r="L598" s="267"/>
      <c r="M598" s="267"/>
      <c r="N598" s="267"/>
      <c r="O598" s="267"/>
      <c r="P598" s="267"/>
      <c r="Q598" s="267"/>
      <c r="R598" s="267"/>
      <c r="S598" s="267"/>
      <c r="T598" s="267"/>
      <c r="U598" s="267"/>
      <c r="V598" s="267"/>
    </row>
    <row r="599" spans="1:22" x14ac:dyDescent="0.2">
      <c r="A599" s="268" t="s">
        <v>79</v>
      </c>
      <c r="B599" s="266"/>
      <c r="C599" s="267"/>
      <c r="D599" s="267"/>
      <c r="E599" s="267"/>
      <c r="F599" s="267"/>
      <c r="G599" s="267"/>
      <c r="H599" s="267"/>
      <c r="I599" s="267"/>
      <c r="J599" s="267"/>
      <c r="K599" s="267"/>
      <c r="L599" s="267"/>
      <c r="M599" s="267"/>
      <c r="N599" s="267"/>
      <c r="O599" s="267"/>
      <c r="P599" s="267"/>
      <c r="Q599" s="267"/>
      <c r="R599" s="267"/>
      <c r="S599" s="267"/>
      <c r="T599" s="267"/>
      <c r="U599" s="267"/>
      <c r="V599" s="267"/>
    </row>
    <row r="600" spans="1:22" x14ac:dyDescent="0.2">
      <c r="A600" s="267"/>
      <c r="B600" s="266"/>
      <c r="C600" s="267"/>
      <c r="D600" s="267"/>
      <c r="E600" s="267"/>
      <c r="F600" s="267"/>
      <c r="G600" s="267"/>
      <c r="H600" s="267"/>
      <c r="I600" s="267"/>
      <c r="J600" s="267"/>
      <c r="K600" s="267"/>
      <c r="L600" s="267"/>
      <c r="M600" s="267"/>
      <c r="N600" s="267"/>
      <c r="O600" s="267"/>
      <c r="P600" s="267"/>
      <c r="Q600" s="267"/>
      <c r="R600" s="267"/>
      <c r="S600" s="267"/>
      <c r="T600" s="267"/>
      <c r="U600" s="267"/>
      <c r="V600" s="267"/>
    </row>
    <row r="601" spans="1:22" x14ac:dyDescent="0.2">
      <c r="A601" s="267"/>
      <c r="B601" s="266"/>
      <c r="C601" s="271">
        <v>2000</v>
      </c>
      <c r="D601" s="272">
        <v>2001</v>
      </c>
      <c r="E601" s="272">
        <v>2002</v>
      </c>
      <c r="F601" s="272">
        <v>2003</v>
      </c>
      <c r="G601" s="272">
        <v>2004</v>
      </c>
      <c r="H601" s="272">
        <v>2005</v>
      </c>
      <c r="I601" s="272">
        <v>2006</v>
      </c>
      <c r="J601" s="272">
        <v>2007</v>
      </c>
      <c r="K601" s="272">
        <v>2008</v>
      </c>
      <c r="L601" s="272">
        <v>2009</v>
      </c>
      <c r="M601" s="272">
        <v>2010</v>
      </c>
      <c r="N601" s="272">
        <v>2011</v>
      </c>
      <c r="O601" s="272">
        <v>2012</v>
      </c>
      <c r="P601" s="272">
        <v>2013</v>
      </c>
      <c r="Q601" s="272">
        <v>2014</v>
      </c>
      <c r="R601" s="272">
        <v>2015</v>
      </c>
      <c r="S601" s="272">
        <v>2016</v>
      </c>
      <c r="T601" s="272">
        <v>2017</v>
      </c>
      <c r="U601" s="272">
        <v>2018</v>
      </c>
      <c r="V601" s="272">
        <v>2019</v>
      </c>
    </row>
    <row r="602" spans="1:22" x14ac:dyDescent="0.2">
      <c r="A602" s="269" t="s">
        <v>129</v>
      </c>
      <c r="B602" s="266"/>
      <c r="C602" s="273"/>
      <c r="D602" s="274"/>
      <c r="E602" s="274"/>
      <c r="F602" s="274"/>
      <c r="G602" s="274"/>
      <c r="H602" s="274"/>
      <c r="I602" s="274"/>
      <c r="J602" s="274"/>
      <c r="K602" s="274"/>
      <c r="L602" s="274"/>
      <c r="M602" s="274"/>
      <c r="N602" s="274"/>
      <c r="O602" s="274"/>
      <c r="P602" s="274"/>
      <c r="Q602" s="274"/>
      <c r="R602" s="274"/>
      <c r="S602" s="274"/>
      <c r="T602" s="274"/>
      <c r="U602" s="274"/>
      <c r="V602" s="274"/>
    </row>
    <row r="603" spans="1:22" x14ac:dyDescent="0.2">
      <c r="A603" s="267"/>
      <c r="B603" s="270" t="s">
        <v>97</v>
      </c>
      <c r="C603" s="275">
        <v>0</v>
      </c>
      <c r="D603" s="276">
        <v>13325.426749534879</v>
      </c>
      <c r="E603" s="276">
        <v>16334.394080075012</v>
      </c>
      <c r="F603" s="276">
        <v>14614.984176909224</v>
      </c>
      <c r="G603" s="276">
        <v>14400.057939013494</v>
      </c>
      <c r="H603" s="276">
        <v>20632.918837989488</v>
      </c>
      <c r="I603" s="276">
        <v>22782.181216946723</v>
      </c>
      <c r="J603" s="276">
        <v>20203.066362198046</v>
      </c>
      <c r="K603" s="276">
        <v>32883.714398045755</v>
      </c>
      <c r="L603" s="276">
        <v>33098.640635941469</v>
      </c>
      <c r="M603" s="276">
        <v>31594.156970671411</v>
      </c>
      <c r="N603" s="276">
        <v>26435.927261174034</v>
      </c>
      <c r="O603" s="276">
        <v>34388.198063315809</v>
      </c>
      <c r="P603" s="276">
        <v>25791.148547486864</v>
      </c>
      <c r="Q603" s="276">
        <v>32668.788160150023</v>
      </c>
      <c r="R603" s="276">
        <v>29229.968353818447</v>
      </c>
      <c r="S603" s="276">
        <v>22352.328741155281</v>
      </c>
      <c r="T603" s="276">
        <v>22782.181216946727</v>
      </c>
      <c r="U603" s="276">
        <v>28585.189640131277</v>
      </c>
      <c r="V603" s="276">
        <v>36967.312918064505</v>
      </c>
    </row>
    <row r="604" spans="1:22" x14ac:dyDescent="0.2">
      <c r="A604" s="267"/>
      <c r="B604" s="270" t="s">
        <v>91</v>
      </c>
      <c r="C604" s="275">
        <v>0</v>
      </c>
      <c r="D604" s="277">
        <v>2.9695801603933935E-2</v>
      </c>
      <c r="E604" s="277">
        <v>3.6401305191919017E-2</v>
      </c>
      <c r="F604" s="277">
        <v>3.2569588855927541E-2</v>
      </c>
      <c r="G604" s="277">
        <v>3.2090624313928597E-2</v>
      </c>
      <c r="H604" s="277">
        <v>4.5980596031897705E-2</v>
      </c>
      <c r="I604" s="277">
        <v>5.0770241451887042E-2</v>
      </c>
      <c r="J604" s="277">
        <v>4.5022666947899845E-2</v>
      </c>
      <c r="K604" s="277">
        <v>7.3281574925836979E-2</v>
      </c>
      <c r="L604" s="277">
        <v>7.3760539467835895E-2</v>
      </c>
      <c r="M604" s="277">
        <v>7.0407787673843369E-2</v>
      </c>
      <c r="N604" s="277">
        <v>5.8912638665868933E-2</v>
      </c>
      <c r="O604" s="277">
        <v>7.6634326719829504E-2</v>
      </c>
      <c r="P604" s="277">
        <v>5.7475745039872135E-2</v>
      </c>
      <c r="Q604" s="277">
        <v>7.2802610383838035E-2</v>
      </c>
      <c r="R604" s="277">
        <v>6.5139177711855081E-2</v>
      </c>
      <c r="S604" s="277">
        <v>4.9812312367889182E-2</v>
      </c>
      <c r="T604" s="277">
        <v>5.0770241451887049E-2</v>
      </c>
      <c r="U604" s="277">
        <v>6.3702284085858291E-2</v>
      </c>
      <c r="V604" s="277">
        <v>8.2381901223816736E-2</v>
      </c>
    </row>
    <row r="605" spans="1:22" x14ac:dyDescent="0.2">
      <c r="A605" s="269" t="s">
        <v>93</v>
      </c>
      <c r="B605" s="270"/>
      <c r="C605" s="273"/>
      <c r="D605" s="274"/>
      <c r="E605" s="274"/>
      <c r="F605" s="274"/>
      <c r="G605" s="274"/>
      <c r="H605" s="274"/>
      <c r="I605" s="274"/>
      <c r="J605" s="274"/>
      <c r="K605" s="274"/>
      <c r="L605" s="274"/>
      <c r="M605" s="274"/>
      <c r="N605" s="274"/>
      <c r="O605" s="274"/>
      <c r="P605" s="274"/>
      <c r="Q605" s="274"/>
      <c r="R605" s="274"/>
      <c r="S605" s="274"/>
      <c r="T605" s="274"/>
      <c r="U605" s="274"/>
      <c r="V605" s="274"/>
    </row>
    <row r="606" spans="1:22" x14ac:dyDescent="0.2">
      <c r="A606" s="267"/>
      <c r="B606" s="270" t="s">
        <v>27</v>
      </c>
      <c r="C606" s="278">
        <v>0</v>
      </c>
      <c r="D606" s="279">
        <v>295.12219942453686</v>
      </c>
      <c r="E606" s="279">
        <v>192.29613066491285</v>
      </c>
      <c r="F606" s="279">
        <v>178.96158269912351</v>
      </c>
      <c r="G606" s="279">
        <v>161.58009237381216</v>
      </c>
      <c r="H606" s="279">
        <v>132.0585002432511</v>
      </c>
      <c r="I606" s="279">
        <v>112.45112349573397</v>
      </c>
      <c r="J606" s="279">
        <v>124.11871364481526</v>
      </c>
      <c r="K606" s="279">
        <v>114.30158128667259</v>
      </c>
      <c r="L606" s="279">
        <v>116.14739833591156</v>
      </c>
      <c r="M606" s="279">
        <v>128.3401594444293</v>
      </c>
      <c r="N606" s="279">
        <v>120.20051787728447</v>
      </c>
      <c r="O606" s="279">
        <v>117.38873499534797</v>
      </c>
      <c r="P606" s="279">
        <v>134.20009555737499</v>
      </c>
      <c r="Q606" s="279">
        <v>133.98138581136334</v>
      </c>
      <c r="R606" s="279">
        <v>135.21491702964528</v>
      </c>
      <c r="S606" s="279">
        <v>139.03629554081832</v>
      </c>
      <c r="T606" s="279">
        <v>149.5638400683205</v>
      </c>
      <c r="U606" s="279">
        <v>152.97016863950813</v>
      </c>
      <c r="V606" s="279">
        <v>131.37442236061125</v>
      </c>
    </row>
    <row r="607" spans="1:22" x14ac:dyDescent="0.2">
      <c r="A607" s="267"/>
      <c r="B607" s="270" t="s">
        <v>20</v>
      </c>
      <c r="C607" s="278">
        <v>0</v>
      </c>
      <c r="D607" s="279">
        <v>69.154605630212416</v>
      </c>
      <c r="E607" s="279">
        <v>62.26948339115588</v>
      </c>
      <c r="F607" s="279">
        <v>60.806868303357234</v>
      </c>
      <c r="G607" s="279">
        <v>62.620763859352323</v>
      </c>
      <c r="H607" s="279">
        <v>63.462335030451797</v>
      </c>
      <c r="I607" s="279">
        <v>62.523377331542747</v>
      </c>
      <c r="J607" s="279">
        <v>62.572408711601753</v>
      </c>
      <c r="K607" s="279">
        <v>58.324256418593563</v>
      </c>
      <c r="L607" s="279">
        <v>59.474917935214208</v>
      </c>
      <c r="M607" s="279">
        <v>62.334688604949683</v>
      </c>
      <c r="N607" s="279">
        <v>62.949756730164047</v>
      </c>
      <c r="O607" s="279">
        <v>63.165885652046732</v>
      </c>
      <c r="P607" s="279">
        <v>65.904935959093137</v>
      </c>
      <c r="Q607" s="279">
        <v>66.591171411077667</v>
      </c>
      <c r="R607" s="279">
        <v>72.394364065020241</v>
      </c>
      <c r="S607" s="279">
        <v>75.458772616910821</v>
      </c>
      <c r="T607" s="279">
        <v>77.610640757919569</v>
      </c>
      <c r="U607" s="279">
        <v>82.892709011799425</v>
      </c>
      <c r="V607" s="279">
        <v>84.88578289347663</v>
      </c>
    </row>
    <row r="608" spans="1:22" x14ac:dyDescent="0.2">
      <c r="A608" s="267"/>
      <c r="B608" s="270" t="s">
        <v>92</v>
      </c>
      <c r="C608" s="278">
        <v>0</v>
      </c>
      <c r="D608" s="279">
        <v>2.2334073931917424</v>
      </c>
      <c r="E608" s="279">
        <v>2.271771395441184</v>
      </c>
      <c r="F608" s="279">
        <v>2.3205944257882272</v>
      </c>
      <c r="G608" s="279">
        <v>2.3622851598898231</v>
      </c>
      <c r="H608" s="279">
        <v>2.4152479908390108</v>
      </c>
      <c r="I608" s="279">
        <v>2.4614863346486771</v>
      </c>
      <c r="J608" s="279">
        <v>2.511757048316571</v>
      </c>
      <c r="K608" s="279">
        <v>2.5585467558783153</v>
      </c>
      <c r="L608" s="279">
        <v>2.6113191340269397</v>
      </c>
      <c r="M608" s="279">
        <v>2.6637470723568581</v>
      </c>
      <c r="N608" s="279">
        <v>2.7163576348155063</v>
      </c>
      <c r="O608" s="279">
        <v>2.7715687862784413</v>
      </c>
      <c r="P608" s="279">
        <v>2.8300220997050651</v>
      </c>
      <c r="Q608" s="279">
        <v>2.8847052013988042</v>
      </c>
      <c r="R608" s="279">
        <v>2.9441262330086708</v>
      </c>
      <c r="S608" s="279">
        <v>3.0072573189987355</v>
      </c>
      <c r="T608" s="279">
        <v>3.0617291074864146</v>
      </c>
      <c r="U608" s="279">
        <v>3.1272786057215596</v>
      </c>
      <c r="V608" s="279">
        <v>3.1876892261730743</v>
      </c>
    </row>
    <row r="609" spans="1:22" x14ac:dyDescent="0.2">
      <c r="A609" s="267"/>
      <c r="B609" s="270" t="s">
        <v>22</v>
      </c>
      <c r="C609" s="278">
        <v>0</v>
      </c>
      <c r="D609" s="279">
        <v>0</v>
      </c>
      <c r="E609" s="279">
        <v>0</v>
      </c>
      <c r="F609" s="279">
        <v>0</v>
      </c>
      <c r="G609" s="279">
        <v>0</v>
      </c>
      <c r="H609" s="279">
        <v>0</v>
      </c>
      <c r="I609" s="279">
        <v>0.86759749691871413</v>
      </c>
      <c r="J609" s="279">
        <v>0.9616625182144275</v>
      </c>
      <c r="K609" s="279">
        <v>1.1022490741983371</v>
      </c>
      <c r="L609" s="279">
        <v>1.1655106507142592</v>
      </c>
      <c r="M609" s="279">
        <v>1.2962270414238328</v>
      </c>
      <c r="N609" s="279">
        <v>1.4278921116922669</v>
      </c>
      <c r="O609" s="279">
        <v>1.5820616502550038</v>
      </c>
      <c r="P609" s="279">
        <v>1.7739072866432217</v>
      </c>
      <c r="Q609" s="279">
        <v>1.9746356229766562</v>
      </c>
      <c r="R609" s="279">
        <v>2.1872930539695372</v>
      </c>
      <c r="S609" s="279">
        <v>2.401645083411788</v>
      </c>
      <c r="T609" s="279">
        <v>2.3594992086101771</v>
      </c>
      <c r="U609" s="279">
        <v>2.0186791924179746</v>
      </c>
      <c r="V609" s="279">
        <v>2.0929978832165563</v>
      </c>
    </row>
    <row r="610" spans="1:22" x14ac:dyDescent="0.2">
      <c r="A610" s="267"/>
      <c r="B610" s="270" t="s">
        <v>23</v>
      </c>
      <c r="C610" s="278">
        <v>0</v>
      </c>
      <c r="D610" s="279">
        <v>0</v>
      </c>
      <c r="E610" s="279">
        <v>0</v>
      </c>
      <c r="F610" s="279">
        <v>0</v>
      </c>
      <c r="G610" s="279">
        <v>0</v>
      </c>
      <c r="H610" s="279">
        <v>0</v>
      </c>
      <c r="I610" s="279">
        <v>0.86759749691871413</v>
      </c>
      <c r="J610" s="279">
        <v>0.9616625182144275</v>
      </c>
      <c r="K610" s="279">
        <v>1.1022490741983371</v>
      </c>
      <c r="L610" s="279">
        <v>1.1655106507142592</v>
      </c>
      <c r="M610" s="279">
        <v>1.2962270414238328</v>
      </c>
      <c r="N610" s="279">
        <v>1.4278921116922669</v>
      </c>
      <c r="O610" s="279">
        <v>1.5820616502550038</v>
      </c>
      <c r="P610" s="279">
        <v>1.7739072866432217</v>
      </c>
      <c r="Q610" s="279">
        <v>1.9746356229766562</v>
      </c>
      <c r="R610" s="279">
        <v>2.1872930539695372</v>
      </c>
      <c r="S610" s="279">
        <v>2.401645083411788</v>
      </c>
      <c r="T610" s="279">
        <v>2.3594992086101771</v>
      </c>
      <c r="U610" s="279">
        <v>2.0186791924179746</v>
      </c>
      <c r="V610" s="279">
        <v>2.0929978832165563</v>
      </c>
    </row>
    <row r="611" spans="1:22" x14ac:dyDescent="0.2">
      <c r="A611" s="269" t="s">
        <v>94</v>
      </c>
      <c r="B611" s="270"/>
      <c r="C611" s="273"/>
      <c r="D611" s="274"/>
      <c r="E611" s="274"/>
      <c r="F611" s="274"/>
      <c r="G611" s="274"/>
      <c r="H611" s="274"/>
      <c r="I611" s="274"/>
      <c r="J611" s="274"/>
      <c r="K611" s="274"/>
      <c r="L611" s="274"/>
      <c r="M611" s="274"/>
      <c r="N611" s="274"/>
      <c r="O611" s="274"/>
      <c r="P611" s="274"/>
      <c r="Q611" s="274"/>
      <c r="R611" s="274"/>
      <c r="S611" s="274"/>
      <c r="T611" s="274"/>
      <c r="U611" s="274"/>
      <c r="V611" s="274"/>
    </row>
    <row r="612" spans="1:22" x14ac:dyDescent="0.2">
      <c r="A612" s="267"/>
      <c r="B612" s="270" t="s">
        <v>34</v>
      </c>
      <c r="C612" s="278">
        <v>0</v>
      </c>
      <c r="D612" s="279">
        <v>1.787530920037963</v>
      </c>
      <c r="E612" s="279">
        <v>1.8232815384387222</v>
      </c>
      <c r="F612" s="279">
        <v>1.8597471692074967</v>
      </c>
      <c r="G612" s="279">
        <v>1.8969421125916468</v>
      </c>
      <c r="H612" s="279">
        <v>1.9348809548434798</v>
      </c>
      <c r="I612" s="279">
        <v>1.9735785739403493</v>
      </c>
      <c r="J612" s="279">
        <v>2.0130501454191565</v>
      </c>
      <c r="K612" s="279">
        <v>2.0533111483275395</v>
      </c>
      <c r="L612" s="279">
        <v>2.0943773712940903</v>
      </c>
      <c r="M612" s="279">
        <v>2.1362649187199723</v>
      </c>
      <c r="N612" s="279">
        <v>2.1789902170943716</v>
      </c>
      <c r="O612" s="279">
        <v>2.2225700214362591</v>
      </c>
      <c r="P612" s="279">
        <v>2.2670214218649845</v>
      </c>
      <c r="Q612" s="279">
        <v>2.3123618503022842</v>
      </c>
      <c r="R612" s="279">
        <v>2.3586090873083299</v>
      </c>
      <c r="S612" s="279">
        <v>2.4057812690544966</v>
      </c>
      <c r="T612" s="279">
        <v>2.4538968944355863</v>
      </c>
      <c r="U612" s="279">
        <v>2.5029748323242984</v>
      </c>
      <c r="V612" s="279">
        <v>2.5530343289707842</v>
      </c>
    </row>
    <row r="613" spans="1:22" x14ac:dyDescent="0.2">
      <c r="A613" s="267"/>
      <c r="B613" s="270" t="s">
        <v>95</v>
      </c>
      <c r="C613" s="278">
        <v>0</v>
      </c>
      <c r="D613" s="279">
        <v>0.88162831570278188</v>
      </c>
      <c r="E613" s="279">
        <v>0.88162831570278188</v>
      </c>
      <c r="F613" s="279">
        <v>0.88162831570278188</v>
      </c>
      <c r="G613" s="279">
        <v>0.88162831570278188</v>
      </c>
      <c r="H613" s="279">
        <v>0.88162831570278188</v>
      </c>
      <c r="I613" s="279">
        <v>0.88162831570278188</v>
      </c>
      <c r="J613" s="279">
        <v>0.88162831570278188</v>
      </c>
      <c r="K613" s="279">
        <v>0.88162831570278188</v>
      </c>
      <c r="L613" s="279">
        <v>0.88162831570278188</v>
      </c>
      <c r="M613" s="279">
        <v>0.88162831570278188</v>
      </c>
      <c r="N613" s="279">
        <v>0.88162831570278188</v>
      </c>
      <c r="O613" s="279">
        <v>0.88162831570278188</v>
      </c>
      <c r="P613" s="279">
        <v>0.88162831570278188</v>
      </c>
      <c r="Q613" s="279">
        <v>0.88162831570278188</v>
      </c>
      <c r="R613" s="279">
        <v>0.88162831570278188</v>
      </c>
      <c r="S613" s="279">
        <v>0.88162831570278188</v>
      </c>
      <c r="T613" s="279">
        <v>0.88162831570278188</v>
      </c>
      <c r="U613" s="279">
        <v>0.88162831570278188</v>
      </c>
      <c r="V613" s="279">
        <v>0.88162831570278188</v>
      </c>
    </row>
    <row r="614" spans="1:22" x14ac:dyDescent="0.2">
      <c r="A614" s="267"/>
      <c r="B614" s="270" t="s">
        <v>36</v>
      </c>
      <c r="C614" s="278">
        <v>0</v>
      </c>
      <c r="D614" s="279">
        <v>8.093046139000272E-2</v>
      </c>
      <c r="E614" s="279">
        <v>8.2638094125332157E-2</v>
      </c>
      <c r="F614" s="279">
        <v>8.4447868386677005E-2</v>
      </c>
      <c r="G614" s="279">
        <v>8.635639021221532E-2</v>
      </c>
      <c r="H614" s="279">
        <v>8.8411672299266178E-2</v>
      </c>
      <c r="I614" s="279">
        <v>9.0627277695270084E-2</v>
      </c>
      <c r="J614" s="279">
        <v>9.2875086658076519E-2</v>
      </c>
      <c r="K614" s="279">
        <v>9.5225947034650857E-2</v>
      </c>
      <c r="L614" s="279">
        <v>9.7578027926406824E-2</v>
      </c>
      <c r="M614" s="279">
        <v>0.10006626763853002</v>
      </c>
      <c r="N614" s="279">
        <v>0.10248787131538292</v>
      </c>
      <c r="O614" s="279">
        <v>0.1050705656725302</v>
      </c>
      <c r="P614" s="279">
        <v>0.1077393580406122</v>
      </c>
      <c r="Q614" s="279">
        <v>0.11043284199162752</v>
      </c>
      <c r="R614" s="279">
        <v>0.11320470632561737</v>
      </c>
      <c r="S614" s="279">
        <v>0.11603482398375792</v>
      </c>
      <c r="T614" s="279">
        <v>0.118912487618555</v>
      </c>
      <c r="U614" s="279">
        <v>0.12189719105778096</v>
      </c>
      <c r="V614" s="279">
        <v>0.12495681055333119</v>
      </c>
    </row>
    <row r="615" spans="1:22" x14ac:dyDescent="0.2">
      <c r="A615" s="267"/>
      <c r="B615" s="270" t="s">
        <v>39</v>
      </c>
      <c r="C615" s="278">
        <v>0</v>
      </c>
      <c r="D615" s="279">
        <v>2.7790727183992191E-2</v>
      </c>
      <c r="E615" s="279">
        <v>2.8912054660810153E-2</v>
      </c>
      <c r="F615" s="279">
        <v>3.0079648609077598E-2</v>
      </c>
      <c r="G615" s="279">
        <v>3.1416886285993165E-2</v>
      </c>
      <c r="H615" s="279">
        <v>1.9521717911176184</v>
      </c>
      <c r="I615" s="279">
        <v>2.0107369448511467</v>
      </c>
      <c r="J615" s="279">
        <v>2.0710590531966813</v>
      </c>
      <c r="K615" s="279">
        <v>2.1331908247925817</v>
      </c>
      <c r="L615" s="279">
        <v>2.1971865495363589</v>
      </c>
      <c r="M615" s="279">
        <v>2.2631021460224496</v>
      </c>
      <c r="N615" s="279">
        <v>2.3309952104031235</v>
      </c>
      <c r="O615" s="279">
        <v>2.4009250667152173</v>
      </c>
      <c r="P615" s="279">
        <v>2.4729528187166738</v>
      </c>
      <c r="Q615" s="279">
        <v>2.5471414032781738</v>
      </c>
      <c r="R615" s="279">
        <v>2.6235556453765194</v>
      </c>
      <c r="S615" s="279">
        <v>2.7022623147378151</v>
      </c>
      <c r="T615" s="279">
        <v>2.7833301841799498</v>
      </c>
      <c r="U615" s="279">
        <v>2.8668300897053483</v>
      </c>
      <c r="V615" s="279">
        <v>2.9528349923965087</v>
      </c>
    </row>
    <row r="616" spans="1:22" x14ac:dyDescent="0.2">
      <c r="A616" s="267"/>
      <c r="B616" s="270" t="s">
        <v>96</v>
      </c>
      <c r="C616" s="280">
        <v>0</v>
      </c>
      <c r="D616" s="281">
        <v>0</v>
      </c>
      <c r="E616" s="281">
        <v>0</v>
      </c>
      <c r="F616" s="281">
        <v>0</v>
      </c>
      <c r="G616" s="281">
        <v>0</v>
      </c>
      <c r="H616" s="281">
        <v>0</v>
      </c>
      <c r="I616" s="281">
        <v>0</v>
      </c>
      <c r="J616" s="281">
        <v>0</v>
      </c>
      <c r="K616" s="281">
        <v>0</v>
      </c>
      <c r="L616" s="281">
        <v>0</v>
      </c>
      <c r="M616" s="281">
        <v>0</v>
      </c>
      <c r="N616" s="281">
        <v>0</v>
      </c>
      <c r="O616" s="281">
        <v>0</v>
      </c>
      <c r="P616" s="281">
        <v>0</v>
      </c>
      <c r="Q616" s="281">
        <v>0</v>
      </c>
      <c r="R616" s="281">
        <v>0</v>
      </c>
      <c r="S616" s="281">
        <v>0</v>
      </c>
      <c r="T616" s="281">
        <v>0</v>
      </c>
      <c r="U616" s="281">
        <v>0</v>
      </c>
      <c r="V616" s="281">
        <v>0</v>
      </c>
    </row>
    <row r="617" spans="1:22" x14ac:dyDescent="0.2">
      <c r="A617" s="267"/>
      <c r="B617" s="270"/>
      <c r="C617" s="267"/>
      <c r="D617" s="267"/>
      <c r="E617" s="267"/>
      <c r="F617" s="267"/>
      <c r="G617" s="267"/>
      <c r="H617" s="267"/>
      <c r="I617" s="267"/>
      <c r="J617" s="267"/>
      <c r="K617" s="267"/>
      <c r="L617" s="267"/>
      <c r="M617" s="267"/>
      <c r="N617" s="267"/>
      <c r="O617" s="267"/>
      <c r="P617" s="267"/>
      <c r="Q617" s="267"/>
      <c r="R617" s="267"/>
      <c r="S617" s="267"/>
      <c r="T617" s="267"/>
      <c r="U617" s="267"/>
      <c r="V617" s="267"/>
    </row>
    <row r="618" spans="1:22" x14ac:dyDescent="0.2">
      <c r="A618" s="267"/>
      <c r="B618" s="270"/>
      <c r="C618" s="267"/>
      <c r="D618" s="267"/>
      <c r="E618" s="267"/>
      <c r="F618" s="267"/>
      <c r="G618" s="267"/>
      <c r="H618" s="267"/>
      <c r="I618" s="267"/>
      <c r="J618" s="267"/>
      <c r="K618" s="267"/>
      <c r="L618" s="267"/>
      <c r="M618" s="267"/>
      <c r="N618" s="267"/>
      <c r="O618" s="267"/>
      <c r="P618" s="267"/>
      <c r="Q618" s="267"/>
      <c r="R618" s="267"/>
      <c r="S618" s="267"/>
      <c r="T618" s="267"/>
      <c r="U618" s="267"/>
      <c r="V618" s="267"/>
    </row>
    <row r="619" spans="1:22" x14ac:dyDescent="0.2">
      <c r="A619" s="24"/>
      <c r="B619" s="295"/>
      <c r="C619" s="299"/>
      <c r="D619" s="299"/>
      <c r="E619" s="299"/>
      <c r="F619" s="299"/>
      <c r="G619" s="299"/>
      <c r="H619" s="299"/>
      <c r="I619" s="299"/>
      <c r="J619" s="299"/>
      <c r="K619" s="299"/>
      <c r="L619" s="299"/>
      <c r="M619" s="299"/>
      <c r="N619" s="299"/>
      <c r="O619" s="299"/>
      <c r="P619" s="299"/>
      <c r="Q619" s="299"/>
      <c r="R619" s="299"/>
      <c r="S619" s="299"/>
      <c r="T619" s="299"/>
      <c r="U619" s="299"/>
      <c r="V619" s="299"/>
    </row>
    <row r="620" spans="1:22" x14ac:dyDescent="0.2">
      <c r="A620" s="24"/>
      <c r="B620" s="295"/>
      <c r="C620" s="299"/>
      <c r="D620" s="299"/>
      <c r="E620" s="299"/>
      <c r="F620" s="299"/>
      <c r="G620" s="299"/>
      <c r="H620" s="299"/>
      <c r="I620" s="299"/>
      <c r="J620" s="299"/>
      <c r="K620" s="299"/>
      <c r="L620" s="299"/>
      <c r="M620" s="299"/>
      <c r="N620" s="299"/>
      <c r="O620" s="299"/>
      <c r="P620" s="299"/>
      <c r="Q620" s="299"/>
      <c r="R620" s="299"/>
      <c r="S620" s="299"/>
      <c r="T620" s="299"/>
      <c r="U620" s="299"/>
      <c r="V620" s="299"/>
    </row>
    <row r="621" spans="1:22" x14ac:dyDescent="0.2">
      <c r="A621" s="265" t="s">
        <v>98</v>
      </c>
      <c r="B621" s="266"/>
      <c r="C621" s="267"/>
      <c r="D621" s="267"/>
      <c r="E621" s="267"/>
      <c r="F621" s="267"/>
      <c r="G621" s="267"/>
      <c r="H621" s="267"/>
      <c r="I621" s="267"/>
      <c r="J621" s="267"/>
      <c r="K621" s="267"/>
      <c r="L621" s="267"/>
      <c r="M621" s="267"/>
      <c r="N621" s="267"/>
      <c r="O621" s="267"/>
      <c r="P621" s="267"/>
      <c r="Q621" s="267"/>
      <c r="R621" s="267"/>
      <c r="S621" s="267"/>
      <c r="T621" s="267"/>
      <c r="U621" s="267"/>
      <c r="V621" s="267"/>
    </row>
    <row r="622" spans="1:22" x14ac:dyDescent="0.2">
      <c r="A622" s="268" t="s">
        <v>80</v>
      </c>
      <c r="B622" s="266"/>
      <c r="C622" s="267"/>
      <c r="D622" s="267"/>
      <c r="E622" s="267"/>
      <c r="F622" s="267"/>
      <c r="G622" s="267"/>
      <c r="H622" s="267"/>
      <c r="I622" s="267"/>
      <c r="J622" s="267"/>
      <c r="K622" s="267"/>
      <c r="L622" s="267"/>
      <c r="M622" s="267"/>
      <c r="N622" s="267"/>
      <c r="O622" s="267"/>
      <c r="P622" s="267"/>
      <c r="Q622" s="267"/>
      <c r="R622" s="267"/>
      <c r="S622" s="267"/>
      <c r="T622" s="267"/>
      <c r="U622" s="267"/>
      <c r="V622" s="267"/>
    </row>
    <row r="623" spans="1:22" x14ac:dyDescent="0.2">
      <c r="A623" s="267"/>
      <c r="B623" s="266"/>
      <c r="C623" s="267"/>
      <c r="D623" s="267"/>
      <c r="E623" s="267"/>
      <c r="F623" s="267"/>
      <c r="G623" s="267"/>
      <c r="H623" s="267"/>
      <c r="I623" s="267"/>
      <c r="J623" s="267"/>
      <c r="K623" s="267"/>
      <c r="L623" s="267"/>
      <c r="M623" s="267"/>
      <c r="N623" s="267"/>
      <c r="O623" s="267"/>
      <c r="P623" s="267"/>
      <c r="Q623" s="267"/>
      <c r="R623" s="267"/>
      <c r="S623" s="267"/>
      <c r="T623" s="267"/>
      <c r="U623" s="267"/>
      <c r="V623" s="267"/>
    </row>
    <row r="624" spans="1:22" x14ac:dyDescent="0.2">
      <c r="A624" s="267"/>
      <c r="B624" s="266"/>
      <c r="C624" s="271">
        <v>2000</v>
      </c>
      <c r="D624" s="272">
        <v>2001</v>
      </c>
      <c r="E624" s="272">
        <v>2002</v>
      </c>
      <c r="F624" s="272">
        <v>2003</v>
      </c>
      <c r="G624" s="272">
        <v>2004</v>
      </c>
      <c r="H624" s="272">
        <v>2005</v>
      </c>
      <c r="I624" s="272">
        <v>2006</v>
      </c>
      <c r="J624" s="272">
        <v>2007</v>
      </c>
      <c r="K624" s="272">
        <v>2008</v>
      </c>
      <c r="L624" s="272">
        <v>2009</v>
      </c>
      <c r="M624" s="272">
        <v>2010</v>
      </c>
      <c r="N624" s="272">
        <v>2011</v>
      </c>
      <c r="O624" s="272">
        <v>2012</v>
      </c>
      <c r="P624" s="272">
        <v>2013</v>
      </c>
      <c r="Q624" s="272">
        <v>2014</v>
      </c>
      <c r="R624" s="272">
        <v>2015</v>
      </c>
      <c r="S624" s="272">
        <v>2016</v>
      </c>
      <c r="T624" s="272">
        <v>2017</v>
      </c>
      <c r="U624" s="272">
        <v>2018</v>
      </c>
      <c r="V624" s="272">
        <v>2019</v>
      </c>
    </row>
    <row r="625" spans="1:22" x14ac:dyDescent="0.2">
      <c r="A625" s="269" t="s">
        <v>129</v>
      </c>
      <c r="B625" s="266"/>
      <c r="C625" s="273"/>
      <c r="D625" s="274"/>
      <c r="E625" s="274"/>
      <c r="F625" s="274"/>
      <c r="G625" s="274"/>
      <c r="H625" s="274"/>
      <c r="I625" s="274"/>
      <c r="J625" s="274"/>
      <c r="K625" s="274"/>
      <c r="L625" s="274"/>
      <c r="M625" s="274"/>
      <c r="N625" s="274"/>
      <c r="O625" s="274"/>
      <c r="P625" s="274"/>
      <c r="Q625" s="274"/>
      <c r="R625" s="274"/>
      <c r="S625" s="274"/>
      <c r="T625" s="274"/>
      <c r="U625" s="274"/>
      <c r="V625" s="274"/>
    </row>
    <row r="626" spans="1:22" x14ac:dyDescent="0.2">
      <c r="A626" s="267"/>
      <c r="B626" s="270" t="s">
        <v>97</v>
      </c>
      <c r="C626" s="275">
        <v>0</v>
      </c>
      <c r="D626" s="276">
        <v>34701.827010831963</v>
      </c>
      <c r="E626" s="276">
        <v>48582.55781516475</v>
      </c>
      <c r="F626" s="276">
        <v>54751.771505979326</v>
      </c>
      <c r="G626" s="276">
        <v>58221.954207062518</v>
      </c>
      <c r="H626" s="276">
        <v>60535.409341117978</v>
      </c>
      <c r="I626" s="276">
        <v>81742.081403293065</v>
      </c>
      <c r="J626" s="276">
        <v>97165.115630329499</v>
      </c>
      <c r="K626" s="276">
        <v>129553.48750710602</v>
      </c>
      <c r="L626" s="276">
        <v>132638.09435251329</v>
      </c>
      <c r="M626" s="276">
        <v>98707.419053033154</v>
      </c>
      <c r="N626" s="276">
        <v>109503.54301195867</v>
      </c>
      <c r="O626" s="276">
        <v>100249.72247573679</v>
      </c>
      <c r="P626" s="276">
        <v>89068.022661135372</v>
      </c>
      <c r="Q626" s="276">
        <v>97165.115630329499</v>
      </c>
      <c r="R626" s="276">
        <v>87911.295094107656</v>
      </c>
      <c r="S626" s="276">
        <v>94466.084640598128</v>
      </c>
      <c r="T626" s="276">
        <v>79428.626269237619</v>
      </c>
      <c r="U626" s="276">
        <v>81742.081403293079</v>
      </c>
      <c r="V626" s="276">
        <v>97550.691486005424</v>
      </c>
    </row>
    <row r="627" spans="1:22" x14ac:dyDescent="0.2">
      <c r="A627" s="267"/>
      <c r="B627" s="270" t="s">
        <v>91</v>
      </c>
      <c r="C627" s="275">
        <v>0</v>
      </c>
      <c r="D627" s="277">
        <v>4.7479963293807402E-2</v>
      </c>
      <c r="E627" s="277">
        <v>6.6471948611330364E-2</v>
      </c>
      <c r="F627" s="277">
        <v>7.4912830974673911E-2</v>
      </c>
      <c r="G627" s="277">
        <v>7.9660827304054632E-2</v>
      </c>
      <c r="H627" s="277">
        <v>8.282615819030846E-2</v>
      </c>
      <c r="I627" s="277">
        <v>0.11184169131430187</v>
      </c>
      <c r="J627" s="277">
        <v>0.13294389722266073</v>
      </c>
      <c r="K627" s="277">
        <v>0.17725852963021432</v>
      </c>
      <c r="L627" s="277">
        <v>0.1814789708118861</v>
      </c>
      <c r="M627" s="277">
        <v>0.13505411781349663</v>
      </c>
      <c r="N627" s="277">
        <v>0.14982566194934785</v>
      </c>
      <c r="O627" s="277">
        <v>0.13716433840433251</v>
      </c>
      <c r="P627" s="277">
        <v>0.12186523912077234</v>
      </c>
      <c r="Q627" s="277">
        <v>0.13294389722266073</v>
      </c>
      <c r="R627" s="277">
        <v>0.12028257367764543</v>
      </c>
      <c r="S627" s="277">
        <v>0.12925101118869795</v>
      </c>
      <c r="T627" s="277">
        <v>0.10867636042804807</v>
      </c>
      <c r="U627" s="277">
        <v>0.11184169131430188</v>
      </c>
      <c r="V627" s="277">
        <v>0.13347145237036973</v>
      </c>
    </row>
    <row r="628" spans="1:22" x14ac:dyDescent="0.2">
      <c r="A628" s="269" t="s">
        <v>93</v>
      </c>
      <c r="B628" s="270"/>
      <c r="C628" s="273"/>
      <c r="D628" s="274"/>
      <c r="E628" s="274"/>
      <c r="F628" s="274"/>
      <c r="G628" s="274"/>
      <c r="H628" s="274"/>
      <c r="I628" s="274"/>
      <c r="J628" s="274"/>
      <c r="K628" s="274"/>
      <c r="L628" s="274"/>
      <c r="M628" s="274"/>
      <c r="N628" s="274"/>
      <c r="O628" s="274"/>
      <c r="P628" s="274"/>
      <c r="Q628" s="274"/>
      <c r="R628" s="274"/>
      <c r="S628" s="274"/>
      <c r="T628" s="274"/>
      <c r="U628" s="274"/>
      <c r="V628" s="274"/>
    </row>
    <row r="629" spans="1:22" x14ac:dyDescent="0.2">
      <c r="A629" s="267"/>
      <c r="B629" s="270" t="s">
        <v>27</v>
      </c>
      <c r="C629" s="278">
        <v>0</v>
      </c>
      <c r="D629" s="279">
        <v>224.14955573080834</v>
      </c>
      <c r="E629" s="279">
        <v>140.83767637936148</v>
      </c>
      <c r="F629" s="279">
        <v>121.08635994508307</v>
      </c>
      <c r="G629" s="279">
        <v>108.5262420712357</v>
      </c>
      <c r="H629" s="279">
        <v>106.57010121650639</v>
      </c>
      <c r="I629" s="279">
        <v>91.206189748264421</v>
      </c>
      <c r="J629" s="279">
        <v>91.945984878961468</v>
      </c>
      <c r="K629" s="279">
        <v>87.297763274588931</v>
      </c>
      <c r="L629" s="279">
        <v>90.38083672551528</v>
      </c>
      <c r="M629" s="279">
        <v>104.65010227117013</v>
      </c>
      <c r="N629" s="279">
        <v>92.572561091638761</v>
      </c>
      <c r="O629" s="279">
        <v>101.1613275128922</v>
      </c>
      <c r="P629" s="279">
        <v>105.23890335637248</v>
      </c>
      <c r="Q629" s="279">
        <v>111.45249669401376</v>
      </c>
      <c r="R629" s="279">
        <v>115.35115363867615</v>
      </c>
      <c r="S629" s="279">
        <v>108.04141207766408</v>
      </c>
      <c r="T629" s="279">
        <v>118.79143790989349</v>
      </c>
      <c r="U629" s="279">
        <v>130.45852799709593</v>
      </c>
      <c r="V629" s="279">
        <v>118.24998428141527</v>
      </c>
    </row>
    <row r="630" spans="1:22" x14ac:dyDescent="0.2">
      <c r="A630" s="267"/>
      <c r="B630" s="270" t="s">
        <v>20</v>
      </c>
      <c r="C630" s="278">
        <v>0</v>
      </c>
      <c r="D630" s="279">
        <v>65.684377893898358</v>
      </c>
      <c r="E630" s="279">
        <v>57.899988190766742</v>
      </c>
      <c r="F630" s="279">
        <v>55.866138600080333</v>
      </c>
      <c r="G630" s="279">
        <v>56.881151409624138</v>
      </c>
      <c r="H630" s="279">
        <v>58.148935619722991</v>
      </c>
      <c r="I630" s="279">
        <v>57.132932268659204</v>
      </c>
      <c r="J630" s="279">
        <v>59.700711989393014</v>
      </c>
      <c r="K630" s="279">
        <v>55.447556928172602</v>
      </c>
      <c r="L630" s="279">
        <v>57.920732955499325</v>
      </c>
      <c r="M630" s="279">
        <v>60.792877046111947</v>
      </c>
      <c r="N630" s="279">
        <v>60.485543945375674</v>
      </c>
      <c r="O630" s="279">
        <v>61.281149218529499</v>
      </c>
      <c r="P630" s="279">
        <v>63.118843897539222</v>
      </c>
      <c r="Q630" s="279">
        <v>64.715732591561945</v>
      </c>
      <c r="R630" s="279">
        <v>70.033011235496289</v>
      </c>
      <c r="S630" s="279">
        <v>72.790715473682866</v>
      </c>
      <c r="T630" s="279">
        <v>73.972040008275627</v>
      </c>
      <c r="U630" s="279">
        <v>80.342882468536502</v>
      </c>
      <c r="V630" s="279">
        <v>79.935989823849198</v>
      </c>
    </row>
    <row r="631" spans="1:22" x14ac:dyDescent="0.2">
      <c r="A631" s="267"/>
      <c r="B631" s="270" t="s">
        <v>92</v>
      </c>
      <c r="C631" s="278">
        <v>0</v>
      </c>
      <c r="D631" s="279">
        <v>1.6433760715074071</v>
      </c>
      <c r="E631" s="279">
        <v>1.6710856058623107</v>
      </c>
      <c r="F631" s="279">
        <v>1.7099447969995702</v>
      </c>
      <c r="G631" s="279">
        <v>1.7409714784501222</v>
      </c>
      <c r="H631" s="279">
        <v>1.779396249631956</v>
      </c>
      <c r="I631" s="279">
        <v>1.8141448525642321</v>
      </c>
      <c r="J631" s="279">
        <v>1.8506476751768721</v>
      </c>
      <c r="K631" s="279">
        <v>1.8860831327885805</v>
      </c>
      <c r="L631" s="279">
        <v>1.9239754421828523</v>
      </c>
      <c r="M631" s="279">
        <v>1.9650442342923489</v>
      </c>
      <c r="N631" s="279">
        <v>2.0024341315633607</v>
      </c>
      <c r="O631" s="279">
        <v>2.0441684110093803</v>
      </c>
      <c r="P631" s="279">
        <v>2.0847565388024525</v>
      </c>
      <c r="Q631" s="279">
        <v>2.1256979128069147</v>
      </c>
      <c r="R631" s="279">
        <v>2.1712818841472332</v>
      </c>
      <c r="S631" s="279">
        <v>2.2131601108887859</v>
      </c>
      <c r="T631" s="279">
        <v>2.255236940403945</v>
      </c>
      <c r="U631" s="279">
        <v>2.3049881715259017</v>
      </c>
      <c r="V631" s="279">
        <v>2.3509563531555151</v>
      </c>
    </row>
    <row r="632" spans="1:22" x14ac:dyDescent="0.2">
      <c r="A632" s="267"/>
      <c r="B632" s="270" t="s">
        <v>22</v>
      </c>
      <c r="C632" s="278">
        <v>0</v>
      </c>
      <c r="D632" s="279">
        <v>0</v>
      </c>
      <c r="E632" s="279">
        <v>0</v>
      </c>
      <c r="F632" s="279">
        <v>0</v>
      </c>
      <c r="G632" s="279">
        <v>0</v>
      </c>
      <c r="H632" s="279">
        <v>0</v>
      </c>
      <c r="I632" s="279">
        <v>-1.142838813538273</v>
      </c>
      <c r="J632" s="279">
        <v>-1.0656748112233358</v>
      </c>
      <c r="K632" s="279">
        <v>-0.88194590251466176</v>
      </c>
      <c r="L632" s="279">
        <v>-0.94615078969854804</v>
      </c>
      <c r="M632" s="279">
        <v>-1.4139812943571077</v>
      </c>
      <c r="N632" s="279">
        <v>-1.4040404068216288</v>
      </c>
      <c r="O632" s="279">
        <v>-1.6992317234021401</v>
      </c>
      <c r="P632" s="279">
        <v>-2.144477480328443</v>
      </c>
      <c r="Q632" s="279">
        <v>-2.1882099020119137</v>
      </c>
      <c r="R632" s="279">
        <v>-2.6790121237590512</v>
      </c>
      <c r="S632" s="279">
        <v>-2.7374443263445722</v>
      </c>
      <c r="T632" s="279">
        <v>-3.1985649052349485</v>
      </c>
      <c r="U632" s="279">
        <v>-2.6590958841753149</v>
      </c>
      <c r="V632" s="279">
        <v>-2.3102065993527932</v>
      </c>
    </row>
    <row r="633" spans="1:22" x14ac:dyDescent="0.2">
      <c r="A633" s="267"/>
      <c r="B633" s="270" t="s">
        <v>23</v>
      </c>
      <c r="C633" s="278">
        <v>0</v>
      </c>
      <c r="D633" s="279">
        <v>0</v>
      </c>
      <c r="E633" s="279">
        <v>0</v>
      </c>
      <c r="F633" s="279">
        <v>0</v>
      </c>
      <c r="G633" s="279">
        <v>0</v>
      </c>
      <c r="H633" s="279">
        <v>0</v>
      </c>
      <c r="I633" s="279">
        <v>0</v>
      </c>
      <c r="J633" s="279">
        <v>0</v>
      </c>
      <c r="K633" s="279">
        <v>0</v>
      </c>
      <c r="L633" s="279">
        <v>0</v>
      </c>
      <c r="M633" s="279">
        <v>0</v>
      </c>
      <c r="N633" s="279">
        <v>0</v>
      </c>
      <c r="O633" s="279">
        <v>0</v>
      </c>
      <c r="P633" s="279">
        <v>0</v>
      </c>
      <c r="Q633" s="279">
        <v>0</v>
      </c>
      <c r="R633" s="279">
        <v>0</v>
      </c>
      <c r="S633" s="279">
        <v>0</v>
      </c>
      <c r="T633" s="279">
        <v>0</v>
      </c>
      <c r="U633" s="279">
        <v>0</v>
      </c>
      <c r="V633" s="279">
        <v>0</v>
      </c>
    </row>
    <row r="634" spans="1:22" x14ac:dyDescent="0.2">
      <c r="A634" s="269" t="s">
        <v>94</v>
      </c>
      <c r="B634" s="270"/>
      <c r="C634" s="273"/>
      <c r="D634" s="274"/>
      <c r="E634" s="274"/>
      <c r="F634" s="274"/>
      <c r="G634" s="274"/>
      <c r="H634" s="274"/>
      <c r="I634" s="274"/>
      <c r="J634" s="274"/>
      <c r="K634" s="274"/>
      <c r="L634" s="274"/>
      <c r="M634" s="274"/>
      <c r="N634" s="274"/>
      <c r="O634" s="274"/>
      <c r="P634" s="274"/>
      <c r="Q634" s="274"/>
      <c r="R634" s="274"/>
      <c r="S634" s="274"/>
      <c r="T634" s="274"/>
      <c r="U634" s="274"/>
      <c r="V634" s="274"/>
    </row>
    <row r="635" spans="1:22" x14ac:dyDescent="0.2">
      <c r="A635" s="267"/>
      <c r="B635" s="270" t="s">
        <v>34</v>
      </c>
      <c r="C635" s="278">
        <v>0</v>
      </c>
      <c r="D635" s="279">
        <v>4.2613254080613263</v>
      </c>
      <c r="E635" s="279">
        <v>4.3465519162225528</v>
      </c>
      <c r="F635" s="279">
        <v>4.4334829545470038</v>
      </c>
      <c r="G635" s="279">
        <v>4.5221526136379433</v>
      </c>
      <c r="H635" s="279">
        <v>4.6125956659107024</v>
      </c>
      <c r="I635" s="279">
        <v>4.7048475792289164</v>
      </c>
      <c r="J635" s="279">
        <v>4.798944530813495</v>
      </c>
      <c r="K635" s="279">
        <v>4.8949234214297652</v>
      </c>
      <c r="L635" s="279">
        <v>4.9928218898583605</v>
      </c>
      <c r="M635" s="279">
        <v>5.0926783276555279</v>
      </c>
      <c r="N635" s="279">
        <v>5.1945318942086383</v>
      </c>
      <c r="O635" s="279">
        <v>5.2984225320928111</v>
      </c>
      <c r="P635" s="279">
        <v>5.4043909827346681</v>
      </c>
      <c r="Q635" s="279">
        <v>5.5124788023893609</v>
      </c>
      <c r="R635" s="279">
        <v>5.6227283784371487</v>
      </c>
      <c r="S635" s="279">
        <v>5.7351829460058914</v>
      </c>
      <c r="T635" s="279">
        <v>5.8498866049260094</v>
      </c>
      <c r="U635" s="279">
        <v>5.9668843370245295</v>
      </c>
      <c r="V635" s="279">
        <v>6.0862220237650195</v>
      </c>
    </row>
    <row r="636" spans="1:22" x14ac:dyDescent="0.2">
      <c r="A636" s="267"/>
      <c r="B636" s="270" t="s">
        <v>95</v>
      </c>
      <c r="C636" s="278">
        <v>0</v>
      </c>
      <c r="D636" s="279">
        <v>2.0568909100340993</v>
      </c>
      <c r="E636" s="279">
        <v>2.0568909100340993</v>
      </c>
      <c r="F636" s="279">
        <v>2.0568909100340993</v>
      </c>
      <c r="G636" s="279">
        <v>2.0568909100340993</v>
      </c>
      <c r="H636" s="279">
        <v>2.0568909100340993</v>
      </c>
      <c r="I636" s="279">
        <v>2.0568909100340993</v>
      </c>
      <c r="J636" s="279">
        <v>2.0568909100340993</v>
      </c>
      <c r="K636" s="279">
        <v>2.0568909100340993</v>
      </c>
      <c r="L636" s="279">
        <v>2.0568909100340993</v>
      </c>
      <c r="M636" s="279">
        <v>2.0568909100340993</v>
      </c>
      <c r="N636" s="279">
        <v>2.0568909100340993</v>
      </c>
      <c r="O636" s="279">
        <v>2.0568909100340993</v>
      </c>
      <c r="P636" s="279">
        <v>2.0568909100340993</v>
      </c>
      <c r="Q636" s="279">
        <v>2.0568909100340993</v>
      </c>
      <c r="R636" s="279">
        <v>2.0568909100340993</v>
      </c>
      <c r="S636" s="279">
        <v>2.0568909100340993</v>
      </c>
      <c r="T636" s="279">
        <v>2.0568909100340993</v>
      </c>
      <c r="U636" s="279">
        <v>2.0568909100340993</v>
      </c>
      <c r="V636" s="279">
        <v>2.0568909100340993</v>
      </c>
    </row>
    <row r="637" spans="1:22" x14ac:dyDescent="0.2">
      <c r="A637" s="267"/>
      <c r="B637" s="270" t="s">
        <v>36</v>
      </c>
      <c r="C637" s="278">
        <v>0</v>
      </c>
      <c r="D637" s="279">
        <v>0.41407105948314693</v>
      </c>
      <c r="E637" s="279">
        <v>0.42280795883824385</v>
      </c>
      <c r="F637" s="279">
        <v>0.432067453136802</v>
      </c>
      <c r="G637" s="279">
        <v>0.44183217757768989</v>
      </c>
      <c r="H637" s="279">
        <v>0.45234778340404036</v>
      </c>
      <c r="I637" s="279">
        <v>0.46368366433148034</v>
      </c>
      <c r="J637" s="279">
        <v>0.47518431097007663</v>
      </c>
      <c r="K637" s="279">
        <v>0.48721220788436947</v>
      </c>
      <c r="L637" s="279">
        <v>0.49924634941911356</v>
      </c>
      <c r="M637" s="279">
        <v>0.51197713132930012</v>
      </c>
      <c r="N637" s="279">
        <v>0.52436697790747067</v>
      </c>
      <c r="O637" s="279">
        <v>0.53758102575073774</v>
      </c>
      <c r="P637" s="279">
        <v>0.55123558380480508</v>
      </c>
      <c r="Q637" s="279">
        <v>0.56501647339992567</v>
      </c>
      <c r="R637" s="279">
        <v>0.57919838688226355</v>
      </c>
      <c r="S637" s="279">
        <v>0.5936783465543215</v>
      </c>
      <c r="T637" s="279">
        <v>0.60840156954886682</v>
      </c>
      <c r="U637" s="279">
        <v>0.62367244894454466</v>
      </c>
      <c r="V637" s="279">
        <v>0.63932662741305357</v>
      </c>
    </row>
    <row r="638" spans="1:22" x14ac:dyDescent="0.2">
      <c r="A638" s="267"/>
      <c r="B638" s="270" t="s">
        <v>39</v>
      </c>
      <c r="C638" s="278">
        <v>0</v>
      </c>
      <c r="D638" s="279">
        <v>0.17113636091234882</v>
      </c>
      <c r="E638" s="279">
        <v>0.17627737226277373</v>
      </c>
      <c r="F638" s="279">
        <v>4.63934138770031</v>
      </c>
      <c r="G638" s="279">
        <v>0.18770798125441973</v>
      </c>
      <c r="H638" s="279">
        <v>1.0707648292642</v>
      </c>
      <c r="I638" s="279">
        <v>1.1028877741421261</v>
      </c>
      <c r="J638" s="279">
        <v>1.1359744073663898</v>
      </c>
      <c r="K638" s="279">
        <v>1.1700536395873817</v>
      </c>
      <c r="L638" s="279">
        <v>1.205155248775003</v>
      </c>
      <c r="M638" s="279">
        <v>1.2413099062382533</v>
      </c>
      <c r="N638" s="279">
        <v>1.2785492034254009</v>
      </c>
      <c r="O638" s="279">
        <v>1.3169056795281631</v>
      </c>
      <c r="P638" s="279">
        <v>1.356412849914008</v>
      </c>
      <c r="Q638" s="279">
        <v>1.3971052354114282</v>
      </c>
      <c r="R638" s="279">
        <v>1.4390183924737709</v>
      </c>
      <c r="S638" s="279">
        <v>1.4821889442479841</v>
      </c>
      <c r="T638" s="279">
        <v>1.5266546125754237</v>
      </c>
      <c r="U638" s="279">
        <v>1.5724542509526864</v>
      </c>
      <c r="V638" s="279">
        <v>1.619627878481267</v>
      </c>
    </row>
    <row r="639" spans="1:22" x14ac:dyDescent="0.2">
      <c r="A639" s="267"/>
      <c r="B639" s="270" t="s">
        <v>96</v>
      </c>
      <c r="C639" s="280">
        <v>0</v>
      </c>
      <c r="D639" s="281">
        <v>0</v>
      </c>
      <c r="E639" s="281">
        <v>0</v>
      </c>
      <c r="F639" s="281">
        <v>0</v>
      </c>
      <c r="G639" s="281">
        <v>0</v>
      </c>
      <c r="H639" s="281">
        <v>0</v>
      </c>
      <c r="I639" s="281">
        <v>0</v>
      </c>
      <c r="J639" s="281">
        <v>0</v>
      </c>
      <c r="K639" s="281">
        <v>0</v>
      </c>
      <c r="L639" s="281">
        <v>0</v>
      </c>
      <c r="M639" s="281">
        <v>0</v>
      </c>
      <c r="N639" s="281">
        <v>0</v>
      </c>
      <c r="O639" s="281">
        <v>0</v>
      </c>
      <c r="P639" s="281">
        <v>0</v>
      </c>
      <c r="Q639" s="281">
        <v>0</v>
      </c>
      <c r="R639" s="281">
        <v>0</v>
      </c>
      <c r="S639" s="281">
        <v>0</v>
      </c>
      <c r="T639" s="281">
        <v>0</v>
      </c>
      <c r="U639" s="281">
        <v>0</v>
      </c>
      <c r="V639" s="281">
        <v>0</v>
      </c>
    </row>
    <row r="640" spans="1:22" x14ac:dyDescent="0.2">
      <c r="A640" s="267"/>
      <c r="B640" s="270"/>
      <c r="C640" s="267"/>
      <c r="D640" s="267"/>
      <c r="E640" s="267"/>
      <c r="F640" s="267"/>
      <c r="G640" s="267"/>
      <c r="H640" s="267"/>
      <c r="I640" s="267"/>
      <c r="J640" s="267"/>
      <c r="K640" s="267"/>
      <c r="L640" s="267"/>
      <c r="M640" s="267"/>
      <c r="N640" s="267"/>
      <c r="O640" s="267"/>
      <c r="P640" s="267"/>
      <c r="Q640" s="267"/>
      <c r="R640" s="267"/>
      <c r="S640" s="267"/>
      <c r="T640" s="267"/>
      <c r="U640" s="267"/>
      <c r="V640" s="267"/>
    </row>
    <row r="641" spans="1:22" x14ac:dyDescent="0.2">
      <c r="A641" s="267"/>
      <c r="B641" s="270"/>
      <c r="C641" s="267"/>
      <c r="D641" s="267"/>
      <c r="E641" s="267"/>
      <c r="F641" s="267"/>
      <c r="G641" s="267"/>
      <c r="H641" s="267"/>
      <c r="I641" s="267"/>
      <c r="J641" s="267"/>
      <c r="K641" s="267"/>
      <c r="L641" s="267"/>
      <c r="M641" s="267"/>
      <c r="N641" s="267"/>
      <c r="O641" s="267"/>
      <c r="P641" s="267"/>
      <c r="Q641" s="267"/>
      <c r="R641" s="267"/>
      <c r="S641" s="267"/>
      <c r="T641" s="267"/>
      <c r="U641" s="267"/>
      <c r="V641" s="267"/>
    </row>
    <row r="642" spans="1:22" x14ac:dyDescent="0.2">
      <c r="A642" s="298"/>
      <c r="B642" s="295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</row>
    <row r="643" spans="1:22" x14ac:dyDescent="0.2">
      <c r="A643" s="24"/>
      <c r="B643" s="295"/>
      <c r="C643" s="299"/>
      <c r="D643" s="299"/>
      <c r="E643" s="299"/>
      <c r="F643" s="299"/>
      <c r="G643" s="299"/>
      <c r="H643" s="299"/>
      <c r="I643" s="299"/>
      <c r="J643" s="299"/>
      <c r="K643" s="299"/>
      <c r="L643" s="299"/>
      <c r="M643" s="299"/>
      <c r="N643" s="299"/>
      <c r="O643" s="299"/>
      <c r="P643" s="299"/>
      <c r="Q643" s="299"/>
      <c r="R643" s="299"/>
      <c r="S643" s="299"/>
      <c r="T643" s="299"/>
      <c r="U643" s="299"/>
      <c r="V643" s="299"/>
    </row>
    <row r="644" spans="1:22" x14ac:dyDescent="0.2">
      <c r="A644" s="265" t="s">
        <v>98</v>
      </c>
      <c r="B644" s="266"/>
      <c r="C644" s="267"/>
      <c r="D644" s="267"/>
      <c r="E644" s="267"/>
      <c r="F644" s="267"/>
      <c r="G644" s="267"/>
      <c r="H644" s="267"/>
      <c r="I644" s="267"/>
      <c r="J644" s="267"/>
      <c r="K644" s="267"/>
      <c r="L644" s="267"/>
      <c r="M644" s="267"/>
      <c r="N644" s="267"/>
      <c r="O644" s="267"/>
      <c r="P644" s="267"/>
      <c r="Q644" s="267"/>
      <c r="R644" s="267"/>
      <c r="S644" s="267"/>
      <c r="T644" s="267"/>
      <c r="U644" s="267"/>
      <c r="V644" s="267"/>
    </row>
    <row r="645" spans="1:22" x14ac:dyDescent="0.2">
      <c r="A645" s="268" t="s">
        <v>81</v>
      </c>
      <c r="B645" s="266"/>
      <c r="C645" s="267"/>
      <c r="D645" s="267"/>
      <c r="E645" s="267"/>
      <c r="F645" s="267"/>
      <c r="G645" s="267"/>
      <c r="H645" s="267"/>
      <c r="I645" s="267"/>
      <c r="J645" s="267"/>
      <c r="K645" s="267"/>
      <c r="L645" s="267"/>
      <c r="M645" s="267"/>
      <c r="N645" s="267"/>
      <c r="O645" s="267"/>
      <c r="P645" s="267"/>
      <c r="Q645" s="267"/>
      <c r="R645" s="267"/>
      <c r="S645" s="267"/>
      <c r="T645" s="267"/>
      <c r="U645" s="267"/>
      <c r="V645" s="267"/>
    </row>
    <row r="646" spans="1:22" x14ac:dyDescent="0.2">
      <c r="A646" s="267"/>
      <c r="B646" s="266"/>
      <c r="C646" s="267"/>
      <c r="D646" s="267"/>
      <c r="E646" s="267"/>
      <c r="F646" s="267"/>
      <c r="G646" s="267"/>
      <c r="H646" s="267"/>
      <c r="I646" s="267"/>
      <c r="J646" s="267"/>
      <c r="K646" s="267"/>
      <c r="L646" s="267"/>
      <c r="M646" s="267"/>
      <c r="N646" s="267"/>
      <c r="O646" s="267"/>
      <c r="P646" s="267"/>
      <c r="Q646" s="267"/>
      <c r="R646" s="267"/>
      <c r="S646" s="267"/>
      <c r="T646" s="267"/>
      <c r="U646" s="267"/>
      <c r="V646" s="267"/>
    </row>
    <row r="647" spans="1:22" x14ac:dyDescent="0.2">
      <c r="A647" s="267"/>
      <c r="B647" s="266"/>
      <c r="C647" s="271">
        <v>2000</v>
      </c>
      <c r="D647" s="272">
        <v>2001</v>
      </c>
      <c r="E647" s="272">
        <v>2002</v>
      </c>
      <c r="F647" s="272">
        <v>2003</v>
      </c>
      <c r="G647" s="272">
        <v>2004</v>
      </c>
      <c r="H647" s="272">
        <v>2005</v>
      </c>
      <c r="I647" s="272">
        <v>2006</v>
      </c>
      <c r="J647" s="272">
        <v>2007</v>
      </c>
      <c r="K647" s="272">
        <v>2008</v>
      </c>
      <c r="L647" s="272">
        <v>2009</v>
      </c>
      <c r="M647" s="272">
        <v>2010</v>
      </c>
      <c r="N647" s="272">
        <v>2011</v>
      </c>
      <c r="O647" s="272">
        <v>2012</v>
      </c>
      <c r="P647" s="272">
        <v>2013</v>
      </c>
      <c r="Q647" s="272">
        <v>2014</v>
      </c>
      <c r="R647" s="272">
        <v>2015</v>
      </c>
      <c r="S647" s="272">
        <v>2016</v>
      </c>
      <c r="T647" s="272">
        <v>2017</v>
      </c>
      <c r="U647" s="272">
        <v>2018</v>
      </c>
      <c r="V647" s="272">
        <v>2019</v>
      </c>
    </row>
    <row r="648" spans="1:22" x14ac:dyDescent="0.2">
      <c r="A648" s="269" t="s">
        <v>129</v>
      </c>
      <c r="B648" s="266"/>
      <c r="C648" s="273"/>
      <c r="D648" s="274"/>
      <c r="E648" s="274"/>
      <c r="F648" s="274"/>
      <c r="G648" s="274"/>
      <c r="H648" s="274"/>
      <c r="I648" s="274"/>
      <c r="J648" s="274"/>
      <c r="K648" s="274"/>
      <c r="L648" s="274"/>
      <c r="M648" s="274"/>
      <c r="N648" s="274"/>
      <c r="O648" s="274"/>
      <c r="P648" s="274"/>
      <c r="Q648" s="274"/>
      <c r="R648" s="274"/>
      <c r="S648" s="274"/>
      <c r="T648" s="274"/>
      <c r="U648" s="274"/>
      <c r="V648" s="274"/>
    </row>
    <row r="649" spans="1:22" x14ac:dyDescent="0.2">
      <c r="A649" s="267"/>
      <c r="B649" s="270" t="s">
        <v>97</v>
      </c>
      <c r="C649" s="275">
        <v>0</v>
      </c>
      <c r="D649" s="276">
        <v>34701.827010831963</v>
      </c>
      <c r="E649" s="276">
        <v>48582.55781516475</v>
      </c>
      <c r="F649" s="276">
        <v>54751.771505979326</v>
      </c>
      <c r="G649" s="276">
        <v>58221.954207062518</v>
      </c>
      <c r="H649" s="276">
        <v>60535.409341117978</v>
      </c>
      <c r="I649" s="276">
        <v>81742.081403293065</v>
      </c>
      <c r="J649" s="276">
        <v>97165.115630329499</v>
      </c>
      <c r="K649" s="276">
        <v>129553.48750710602</v>
      </c>
      <c r="L649" s="276">
        <v>132638.09435251329</v>
      </c>
      <c r="M649" s="276">
        <v>98707.419053033154</v>
      </c>
      <c r="N649" s="276">
        <v>109503.54301195867</v>
      </c>
      <c r="O649" s="276">
        <v>100249.72247573679</v>
      </c>
      <c r="P649" s="276">
        <v>89068.022661135372</v>
      </c>
      <c r="Q649" s="276">
        <v>97165.115630329499</v>
      </c>
      <c r="R649" s="276">
        <v>87911.295094107656</v>
      </c>
      <c r="S649" s="276">
        <v>94466.084640598128</v>
      </c>
      <c r="T649" s="276">
        <v>79428.626269237619</v>
      </c>
      <c r="U649" s="276">
        <v>81742.081403293079</v>
      </c>
      <c r="V649" s="276">
        <v>97550.691486005424</v>
      </c>
    </row>
    <row r="650" spans="1:22" x14ac:dyDescent="0.2">
      <c r="A650" s="267"/>
      <c r="B650" s="270" t="s">
        <v>91</v>
      </c>
      <c r="C650" s="275">
        <v>0</v>
      </c>
      <c r="D650" s="277">
        <v>4.7479963293807402E-2</v>
      </c>
      <c r="E650" s="277">
        <v>6.6471948611330364E-2</v>
      </c>
      <c r="F650" s="277">
        <v>7.4912830974673911E-2</v>
      </c>
      <c r="G650" s="277">
        <v>7.9660827304054632E-2</v>
      </c>
      <c r="H650" s="277">
        <v>8.282615819030846E-2</v>
      </c>
      <c r="I650" s="277">
        <v>0.11184169131430187</v>
      </c>
      <c r="J650" s="277">
        <v>0.13294389722266073</v>
      </c>
      <c r="K650" s="277">
        <v>0.17725852963021432</v>
      </c>
      <c r="L650" s="277">
        <v>0.1814789708118861</v>
      </c>
      <c r="M650" s="277">
        <v>0.13505411781349663</v>
      </c>
      <c r="N650" s="277">
        <v>0.14982566194934785</v>
      </c>
      <c r="O650" s="277">
        <v>0.13716433840433251</v>
      </c>
      <c r="P650" s="277">
        <v>0.12186523912077234</v>
      </c>
      <c r="Q650" s="277">
        <v>0.13294389722266073</v>
      </c>
      <c r="R650" s="277">
        <v>0.12028257367764543</v>
      </c>
      <c r="S650" s="277">
        <v>0.12925101118869795</v>
      </c>
      <c r="T650" s="277">
        <v>0.10867636042804807</v>
      </c>
      <c r="U650" s="277">
        <v>0.11184169131430188</v>
      </c>
      <c r="V650" s="277">
        <v>0.13347145237036973</v>
      </c>
    </row>
    <row r="651" spans="1:22" x14ac:dyDescent="0.2">
      <c r="A651" s="269" t="s">
        <v>93</v>
      </c>
      <c r="B651" s="270"/>
      <c r="C651" s="273"/>
      <c r="D651" s="274"/>
      <c r="E651" s="274"/>
      <c r="F651" s="274"/>
      <c r="G651" s="274"/>
      <c r="H651" s="274"/>
      <c r="I651" s="274"/>
      <c r="J651" s="274"/>
      <c r="K651" s="274"/>
      <c r="L651" s="274"/>
      <c r="M651" s="274"/>
      <c r="N651" s="274"/>
      <c r="O651" s="274"/>
      <c r="P651" s="274"/>
      <c r="Q651" s="274"/>
      <c r="R651" s="274"/>
      <c r="S651" s="274"/>
      <c r="T651" s="274"/>
      <c r="U651" s="274"/>
      <c r="V651" s="274"/>
    </row>
    <row r="652" spans="1:22" x14ac:dyDescent="0.2">
      <c r="A652" s="267"/>
      <c r="B652" s="270" t="s">
        <v>27</v>
      </c>
      <c r="C652" s="278">
        <v>0</v>
      </c>
      <c r="D652" s="279">
        <v>224.14955573080834</v>
      </c>
      <c r="E652" s="279">
        <v>140.83767637936148</v>
      </c>
      <c r="F652" s="279">
        <v>121.08635994508307</v>
      </c>
      <c r="G652" s="279">
        <v>108.5262420712357</v>
      </c>
      <c r="H652" s="279">
        <v>106.57010121650639</v>
      </c>
      <c r="I652" s="279">
        <v>91.206189748264421</v>
      </c>
      <c r="J652" s="279">
        <v>91.945984878961468</v>
      </c>
      <c r="K652" s="279">
        <v>87.297763274588931</v>
      </c>
      <c r="L652" s="279">
        <v>90.38083672551528</v>
      </c>
      <c r="M652" s="279">
        <v>104.65010227117013</v>
      </c>
      <c r="N652" s="279">
        <v>92.572561091638761</v>
      </c>
      <c r="O652" s="279">
        <v>101.1613275128922</v>
      </c>
      <c r="P652" s="279">
        <v>105.23890335637248</v>
      </c>
      <c r="Q652" s="279">
        <v>111.45249669401376</v>
      </c>
      <c r="R652" s="279">
        <v>115.35115363867615</v>
      </c>
      <c r="S652" s="279">
        <v>108.04141207766408</v>
      </c>
      <c r="T652" s="279">
        <v>118.79143790989349</v>
      </c>
      <c r="U652" s="279">
        <v>130.45852799709593</v>
      </c>
      <c r="V652" s="279">
        <v>118.24998428141527</v>
      </c>
    </row>
    <row r="653" spans="1:22" x14ac:dyDescent="0.2">
      <c r="A653" s="267"/>
      <c r="B653" s="270" t="s">
        <v>20</v>
      </c>
      <c r="C653" s="278">
        <v>0</v>
      </c>
      <c r="D653" s="279">
        <v>65.684377893898358</v>
      </c>
      <c r="E653" s="279">
        <v>57.899988190766742</v>
      </c>
      <c r="F653" s="279">
        <v>55.866138600080333</v>
      </c>
      <c r="G653" s="279">
        <v>56.881151409624138</v>
      </c>
      <c r="H653" s="279">
        <v>58.148935619722991</v>
      </c>
      <c r="I653" s="279">
        <v>57.132932268659204</v>
      </c>
      <c r="J653" s="279">
        <v>59.700711989393014</v>
      </c>
      <c r="K653" s="279">
        <v>55.447556928172602</v>
      </c>
      <c r="L653" s="279">
        <v>57.920732955499325</v>
      </c>
      <c r="M653" s="279">
        <v>60.792877046111947</v>
      </c>
      <c r="N653" s="279">
        <v>60.485543945375674</v>
      </c>
      <c r="O653" s="279">
        <v>61.281149218529499</v>
      </c>
      <c r="P653" s="279">
        <v>63.118843897539222</v>
      </c>
      <c r="Q653" s="279">
        <v>64.715732591561945</v>
      </c>
      <c r="R653" s="279">
        <v>70.033011235496289</v>
      </c>
      <c r="S653" s="279">
        <v>72.790715473682866</v>
      </c>
      <c r="T653" s="279">
        <v>73.972040008275627</v>
      </c>
      <c r="U653" s="279">
        <v>80.342882468536502</v>
      </c>
      <c r="V653" s="279">
        <v>79.935989823849198</v>
      </c>
    </row>
    <row r="654" spans="1:22" x14ac:dyDescent="0.2">
      <c r="A654" s="267"/>
      <c r="B654" s="270" t="s">
        <v>92</v>
      </c>
      <c r="C654" s="278">
        <v>0</v>
      </c>
      <c r="D654" s="279">
        <v>1.6433760715074071</v>
      </c>
      <c r="E654" s="279">
        <v>1.6710856058623107</v>
      </c>
      <c r="F654" s="279">
        <v>1.7099447969995702</v>
      </c>
      <c r="G654" s="279">
        <v>1.7409714784501222</v>
      </c>
      <c r="H654" s="279">
        <v>1.779396249631956</v>
      </c>
      <c r="I654" s="279">
        <v>1.8141448525642321</v>
      </c>
      <c r="J654" s="279">
        <v>1.8506476751768721</v>
      </c>
      <c r="K654" s="279">
        <v>1.8860831327885805</v>
      </c>
      <c r="L654" s="279">
        <v>1.9239754421828523</v>
      </c>
      <c r="M654" s="279">
        <v>1.9650442342923489</v>
      </c>
      <c r="N654" s="279">
        <v>2.0024341315633607</v>
      </c>
      <c r="O654" s="279">
        <v>2.0441684110093803</v>
      </c>
      <c r="P654" s="279">
        <v>2.0847565388024525</v>
      </c>
      <c r="Q654" s="279">
        <v>2.1256979128069147</v>
      </c>
      <c r="R654" s="279">
        <v>2.1712818841472332</v>
      </c>
      <c r="S654" s="279">
        <v>2.2131601108887859</v>
      </c>
      <c r="T654" s="279">
        <v>2.255236940403945</v>
      </c>
      <c r="U654" s="279">
        <v>2.3049881715259017</v>
      </c>
      <c r="V654" s="279">
        <v>2.3509563531555151</v>
      </c>
    </row>
    <row r="655" spans="1:22" x14ac:dyDescent="0.2">
      <c r="A655" s="267"/>
      <c r="B655" s="270" t="s">
        <v>22</v>
      </c>
      <c r="C655" s="278">
        <v>0</v>
      </c>
      <c r="D655" s="279">
        <v>0</v>
      </c>
      <c r="E655" s="279">
        <v>0</v>
      </c>
      <c r="F655" s="279">
        <v>0</v>
      </c>
      <c r="G655" s="279">
        <v>0</v>
      </c>
      <c r="H655" s="279">
        <v>0</v>
      </c>
      <c r="I655" s="279">
        <v>-1.142838813538273</v>
      </c>
      <c r="J655" s="279">
        <v>-1.0656748112233358</v>
      </c>
      <c r="K655" s="279">
        <v>-0.88194590251466176</v>
      </c>
      <c r="L655" s="279">
        <v>-0.94615078969854804</v>
      </c>
      <c r="M655" s="279">
        <v>-1.4139812943571077</v>
      </c>
      <c r="N655" s="279">
        <v>-1.4040404068216288</v>
      </c>
      <c r="O655" s="279">
        <v>-1.6992317234021401</v>
      </c>
      <c r="P655" s="279">
        <v>-2.144477480328443</v>
      </c>
      <c r="Q655" s="279">
        <v>-2.1882099020119137</v>
      </c>
      <c r="R655" s="279">
        <v>-2.6790121237590512</v>
      </c>
      <c r="S655" s="279">
        <v>-2.7374443263445722</v>
      </c>
      <c r="T655" s="279">
        <v>-3.1985649052349485</v>
      </c>
      <c r="U655" s="279">
        <v>-2.6590958841753149</v>
      </c>
      <c r="V655" s="279">
        <v>-2.3102065993527932</v>
      </c>
    </row>
    <row r="656" spans="1:22" x14ac:dyDescent="0.2">
      <c r="A656" s="267"/>
      <c r="B656" s="270" t="s">
        <v>23</v>
      </c>
      <c r="C656" s="278">
        <v>0</v>
      </c>
      <c r="D656" s="279">
        <v>0</v>
      </c>
      <c r="E656" s="279">
        <v>0</v>
      </c>
      <c r="F656" s="279">
        <v>0</v>
      </c>
      <c r="G656" s="279">
        <v>0</v>
      </c>
      <c r="H656" s="279">
        <v>0</v>
      </c>
      <c r="I656" s="279">
        <v>0</v>
      </c>
      <c r="J656" s="279">
        <v>0</v>
      </c>
      <c r="K656" s="279">
        <v>0</v>
      </c>
      <c r="L656" s="279">
        <v>0</v>
      </c>
      <c r="M656" s="279">
        <v>0</v>
      </c>
      <c r="N656" s="279">
        <v>0</v>
      </c>
      <c r="O656" s="279">
        <v>0</v>
      </c>
      <c r="P656" s="279">
        <v>0</v>
      </c>
      <c r="Q656" s="279">
        <v>0</v>
      </c>
      <c r="R656" s="279">
        <v>0</v>
      </c>
      <c r="S656" s="279">
        <v>0</v>
      </c>
      <c r="T656" s="279">
        <v>0</v>
      </c>
      <c r="U656" s="279">
        <v>0</v>
      </c>
      <c r="V656" s="279">
        <v>0</v>
      </c>
    </row>
    <row r="657" spans="1:22" x14ac:dyDescent="0.2">
      <c r="A657" s="269" t="s">
        <v>94</v>
      </c>
      <c r="B657" s="270"/>
      <c r="C657" s="273"/>
      <c r="D657" s="274"/>
      <c r="E657" s="274"/>
      <c r="F657" s="274"/>
      <c r="G657" s="274"/>
      <c r="H657" s="274"/>
      <c r="I657" s="274"/>
      <c r="J657" s="274"/>
      <c r="K657" s="274"/>
      <c r="L657" s="274"/>
      <c r="M657" s="274"/>
      <c r="N657" s="274"/>
      <c r="O657" s="274"/>
      <c r="P657" s="274"/>
      <c r="Q657" s="274"/>
      <c r="R657" s="274"/>
      <c r="S657" s="274"/>
      <c r="T657" s="274"/>
      <c r="U657" s="274"/>
      <c r="V657" s="274"/>
    </row>
    <row r="658" spans="1:22" x14ac:dyDescent="0.2">
      <c r="A658" s="267"/>
      <c r="B658" s="270" t="s">
        <v>34</v>
      </c>
      <c r="C658" s="278">
        <v>0</v>
      </c>
      <c r="D658" s="279">
        <v>4.2613254080613263</v>
      </c>
      <c r="E658" s="279">
        <v>4.3465519162225528</v>
      </c>
      <c r="F658" s="279">
        <v>4.4334829545470038</v>
      </c>
      <c r="G658" s="279">
        <v>4.5221526136379433</v>
      </c>
      <c r="H658" s="279">
        <v>4.6125956659107024</v>
      </c>
      <c r="I658" s="279">
        <v>4.7048475792289164</v>
      </c>
      <c r="J658" s="279">
        <v>4.798944530813495</v>
      </c>
      <c r="K658" s="279">
        <v>4.8949234214297652</v>
      </c>
      <c r="L658" s="279">
        <v>4.9928218898583605</v>
      </c>
      <c r="M658" s="279">
        <v>5.0926783276555279</v>
      </c>
      <c r="N658" s="279">
        <v>5.1945318942086383</v>
      </c>
      <c r="O658" s="279">
        <v>5.2984225320928111</v>
      </c>
      <c r="P658" s="279">
        <v>5.4043909827346681</v>
      </c>
      <c r="Q658" s="279">
        <v>5.5124788023893609</v>
      </c>
      <c r="R658" s="279">
        <v>5.6227283784371487</v>
      </c>
      <c r="S658" s="279">
        <v>5.7351829460058914</v>
      </c>
      <c r="T658" s="279">
        <v>5.8498866049260094</v>
      </c>
      <c r="U658" s="279">
        <v>5.9668843370245295</v>
      </c>
      <c r="V658" s="279">
        <v>6.0862220237650195</v>
      </c>
    </row>
    <row r="659" spans="1:22" x14ac:dyDescent="0.2">
      <c r="A659" s="267"/>
      <c r="B659" s="270" t="s">
        <v>95</v>
      </c>
      <c r="C659" s="278">
        <v>0</v>
      </c>
      <c r="D659" s="279">
        <v>2.0568909100340993</v>
      </c>
      <c r="E659" s="279">
        <v>2.0568909100340993</v>
      </c>
      <c r="F659" s="279">
        <v>2.0568909100340993</v>
      </c>
      <c r="G659" s="279">
        <v>2.0568909100340993</v>
      </c>
      <c r="H659" s="279">
        <v>2.0568909100340993</v>
      </c>
      <c r="I659" s="279">
        <v>2.0568909100340993</v>
      </c>
      <c r="J659" s="279">
        <v>2.0568909100340993</v>
      </c>
      <c r="K659" s="279">
        <v>2.0568909100340993</v>
      </c>
      <c r="L659" s="279">
        <v>2.0568909100340993</v>
      </c>
      <c r="M659" s="279">
        <v>2.0568909100340993</v>
      </c>
      <c r="N659" s="279">
        <v>2.0568909100340993</v>
      </c>
      <c r="O659" s="279">
        <v>2.0568909100340993</v>
      </c>
      <c r="P659" s="279">
        <v>2.0568909100340993</v>
      </c>
      <c r="Q659" s="279">
        <v>2.0568909100340993</v>
      </c>
      <c r="R659" s="279">
        <v>2.0568909100340993</v>
      </c>
      <c r="S659" s="279">
        <v>2.0568909100340993</v>
      </c>
      <c r="T659" s="279">
        <v>2.0568909100340993</v>
      </c>
      <c r="U659" s="279">
        <v>2.0568909100340993</v>
      </c>
      <c r="V659" s="279">
        <v>2.0568909100340993</v>
      </c>
    </row>
    <row r="660" spans="1:22" x14ac:dyDescent="0.2">
      <c r="A660" s="267"/>
      <c r="B660" s="270" t="s">
        <v>36</v>
      </c>
      <c r="C660" s="278">
        <v>0</v>
      </c>
      <c r="D660" s="279">
        <v>0.41407105948314693</v>
      </c>
      <c r="E660" s="279">
        <v>0.42280795883824385</v>
      </c>
      <c r="F660" s="279">
        <v>0.432067453136802</v>
      </c>
      <c r="G660" s="279">
        <v>0.44183217757768989</v>
      </c>
      <c r="H660" s="279">
        <v>0.45234778340404036</v>
      </c>
      <c r="I660" s="279">
        <v>0.46368366433148034</v>
      </c>
      <c r="J660" s="279">
        <v>0.47518431097007663</v>
      </c>
      <c r="K660" s="279">
        <v>0.48721220788436947</v>
      </c>
      <c r="L660" s="279">
        <v>0.49924634941911356</v>
      </c>
      <c r="M660" s="279">
        <v>0.51197713132930012</v>
      </c>
      <c r="N660" s="279">
        <v>0.52436697790747067</v>
      </c>
      <c r="O660" s="279">
        <v>0.53758102575073774</v>
      </c>
      <c r="P660" s="279">
        <v>0.55123558380480508</v>
      </c>
      <c r="Q660" s="279">
        <v>0.56501647339992567</v>
      </c>
      <c r="R660" s="279">
        <v>0.57919838688226355</v>
      </c>
      <c r="S660" s="279">
        <v>0.5936783465543215</v>
      </c>
      <c r="T660" s="279">
        <v>0.60840156954886682</v>
      </c>
      <c r="U660" s="279">
        <v>0.62367244894454466</v>
      </c>
      <c r="V660" s="279">
        <v>0.63932662741305357</v>
      </c>
    </row>
    <row r="661" spans="1:22" x14ac:dyDescent="0.2">
      <c r="A661" s="267"/>
      <c r="B661" s="270" t="s">
        <v>39</v>
      </c>
      <c r="C661" s="278">
        <v>0</v>
      </c>
      <c r="D661" s="279">
        <v>0.17833603010799084</v>
      </c>
      <c r="E661" s="279">
        <v>0.18365742571884028</v>
      </c>
      <c r="F661" s="279">
        <v>4.6082604005609289</v>
      </c>
      <c r="G661" s="279">
        <v>0.19548727721644912</v>
      </c>
      <c r="H661" s="279">
        <v>1.070589550897127</v>
      </c>
      <c r="I661" s="279">
        <v>1.102707237424041</v>
      </c>
      <c r="J661" s="279">
        <v>1.1357884545467622</v>
      </c>
      <c r="K661" s="279">
        <v>1.1698621081831651</v>
      </c>
      <c r="L661" s="279">
        <v>1.20495797142866</v>
      </c>
      <c r="M661" s="279">
        <v>1.2411067105715199</v>
      </c>
      <c r="N661" s="279">
        <v>1.2783399118886656</v>
      </c>
      <c r="O661" s="279">
        <v>1.3166901092453258</v>
      </c>
      <c r="P661" s="279">
        <v>1.3561908125226856</v>
      </c>
      <c r="Q661" s="279">
        <v>1.3968765368983662</v>
      </c>
      <c r="R661" s="279">
        <v>1.4387828330053174</v>
      </c>
      <c r="S661" s="279">
        <v>1.4819463179954768</v>
      </c>
      <c r="T661" s="279">
        <v>1.5264047075353411</v>
      </c>
      <c r="U661" s="279">
        <v>1.5721968487614015</v>
      </c>
      <c r="V661" s="279">
        <v>1.6193627542242437</v>
      </c>
    </row>
    <row r="662" spans="1:22" x14ac:dyDescent="0.2">
      <c r="A662" s="267"/>
      <c r="B662" s="270" t="s">
        <v>96</v>
      </c>
      <c r="C662" s="280">
        <v>0</v>
      </c>
      <c r="D662" s="281">
        <v>0</v>
      </c>
      <c r="E662" s="281">
        <v>0</v>
      </c>
      <c r="F662" s="281">
        <v>0</v>
      </c>
      <c r="G662" s="281">
        <v>0</v>
      </c>
      <c r="H662" s="281">
        <v>0</v>
      </c>
      <c r="I662" s="281">
        <v>0</v>
      </c>
      <c r="J662" s="281">
        <v>0</v>
      </c>
      <c r="K662" s="281">
        <v>0</v>
      </c>
      <c r="L662" s="281">
        <v>0</v>
      </c>
      <c r="M662" s="281">
        <v>0</v>
      </c>
      <c r="N662" s="281">
        <v>0</v>
      </c>
      <c r="O662" s="281">
        <v>0</v>
      </c>
      <c r="P662" s="281">
        <v>0</v>
      </c>
      <c r="Q662" s="281">
        <v>0</v>
      </c>
      <c r="R662" s="281">
        <v>0</v>
      </c>
      <c r="S662" s="281">
        <v>0</v>
      </c>
      <c r="T662" s="281">
        <v>0</v>
      </c>
      <c r="U662" s="281">
        <v>0</v>
      </c>
      <c r="V662" s="281">
        <v>0</v>
      </c>
    </row>
    <row r="663" spans="1:22" x14ac:dyDescent="0.2">
      <c r="A663" s="267"/>
      <c r="B663" s="270"/>
      <c r="C663" s="267"/>
      <c r="D663" s="267"/>
      <c r="E663" s="267"/>
      <c r="F663" s="267"/>
      <c r="G663" s="267"/>
      <c r="H663" s="267"/>
      <c r="I663" s="267"/>
      <c r="J663" s="267"/>
      <c r="K663" s="267"/>
      <c r="L663" s="267"/>
      <c r="M663" s="267"/>
      <c r="N663" s="267"/>
      <c r="O663" s="267"/>
      <c r="P663" s="267"/>
      <c r="Q663" s="267"/>
      <c r="R663" s="267"/>
      <c r="S663" s="267"/>
      <c r="T663" s="267"/>
      <c r="U663" s="267"/>
      <c r="V663" s="267"/>
    </row>
    <row r="664" spans="1:22" x14ac:dyDescent="0.2">
      <c r="A664" s="267"/>
      <c r="B664" s="270"/>
      <c r="C664" s="267"/>
      <c r="D664" s="267"/>
      <c r="E664" s="267"/>
      <c r="F664" s="267"/>
      <c r="G664" s="267"/>
      <c r="H664" s="267"/>
      <c r="I664" s="267"/>
      <c r="J664" s="267"/>
      <c r="K664" s="267"/>
      <c r="L664" s="267"/>
      <c r="M664" s="267"/>
      <c r="N664" s="267"/>
      <c r="O664" s="267"/>
      <c r="P664" s="267"/>
      <c r="Q664" s="267"/>
      <c r="R664" s="267"/>
      <c r="S664" s="267"/>
      <c r="T664" s="267"/>
      <c r="U664" s="267"/>
      <c r="V664" s="267"/>
    </row>
    <row r="665" spans="1:22" x14ac:dyDescent="0.2">
      <c r="A665" s="24"/>
      <c r="B665" s="295"/>
      <c r="C665" s="299"/>
      <c r="D665" s="299"/>
      <c r="E665" s="299"/>
      <c r="F665" s="299"/>
      <c r="G665" s="299"/>
      <c r="H665" s="299"/>
      <c r="I665" s="299"/>
      <c r="J665" s="299"/>
      <c r="K665" s="299"/>
      <c r="L665" s="299"/>
      <c r="M665" s="299"/>
      <c r="N665" s="299"/>
      <c r="O665" s="299"/>
      <c r="P665" s="299"/>
      <c r="Q665" s="299"/>
      <c r="R665" s="299"/>
      <c r="S665" s="299"/>
      <c r="T665" s="299"/>
      <c r="U665" s="299"/>
      <c r="V665" s="299"/>
    </row>
    <row r="666" spans="1:22" x14ac:dyDescent="0.2">
      <c r="A666" s="24"/>
      <c r="B666" s="295"/>
      <c r="C666" s="299"/>
      <c r="D666" s="299"/>
      <c r="E666" s="299"/>
      <c r="F666" s="299"/>
      <c r="G666" s="299"/>
      <c r="H666" s="299"/>
      <c r="I666" s="299"/>
      <c r="J666" s="299"/>
      <c r="K666" s="299"/>
      <c r="L666" s="299"/>
      <c r="M666" s="299"/>
      <c r="N666" s="299"/>
      <c r="O666" s="299"/>
      <c r="P666" s="299"/>
      <c r="Q666" s="299"/>
      <c r="R666" s="299"/>
      <c r="S666" s="299"/>
      <c r="T666" s="299"/>
      <c r="U666" s="299"/>
      <c r="V666" s="299"/>
    </row>
    <row r="667" spans="1:22" x14ac:dyDescent="0.2">
      <c r="A667" s="265" t="s">
        <v>98</v>
      </c>
      <c r="B667" s="266"/>
      <c r="C667" s="267"/>
      <c r="D667" s="267"/>
      <c r="E667" s="267"/>
      <c r="F667" s="267"/>
      <c r="G667" s="267"/>
      <c r="H667" s="267"/>
      <c r="I667" s="267"/>
      <c r="J667" s="267"/>
      <c r="K667" s="267"/>
      <c r="L667" s="267"/>
      <c r="M667" s="267"/>
      <c r="N667" s="267"/>
      <c r="O667" s="267"/>
      <c r="P667" s="267"/>
      <c r="Q667" s="267"/>
      <c r="R667" s="267"/>
      <c r="S667" s="267"/>
      <c r="T667" s="267"/>
      <c r="U667" s="267"/>
      <c r="V667" s="267"/>
    </row>
    <row r="668" spans="1:22" x14ac:dyDescent="0.2">
      <c r="A668" s="268" t="s">
        <v>82</v>
      </c>
      <c r="B668" s="266"/>
      <c r="C668" s="267"/>
      <c r="D668" s="267"/>
      <c r="E668" s="267"/>
      <c r="F668" s="267"/>
      <c r="G668" s="267"/>
      <c r="H668" s="267"/>
      <c r="I668" s="267"/>
      <c r="J668" s="267"/>
      <c r="K668" s="267"/>
      <c r="L668" s="267"/>
      <c r="M668" s="267"/>
      <c r="N668" s="267"/>
      <c r="O668" s="267"/>
      <c r="P668" s="267"/>
      <c r="Q668" s="267"/>
      <c r="R668" s="267"/>
      <c r="S668" s="267"/>
      <c r="T668" s="267"/>
      <c r="U668" s="267"/>
      <c r="V668" s="267"/>
    </row>
    <row r="669" spans="1:22" x14ac:dyDescent="0.2">
      <c r="A669" s="267"/>
      <c r="B669" s="266"/>
      <c r="C669" s="267"/>
      <c r="D669" s="267"/>
      <c r="E669" s="267"/>
      <c r="F669" s="267"/>
      <c r="G669" s="267"/>
      <c r="H669" s="267"/>
      <c r="I669" s="267"/>
      <c r="J669" s="267"/>
      <c r="K669" s="267"/>
      <c r="L669" s="267"/>
      <c r="M669" s="267"/>
      <c r="N669" s="267"/>
      <c r="O669" s="267"/>
      <c r="P669" s="267"/>
      <c r="Q669" s="267"/>
      <c r="R669" s="267"/>
      <c r="S669" s="267"/>
      <c r="T669" s="267"/>
      <c r="U669" s="267"/>
      <c r="V669" s="267"/>
    </row>
    <row r="670" spans="1:22" x14ac:dyDescent="0.2">
      <c r="A670" s="267"/>
      <c r="B670" s="266"/>
      <c r="C670" s="271">
        <v>2000</v>
      </c>
      <c r="D670" s="272">
        <v>2001</v>
      </c>
      <c r="E670" s="272">
        <v>2002</v>
      </c>
      <c r="F670" s="272">
        <v>2003</v>
      </c>
      <c r="G670" s="272">
        <v>2004</v>
      </c>
      <c r="H670" s="272">
        <v>2005</v>
      </c>
      <c r="I670" s="272">
        <v>2006</v>
      </c>
      <c r="J670" s="272">
        <v>2007</v>
      </c>
      <c r="K670" s="272">
        <v>2008</v>
      </c>
      <c r="L670" s="272">
        <v>2009</v>
      </c>
      <c r="M670" s="272">
        <v>2010</v>
      </c>
      <c r="N670" s="272">
        <v>2011</v>
      </c>
      <c r="O670" s="272">
        <v>2012</v>
      </c>
      <c r="P670" s="272">
        <v>2013</v>
      </c>
      <c r="Q670" s="272">
        <v>2014</v>
      </c>
      <c r="R670" s="272">
        <v>2015</v>
      </c>
      <c r="S670" s="272">
        <v>2016</v>
      </c>
      <c r="T670" s="272">
        <v>2017</v>
      </c>
      <c r="U670" s="272">
        <v>2018</v>
      </c>
      <c r="V670" s="272">
        <v>2019</v>
      </c>
    </row>
    <row r="671" spans="1:22" x14ac:dyDescent="0.2">
      <c r="A671" s="269" t="s">
        <v>129</v>
      </c>
      <c r="B671" s="266"/>
      <c r="C671" s="273"/>
      <c r="D671" s="274"/>
      <c r="E671" s="274"/>
      <c r="F671" s="274"/>
      <c r="G671" s="274"/>
      <c r="H671" s="274"/>
      <c r="I671" s="274"/>
      <c r="J671" s="274"/>
      <c r="K671" s="274"/>
      <c r="L671" s="274"/>
      <c r="M671" s="274"/>
      <c r="N671" s="274"/>
      <c r="O671" s="274"/>
      <c r="P671" s="274"/>
      <c r="Q671" s="274"/>
      <c r="R671" s="274"/>
      <c r="S671" s="274"/>
      <c r="T671" s="274"/>
      <c r="U671" s="274"/>
      <c r="V671" s="274"/>
    </row>
    <row r="672" spans="1:22" x14ac:dyDescent="0.2">
      <c r="A672" s="267"/>
      <c r="B672" s="270" t="s">
        <v>97</v>
      </c>
      <c r="C672" s="275">
        <v>0</v>
      </c>
      <c r="D672" s="276">
        <v>34701.827010831963</v>
      </c>
      <c r="E672" s="276">
        <v>48582.55781516475</v>
      </c>
      <c r="F672" s="276">
        <v>54751.771505979326</v>
      </c>
      <c r="G672" s="276">
        <v>58221.954207062518</v>
      </c>
      <c r="H672" s="276">
        <v>60535.409341117978</v>
      </c>
      <c r="I672" s="276">
        <v>81742.081403293065</v>
      </c>
      <c r="J672" s="276">
        <v>97165.115630329499</v>
      </c>
      <c r="K672" s="276">
        <v>129553.48750710602</v>
      </c>
      <c r="L672" s="276">
        <v>132638.09435251329</v>
      </c>
      <c r="M672" s="276">
        <v>98707.419053033154</v>
      </c>
      <c r="N672" s="276">
        <v>109503.54301195867</v>
      </c>
      <c r="O672" s="276">
        <v>100249.72247573679</v>
      </c>
      <c r="P672" s="276">
        <v>89068.022661135372</v>
      </c>
      <c r="Q672" s="276">
        <v>97165.115630329499</v>
      </c>
      <c r="R672" s="276">
        <v>87911.295094107656</v>
      </c>
      <c r="S672" s="276">
        <v>94466.084640598128</v>
      </c>
      <c r="T672" s="276">
        <v>79428.626269237619</v>
      </c>
      <c r="U672" s="276">
        <v>81742.081403293079</v>
      </c>
      <c r="V672" s="276">
        <v>97550.691486005424</v>
      </c>
    </row>
    <row r="673" spans="1:22" x14ac:dyDescent="0.2">
      <c r="A673" s="267"/>
      <c r="B673" s="270" t="s">
        <v>91</v>
      </c>
      <c r="C673" s="275">
        <v>0</v>
      </c>
      <c r="D673" s="277">
        <v>4.7479963293807402E-2</v>
      </c>
      <c r="E673" s="277">
        <v>6.6471948611330364E-2</v>
      </c>
      <c r="F673" s="277">
        <v>7.4912830974673911E-2</v>
      </c>
      <c r="G673" s="277">
        <v>7.9660827304054632E-2</v>
      </c>
      <c r="H673" s="277">
        <v>8.282615819030846E-2</v>
      </c>
      <c r="I673" s="277">
        <v>0.11184169131430187</v>
      </c>
      <c r="J673" s="277">
        <v>0.13294389722266073</v>
      </c>
      <c r="K673" s="277">
        <v>0.17725852963021432</v>
      </c>
      <c r="L673" s="277">
        <v>0.1814789708118861</v>
      </c>
      <c r="M673" s="277">
        <v>0.13505411781349663</v>
      </c>
      <c r="N673" s="277">
        <v>0.14982566194934785</v>
      </c>
      <c r="O673" s="277">
        <v>0.13716433840433251</v>
      </c>
      <c r="P673" s="277">
        <v>0.12186523912077234</v>
      </c>
      <c r="Q673" s="277">
        <v>0.13294389722266073</v>
      </c>
      <c r="R673" s="277">
        <v>0.12028257367764543</v>
      </c>
      <c r="S673" s="277">
        <v>0.12925101118869795</v>
      </c>
      <c r="T673" s="277">
        <v>0.10867636042804807</v>
      </c>
      <c r="U673" s="277">
        <v>0.11184169131430188</v>
      </c>
      <c r="V673" s="277">
        <v>0.13347145237036973</v>
      </c>
    </row>
    <row r="674" spans="1:22" x14ac:dyDescent="0.2">
      <c r="A674" s="269" t="s">
        <v>93</v>
      </c>
      <c r="B674" s="270"/>
      <c r="C674" s="273"/>
      <c r="D674" s="274"/>
      <c r="E674" s="274"/>
      <c r="F674" s="274"/>
      <c r="G674" s="274"/>
      <c r="H674" s="274"/>
      <c r="I674" s="274"/>
      <c r="J674" s="274"/>
      <c r="K674" s="274"/>
      <c r="L674" s="274"/>
      <c r="M674" s="274"/>
      <c r="N674" s="274"/>
      <c r="O674" s="274"/>
      <c r="P674" s="274"/>
      <c r="Q674" s="274"/>
      <c r="R674" s="274"/>
      <c r="S674" s="274"/>
      <c r="T674" s="274"/>
      <c r="U674" s="274"/>
      <c r="V674" s="274"/>
    </row>
    <row r="675" spans="1:22" x14ac:dyDescent="0.2">
      <c r="A675" s="267"/>
      <c r="B675" s="270" t="s">
        <v>27</v>
      </c>
      <c r="C675" s="278">
        <v>0</v>
      </c>
      <c r="D675" s="279">
        <v>224.14955573080834</v>
      </c>
      <c r="E675" s="279">
        <v>140.83767637936148</v>
      </c>
      <c r="F675" s="279">
        <v>121.08635994508307</v>
      </c>
      <c r="G675" s="279">
        <v>108.5262420712357</v>
      </c>
      <c r="H675" s="279">
        <v>106.57010121650639</v>
      </c>
      <c r="I675" s="279">
        <v>91.206189748264421</v>
      </c>
      <c r="J675" s="279">
        <v>91.945984878961468</v>
      </c>
      <c r="K675" s="279">
        <v>87.297763274588931</v>
      </c>
      <c r="L675" s="279">
        <v>90.38083672551528</v>
      </c>
      <c r="M675" s="279">
        <v>104.65010227117013</v>
      </c>
      <c r="N675" s="279">
        <v>92.572561091638761</v>
      </c>
      <c r="O675" s="279">
        <v>101.1613275128922</v>
      </c>
      <c r="P675" s="279">
        <v>105.23890335637248</v>
      </c>
      <c r="Q675" s="279">
        <v>111.45249669401376</v>
      </c>
      <c r="R675" s="279">
        <v>115.35115363867615</v>
      </c>
      <c r="S675" s="279">
        <v>108.04141207766408</v>
      </c>
      <c r="T675" s="279">
        <v>118.79143790989349</v>
      </c>
      <c r="U675" s="279">
        <v>130.45852799709593</v>
      </c>
      <c r="V675" s="279">
        <v>118.24998428141527</v>
      </c>
    </row>
    <row r="676" spans="1:22" x14ac:dyDescent="0.2">
      <c r="A676" s="267"/>
      <c r="B676" s="270" t="s">
        <v>20</v>
      </c>
      <c r="C676" s="278">
        <v>0</v>
      </c>
      <c r="D676" s="279">
        <v>65.684377893898358</v>
      </c>
      <c r="E676" s="279">
        <v>57.899988190766742</v>
      </c>
      <c r="F676" s="279">
        <v>55.866138600080333</v>
      </c>
      <c r="G676" s="279">
        <v>56.881151409624138</v>
      </c>
      <c r="H676" s="279">
        <v>58.148935619722991</v>
      </c>
      <c r="I676" s="279">
        <v>57.132932268659204</v>
      </c>
      <c r="J676" s="279">
        <v>59.700711989393014</v>
      </c>
      <c r="K676" s="279">
        <v>55.447556928172602</v>
      </c>
      <c r="L676" s="279">
        <v>57.920732955499325</v>
      </c>
      <c r="M676" s="279">
        <v>60.792877046111947</v>
      </c>
      <c r="N676" s="279">
        <v>60.485543945375674</v>
      </c>
      <c r="O676" s="279">
        <v>61.281149218529499</v>
      </c>
      <c r="P676" s="279">
        <v>63.118843897539222</v>
      </c>
      <c r="Q676" s="279">
        <v>64.715732591561945</v>
      </c>
      <c r="R676" s="279">
        <v>70.033011235496289</v>
      </c>
      <c r="S676" s="279">
        <v>72.790715473682866</v>
      </c>
      <c r="T676" s="279">
        <v>73.972040008275627</v>
      </c>
      <c r="U676" s="279">
        <v>80.342882468536502</v>
      </c>
      <c r="V676" s="279">
        <v>79.935989823849198</v>
      </c>
    </row>
    <row r="677" spans="1:22" x14ac:dyDescent="0.2">
      <c r="A677" s="267"/>
      <c r="B677" s="270" t="s">
        <v>92</v>
      </c>
      <c r="C677" s="278">
        <v>0</v>
      </c>
      <c r="D677" s="279">
        <v>1.6433760715074071</v>
      </c>
      <c r="E677" s="279">
        <v>1.6710856058623107</v>
      </c>
      <c r="F677" s="279">
        <v>1.7099447969995702</v>
      </c>
      <c r="G677" s="279">
        <v>1.7409714784501222</v>
      </c>
      <c r="H677" s="279">
        <v>1.779396249631956</v>
      </c>
      <c r="I677" s="279">
        <v>1.8141448525642321</v>
      </c>
      <c r="J677" s="279">
        <v>1.8506476751768721</v>
      </c>
      <c r="K677" s="279">
        <v>1.8860831327885805</v>
      </c>
      <c r="L677" s="279">
        <v>1.9239754421828523</v>
      </c>
      <c r="M677" s="279">
        <v>1.9650442342923489</v>
      </c>
      <c r="N677" s="279">
        <v>2.0024341315633607</v>
      </c>
      <c r="O677" s="279">
        <v>2.0441684110093803</v>
      </c>
      <c r="P677" s="279">
        <v>2.0847565388024525</v>
      </c>
      <c r="Q677" s="279">
        <v>2.1256979128069147</v>
      </c>
      <c r="R677" s="279">
        <v>2.1712818841472332</v>
      </c>
      <c r="S677" s="279">
        <v>2.2131601108887859</v>
      </c>
      <c r="T677" s="279">
        <v>2.255236940403945</v>
      </c>
      <c r="U677" s="279">
        <v>2.3049881715259017</v>
      </c>
      <c r="V677" s="279">
        <v>2.3509563531555151</v>
      </c>
    </row>
    <row r="678" spans="1:22" x14ac:dyDescent="0.2">
      <c r="A678" s="267"/>
      <c r="B678" s="270" t="s">
        <v>22</v>
      </c>
      <c r="C678" s="278">
        <v>0</v>
      </c>
      <c r="D678" s="279">
        <v>0</v>
      </c>
      <c r="E678" s="279">
        <v>0</v>
      </c>
      <c r="F678" s="279">
        <v>0</v>
      </c>
      <c r="G678" s="279">
        <v>0</v>
      </c>
      <c r="H678" s="279">
        <v>0</v>
      </c>
      <c r="I678" s="279">
        <v>-1.142838813538273</v>
      </c>
      <c r="J678" s="279">
        <v>-1.0656748112233358</v>
      </c>
      <c r="K678" s="279">
        <v>-0.88194590251466176</v>
      </c>
      <c r="L678" s="279">
        <v>-0.94615078969854804</v>
      </c>
      <c r="M678" s="279">
        <v>-1.4139812943571077</v>
      </c>
      <c r="N678" s="279">
        <v>-1.4040404068216288</v>
      </c>
      <c r="O678" s="279">
        <v>-1.6992317234021401</v>
      </c>
      <c r="P678" s="279">
        <v>-2.144477480328443</v>
      </c>
      <c r="Q678" s="279">
        <v>-2.1882099020119137</v>
      </c>
      <c r="R678" s="279">
        <v>-2.6790121237590512</v>
      </c>
      <c r="S678" s="279">
        <v>-2.7374443263445722</v>
      </c>
      <c r="T678" s="279">
        <v>-3.1985649052349485</v>
      </c>
      <c r="U678" s="279">
        <v>-2.6590958841753149</v>
      </c>
      <c r="V678" s="279">
        <v>-2.3102065993527932</v>
      </c>
    </row>
    <row r="679" spans="1:22" x14ac:dyDescent="0.2">
      <c r="A679" s="267"/>
      <c r="B679" s="270" t="s">
        <v>23</v>
      </c>
      <c r="C679" s="278">
        <v>0</v>
      </c>
      <c r="D679" s="279">
        <v>0</v>
      </c>
      <c r="E679" s="279">
        <v>0</v>
      </c>
      <c r="F679" s="279">
        <v>0</v>
      </c>
      <c r="G679" s="279">
        <v>0</v>
      </c>
      <c r="H679" s="279">
        <v>0</v>
      </c>
      <c r="I679" s="279">
        <v>0</v>
      </c>
      <c r="J679" s="279">
        <v>0</v>
      </c>
      <c r="K679" s="279">
        <v>0</v>
      </c>
      <c r="L679" s="279">
        <v>0</v>
      </c>
      <c r="M679" s="279">
        <v>0</v>
      </c>
      <c r="N679" s="279">
        <v>0</v>
      </c>
      <c r="O679" s="279">
        <v>0</v>
      </c>
      <c r="P679" s="279">
        <v>0</v>
      </c>
      <c r="Q679" s="279">
        <v>0</v>
      </c>
      <c r="R679" s="279">
        <v>0</v>
      </c>
      <c r="S679" s="279">
        <v>0</v>
      </c>
      <c r="T679" s="279">
        <v>0</v>
      </c>
      <c r="U679" s="279">
        <v>0</v>
      </c>
      <c r="V679" s="279">
        <v>0</v>
      </c>
    </row>
    <row r="680" spans="1:22" x14ac:dyDescent="0.2">
      <c r="A680" s="269" t="s">
        <v>94</v>
      </c>
      <c r="B680" s="270"/>
      <c r="C680" s="273"/>
      <c r="D680" s="274"/>
      <c r="E680" s="274"/>
      <c r="F680" s="274"/>
      <c r="G680" s="274"/>
      <c r="H680" s="274"/>
      <c r="I680" s="274"/>
      <c r="J680" s="274"/>
      <c r="K680" s="274"/>
      <c r="L680" s="274"/>
      <c r="M680" s="274"/>
      <c r="N680" s="274"/>
      <c r="O680" s="274"/>
      <c r="P680" s="274"/>
      <c r="Q680" s="274"/>
      <c r="R680" s="274"/>
      <c r="S680" s="274"/>
      <c r="T680" s="274"/>
      <c r="U680" s="274"/>
      <c r="V680" s="274"/>
    </row>
    <row r="681" spans="1:22" x14ac:dyDescent="0.2">
      <c r="A681" s="267"/>
      <c r="B681" s="270" t="s">
        <v>34</v>
      </c>
      <c r="C681" s="278">
        <v>0</v>
      </c>
      <c r="D681" s="279">
        <v>4.2613254080613263</v>
      </c>
      <c r="E681" s="279">
        <v>4.3465519162225528</v>
      </c>
      <c r="F681" s="279">
        <v>4.4334829545470038</v>
      </c>
      <c r="G681" s="279">
        <v>4.5221526136379433</v>
      </c>
      <c r="H681" s="279">
        <v>4.6125956659107024</v>
      </c>
      <c r="I681" s="279">
        <v>4.7048475792289164</v>
      </c>
      <c r="J681" s="279">
        <v>4.798944530813495</v>
      </c>
      <c r="K681" s="279">
        <v>4.8949234214297652</v>
      </c>
      <c r="L681" s="279">
        <v>4.9928218898583605</v>
      </c>
      <c r="M681" s="279">
        <v>5.0926783276555279</v>
      </c>
      <c r="N681" s="279">
        <v>5.1945318942086383</v>
      </c>
      <c r="O681" s="279">
        <v>5.2984225320928111</v>
      </c>
      <c r="P681" s="279">
        <v>5.4043909827346681</v>
      </c>
      <c r="Q681" s="279">
        <v>5.5124788023893609</v>
      </c>
      <c r="R681" s="279">
        <v>5.6227283784371487</v>
      </c>
      <c r="S681" s="279">
        <v>5.7351829460058914</v>
      </c>
      <c r="T681" s="279">
        <v>5.8498866049260094</v>
      </c>
      <c r="U681" s="279">
        <v>5.9668843370245295</v>
      </c>
      <c r="V681" s="279">
        <v>6.0862220237650195</v>
      </c>
    </row>
    <row r="682" spans="1:22" x14ac:dyDescent="0.2">
      <c r="A682" s="267"/>
      <c r="B682" s="270" t="s">
        <v>95</v>
      </c>
      <c r="C682" s="278">
        <v>0</v>
      </c>
      <c r="D682" s="279">
        <v>2.0568909100340993</v>
      </c>
      <c r="E682" s="279">
        <v>2.0568909100340993</v>
      </c>
      <c r="F682" s="279">
        <v>2.0568909100340993</v>
      </c>
      <c r="G682" s="279">
        <v>2.0568909100340993</v>
      </c>
      <c r="H682" s="279">
        <v>2.0568909100340993</v>
      </c>
      <c r="I682" s="279">
        <v>2.0568909100340993</v>
      </c>
      <c r="J682" s="279">
        <v>2.0568909100340993</v>
      </c>
      <c r="K682" s="279">
        <v>2.0568909100340993</v>
      </c>
      <c r="L682" s="279">
        <v>2.0568909100340993</v>
      </c>
      <c r="M682" s="279">
        <v>2.0568909100340993</v>
      </c>
      <c r="N682" s="279">
        <v>2.0568909100340993</v>
      </c>
      <c r="O682" s="279">
        <v>2.0568909100340993</v>
      </c>
      <c r="P682" s="279">
        <v>2.0568909100340993</v>
      </c>
      <c r="Q682" s="279">
        <v>2.0568909100340993</v>
      </c>
      <c r="R682" s="279">
        <v>2.0568909100340993</v>
      </c>
      <c r="S682" s="279">
        <v>2.0568909100340993</v>
      </c>
      <c r="T682" s="279">
        <v>2.0568909100340993</v>
      </c>
      <c r="U682" s="279">
        <v>2.0568909100340993</v>
      </c>
      <c r="V682" s="279">
        <v>2.0568909100340993</v>
      </c>
    </row>
    <row r="683" spans="1:22" x14ac:dyDescent="0.2">
      <c r="A683" s="267"/>
      <c r="B683" s="270" t="s">
        <v>36</v>
      </c>
      <c r="C683" s="278">
        <v>0</v>
      </c>
      <c r="D683" s="279">
        <v>0.41407105948314693</v>
      </c>
      <c r="E683" s="279">
        <v>0.42280795883824385</v>
      </c>
      <c r="F683" s="279">
        <v>0.432067453136802</v>
      </c>
      <c r="G683" s="279">
        <v>0.44183217757768989</v>
      </c>
      <c r="H683" s="279">
        <v>0.45234778340404036</v>
      </c>
      <c r="I683" s="279">
        <v>0.46368366433148034</v>
      </c>
      <c r="J683" s="279">
        <v>0.47518431097007663</v>
      </c>
      <c r="K683" s="279">
        <v>0.48721220788436947</v>
      </c>
      <c r="L683" s="279">
        <v>0.49924634941911356</v>
      </c>
      <c r="M683" s="279">
        <v>0.51197713132930012</v>
      </c>
      <c r="N683" s="279">
        <v>0.52436697790747067</v>
      </c>
      <c r="O683" s="279">
        <v>0.53758102575073774</v>
      </c>
      <c r="P683" s="279">
        <v>0.55123558380480508</v>
      </c>
      <c r="Q683" s="279">
        <v>0.56501647339992567</v>
      </c>
      <c r="R683" s="279">
        <v>0.57919838688226355</v>
      </c>
      <c r="S683" s="279">
        <v>0.5936783465543215</v>
      </c>
      <c r="T683" s="279">
        <v>0.60840156954886682</v>
      </c>
      <c r="U683" s="279">
        <v>0.62367244894454466</v>
      </c>
      <c r="V683" s="279">
        <v>0.63932662741305357</v>
      </c>
    </row>
    <row r="684" spans="1:22" x14ac:dyDescent="0.2">
      <c r="A684" s="267"/>
      <c r="B684" s="270" t="s">
        <v>39</v>
      </c>
      <c r="C684" s="278">
        <v>0</v>
      </c>
      <c r="D684" s="279">
        <v>0.17833603010799084</v>
      </c>
      <c r="E684" s="279">
        <v>4.5325094387113012</v>
      </c>
      <c r="F684" s="279">
        <v>0.18914374408207785</v>
      </c>
      <c r="G684" s="279">
        <v>0.19548727721644912</v>
      </c>
      <c r="H684" s="279">
        <v>1.0565366221998491</v>
      </c>
      <c r="I684" s="279">
        <v>1.0882327208658444</v>
      </c>
      <c r="J684" s="279">
        <v>1.1208797024918198</v>
      </c>
      <c r="K684" s="279">
        <v>1.1545060935665745</v>
      </c>
      <c r="L684" s="279">
        <v>1.1891412763735718</v>
      </c>
      <c r="M684" s="279">
        <v>1.224815514664779</v>
      </c>
      <c r="N684" s="279">
        <v>1.2615599801047224</v>
      </c>
      <c r="O684" s="279">
        <v>1.2994067795078643</v>
      </c>
      <c r="P684" s="279">
        <v>1.3383889828931002</v>
      </c>
      <c r="Q684" s="279">
        <v>1.3785406523798933</v>
      </c>
      <c r="R684" s="279">
        <v>1.4198968719512901</v>
      </c>
      <c r="S684" s="279">
        <v>1.4624937781098288</v>
      </c>
      <c r="T684" s="279">
        <v>1.5063685914531237</v>
      </c>
      <c r="U684" s="279">
        <v>1.5515596491967176</v>
      </c>
      <c r="V684" s="279">
        <v>1.5981064386726191</v>
      </c>
    </row>
    <row r="685" spans="1:22" x14ac:dyDescent="0.2">
      <c r="A685" s="267"/>
      <c r="B685" s="270" t="s">
        <v>96</v>
      </c>
      <c r="C685" s="280">
        <v>0</v>
      </c>
      <c r="D685" s="281">
        <v>0</v>
      </c>
      <c r="E685" s="281">
        <v>0</v>
      </c>
      <c r="F685" s="281">
        <v>0</v>
      </c>
      <c r="G685" s="281">
        <v>0</v>
      </c>
      <c r="H685" s="281">
        <v>0</v>
      </c>
      <c r="I685" s="281">
        <v>0</v>
      </c>
      <c r="J685" s="281">
        <v>0</v>
      </c>
      <c r="K685" s="281">
        <v>0</v>
      </c>
      <c r="L685" s="281">
        <v>0</v>
      </c>
      <c r="M685" s="281">
        <v>0</v>
      </c>
      <c r="N685" s="281">
        <v>0</v>
      </c>
      <c r="O685" s="281">
        <v>0</v>
      </c>
      <c r="P685" s="281">
        <v>0</v>
      </c>
      <c r="Q685" s="281">
        <v>0</v>
      </c>
      <c r="R685" s="281">
        <v>0</v>
      </c>
      <c r="S685" s="281">
        <v>0</v>
      </c>
      <c r="T685" s="281">
        <v>0</v>
      </c>
      <c r="U685" s="281">
        <v>0</v>
      </c>
      <c r="V685" s="281">
        <v>0</v>
      </c>
    </row>
    <row r="686" spans="1:22" x14ac:dyDescent="0.2">
      <c r="A686" s="267"/>
      <c r="B686" s="270"/>
      <c r="C686" s="267"/>
      <c r="D686" s="267"/>
      <c r="E686" s="267"/>
      <c r="F686" s="267"/>
      <c r="G686" s="267"/>
      <c r="H686" s="267"/>
      <c r="I686" s="267"/>
      <c r="J686" s="267"/>
      <c r="K686" s="267"/>
      <c r="L686" s="267"/>
      <c r="M686" s="267"/>
      <c r="N686" s="267"/>
      <c r="O686" s="267"/>
      <c r="P686" s="267"/>
      <c r="Q686" s="267"/>
      <c r="R686" s="267"/>
      <c r="S686" s="267"/>
      <c r="T686" s="267"/>
      <c r="U686" s="267"/>
      <c r="V686" s="267"/>
    </row>
    <row r="687" spans="1:22" x14ac:dyDescent="0.2">
      <c r="A687" s="267"/>
      <c r="B687" s="270"/>
      <c r="C687" s="267"/>
      <c r="D687" s="267"/>
      <c r="E687" s="267"/>
      <c r="F687" s="267"/>
      <c r="G687" s="267"/>
      <c r="H687" s="267"/>
      <c r="I687" s="267"/>
      <c r="J687" s="267"/>
      <c r="K687" s="267"/>
      <c r="L687" s="267"/>
      <c r="M687" s="267"/>
      <c r="N687" s="267"/>
      <c r="O687" s="267"/>
      <c r="P687" s="267"/>
      <c r="Q687" s="267"/>
      <c r="R687" s="267"/>
      <c r="S687" s="267"/>
      <c r="T687" s="267"/>
      <c r="U687" s="267"/>
      <c r="V687" s="267"/>
    </row>
    <row r="688" spans="1:22" x14ac:dyDescent="0.2">
      <c r="A688" s="24"/>
      <c r="B688" s="295"/>
      <c r="C688" s="299"/>
      <c r="D688" s="299"/>
      <c r="E688" s="299"/>
      <c r="F688" s="299"/>
      <c r="G688" s="299"/>
      <c r="H688" s="299"/>
      <c r="I688" s="299"/>
      <c r="J688" s="299"/>
      <c r="K688" s="299"/>
      <c r="L688" s="299"/>
      <c r="M688" s="299"/>
      <c r="N688" s="299"/>
      <c r="O688" s="299"/>
      <c r="P688" s="299"/>
      <c r="Q688" s="299"/>
      <c r="R688" s="299"/>
      <c r="S688" s="299"/>
      <c r="T688" s="299"/>
      <c r="U688" s="299"/>
      <c r="V688" s="299"/>
    </row>
    <row r="689" spans="1:22" x14ac:dyDescent="0.2">
      <c r="A689" s="24"/>
      <c r="B689" s="295"/>
      <c r="C689" s="299"/>
      <c r="D689" s="299"/>
      <c r="E689" s="299"/>
      <c r="F689" s="299"/>
      <c r="G689" s="299"/>
      <c r="H689" s="299"/>
      <c r="I689" s="299"/>
      <c r="J689" s="299"/>
      <c r="K689" s="299"/>
      <c r="L689" s="299"/>
      <c r="M689" s="299"/>
      <c r="N689" s="299"/>
      <c r="O689" s="299"/>
      <c r="P689" s="299"/>
      <c r="Q689" s="299"/>
      <c r="R689" s="299"/>
      <c r="S689" s="299"/>
      <c r="T689" s="299"/>
      <c r="U689" s="299"/>
      <c r="V689" s="299"/>
    </row>
    <row r="690" spans="1:22" x14ac:dyDescent="0.2">
      <c r="A690" s="265" t="s">
        <v>98</v>
      </c>
      <c r="B690" s="266"/>
      <c r="C690" s="267"/>
      <c r="D690" s="267"/>
      <c r="E690" s="267"/>
      <c r="F690" s="267"/>
      <c r="G690" s="267"/>
      <c r="H690" s="267"/>
      <c r="I690" s="267"/>
      <c r="J690" s="267"/>
      <c r="K690" s="267"/>
      <c r="L690" s="267"/>
      <c r="M690" s="267"/>
      <c r="N690" s="267"/>
      <c r="O690" s="267"/>
      <c r="P690" s="267"/>
      <c r="Q690" s="267"/>
      <c r="R690" s="267"/>
      <c r="S690" s="267"/>
      <c r="T690" s="267"/>
      <c r="U690" s="267"/>
      <c r="V690" s="267"/>
    </row>
    <row r="691" spans="1:22" x14ac:dyDescent="0.2">
      <c r="A691" s="268" t="s">
        <v>83</v>
      </c>
      <c r="B691" s="266"/>
      <c r="C691" s="267"/>
      <c r="D691" s="267"/>
      <c r="E691" s="267"/>
      <c r="F691" s="267"/>
      <c r="G691" s="267"/>
      <c r="H691" s="267"/>
      <c r="I691" s="267"/>
      <c r="J691" s="267"/>
      <c r="K691" s="267"/>
      <c r="L691" s="267"/>
      <c r="M691" s="267"/>
      <c r="N691" s="267"/>
      <c r="O691" s="267"/>
      <c r="P691" s="267"/>
      <c r="Q691" s="267"/>
      <c r="R691" s="267"/>
      <c r="S691" s="267"/>
      <c r="T691" s="267"/>
      <c r="U691" s="267"/>
      <c r="V691" s="267"/>
    </row>
    <row r="692" spans="1:22" x14ac:dyDescent="0.2">
      <c r="A692" s="267"/>
      <c r="B692" s="266"/>
      <c r="C692" s="267"/>
      <c r="D692" s="267"/>
      <c r="E692" s="267"/>
      <c r="F692" s="267"/>
      <c r="G692" s="267"/>
      <c r="H692" s="267"/>
      <c r="I692" s="267"/>
      <c r="J692" s="267"/>
      <c r="K692" s="267"/>
      <c r="L692" s="267"/>
      <c r="M692" s="267"/>
      <c r="N692" s="267"/>
      <c r="O692" s="267"/>
      <c r="P692" s="267"/>
      <c r="Q692" s="267"/>
      <c r="R692" s="267"/>
      <c r="S692" s="267"/>
      <c r="T692" s="267"/>
      <c r="U692" s="267"/>
      <c r="V692" s="267"/>
    </row>
    <row r="693" spans="1:22" x14ac:dyDescent="0.2">
      <c r="A693" s="267"/>
      <c r="B693" s="266"/>
      <c r="C693" s="271">
        <v>2000</v>
      </c>
      <c r="D693" s="272">
        <v>2001</v>
      </c>
      <c r="E693" s="272">
        <v>2002</v>
      </c>
      <c r="F693" s="272">
        <v>2003</v>
      </c>
      <c r="G693" s="272">
        <v>2004</v>
      </c>
      <c r="H693" s="272">
        <v>2005</v>
      </c>
      <c r="I693" s="272">
        <v>2006</v>
      </c>
      <c r="J693" s="272">
        <v>2007</v>
      </c>
      <c r="K693" s="272">
        <v>2008</v>
      </c>
      <c r="L693" s="272">
        <v>2009</v>
      </c>
      <c r="M693" s="272">
        <v>2010</v>
      </c>
      <c r="N693" s="272">
        <v>2011</v>
      </c>
      <c r="O693" s="272">
        <v>2012</v>
      </c>
      <c r="P693" s="272">
        <v>2013</v>
      </c>
      <c r="Q693" s="272">
        <v>2014</v>
      </c>
      <c r="R693" s="272">
        <v>2015</v>
      </c>
      <c r="S693" s="272">
        <v>2016</v>
      </c>
      <c r="T693" s="272">
        <v>2017</v>
      </c>
      <c r="U693" s="272">
        <v>2018</v>
      </c>
      <c r="V693" s="272">
        <v>2019</v>
      </c>
    </row>
    <row r="694" spans="1:22" x14ac:dyDescent="0.2">
      <c r="A694" s="269" t="s">
        <v>129</v>
      </c>
      <c r="B694" s="266"/>
      <c r="C694" s="273"/>
      <c r="D694" s="274"/>
      <c r="E694" s="274"/>
      <c r="F694" s="274"/>
      <c r="G694" s="274"/>
      <c r="H694" s="274"/>
      <c r="I694" s="274"/>
      <c r="J694" s="274"/>
      <c r="K694" s="274"/>
      <c r="L694" s="274"/>
      <c r="M694" s="274"/>
      <c r="N694" s="274"/>
      <c r="O694" s="274"/>
      <c r="P694" s="274"/>
      <c r="Q694" s="274"/>
      <c r="R694" s="274"/>
      <c r="S694" s="274"/>
      <c r="T694" s="274"/>
      <c r="U694" s="274"/>
      <c r="V694" s="274"/>
    </row>
    <row r="695" spans="1:22" x14ac:dyDescent="0.2">
      <c r="A695" s="267"/>
      <c r="B695" s="270" t="s">
        <v>97</v>
      </c>
      <c r="C695" s="275">
        <v>0</v>
      </c>
      <c r="D695" s="276">
        <v>34701.827010831963</v>
      </c>
      <c r="E695" s="276">
        <v>48582.55781516475</v>
      </c>
      <c r="F695" s="276">
        <v>54751.771505979326</v>
      </c>
      <c r="G695" s="276">
        <v>58221.954207062518</v>
      </c>
      <c r="H695" s="276">
        <v>60535.409341117978</v>
      </c>
      <c r="I695" s="276">
        <v>81742.081403293065</v>
      </c>
      <c r="J695" s="276">
        <v>97165.115630329499</v>
      </c>
      <c r="K695" s="276">
        <v>129553.48750710602</v>
      </c>
      <c r="L695" s="276">
        <v>132638.09435251329</v>
      </c>
      <c r="M695" s="276">
        <v>98707.419053033154</v>
      </c>
      <c r="N695" s="276">
        <v>109503.54301195867</v>
      </c>
      <c r="O695" s="276">
        <v>100249.72247573679</v>
      </c>
      <c r="P695" s="276">
        <v>89068.022661135372</v>
      </c>
      <c r="Q695" s="276">
        <v>97165.115630329499</v>
      </c>
      <c r="R695" s="276">
        <v>87911.295094107656</v>
      </c>
      <c r="S695" s="276">
        <v>94466.084640598128</v>
      </c>
      <c r="T695" s="276">
        <v>79428.626269237619</v>
      </c>
      <c r="U695" s="276">
        <v>81742.081403293079</v>
      </c>
      <c r="V695" s="276">
        <v>97550.691486005424</v>
      </c>
    </row>
    <row r="696" spans="1:22" x14ac:dyDescent="0.2">
      <c r="A696" s="267"/>
      <c r="B696" s="270" t="s">
        <v>91</v>
      </c>
      <c r="C696" s="275">
        <v>0</v>
      </c>
      <c r="D696" s="277">
        <v>4.7479963293807402E-2</v>
      </c>
      <c r="E696" s="277">
        <v>6.6471948611330364E-2</v>
      </c>
      <c r="F696" s="277">
        <v>7.4912830974673911E-2</v>
      </c>
      <c r="G696" s="277">
        <v>7.9660827304054632E-2</v>
      </c>
      <c r="H696" s="277">
        <v>8.282615819030846E-2</v>
      </c>
      <c r="I696" s="277">
        <v>0.11184169131430187</v>
      </c>
      <c r="J696" s="277">
        <v>0.13294389722266073</v>
      </c>
      <c r="K696" s="277">
        <v>0.17725852963021432</v>
      </c>
      <c r="L696" s="277">
        <v>0.1814789708118861</v>
      </c>
      <c r="M696" s="277">
        <v>0.13505411781349663</v>
      </c>
      <c r="N696" s="277">
        <v>0.14982566194934785</v>
      </c>
      <c r="O696" s="277">
        <v>0.13716433840433251</v>
      </c>
      <c r="P696" s="277">
        <v>0.12186523912077234</v>
      </c>
      <c r="Q696" s="277">
        <v>0.13294389722266073</v>
      </c>
      <c r="R696" s="277">
        <v>0.12028257367764543</v>
      </c>
      <c r="S696" s="277">
        <v>0.12925101118869795</v>
      </c>
      <c r="T696" s="277">
        <v>0.10867636042804807</v>
      </c>
      <c r="U696" s="277">
        <v>0.11184169131430188</v>
      </c>
      <c r="V696" s="277">
        <v>0.13347145237036973</v>
      </c>
    </row>
    <row r="697" spans="1:22" x14ac:dyDescent="0.2">
      <c r="A697" s="269" t="s">
        <v>93</v>
      </c>
      <c r="B697" s="270"/>
      <c r="C697" s="273"/>
      <c r="D697" s="274"/>
      <c r="E697" s="274"/>
      <c r="F697" s="274"/>
      <c r="G697" s="274"/>
      <c r="H697" s="274"/>
      <c r="I697" s="274"/>
      <c r="J697" s="274"/>
      <c r="K697" s="274"/>
      <c r="L697" s="274"/>
      <c r="M697" s="274"/>
      <c r="N697" s="274"/>
      <c r="O697" s="274"/>
      <c r="P697" s="274"/>
      <c r="Q697" s="274"/>
      <c r="R697" s="274"/>
      <c r="S697" s="274"/>
      <c r="T697" s="274"/>
      <c r="U697" s="274"/>
      <c r="V697" s="274"/>
    </row>
    <row r="698" spans="1:22" x14ac:dyDescent="0.2">
      <c r="A698" s="267"/>
      <c r="B698" s="270" t="s">
        <v>27</v>
      </c>
      <c r="C698" s="278">
        <v>0</v>
      </c>
      <c r="D698" s="279">
        <v>224.14955573080834</v>
      </c>
      <c r="E698" s="279">
        <v>140.83767637936148</v>
      </c>
      <c r="F698" s="279">
        <v>121.08635994508307</v>
      </c>
      <c r="G698" s="279">
        <v>108.5262420712357</v>
      </c>
      <c r="H698" s="279">
        <v>106.57010121650639</v>
      </c>
      <c r="I698" s="279">
        <v>91.206189748264421</v>
      </c>
      <c r="J698" s="279">
        <v>91.945984878961468</v>
      </c>
      <c r="K698" s="279">
        <v>87.297763274588931</v>
      </c>
      <c r="L698" s="279">
        <v>90.38083672551528</v>
      </c>
      <c r="M698" s="279">
        <v>104.65010227117013</v>
      </c>
      <c r="N698" s="279">
        <v>92.572561091638761</v>
      </c>
      <c r="O698" s="279">
        <v>101.1613275128922</v>
      </c>
      <c r="P698" s="279">
        <v>105.23890335637248</v>
      </c>
      <c r="Q698" s="279">
        <v>111.45249669401376</v>
      </c>
      <c r="R698" s="279">
        <v>115.35115363867615</v>
      </c>
      <c r="S698" s="279">
        <v>108.04141207766408</v>
      </c>
      <c r="T698" s="279">
        <v>118.79143790989349</v>
      </c>
      <c r="U698" s="279">
        <v>130.45852799709593</v>
      </c>
      <c r="V698" s="279">
        <v>118.24998428141527</v>
      </c>
    </row>
    <row r="699" spans="1:22" x14ac:dyDescent="0.2">
      <c r="A699" s="267"/>
      <c r="B699" s="270" t="s">
        <v>20</v>
      </c>
      <c r="C699" s="278">
        <v>0</v>
      </c>
      <c r="D699" s="279">
        <v>65.684377893898358</v>
      </c>
      <c r="E699" s="279">
        <v>57.899988190766742</v>
      </c>
      <c r="F699" s="279">
        <v>55.866138600080333</v>
      </c>
      <c r="G699" s="279">
        <v>56.881151409624138</v>
      </c>
      <c r="H699" s="279">
        <v>58.148935619722991</v>
      </c>
      <c r="I699" s="279">
        <v>57.132932268659204</v>
      </c>
      <c r="J699" s="279">
        <v>59.700711989393014</v>
      </c>
      <c r="K699" s="279">
        <v>55.447556928172602</v>
      </c>
      <c r="L699" s="279">
        <v>57.920732955499325</v>
      </c>
      <c r="M699" s="279">
        <v>60.792877046111947</v>
      </c>
      <c r="N699" s="279">
        <v>60.485543945375674</v>
      </c>
      <c r="O699" s="279">
        <v>61.281149218529499</v>
      </c>
      <c r="P699" s="279">
        <v>63.118843897539222</v>
      </c>
      <c r="Q699" s="279">
        <v>64.715732591561945</v>
      </c>
      <c r="R699" s="279">
        <v>70.033011235496289</v>
      </c>
      <c r="S699" s="279">
        <v>72.790715473682866</v>
      </c>
      <c r="T699" s="279">
        <v>73.972040008275627</v>
      </c>
      <c r="U699" s="279">
        <v>80.342882468536502</v>
      </c>
      <c r="V699" s="279">
        <v>79.935989823849198</v>
      </c>
    </row>
    <row r="700" spans="1:22" x14ac:dyDescent="0.2">
      <c r="A700" s="267"/>
      <c r="B700" s="270" t="s">
        <v>92</v>
      </c>
      <c r="C700" s="278">
        <v>0</v>
      </c>
      <c r="D700" s="279">
        <v>1.6433760715074071</v>
      </c>
      <c r="E700" s="279">
        <v>1.6710856058623107</v>
      </c>
      <c r="F700" s="279">
        <v>1.7099447969995702</v>
      </c>
      <c r="G700" s="279">
        <v>1.7409714784501222</v>
      </c>
      <c r="H700" s="279">
        <v>1.779396249631956</v>
      </c>
      <c r="I700" s="279">
        <v>1.8141448525642321</v>
      </c>
      <c r="J700" s="279">
        <v>1.8506476751768721</v>
      </c>
      <c r="K700" s="279">
        <v>1.8860831327885805</v>
      </c>
      <c r="L700" s="279">
        <v>1.9239754421828523</v>
      </c>
      <c r="M700" s="279">
        <v>1.9650442342923489</v>
      </c>
      <c r="N700" s="279">
        <v>2.0024341315633607</v>
      </c>
      <c r="O700" s="279">
        <v>2.0441684110093803</v>
      </c>
      <c r="P700" s="279">
        <v>2.0847565388024525</v>
      </c>
      <c r="Q700" s="279">
        <v>2.1256979128069147</v>
      </c>
      <c r="R700" s="279">
        <v>2.1712818841472332</v>
      </c>
      <c r="S700" s="279">
        <v>2.2131601108887859</v>
      </c>
      <c r="T700" s="279">
        <v>2.255236940403945</v>
      </c>
      <c r="U700" s="279">
        <v>2.3049881715259017</v>
      </c>
      <c r="V700" s="279">
        <v>2.3509563531555151</v>
      </c>
    </row>
    <row r="701" spans="1:22" x14ac:dyDescent="0.2">
      <c r="A701" s="267"/>
      <c r="B701" s="270" t="s">
        <v>22</v>
      </c>
      <c r="C701" s="278">
        <v>0</v>
      </c>
      <c r="D701" s="279">
        <v>0</v>
      </c>
      <c r="E701" s="279">
        <v>0</v>
      </c>
      <c r="F701" s="279">
        <v>0</v>
      </c>
      <c r="G701" s="279">
        <v>0</v>
      </c>
      <c r="H701" s="279">
        <v>0</v>
      </c>
      <c r="I701" s="279">
        <v>-1.142838813538273</v>
      </c>
      <c r="J701" s="279">
        <v>-1.0656748112233358</v>
      </c>
      <c r="K701" s="279">
        <v>-0.88194590251466176</v>
      </c>
      <c r="L701" s="279">
        <v>-0.94615078969854804</v>
      </c>
      <c r="M701" s="279">
        <v>-1.4139812943571077</v>
      </c>
      <c r="N701" s="279">
        <v>-1.4040404068216288</v>
      </c>
      <c r="O701" s="279">
        <v>-1.6992317234021401</v>
      </c>
      <c r="P701" s="279">
        <v>-2.144477480328443</v>
      </c>
      <c r="Q701" s="279">
        <v>-2.1882099020119137</v>
      </c>
      <c r="R701" s="279">
        <v>-2.6790121237590512</v>
      </c>
      <c r="S701" s="279">
        <v>-2.7374443263445722</v>
      </c>
      <c r="T701" s="279">
        <v>-3.1985649052349485</v>
      </c>
      <c r="U701" s="279">
        <v>-2.6590958841753149</v>
      </c>
      <c r="V701" s="279">
        <v>-2.3102065993527932</v>
      </c>
    </row>
    <row r="702" spans="1:22" x14ac:dyDescent="0.2">
      <c r="A702" s="267"/>
      <c r="B702" s="270" t="s">
        <v>23</v>
      </c>
      <c r="C702" s="278">
        <v>0</v>
      </c>
      <c r="D702" s="279">
        <v>0</v>
      </c>
      <c r="E702" s="279">
        <v>0</v>
      </c>
      <c r="F702" s="279">
        <v>0</v>
      </c>
      <c r="G702" s="279">
        <v>0</v>
      </c>
      <c r="H702" s="279">
        <v>0</v>
      </c>
      <c r="I702" s="279">
        <v>0</v>
      </c>
      <c r="J702" s="279">
        <v>0</v>
      </c>
      <c r="K702" s="279">
        <v>0</v>
      </c>
      <c r="L702" s="279">
        <v>0</v>
      </c>
      <c r="M702" s="279">
        <v>0</v>
      </c>
      <c r="N702" s="279">
        <v>0</v>
      </c>
      <c r="O702" s="279">
        <v>0</v>
      </c>
      <c r="P702" s="279">
        <v>0</v>
      </c>
      <c r="Q702" s="279">
        <v>0</v>
      </c>
      <c r="R702" s="279">
        <v>0</v>
      </c>
      <c r="S702" s="279">
        <v>0</v>
      </c>
      <c r="T702" s="279">
        <v>0</v>
      </c>
      <c r="U702" s="279">
        <v>0</v>
      </c>
      <c r="V702" s="279">
        <v>0</v>
      </c>
    </row>
    <row r="703" spans="1:22" x14ac:dyDescent="0.2">
      <c r="A703" s="269" t="s">
        <v>94</v>
      </c>
      <c r="B703" s="270"/>
      <c r="C703" s="273"/>
      <c r="D703" s="274"/>
      <c r="E703" s="274"/>
      <c r="F703" s="274"/>
      <c r="G703" s="274"/>
      <c r="H703" s="274"/>
      <c r="I703" s="274"/>
      <c r="J703" s="274"/>
      <c r="K703" s="274"/>
      <c r="L703" s="274"/>
      <c r="M703" s="274"/>
      <c r="N703" s="274"/>
      <c r="O703" s="274"/>
      <c r="P703" s="274"/>
      <c r="Q703" s="274"/>
      <c r="R703" s="274"/>
      <c r="S703" s="274"/>
      <c r="T703" s="274"/>
      <c r="U703" s="274"/>
      <c r="V703" s="274"/>
    </row>
    <row r="704" spans="1:22" x14ac:dyDescent="0.2">
      <c r="A704" s="267"/>
      <c r="B704" s="270" t="s">
        <v>34</v>
      </c>
      <c r="C704" s="278">
        <v>0</v>
      </c>
      <c r="D704" s="279">
        <v>4.2613254080613263</v>
      </c>
      <c r="E704" s="279">
        <v>4.3465519162225528</v>
      </c>
      <c r="F704" s="279">
        <v>4.4334829545470038</v>
      </c>
      <c r="G704" s="279">
        <v>4.5221526136379433</v>
      </c>
      <c r="H704" s="279">
        <v>4.6125956659107024</v>
      </c>
      <c r="I704" s="279">
        <v>4.7048475792289164</v>
      </c>
      <c r="J704" s="279">
        <v>4.798944530813495</v>
      </c>
      <c r="K704" s="279">
        <v>4.8949234214297652</v>
      </c>
      <c r="L704" s="279">
        <v>4.9928218898583605</v>
      </c>
      <c r="M704" s="279">
        <v>5.0926783276555279</v>
      </c>
      <c r="N704" s="279">
        <v>5.1945318942086383</v>
      </c>
      <c r="O704" s="279">
        <v>5.2984225320928111</v>
      </c>
      <c r="P704" s="279">
        <v>5.4043909827346681</v>
      </c>
      <c r="Q704" s="279">
        <v>5.5124788023893609</v>
      </c>
      <c r="R704" s="279">
        <v>5.6227283784371487</v>
      </c>
      <c r="S704" s="279">
        <v>5.7351829460058914</v>
      </c>
      <c r="T704" s="279">
        <v>5.8498866049260094</v>
      </c>
      <c r="U704" s="279">
        <v>5.9668843370245295</v>
      </c>
      <c r="V704" s="279">
        <v>6.0862220237650195</v>
      </c>
    </row>
    <row r="705" spans="1:22" x14ac:dyDescent="0.2">
      <c r="A705" s="267"/>
      <c r="B705" s="270" t="s">
        <v>95</v>
      </c>
      <c r="C705" s="278">
        <v>0</v>
      </c>
      <c r="D705" s="279">
        <v>2.0568909100340993</v>
      </c>
      <c r="E705" s="279">
        <v>2.0568909100340993</v>
      </c>
      <c r="F705" s="279">
        <v>2.0568909100340993</v>
      </c>
      <c r="G705" s="279">
        <v>2.0568909100340993</v>
      </c>
      <c r="H705" s="279">
        <v>2.0568909100340993</v>
      </c>
      <c r="I705" s="279">
        <v>2.0568909100340993</v>
      </c>
      <c r="J705" s="279">
        <v>2.0568909100340993</v>
      </c>
      <c r="K705" s="279">
        <v>2.0568909100340993</v>
      </c>
      <c r="L705" s="279">
        <v>2.0568909100340993</v>
      </c>
      <c r="M705" s="279">
        <v>2.0568909100340993</v>
      </c>
      <c r="N705" s="279">
        <v>2.0568909100340993</v>
      </c>
      <c r="O705" s="279">
        <v>2.0568909100340993</v>
      </c>
      <c r="P705" s="279">
        <v>2.0568909100340993</v>
      </c>
      <c r="Q705" s="279">
        <v>2.0568909100340993</v>
      </c>
      <c r="R705" s="279">
        <v>2.0568909100340993</v>
      </c>
      <c r="S705" s="279">
        <v>2.0568909100340993</v>
      </c>
      <c r="T705" s="279">
        <v>2.0568909100340993</v>
      </c>
      <c r="U705" s="279">
        <v>2.0568909100340993</v>
      </c>
      <c r="V705" s="279">
        <v>2.0568909100340993</v>
      </c>
    </row>
    <row r="706" spans="1:22" x14ac:dyDescent="0.2">
      <c r="A706" s="267"/>
      <c r="B706" s="270" t="s">
        <v>36</v>
      </c>
      <c r="C706" s="278">
        <v>0</v>
      </c>
      <c r="D706" s="279">
        <v>0.41407105948314693</v>
      </c>
      <c r="E706" s="279">
        <v>0.42280795883824385</v>
      </c>
      <c r="F706" s="279">
        <v>0.432067453136802</v>
      </c>
      <c r="G706" s="279">
        <v>0.44183217757768989</v>
      </c>
      <c r="H706" s="279">
        <v>0.45234778340404036</v>
      </c>
      <c r="I706" s="279">
        <v>0.46368366433148034</v>
      </c>
      <c r="J706" s="279">
        <v>0.47518431097007663</v>
      </c>
      <c r="K706" s="279">
        <v>0.48721220788436947</v>
      </c>
      <c r="L706" s="279">
        <v>0.49924634941911356</v>
      </c>
      <c r="M706" s="279">
        <v>0.51197713132930012</v>
      </c>
      <c r="N706" s="279">
        <v>0.52436697790747067</v>
      </c>
      <c r="O706" s="279">
        <v>0.53758102575073774</v>
      </c>
      <c r="P706" s="279">
        <v>0.55123558380480508</v>
      </c>
      <c r="Q706" s="279">
        <v>0.56501647339992567</v>
      </c>
      <c r="R706" s="279">
        <v>0.57919838688226355</v>
      </c>
      <c r="S706" s="279">
        <v>0.5936783465543215</v>
      </c>
      <c r="T706" s="279">
        <v>0.60840156954886682</v>
      </c>
      <c r="U706" s="279">
        <v>0.62367244894454466</v>
      </c>
      <c r="V706" s="279">
        <v>0.63932662741305357</v>
      </c>
    </row>
    <row r="707" spans="1:22" x14ac:dyDescent="0.2">
      <c r="A707" s="267"/>
      <c r="B707" s="270" t="s">
        <v>39</v>
      </c>
      <c r="C707" s="278">
        <v>0</v>
      </c>
      <c r="D707" s="279">
        <v>0.17833603010799084</v>
      </c>
      <c r="E707" s="279">
        <v>4.5325094387113012</v>
      </c>
      <c r="F707" s="279">
        <v>0.18914374408207785</v>
      </c>
      <c r="G707" s="279">
        <v>0.19548727721644912</v>
      </c>
      <c r="H707" s="279">
        <v>1.0565366221998491</v>
      </c>
      <c r="I707" s="279">
        <v>1.0882327208658444</v>
      </c>
      <c r="J707" s="279">
        <v>1.1208797024918198</v>
      </c>
      <c r="K707" s="279">
        <v>1.1545060935665745</v>
      </c>
      <c r="L707" s="279">
        <v>1.1891412763735718</v>
      </c>
      <c r="M707" s="279">
        <v>1.224815514664779</v>
      </c>
      <c r="N707" s="279">
        <v>1.2615599801047224</v>
      </c>
      <c r="O707" s="279">
        <v>1.2994067795078643</v>
      </c>
      <c r="P707" s="279">
        <v>1.3383889828931002</v>
      </c>
      <c r="Q707" s="279">
        <v>1.3785406523798933</v>
      </c>
      <c r="R707" s="279">
        <v>1.4198968719512901</v>
      </c>
      <c r="S707" s="279">
        <v>1.4624937781098288</v>
      </c>
      <c r="T707" s="279">
        <v>1.5063685914531237</v>
      </c>
      <c r="U707" s="279">
        <v>1.5515596491967176</v>
      </c>
      <c r="V707" s="279">
        <v>1.5981064386726191</v>
      </c>
    </row>
    <row r="708" spans="1:22" x14ac:dyDescent="0.2">
      <c r="A708" s="267"/>
      <c r="B708" s="270" t="s">
        <v>96</v>
      </c>
      <c r="C708" s="280">
        <v>0</v>
      </c>
      <c r="D708" s="281">
        <v>0</v>
      </c>
      <c r="E708" s="281">
        <v>0</v>
      </c>
      <c r="F708" s="281">
        <v>0</v>
      </c>
      <c r="G708" s="281">
        <v>0</v>
      </c>
      <c r="H708" s="281">
        <v>0</v>
      </c>
      <c r="I708" s="281">
        <v>0</v>
      </c>
      <c r="J708" s="281">
        <v>0</v>
      </c>
      <c r="K708" s="281">
        <v>0</v>
      </c>
      <c r="L708" s="281">
        <v>0</v>
      </c>
      <c r="M708" s="281">
        <v>0</v>
      </c>
      <c r="N708" s="281">
        <v>0</v>
      </c>
      <c r="O708" s="281">
        <v>0</v>
      </c>
      <c r="P708" s="281">
        <v>0</v>
      </c>
      <c r="Q708" s="281">
        <v>0</v>
      </c>
      <c r="R708" s="281">
        <v>0</v>
      </c>
      <c r="S708" s="281">
        <v>0</v>
      </c>
      <c r="T708" s="281">
        <v>0</v>
      </c>
      <c r="U708" s="281">
        <v>0</v>
      </c>
      <c r="V708" s="281">
        <v>0</v>
      </c>
    </row>
    <row r="709" spans="1:22" x14ac:dyDescent="0.2">
      <c r="A709" s="267"/>
      <c r="B709" s="270"/>
      <c r="C709" s="267"/>
      <c r="D709" s="267"/>
      <c r="E709" s="267"/>
      <c r="F709" s="267"/>
      <c r="G709" s="267"/>
      <c r="H709" s="267"/>
      <c r="I709" s="267"/>
      <c r="J709" s="267"/>
      <c r="K709" s="267"/>
      <c r="L709" s="267"/>
      <c r="M709" s="267"/>
      <c r="N709" s="267"/>
      <c r="O709" s="267"/>
      <c r="P709" s="267"/>
      <c r="Q709" s="267"/>
      <c r="R709" s="267"/>
      <c r="S709" s="267"/>
      <c r="T709" s="267"/>
      <c r="U709" s="267"/>
      <c r="V709" s="267"/>
    </row>
    <row r="710" spans="1:22" x14ac:dyDescent="0.2">
      <c r="A710" s="267"/>
      <c r="B710" s="270"/>
      <c r="C710" s="267"/>
      <c r="D710" s="267"/>
      <c r="E710" s="267"/>
      <c r="F710" s="267"/>
      <c r="G710" s="267"/>
      <c r="H710" s="267"/>
      <c r="I710" s="267"/>
      <c r="J710" s="267"/>
      <c r="K710" s="267"/>
      <c r="L710" s="267"/>
      <c r="M710" s="267"/>
      <c r="N710" s="267"/>
      <c r="O710" s="267"/>
      <c r="P710" s="267"/>
      <c r="Q710" s="267"/>
      <c r="R710" s="267"/>
      <c r="S710" s="267"/>
      <c r="T710" s="267"/>
      <c r="U710" s="267"/>
      <c r="V710" s="267"/>
    </row>
    <row r="713" spans="1:22" x14ac:dyDescent="0.2">
      <c r="A713" s="265" t="s">
        <v>98</v>
      </c>
      <c r="B713" s="266"/>
      <c r="C713" s="267"/>
      <c r="D713" s="267"/>
      <c r="E713" s="267"/>
      <c r="F713" s="267"/>
      <c r="G713" s="267"/>
      <c r="H713" s="267"/>
      <c r="I713" s="267"/>
      <c r="J713" s="267"/>
      <c r="K713" s="267"/>
      <c r="L713" s="267"/>
      <c r="M713" s="267"/>
      <c r="N713" s="267"/>
      <c r="O713" s="267"/>
      <c r="P713" s="267"/>
      <c r="Q713" s="267"/>
      <c r="R713" s="267"/>
      <c r="S713" s="267"/>
      <c r="T713" s="267"/>
      <c r="U713" s="267"/>
      <c r="V713" s="267"/>
    </row>
    <row r="714" spans="1:22" x14ac:dyDescent="0.2">
      <c r="A714" s="268" t="s">
        <v>84</v>
      </c>
      <c r="B714" s="266"/>
      <c r="C714" s="267"/>
      <c r="D714" s="267"/>
      <c r="E714" s="267"/>
      <c r="F714" s="267"/>
      <c r="G714" s="267"/>
      <c r="H714" s="267"/>
      <c r="I714" s="267"/>
      <c r="J714" s="267"/>
      <c r="K714" s="267"/>
      <c r="L714" s="267"/>
      <c r="M714" s="267"/>
      <c r="N714" s="267"/>
      <c r="O714" s="267"/>
      <c r="P714" s="267"/>
      <c r="Q714" s="267"/>
      <c r="R714" s="267"/>
      <c r="S714" s="267"/>
      <c r="T714" s="267"/>
      <c r="U714" s="267"/>
      <c r="V714" s="267"/>
    </row>
    <row r="715" spans="1:22" x14ac:dyDescent="0.2">
      <c r="A715" s="267"/>
      <c r="B715" s="266"/>
      <c r="C715" s="267"/>
      <c r="D715" s="267"/>
      <c r="E715" s="267"/>
      <c r="F715" s="267"/>
      <c r="G715" s="267"/>
      <c r="H715" s="267"/>
      <c r="I715" s="267"/>
      <c r="J715" s="267"/>
      <c r="K715" s="267"/>
      <c r="L715" s="267"/>
      <c r="M715" s="267"/>
      <c r="N715" s="267"/>
      <c r="O715" s="267"/>
      <c r="P715" s="267"/>
      <c r="Q715" s="267"/>
      <c r="R715" s="267"/>
      <c r="S715" s="267"/>
      <c r="T715" s="267"/>
      <c r="U715" s="267"/>
      <c r="V715" s="267"/>
    </row>
    <row r="716" spans="1:22" x14ac:dyDescent="0.2">
      <c r="A716" s="267"/>
      <c r="B716" s="266"/>
      <c r="C716" s="271">
        <v>2000</v>
      </c>
      <c r="D716" s="272">
        <v>2001</v>
      </c>
      <c r="E716" s="272">
        <v>2002</v>
      </c>
      <c r="F716" s="272">
        <v>2003</v>
      </c>
      <c r="G716" s="272">
        <v>2004</v>
      </c>
      <c r="H716" s="272">
        <v>2005</v>
      </c>
      <c r="I716" s="272">
        <v>2006</v>
      </c>
      <c r="J716" s="272">
        <v>2007</v>
      </c>
      <c r="K716" s="272">
        <v>2008</v>
      </c>
      <c r="L716" s="272">
        <v>2009</v>
      </c>
      <c r="M716" s="272">
        <v>2010</v>
      </c>
      <c r="N716" s="272">
        <v>2011</v>
      </c>
      <c r="O716" s="272">
        <v>2012</v>
      </c>
      <c r="P716" s="272">
        <v>2013</v>
      </c>
      <c r="Q716" s="272">
        <v>2014</v>
      </c>
      <c r="R716" s="272">
        <v>2015</v>
      </c>
      <c r="S716" s="272">
        <v>2016</v>
      </c>
      <c r="T716" s="272">
        <v>2017</v>
      </c>
      <c r="U716" s="272">
        <v>2018</v>
      </c>
      <c r="V716" s="272">
        <v>2019</v>
      </c>
    </row>
    <row r="717" spans="1:22" x14ac:dyDescent="0.2">
      <c r="A717" s="269" t="s">
        <v>129</v>
      </c>
      <c r="B717" s="266"/>
      <c r="C717" s="273"/>
      <c r="D717" s="274"/>
      <c r="E717" s="274"/>
      <c r="F717" s="274"/>
      <c r="G717" s="274"/>
      <c r="H717" s="274"/>
      <c r="I717" s="274"/>
      <c r="J717" s="274"/>
      <c r="K717" s="274"/>
      <c r="L717" s="274"/>
      <c r="M717" s="274"/>
      <c r="N717" s="274"/>
      <c r="O717" s="274"/>
      <c r="P717" s="274"/>
      <c r="Q717" s="274"/>
      <c r="R717" s="274"/>
      <c r="S717" s="274"/>
      <c r="T717" s="274"/>
      <c r="U717" s="274"/>
      <c r="V717" s="274"/>
    </row>
    <row r="718" spans="1:22" x14ac:dyDescent="0.2">
      <c r="A718" s="267"/>
      <c r="B718" s="270" t="s">
        <v>97</v>
      </c>
      <c r="C718" s="275">
        <v>0</v>
      </c>
      <c r="D718" s="276">
        <v>34701.827010831963</v>
      </c>
      <c r="E718" s="276">
        <v>48582.55781516475</v>
      </c>
      <c r="F718" s="276">
        <v>54751.771505979326</v>
      </c>
      <c r="G718" s="276">
        <v>58221.954207062518</v>
      </c>
      <c r="H718" s="276">
        <v>60535.409341117978</v>
      </c>
      <c r="I718" s="276">
        <v>81742.081403293065</v>
      </c>
      <c r="J718" s="276">
        <v>97165.115630329499</v>
      </c>
      <c r="K718" s="276">
        <v>129553.48750710602</v>
      </c>
      <c r="L718" s="276">
        <v>132638.09435251329</v>
      </c>
      <c r="M718" s="276">
        <v>98707.419053033154</v>
      </c>
      <c r="N718" s="276">
        <v>109503.54301195867</v>
      </c>
      <c r="O718" s="276">
        <v>100249.72247573679</v>
      </c>
      <c r="P718" s="276">
        <v>89068.022661135372</v>
      </c>
      <c r="Q718" s="276">
        <v>97165.115630329499</v>
      </c>
      <c r="R718" s="276">
        <v>87911.295094107656</v>
      </c>
      <c r="S718" s="276">
        <v>94466.084640598128</v>
      </c>
      <c r="T718" s="276">
        <v>79428.626269237619</v>
      </c>
      <c r="U718" s="276">
        <v>81742.081403293079</v>
      </c>
      <c r="V718" s="276">
        <v>97550.691486005424</v>
      </c>
    </row>
    <row r="719" spans="1:22" x14ac:dyDescent="0.2">
      <c r="A719" s="267"/>
      <c r="B719" s="270" t="s">
        <v>91</v>
      </c>
      <c r="C719" s="275">
        <v>0</v>
      </c>
      <c r="D719" s="277">
        <v>4.7479963293807402E-2</v>
      </c>
      <c r="E719" s="277">
        <v>6.6471948611330364E-2</v>
      </c>
      <c r="F719" s="277">
        <v>7.4912830974673911E-2</v>
      </c>
      <c r="G719" s="277">
        <v>7.9660827304054632E-2</v>
      </c>
      <c r="H719" s="277">
        <v>8.282615819030846E-2</v>
      </c>
      <c r="I719" s="277">
        <v>0.11184169131430187</v>
      </c>
      <c r="J719" s="277">
        <v>0.13294389722266073</v>
      </c>
      <c r="K719" s="277">
        <v>0.17725852963021432</v>
      </c>
      <c r="L719" s="277">
        <v>0.1814789708118861</v>
      </c>
      <c r="M719" s="277">
        <v>0.13505411781349663</v>
      </c>
      <c r="N719" s="277">
        <v>0.14982566194934785</v>
      </c>
      <c r="O719" s="277">
        <v>0.13716433840433251</v>
      </c>
      <c r="P719" s="277">
        <v>0.12186523912077234</v>
      </c>
      <c r="Q719" s="277">
        <v>0.13294389722266073</v>
      </c>
      <c r="R719" s="277">
        <v>0.12028257367764543</v>
      </c>
      <c r="S719" s="277">
        <v>0.12925101118869795</v>
      </c>
      <c r="T719" s="277">
        <v>0.10867636042804807</v>
      </c>
      <c r="U719" s="277">
        <v>0.11184169131430188</v>
      </c>
      <c r="V719" s="277">
        <v>0.13347145237036973</v>
      </c>
    </row>
    <row r="720" spans="1:22" x14ac:dyDescent="0.2">
      <c r="A720" s="269" t="s">
        <v>93</v>
      </c>
      <c r="B720" s="270"/>
      <c r="C720" s="273"/>
      <c r="D720" s="274"/>
      <c r="E720" s="274"/>
      <c r="F720" s="274"/>
      <c r="G720" s="274"/>
      <c r="H720" s="274"/>
      <c r="I720" s="274"/>
      <c r="J720" s="274"/>
      <c r="K720" s="274"/>
      <c r="L720" s="274"/>
      <c r="M720" s="274"/>
      <c r="N720" s="274"/>
      <c r="O720" s="274"/>
      <c r="P720" s="274"/>
      <c r="Q720" s="274"/>
      <c r="R720" s="274"/>
      <c r="S720" s="274"/>
      <c r="T720" s="274"/>
      <c r="U720" s="274"/>
      <c r="V720" s="274"/>
    </row>
    <row r="721" spans="1:22" x14ac:dyDescent="0.2">
      <c r="A721" s="267"/>
      <c r="B721" s="270" t="s">
        <v>27</v>
      </c>
      <c r="C721" s="278">
        <v>0</v>
      </c>
      <c r="D721" s="279">
        <v>224.14955573080834</v>
      </c>
      <c r="E721" s="279">
        <v>140.83767637936148</v>
      </c>
      <c r="F721" s="279">
        <v>121.08635994508307</v>
      </c>
      <c r="G721" s="279">
        <v>108.5262420712357</v>
      </c>
      <c r="H721" s="279">
        <v>106.57010121650639</v>
      </c>
      <c r="I721" s="279">
        <v>91.206189748264421</v>
      </c>
      <c r="J721" s="279">
        <v>91.945984878961468</v>
      </c>
      <c r="K721" s="279">
        <v>87.297763274588931</v>
      </c>
      <c r="L721" s="279">
        <v>90.38083672551528</v>
      </c>
      <c r="M721" s="279">
        <v>104.65010227117013</v>
      </c>
      <c r="N721" s="279">
        <v>92.572561091638761</v>
      </c>
      <c r="O721" s="279">
        <v>101.1613275128922</v>
      </c>
      <c r="P721" s="279">
        <v>105.23890335637248</v>
      </c>
      <c r="Q721" s="279">
        <v>111.45249669401376</v>
      </c>
      <c r="R721" s="279">
        <v>115.35115363867615</v>
      </c>
      <c r="S721" s="279">
        <v>108.04141207766408</v>
      </c>
      <c r="T721" s="279">
        <v>118.79143790989349</v>
      </c>
      <c r="U721" s="279">
        <v>130.45852799709593</v>
      </c>
      <c r="V721" s="279">
        <v>118.24998428141527</v>
      </c>
    </row>
    <row r="722" spans="1:22" x14ac:dyDescent="0.2">
      <c r="A722" s="267"/>
      <c r="B722" s="270" t="s">
        <v>20</v>
      </c>
      <c r="C722" s="278">
        <v>0</v>
      </c>
      <c r="D722" s="279">
        <v>65.684377893898358</v>
      </c>
      <c r="E722" s="279">
        <v>57.899988190766742</v>
      </c>
      <c r="F722" s="279">
        <v>55.866138600080333</v>
      </c>
      <c r="G722" s="279">
        <v>56.881151409624138</v>
      </c>
      <c r="H722" s="279">
        <v>58.148935619722991</v>
      </c>
      <c r="I722" s="279">
        <v>57.132932268659204</v>
      </c>
      <c r="J722" s="279">
        <v>59.700711989393014</v>
      </c>
      <c r="K722" s="279">
        <v>55.447556928172602</v>
      </c>
      <c r="L722" s="279">
        <v>57.920732955499325</v>
      </c>
      <c r="M722" s="279">
        <v>60.792877046111947</v>
      </c>
      <c r="N722" s="279">
        <v>60.485543945375674</v>
      </c>
      <c r="O722" s="279">
        <v>61.281149218529499</v>
      </c>
      <c r="P722" s="279">
        <v>63.118843897539222</v>
      </c>
      <c r="Q722" s="279">
        <v>64.715732591561945</v>
      </c>
      <c r="R722" s="279">
        <v>70.033011235496289</v>
      </c>
      <c r="S722" s="279">
        <v>72.790715473682866</v>
      </c>
      <c r="T722" s="279">
        <v>73.972040008275627</v>
      </c>
      <c r="U722" s="279">
        <v>80.342882468536502</v>
      </c>
      <c r="V722" s="279">
        <v>79.935989823849198</v>
      </c>
    </row>
    <row r="723" spans="1:22" x14ac:dyDescent="0.2">
      <c r="A723" s="267"/>
      <c r="B723" s="270" t="s">
        <v>92</v>
      </c>
      <c r="C723" s="278">
        <v>0</v>
      </c>
      <c r="D723" s="279">
        <v>1.6433760715074071</v>
      </c>
      <c r="E723" s="279">
        <v>1.6710856058623107</v>
      </c>
      <c r="F723" s="279">
        <v>1.7099447969995702</v>
      </c>
      <c r="G723" s="279">
        <v>1.7409714784501222</v>
      </c>
      <c r="H723" s="279">
        <v>1.779396249631956</v>
      </c>
      <c r="I723" s="279">
        <v>1.8141448525642321</v>
      </c>
      <c r="J723" s="279">
        <v>1.8506476751768721</v>
      </c>
      <c r="K723" s="279">
        <v>1.8860831327885805</v>
      </c>
      <c r="L723" s="279">
        <v>1.9239754421828523</v>
      </c>
      <c r="M723" s="279">
        <v>1.9650442342923489</v>
      </c>
      <c r="N723" s="279">
        <v>2.0024341315633607</v>
      </c>
      <c r="O723" s="279">
        <v>2.0441684110093803</v>
      </c>
      <c r="P723" s="279">
        <v>2.0847565388024525</v>
      </c>
      <c r="Q723" s="279">
        <v>2.1256979128069147</v>
      </c>
      <c r="R723" s="279">
        <v>2.1712818841472332</v>
      </c>
      <c r="S723" s="279">
        <v>2.2131601108887859</v>
      </c>
      <c r="T723" s="279">
        <v>2.255236940403945</v>
      </c>
      <c r="U723" s="279">
        <v>2.3049881715259017</v>
      </c>
      <c r="V723" s="279">
        <v>2.3509563531555151</v>
      </c>
    </row>
    <row r="724" spans="1:22" x14ac:dyDescent="0.2">
      <c r="A724" s="267"/>
      <c r="B724" s="270" t="s">
        <v>22</v>
      </c>
      <c r="C724" s="278">
        <v>0</v>
      </c>
      <c r="D724" s="279">
        <v>0</v>
      </c>
      <c r="E724" s="279">
        <v>0</v>
      </c>
      <c r="F724" s="279">
        <v>0</v>
      </c>
      <c r="G724" s="279">
        <v>0</v>
      </c>
      <c r="H724" s="279">
        <v>0</v>
      </c>
      <c r="I724" s="279">
        <v>-1.142838813538273</v>
      </c>
      <c r="J724" s="279">
        <v>-1.0656748112233358</v>
      </c>
      <c r="K724" s="279">
        <v>-0.88194590251466176</v>
      </c>
      <c r="L724" s="279">
        <v>-0.94615078969854804</v>
      </c>
      <c r="M724" s="279">
        <v>-1.4139812943571077</v>
      </c>
      <c r="N724" s="279">
        <v>-1.4040404068216288</v>
      </c>
      <c r="O724" s="279">
        <v>-1.6992317234021401</v>
      </c>
      <c r="P724" s="279">
        <v>-2.144477480328443</v>
      </c>
      <c r="Q724" s="279">
        <v>-2.1882099020119137</v>
      </c>
      <c r="R724" s="279">
        <v>-2.6790121237590512</v>
      </c>
      <c r="S724" s="279">
        <v>-2.7374443263445722</v>
      </c>
      <c r="T724" s="279">
        <v>-3.1985649052349485</v>
      </c>
      <c r="U724" s="279">
        <v>-2.6590958841753149</v>
      </c>
      <c r="V724" s="279">
        <v>-2.3102065993527932</v>
      </c>
    </row>
    <row r="725" spans="1:22" x14ac:dyDescent="0.2">
      <c r="A725" s="267"/>
      <c r="B725" s="270" t="s">
        <v>23</v>
      </c>
      <c r="C725" s="278">
        <v>0</v>
      </c>
      <c r="D725" s="279">
        <v>0</v>
      </c>
      <c r="E725" s="279">
        <v>0</v>
      </c>
      <c r="F725" s="279">
        <v>0</v>
      </c>
      <c r="G725" s="279">
        <v>0</v>
      </c>
      <c r="H725" s="279">
        <v>0</v>
      </c>
      <c r="I725" s="279">
        <v>0</v>
      </c>
      <c r="J725" s="279">
        <v>0</v>
      </c>
      <c r="K725" s="279">
        <v>0</v>
      </c>
      <c r="L725" s="279">
        <v>0</v>
      </c>
      <c r="M725" s="279">
        <v>0</v>
      </c>
      <c r="N725" s="279">
        <v>0</v>
      </c>
      <c r="O725" s="279">
        <v>0</v>
      </c>
      <c r="P725" s="279">
        <v>0</v>
      </c>
      <c r="Q725" s="279">
        <v>0</v>
      </c>
      <c r="R725" s="279">
        <v>0</v>
      </c>
      <c r="S725" s="279">
        <v>0</v>
      </c>
      <c r="T725" s="279">
        <v>0</v>
      </c>
      <c r="U725" s="279">
        <v>0</v>
      </c>
      <c r="V725" s="279">
        <v>0</v>
      </c>
    </row>
    <row r="726" spans="1:22" x14ac:dyDescent="0.2">
      <c r="A726" s="269" t="s">
        <v>94</v>
      </c>
      <c r="B726" s="270"/>
      <c r="C726" s="273"/>
      <c r="D726" s="274"/>
      <c r="E726" s="274"/>
      <c r="F726" s="274"/>
      <c r="G726" s="274"/>
      <c r="H726" s="274"/>
      <c r="I726" s="274"/>
      <c r="J726" s="274"/>
      <c r="K726" s="274"/>
      <c r="L726" s="274"/>
      <c r="M726" s="274"/>
      <c r="N726" s="274"/>
      <c r="O726" s="274"/>
      <c r="P726" s="274"/>
      <c r="Q726" s="274"/>
      <c r="R726" s="274"/>
      <c r="S726" s="274"/>
      <c r="T726" s="274"/>
      <c r="U726" s="274"/>
      <c r="V726" s="274"/>
    </row>
    <row r="727" spans="1:22" x14ac:dyDescent="0.2">
      <c r="A727" s="267"/>
      <c r="B727" s="270" t="s">
        <v>34</v>
      </c>
      <c r="C727" s="278">
        <v>0</v>
      </c>
      <c r="D727" s="279">
        <v>4.2613254080613263</v>
      </c>
      <c r="E727" s="279">
        <v>4.3465519162225528</v>
      </c>
      <c r="F727" s="279">
        <v>4.4334829545470038</v>
      </c>
      <c r="G727" s="279">
        <v>4.5221526136379433</v>
      </c>
      <c r="H727" s="279">
        <v>4.6125956659107024</v>
      </c>
      <c r="I727" s="279">
        <v>4.7048475792289164</v>
      </c>
      <c r="J727" s="279">
        <v>4.798944530813495</v>
      </c>
      <c r="K727" s="279">
        <v>4.8949234214297652</v>
      </c>
      <c r="L727" s="279">
        <v>4.9928218898583605</v>
      </c>
      <c r="M727" s="279">
        <v>5.0926783276555279</v>
      </c>
      <c r="N727" s="279">
        <v>5.1945318942086383</v>
      </c>
      <c r="O727" s="279">
        <v>5.2984225320928111</v>
      </c>
      <c r="P727" s="279">
        <v>5.4043909827346681</v>
      </c>
      <c r="Q727" s="279">
        <v>5.5124788023893609</v>
      </c>
      <c r="R727" s="279">
        <v>5.6227283784371487</v>
      </c>
      <c r="S727" s="279">
        <v>5.7351829460058914</v>
      </c>
      <c r="T727" s="279">
        <v>5.8498866049260094</v>
      </c>
      <c r="U727" s="279">
        <v>5.9668843370245295</v>
      </c>
      <c r="V727" s="279">
        <v>6.0862220237650195</v>
      </c>
    </row>
    <row r="728" spans="1:22" x14ac:dyDescent="0.2">
      <c r="A728" s="267"/>
      <c r="B728" s="270" t="s">
        <v>95</v>
      </c>
      <c r="C728" s="278">
        <v>0</v>
      </c>
      <c r="D728" s="279">
        <v>2.0568909100340993</v>
      </c>
      <c r="E728" s="279">
        <v>2.0568909100340993</v>
      </c>
      <c r="F728" s="279">
        <v>2.0568909100340993</v>
      </c>
      <c r="G728" s="279">
        <v>2.0568909100340993</v>
      </c>
      <c r="H728" s="279">
        <v>2.0568909100340993</v>
      </c>
      <c r="I728" s="279">
        <v>2.0568909100340993</v>
      </c>
      <c r="J728" s="279">
        <v>2.0568909100340993</v>
      </c>
      <c r="K728" s="279">
        <v>2.0568909100340993</v>
      </c>
      <c r="L728" s="279">
        <v>2.0568909100340993</v>
      </c>
      <c r="M728" s="279">
        <v>2.0568909100340993</v>
      </c>
      <c r="N728" s="279">
        <v>2.0568909100340993</v>
      </c>
      <c r="O728" s="279">
        <v>2.0568909100340993</v>
      </c>
      <c r="P728" s="279">
        <v>2.0568909100340993</v>
      </c>
      <c r="Q728" s="279">
        <v>2.0568909100340993</v>
      </c>
      <c r="R728" s="279">
        <v>2.0568909100340993</v>
      </c>
      <c r="S728" s="279">
        <v>2.0568909100340993</v>
      </c>
      <c r="T728" s="279">
        <v>2.0568909100340993</v>
      </c>
      <c r="U728" s="279">
        <v>2.0568909100340993</v>
      </c>
      <c r="V728" s="279">
        <v>2.0568909100340993</v>
      </c>
    </row>
    <row r="729" spans="1:22" x14ac:dyDescent="0.2">
      <c r="A729" s="267"/>
      <c r="B729" s="270" t="s">
        <v>36</v>
      </c>
      <c r="C729" s="278">
        <v>0</v>
      </c>
      <c r="D729" s="279">
        <v>0.41407105948314693</v>
      </c>
      <c r="E729" s="279">
        <v>0.42280795883824385</v>
      </c>
      <c r="F729" s="279">
        <v>0.432067453136802</v>
      </c>
      <c r="G729" s="279">
        <v>0.44183217757768989</v>
      </c>
      <c r="H729" s="279">
        <v>0.45234778340404036</v>
      </c>
      <c r="I729" s="279">
        <v>0.46368366433148034</v>
      </c>
      <c r="J729" s="279">
        <v>0.47518431097007663</v>
      </c>
      <c r="K729" s="279">
        <v>0.48721220788436947</v>
      </c>
      <c r="L729" s="279">
        <v>0.49924634941911356</v>
      </c>
      <c r="M729" s="279">
        <v>0.51197713132930012</v>
      </c>
      <c r="N729" s="279">
        <v>0.52436697790747067</v>
      </c>
      <c r="O729" s="279">
        <v>0.53758102575073774</v>
      </c>
      <c r="P729" s="279">
        <v>0.55123558380480508</v>
      </c>
      <c r="Q729" s="279">
        <v>0.56501647339992567</v>
      </c>
      <c r="R729" s="279">
        <v>0.57919838688226355</v>
      </c>
      <c r="S729" s="279">
        <v>0.5936783465543215</v>
      </c>
      <c r="T729" s="279">
        <v>0.60840156954886682</v>
      </c>
      <c r="U729" s="279">
        <v>0.62367244894454466</v>
      </c>
      <c r="V729" s="279">
        <v>0.63932662741305357</v>
      </c>
    </row>
    <row r="730" spans="1:22" x14ac:dyDescent="0.2">
      <c r="A730" s="267"/>
      <c r="B730" s="270" t="s">
        <v>39</v>
      </c>
      <c r="C730" s="278">
        <v>0</v>
      </c>
      <c r="D730" s="279">
        <v>4.4210602519386812</v>
      </c>
      <c r="E730" s="279">
        <v>0.18365742571884028</v>
      </c>
      <c r="F730" s="279">
        <v>0.18914374408207785</v>
      </c>
      <c r="G730" s="279">
        <v>0.19548727721644912</v>
      </c>
      <c r="H730" s="279">
        <v>1.0353110639674952</v>
      </c>
      <c r="I730" s="279">
        <v>1.0663703958865201</v>
      </c>
      <c r="J730" s="279">
        <v>1.0983615077631155</v>
      </c>
      <c r="K730" s="279">
        <v>1.131312352996009</v>
      </c>
      <c r="L730" s="279">
        <v>1.1652517235858892</v>
      </c>
      <c r="M730" s="279">
        <v>1.2002092752934661</v>
      </c>
      <c r="N730" s="279">
        <v>1.2362155535522701</v>
      </c>
      <c r="O730" s="279">
        <v>1.2733020201588383</v>
      </c>
      <c r="P730" s="279">
        <v>1.3115010807636034</v>
      </c>
      <c r="Q730" s="279">
        <v>1.3508461131865117</v>
      </c>
      <c r="R730" s="279">
        <v>1.3913714965821069</v>
      </c>
      <c r="S730" s="279">
        <v>1.4331126414795703</v>
      </c>
      <c r="T730" s="279">
        <v>1.4761060207239574</v>
      </c>
      <c r="U730" s="279">
        <v>1.5203892013456763</v>
      </c>
      <c r="V730" s="279">
        <v>1.5660008773860465</v>
      </c>
    </row>
    <row r="731" spans="1:22" x14ac:dyDescent="0.2">
      <c r="A731" s="267"/>
      <c r="B731" s="270" t="s">
        <v>96</v>
      </c>
      <c r="C731" s="280">
        <v>0</v>
      </c>
      <c r="D731" s="281">
        <v>0</v>
      </c>
      <c r="E731" s="281">
        <v>0</v>
      </c>
      <c r="F731" s="281">
        <v>0</v>
      </c>
      <c r="G731" s="281">
        <v>0</v>
      </c>
      <c r="H731" s="281">
        <v>0</v>
      </c>
      <c r="I731" s="281">
        <v>0</v>
      </c>
      <c r="J731" s="281">
        <v>0</v>
      </c>
      <c r="K731" s="281">
        <v>0</v>
      </c>
      <c r="L731" s="281">
        <v>0</v>
      </c>
      <c r="M731" s="281">
        <v>0</v>
      </c>
      <c r="N731" s="281">
        <v>0</v>
      </c>
      <c r="O731" s="281">
        <v>0</v>
      </c>
      <c r="P731" s="281">
        <v>0</v>
      </c>
      <c r="Q731" s="281">
        <v>0</v>
      </c>
      <c r="R731" s="281">
        <v>0</v>
      </c>
      <c r="S731" s="281">
        <v>0</v>
      </c>
      <c r="T731" s="281">
        <v>0</v>
      </c>
      <c r="U731" s="281">
        <v>0</v>
      </c>
      <c r="V731" s="281">
        <v>0</v>
      </c>
    </row>
    <row r="732" spans="1:22" x14ac:dyDescent="0.2">
      <c r="A732" s="267"/>
      <c r="B732" s="270"/>
      <c r="C732" s="267"/>
      <c r="D732" s="267"/>
      <c r="E732" s="267"/>
      <c r="F732" s="267"/>
      <c r="G732" s="267"/>
      <c r="H732" s="267"/>
      <c r="I732" s="267"/>
      <c r="J732" s="267"/>
      <c r="K732" s="267"/>
      <c r="L732" s="267"/>
      <c r="M732" s="267"/>
      <c r="N732" s="267"/>
      <c r="O732" s="267"/>
      <c r="P732" s="267"/>
      <c r="Q732" s="267"/>
      <c r="R732" s="267"/>
      <c r="S732" s="267"/>
      <c r="T732" s="267"/>
      <c r="U732" s="267"/>
      <c r="V732" s="267"/>
    </row>
    <row r="733" spans="1:22" x14ac:dyDescent="0.2">
      <c r="A733" s="267"/>
      <c r="B733" s="270"/>
      <c r="C733" s="267"/>
      <c r="D733" s="267"/>
      <c r="E733" s="267"/>
      <c r="F733" s="267"/>
      <c r="G733" s="267"/>
      <c r="H733" s="267"/>
      <c r="I733" s="267"/>
      <c r="J733" s="267"/>
      <c r="K733" s="267"/>
      <c r="L733" s="267"/>
      <c r="M733" s="267"/>
      <c r="N733" s="267"/>
      <c r="O733" s="267"/>
      <c r="P733" s="267"/>
      <c r="Q733" s="267"/>
      <c r="R733" s="267"/>
      <c r="S733" s="267"/>
      <c r="T733" s="267"/>
      <c r="U733" s="267"/>
      <c r="V733" s="267"/>
    </row>
    <row r="734" spans="1:22" x14ac:dyDescent="0.2">
      <c r="B734" s="13"/>
    </row>
    <row r="735" spans="1:22" x14ac:dyDescent="0.2">
      <c r="B735" s="13"/>
    </row>
    <row r="736" spans="1:22" x14ac:dyDescent="0.2">
      <c r="A736" s="265" t="s">
        <v>98</v>
      </c>
      <c r="B736" s="266"/>
      <c r="C736" s="267"/>
      <c r="D736" s="267"/>
      <c r="E736" s="267"/>
      <c r="F736" s="267"/>
      <c r="G736" s="267"/>
      <c r="H736" s="267"/>
      <c r="I736" s="267"/>
      <c r="J736" s="267"/>
      <c r="K736" s="267"/>
      <c r="L736" s="267"/>
      <c r="M736" s="267"/>
      <c r="N736" s="267"/>
      <c r="O736" s="267"/>
      <c r="P736" s="267"/>
      <c r="Q736" s="267"/>
      <c r="R736" s="267"/>
      <c r="S736" s="267"/>
      <c r="T736" s="267"/>
      <c r="U736" s="267"/>
      <c r="V736" s="267"/>
    </row>
    <row r="737" spans="1:22" x14ac:dyDescent="0.2">
      <c r="A737" s="268" t="s">
        <v>85</v>
      </c>
      <c r="B737" s="266"/>
      <c r="C737" s="267"/>
      <c r="D737" s="267"/>
      <c r="E737" s="267"/>
      <c r="F737" s="267"/>
      <c r="G737" s="267"/>
      <c r="H737" s="267"/>
      <c r="I737" s="267"/>
      <c r="J737" s="267"/>
      <c r="K737" s="267"/>
      <c r="L737" s="267"/>
      <c r="M737" s="267"/>
      <c r="N737" s="267"/>
      <c r="O737" s="267"/>
      <c r="P737" s="267"/>
      <c r="Q737" s="267"/>
      <c r="R737" s="267"/>
      <c r="S737" s="267"/>
      <c r="T737" s="267"/>
      <c r="U737" s="267"/>
      <c r="V737" s="267"/>
    </row>
    <row r="738" spans="1:22" x14ac:dyDescent="0.2">
      <c r="A738" s="267"/>
      <c r="B738" s="266"/>
      <c r="C738" s="267"/>
      <c r="D738" s="267"/>
      <c r="E738" s="267"/>
      <c r="F738" s="267"/>
      <c r="G738" s="267"/>
      <c r="H738" s="267"/>
      <c r="I738" s="267"/>
      <c r="J738" s="267"/>
      <c r="K738" s="267"/>
      <c r="L738" s="267"/>
      <c r="M738" s="267"/>
      <c r="N738" s="267"/>
      <c r="O738" s="267"/>
      <c r="P738" s="267"/>
      <c r="Q738" s="267"/>
      <c r="R738" s="267"/>
      <c r="S738" s="267"/>
      <c r="T738" s="267"/>
      <c r="U738" s="267"/>
      <c r="V738" s="267"/>
    </row>
    <row r="739" spans="1:22" x14ac:dyDescent="0.2">
      <c r="A739" s="267"/>
      <c r="B739" s="266"/>
      <c r="C739" s="271">
        <v>2000</v>
      </c>
      <c r="D739" s="272">
        <v>2001</v>
      </c>
      <c r="E739" s="272">
        <v>2002</v>
      </c>
      <c r="F739" s="272">
        <v>2003</v>
      </c>
      <c r="G739" s="272">
        <v>2004</v>
      </c>
      <c r="H739" s="272">
        <v>2005</v>
      </c>
      <c r="I739" s="272">
        <v>2006</v>
      </c>
      <c r="J739" s="272">
        <v>2007</v>
      </c>
      <c r="K739" s="272">
        <v>2008</v>
      </c>
      <c r="L739" s="272">
        <v>2009</v>
      </c>
      <c r="M739" s="272">
        <v>2010</v>
      </c>
      <c r="N739" s="272">
        <v>2011</v>
      </c>
      <c r="O739" s="272">
        <v>2012</v>
      </c>
      <c r="P739" s="272">
        <v>2013</v>
      </c>
      <c r="Q739" s="272">
        <v>2014</v>
      </c>
      <c r="R739" s="272">
        <v>2015</v>
      </c>
      <c r="S739" s="272">
        <v>2016</v>
      </c>
      <c r="T739" s="272">
        <v>2017</v>
      </c>
      <c r="U739" s="272">
        <v>2018</v>
      </c>
      <c r="V739" s="272">
        <v>2019</v>
      </c>
    </row>
    <row r="740" spans="1:22" x14ac:dyDescent="0.2">
      <c r="A740" s="269" t="s">
        <v>129</v>
      </c>
      <c r="B740" s="266"/>
      <c r="C740" s="273"/>
      <c r="D740" s="274"/>
      <c r="E740" s="274"/>
      <c r="F740" s="274"/>
      <c r="G740" s="274"/>
      <c r="H740" s="274"/>
      <c r="I740" s="274"/>
      <c r="J740" s="274"/>
      <c r="K740" s="274"/>
      <c r="L740" s="274"/>
      <c r="M740" s="274"/>
      <c r="N740" s="274"/>
      <c r="O740" s="274"/>
      <c r="P740" s="274"/>
      <c r="Q740" s="274"/>
      <c r="R740" s="274"/>
      <c r="S740" s="274"/>
      <c r="T740" s="274"/>
      <c r="U740" s="274"/>
      <c r="V740" s="274"/>
    </row>
    <row r="741" spans="1:22" x14ac:dyDescent="0.2">
      <c r="A741" s="267"/>
      <c r="B741" s="270" t="s">
        <v>97</v>
      </c>
      <c r="C741" s="275">
        <v>0</v>
      </c>
      <c r="D741" s="276">
        <v>34701.827010831963</v>
      </c>
      <c r="E741" s="276">
        <v>48582.55781516475</v>
      </c>
      <c r="F741" s="276">
        <v>54751.771505979326</v>
      </c>
      <c r="G741" s="276">
        <v>58221.954207062518</v>
      </c>
      <c r="H741" s="276">
        <v>60535.409341117978</v>
      </c>
      <c r="I741" s="276">
        <v>81742.081403293065</v>
      </c>
      <c r="J741" s="276">
        <v>97165.115630329499</v>
      </c>
      <c r="K741" s="276">
        <v>129553.48750710602</v>
      </c>
      <c r="L741" s="276">
        <v>132638.09435251329</v>
      </c>
      <c r="M741" s="276">
        <v>98707.419053033154</v>
      </c>
      <c r="N741" s="276">
        <v>109503.54301195867</v>
      </c>
      <c r="O741" s="276">
        <v>100249.72247573679</v>
      </c>
      <c r="P741" s="276">
        <v>89068.022661135372</v>
      </c>
      <c r="Q741" s="276">
        <v>97165.115630329499</v>
      </c>
      <c r="R741" s="276">
        <v>87911.295094107656</v>
      </c>
      <c r="S741" s="276">
        <v>94466.084640598128</v>
      </c>
      <c r="T741" s="276">
        <v>79428.626269237619</v>
      </c>
      <c r="U741" s="276">
        <v>81742.081403293079</v>
      </c>
      <c r="V741" s="276">
        <v>97550.691486005424</v>
      </c>
    </row>
    <row r="742" spans="1:22" x14ac:dyDescent="0.2">
      <c r="A742" s="267"/>
      <c r="B742" s="270" t="s">
        <v>91</v>
      </c>
      <c r="C742" s="275">
        <v>0</v>
      </c>
      <c r="D742" s="277">
        <v>4.7479963293807402E-2</v>
      </c>
      <c r="E742" s="277">
        <v>6.6471948611330364E-2</v>
      </c>
      <c r="F742" s="277">
        <v>7.4912830974673911E-2</v>
      </c>
      <c r="G742" s="277">
        <v>7.9660827304054632E-2</v>
      </c>
      <c r="H742" s="277">
        <v>8.282615819030846E-2</v>
      </c>
      <c r="I742" s="277">
        <v>0.11184169131430187</v>
      </c>
      <c r="J742" s="277">
        <v>0.13294389722266073</v>
      </c>
      <c r="K742" s="277">
        <v>0.17725852963021432</v>
      </c>
      <c r="L742" s="277">
        <v>0.1814789708118861</v>
      </c>
      <c r="M742" s="277">
        <v>0.13505411781349663</v>
      </c>
      <c r="N742" s="277">
        <v>0.14982566194934785</v>
      </c>
      <c r="O742" s="277">
        <v>0.13716433840433251</v>
      </c>
      <c r="P742" s="277">
        <v>0.12186523912077234</v>
      </c>
      <c r="Q742" s="277">
        <v>0.13294389722266073</v>
      </c>
      <c r="R742" s="277">
        <v>0.12028257367764543</v>
      </c>
      <c r="S742" s="277">
        <v>0.12925101118869795</v>
      </c>
      <c r="T742" s="277">
        <v>0.10867636042804807</v>
      </c>
      <c r="U742" s="277">
        <v>0.11184169131430188</v>
      </c>
      <c r="V742" s="277">
        <v>0.13347145237036973</v>
      </c>
    </row>
    <row r="743" spans="1:22" x14ac:dyDescent="0.2">
      <c r="A743" s="269" t="s">
        <v>93</v>
      </c>
      <c r="B743" s="270"/>
      <c r="C743" s="273"/>
      <c r="D743" s="274"/>
      <c r="E743" s="274"/>
      <c r="F743" s="274"/>
      <c r="G743" s="274"/>
      <c r="H743" s="274"/>
      <c r="I743" s="274"/>
      <c r="J743" s="274"/>
      <c r="K743" s="274"/>
      <c r="L743" s="274"/>
      <c r="M743" s="274"/>
      <c r="N743" s="274"/>
      <c r="O743" s="274"/>
      <c r="P743" s="274"/>
      <c r="Q743" s="274"/>
      <c r="R743" s="274"/>
      <c r="S743" s="274"/>
      <c r="T743" s="274"/>
      <c r="U743" s="274"/>
      <c r="V743" s="274"/>
    </row>
    <row r="744" spans="1:22" x14ac:dyDescent="0.2">
      <c r="A744" s="267"/>
      <c r="B744" s="270" t="s">
        <v>27</v>
      </c>
      <c r="C744" s="278">
        <v>0</v>
      </c>
      <c r="D744" s="279">
        <v>224.14955573080834</v>
      </c>
      <c r="E744" s="279">
        <v>140.83767637936148</v>
      </c>
      <c r="F744" s="279">
        <v>121.08635994508307</v>
      </c>
      <c r="G744" s="279">
        <v>108.5262420712357</v>
      </c>
      <c r="H744" s="279">
        <v>106.57010121650639</v>
      </c>
      <c r="I744" s="279">
        <v>91.206189748264421</v>
      </c>
      <c r="J744" s="279">
        <v>91.945984878961468</v>
      </c>
      <c r="K744" s="279">
        <v>87.297763274588931</v>
      </c>
      <c r="L744" s="279">
        <v>90.38083672551528</v>
      </c>
      <c r="M744" s="279">
        <v>104.65010227117013</v>
      </c>
      <c r="N744" s="279">
        <v>92.572561091638761</v>
      </c>
      <c r="O744" s="279">
        <v>101.1613275128922</v>
      </c>
      <c r="P744" s="279">
        <v>105.23890335637248</v>
      </c>
      <c r="Q744" s="279">
        <v>111.45249669401376</v>
      </c>
      <c r="R744" s="279">
        <v>115.35115363867615</v>
      </c>
      <c r="S744" s="279">
        <v>108.04141207766408</v>
      </c>
      <c r="T744" s="279">
        <v>118.79143790989349</v>
      </c>
      <c r="U744" s="279">
        <v>130.45852799709593</v>
      </c>
      <c r="V744" s="279">
        <v>118.24998428141527</v>
      </c>
    </row>
    <row r="745" spans="1:22" x14ac:dyDescent="0.2">
      <c r="A745" s="267"/>
      <c r="B745" s="270" t="s">
        <v>20</v>
      </c>
      <c r="C745" s="278">
        <v>0</v>
      </c>
      <c r="D745" s="279">
        <v>65.684377893898358</v>
      </c>
      <c r="E745" s="279">
        <v>57.899988190766742</v>
      </c>
      <c r="F745" s="279">
        <v>55.866138600080333</v>
      </c>
      <c r="G745" s="279">
        <v>56.881151409624138</v>
      </c>
      <c r="H745" s="279">
        <v>58.148935619722991</v>
      </c>
      <c r="I745" s="279">
        <v>57.132932268659204</v>
      </c>
      <c r="J745" s="279">
        <v>59.700711989393014</v>
      </c>
      <c r="K745" s="279">
        <v>55.447556928172602</v>
      </c>
      <c r="L745" s="279">
        <v>57.920732955499325</v>
      </c>
      <c r="M745" s="279">
        <v>60.792877046111947</v>
      </c>
      <c r="N745" s="279">
        <v>60.485543945375674</v>
      </c>
      <c r="O745" s="279">
        <v>61.281149218529499</v>
      </c>
      <c r="P745" s="279">
        <v>63.118843897539222</v>
      </c>
      <c r="Q745" s="279">
        <v>64.715732591561945</v>
      </c>
      <c r="R745" s="279">
        <v>70.033011235496289</v>
      </c>
      <c r="S745" s="279">
        <v>72.790715473682866</v>
      </c>
      <c r="T745" s="279">
        <v>73.972040008275627</v>
      </c>
      <c r="U745" s="279">
        <v>80.342882468536502</v>
      </c>
      <c r="V745" s="279">
        <v>79.935989823849198</v>
      </c>
    </row>
    <row r="746" spans="1:22" x14ac:dyDescent="0.2">
      <c r="A746" s="267"/>
      <c r="B746" s="270" t="s">
        <v>92</v>
      </c>
      <c r="C746" s="278">
        <v>0</v>
      </c>
      <c r="D746" s="279">
        <v>1.6433760715074071</v>
      </c>
      <c r="E746" s="279">
        <v>1.6710856058623107</v>
      </c>
      <c r="F746" s="279">
        <v>1.7099447969995702</v>
      </c>
      <c r="G746" s="279">
        <v>1.7409714784501222</v>
      </c>
      <c r="H746" s="279">
        <v>1.779396249631956</v>
      </c>
      <c r="I746" s="279">
        <v>1.8141448525642321</v>
      </c>
      <c r="J746" s="279">
        <v>1.8506476751768721</v>
      </c>
      <c r="K746" s="279">
        <v>1.8860831327885805</v>
      </c>
      <c r="L746" s="279">
        <v>1.9239754421828523</v>
      </c>
      <c r="M746" s="279">
        <v>1.9650442342923489</v>
      </c>
      <c r="N746" s="279">
        <v>2.0024341315633607</v>
      </c>
      <c r="O746" s="279">
        <v>2.0441684110093803</v>
      </c>
      <c r="P746" s="279">
        <v>2.0847565388024525</v>
      </c>
      <c r="Q746" s="279">
        <v>2.1256979128069147</v>
      </c>
      <c r="R746" s="279">
        <v>2.1712818841472332</v>
      </c>
      <c r="S746" s="279">
        <v>2.2131601108887859</v>
      </c>
      <c r="T746" s="279">
        <v>2.255236940403945</v>
      </c>
      <c r="U746" s="279">
        <v>2.3049881715259017</v>
      </c>
      <c r="V746" s="279">
        <v>2.3509563531555151</v>
      </c>
    </row>
    <row r="747" spans="1:22" x14ac:dyDescent="0.2">
      <c r="A747" s="267"/>
      <c r="B747" s="270" t="s">
        <v>22</v>
      </c>
      <c r="C747" s="278">
        <v>0</v>
      </c>
      <c r="D747" s="279">
        <v>0</v>
      </c>
      <c r="E747" s="279">
        <v>0</v>
      </c>
      <c r="F747" s="279">
        <v>0</v>
      </c>
      <c r="G747" s="279">
        <v>0</v>
      </c>
      <c r="H747" s="279">
        <v>0</v>
      </c>
      <c r="I747" s="279">
        <v>-1.142838813538273</v>
      </c>
      <c r="J747" s="279">
        <v>-1.0656748112233358</v>
      </c>
      <c r="K747" s="279">
        <v>-0.88194590251466176</v>
      </c>
      <c r="L747" s="279">
        <v>-0.94615078969854804</v>
      </c>
      <c r="M747" s="279">
        <v>-1.4139812943571077</v>
      </c>
      <c r="N747" s="279">
        <v>-1.4040404068216288</v>
      </c>
      <c r="O747" s="279">
        <v>-1.6992317234021401</v>
      </c>
      <c r="P747" s="279">
        <v>-2.144477480328443</v>
      </c>
      <c r="Q747" s="279">
        <v>-2.1882099020119137</v>
      </c>
      <c r="R747" s="279">
        <v>-2.6790121237590512</v>
      </c>
      <c r="S747" s="279">
        <v>-2.7374443263445722</v>
      </c>
      <c r="T747" s="279">
        <v>-3.1985649052349485</v>
      </c>
      <c r="U747" s="279">
        <v>-2.6590958841753149</v>
      </c>
      <c r="V747" s="279">
        <v>-2.3102065993527932</v>
      </c>
    </row>
    <row r="748" spans="1:22" x14ac:dyDescent="0.2">
      <c r="A748" s="267"/>
      <c r="B748" s="270" t="s">
        <v>23</v>
      </c>
      <c r="C748" s="278">
        <v>0</v>
      </c>
      <c r="D748" s="279">
        <v>0</v>
      </c>
      <c r="E748" s="279">
        <v>0</v>
      </c>
      <c r="F748" s="279">
        <v>0</v>
      </c>
      <c r="G748" s="279">
        <v>0</v>
      </c>
      <c r="H748" s="279">
        <v>0</v>
      </c>
      <c r="I748" s="279">
        <v>0</v>
      </c>
      <c r="J748" s="279">
        <v>0</v>
      </c>
      <c r="K748" s="279">
        <v>0</v>
      </c>
      <c r="L748" s="279">
        <v>0</v>
      </c>
      <c r="M748" s="279">
        <v>0</v>
      </c>
      <c r="N748" s="279">
        <v>0</v>
      </c>
      <c r="O748" s="279">
        <v>0</v>
      </c>
      <c r="P748" s="279">
        <v>0</v>
      </c>
      <c r="Q748" s="279">
        <v>0</v>
      </c>
      <c r="R748" s="279">
        <v>0</v>
      </c>
      <c r="S748" s="279">
        <v>0</v>
      </c>
      <c r="T748" s="279">
        <v>0</v>
      </c>
      <c r="U748" s="279">
        <v>0</v>
      </c>
      <c r="V748" s="279">
        <v>0</v>
      </c>
    </row>
    <row r="749" spans="1:22" x14ac:dyDescent="0.2">
      <c r="A749" s="269" t="s">
        <v>94</v>
      </c>
      <c r="B749" s="270"/>
      <c r="C749" s="273"/>
      <c r="D749" s="274"/>
      <c r="E749" s="274"/>
      <c r="F749" s="274"/>
      <c r="G749" s="274"/>
      <c r="H749" s="274"/>
      <c r="I749" s="274"/>
      <c r="J749" s="274"/>
      <c r="K749" s="274"/>
      <c r="L749" s="274"/>
      <c r="M749" s="274"/>
      <c r="N749" s="274"/>
      <c r="O749" s="274"/>
      <c r="P749" s="274"/>
      <c r="Q749" s="274"/>
      <c r="R749" s="274"/>
      <c r="S749" s="274"/>
      <c r="T749" s="274"/>
      <c r="U749" s="274"/>
      <c r="V749" s="274"/>
    </row>
    <row r="750" spans="1:22" x14ac:dyDescent="0.2">
      <c r="A750" s="267"/>
      <c r="B750" s="270" t="s">
        <v>34</v>
      </c>
      <c r="C750" s="278">
        <v>0</v>
      </c>
      <c r="D750" s="279">
        <v>4.2613254080613263</v>
      </c>
      <c r="E750" s="279">
        <v>4.3465519162225528</v>
      </c>
      <c r="F750" s="279">
        <v>4.4334829545470038</v>
      </c>
      <c r="G750" s="279">
        <v>4.5221526136379433</v>
      </c>
      <c r="H750" s="279">
        <v>4.6125956659107024</v>
      </c>
      <c r="I750" s="279">
        <v>4.7048475792289164</v>
      </c>
      <c r="J750" s="279">
        <v>4.798944530813495</v>
      </c>
      <c r="K750" s="279">
        <v>4.8949234214297652</v>
      </c>
      <c r="L750" s="279">
        <v>4.9928218898583605</v>
      </c>
      <c r="M750" s="279">
        <v>5.0926783276555279</v>
      </c>
      <c r="N750" s="279">
        <v>5.1945318942086383</v>
      </c>
      <c r="O750" s="279">
        <v>5.2984225320928111</v>
      </c>
      <c r="P750" s="279">
        <v>5.4043909827346681</v>
      </c>
      <c r="Q750" s="279">
        <v>5.5124788023893609</v>
      </c>
      <c r="R750" s="279">
        <v>5.6227283784371487</v>
      </c>
      <c r="S750" s="279">
        <v>5.7351829460058914</v>
      </c>
      <c r="T750" s="279">
        <v>5.8498866049260094</v>
      </c>
      <c r="U750" s="279">
        <v>5.9668843370245295</v>
      </c>
      <c r="V750" s="279">
        <v>6.0862220237650195</v>
      </c>
    </row>
    <row r="751" spans="1:22" x14ac:dyDescent="0.2">
      <c r="A751" s="267"/>
      <c r="B751" s="270" t="s">
        <v>95</v>
      </c>
      <c r="C751" s="278">
        <v>0</v>
      </c>
      <c r="D751" s="279">
        <v>2.0568909100340993</v>
      </c>
      <c r="E751" s="279">
        <v>2.0568909100340993</v>
      </c>
      <c r="F751" s="279">
        <v>2.0568909100340993</v>
      </c>
      <c r="G751" s="279">
        <v>2.0568909100340993</v>
      </c>
      <c r="H751" s="279">
        <v>2.0568909100340993</v>
      </c>
      <c r="I751" s="279">
        <v>2.0568909100340993</v>
      </c>
      <c r="J751" s="279">
        <v>2.0568909100340993</v>
      </c>
      <c r="K751" s="279">
        <v>2.0568909100340993</v>
      </c>
      <c r="L751" s="279">
        <v>2.0568909100340993</v>
      </c>
      <c r="M751" s="279">
        <v>2.0568909100340993</v>
      </c>
      <c r="N751" s="279">
        <v>2.0568909100340993</v>
      </c>
      <c r="O751" s="279">
        <v>2.0568909100340993</v>
      </c>
      <c r="P751" s="279">
        <v>2.0568909100340993</v>
      </c>
      <c r="Q751" s="279">
        <v>2.0568909100340993</v>
      </c>
      <c r="R751" s="279">
        <v>2.0568909100340993</v>
      </c>
      <c r="S751" s="279">
        <v>2.0568909100340993</v>
      </c>
      <c r="T751" s="279">
        <v>2.0568909100340993</v>
      </c>
      <c r="U751" s="279">
        <v>2.0568909100340993</v>
      </c>
      <c r="V751" s="279">
        <v>2.0568909100340993</v>
      </c>
    </row>
    <row r="752" spans="1:22" x14ac:dyDescent="0.2">
      <c r="A752" s="267"/>
      <c r="B752" s="270" t="s">
        <v>36</v>
      </c>
      <c r="C752" s="278">
        <v>0</v>
      </c>
      <c r="D752" s="279">
        <v>0.41407105948314693</v>
      </c>
      <c r="E752" s="279">
        <v>0.42280795883824385</v>
      </c>
      <c r="F752" s="279">
        <v>0.432067453136802</v>
      </c>
      <c r="G752" s="279">
        <v>0.44183217757768989</v>
      </c>
      <c r="H752" s="279">
        <v>0.45234778340404036</v>
      </c>
      <c r="I752" s="279">
        <v>0.46368366433148034</v>
      </c>
      <c r="J752" s="279">
        <v>0.47518431097007663</v>
      </c>
      <c r="K752" s="279">
        <v>0.48721220788436947</v>
      </c>
      <c r="L752" s="279">
        <v>0.49924634941911356</v>
      </c>
      <c r="M752" s="279">
        <v>0.51197713132930012</v>
      </c>
      <c r="N752" s="279">
        <v>0.52436697790747067</v>
      </c>
      <c r="O752" s="279">
        <v>0.53758102575073774</v>
      </c>
      <c r="P752" s="279">
        <v>0.55123558380480508</v>
      </c>
      <c r="Q752" s="279">
        <v>0.56501647339992567</v>
      </c>
      <c r="R752" s="279">
        <v>0.57919838688226355</v>
      </c>
      <c r="S752" s="279">
        <v>0.5936783465543215</v>
      </c>
      <c r="T752" s="279">
        <v>0.60840156954886682</v>
      </c>
      <c r="U752" s="279">
        <v>0.62367244894454466</v>
      </c>
      <c r="V752" s="279">
        <v>0.63932662741305357</v>
      </c>
    </row>
    <row r="753" spans="1:22" x14ac:dyDescent="0.2">
      <c r="A753" s="267"/>
      <c r="B753" s="270" t="s">
        <v>39</v>
      </c>
      <c r="C753" s="278">
        <v>0</v>
      </c>
      <c r="D753" s="279">
        <v>4.4138605827430393</v>
      </c>
      <c r="E753" s="279">
        <v>0.17627737226277373</v>
      </c>
      <c r="F753" s="279">
        <v>0.18157911138278621</v>
      </c>
      <c r="G753" s="279">
        <v>0.18770798125441973</v>
      </c>
      <c r="H753" s="279">
        <v>1.0277572183668331</v>
      </c>
      <c r="I753" s="279">
        <v>1.058589934917838</v>
      </c>
      <c r="J753" s="279">
        <v>1.0903476329653732</v>
      </c>
      <c r="K753" s="279">
        <v>1.1230580619543344</v>
      </c>
      <c r="L753" s="279">
        <v>1.1567498038129647</v>
      </c>
      <c r="M753" s="279">
        <v>1.1914522979273534</v>
      </c>
      <c r="N753" s="279">
        <v>1.2271958668651741</v>
      </c>
      <c r="O753" s="279">
        <v>1.2640117428711293</v>
      </c>
      <c r="P753" s="279">
        <v>1.3019320951572633</v>
      </c>
      <c r="Q753" s="279">
        <v>1.3409900580119811</v>
      </c>
      <c r="R753" s="279">
        <v>1.3812197597523408</v>
      </c>
      <c r="S753" s="279">
        <v>1.422656352544911</v>
      </c>
      <c r="T753" s="279">
        <v>1.4653360431212583</v>
      </c>
      <c r="U753" s="279">
        <v>1.5092961244148961</v>
      </c>
      <c r="V753" s="279">
        <v>1.5545750081473433</v>
      </c>
    </row>
    <row r="754" spans="1:22" x14ac:dyDescent="0.2">
      <c r="A754" s="267"/>
      <c r="B754" s="270" t="s">
        <v>96</v>
      </c>
      <c r="C754" s="280">
        <v>0</v>
      </c>
      <c r="D754" s="281">
        <v>0</v>
      </c>
      <c r="E754" s="281">
        <v>0</v>
      </c>
      <c r="F754" s="281">
        <v>0</v>
      </c>
      <c r="G754" s="281">
        <v>0</v>
      </c>
      <c r="H754" s="281">
        <v>0</v>
      </c>
      <c r="I754" s="281">
        <v>0</v>
      </c>
      <c r="J754" s="281">
        <v>0</v>
      </c>
      <c r="K754" s="281">
        <v>0</v>
      </c>
      <c r="L754" s="281">
        <v>0</v>
      </c>
      <c r="M754" s="281">
        <v>0</v>
      </c>
      <c r="N754" s="281">
        <v>0</v>
      </c>
      <c r="O754" s="281">
        <v>0</v>
      </c>
      <c r="P754" s="281">
        <v>0</v>
      </c>
      <c r="Q754" s="281">
        <v>0</v>
      </c>
      <c r="R754" s="281">
        <v>0</v>
      </c>
      <c r="S754" s="281">
        <v>0</v>
      </c>
      <c r="T754" s="281">
        <v>0</v>
      </c>
      <c r="U754" s="281">
        <v>0</v>
      </c>
      <c r="V754" s="281">
        <v>0</v>
      </c>
    </row>
    <row r="755" spans="1:22" x14ac:dyDescent="0.2">
      <c r="A755" s="267"/>
      <c r="B755" s="270"/>
      <c r="C755" s="267"/>
      <c r="D755" s="267"/>
      <c r="E755" s="267"/>
      <c r="F755" s="267"/>
      <c r="G755" s="267"/>
      <c r="H755" s="267"/>
      <c r="I755" s="267"/>
      <c r="J755" s="267"/>
      <c r="K755" s="267"/>
      <c r="L755" s="267"/>
      <c r="M755" s="267"/>
      <c r="N755" s="267"/>
      <c r="O755" s="267"/>
      <c r="P755" s="267"/>
      <c r="Q755" s="267"/>
      <c r="R755" s="267"/>
      <c r="S755" s="267"/>
      <c r="T755" s="267"/>
      <c r="U755" s="267"/>
      <c r="V755" s="267"/>
    </row>
    <row r="756" spans="1:22" x14ac:dyDescent="0.2">
      <c r="A756" s="267"/>
      <c r="B756" s="270"/>
      <c r="C756" s="267"/>
      <c r="D756" s="267"/>
      <c r="E756" s="267"/>
      <c r="F756" s="267"/>
      <c r="G756" s="267"/>
      <c r="H756" s="267"/>
      <c r="I756" s="267"/>
      <c r="J756" s="267"/>
      <c r="K756" s="267"/>
      <c r="L756" s="267"/>
      <c r="M756" s="267"/>
      <c r="N756" s="267"/>
      <c r="O756" s="267"/>
      <c r="P756" s="267"/>
      <c r="Q756" s="267"/>
      <c r="R756" s="267"/>
      <c r="S756" s="267"/>
      <c r="T756" s="267"/>
      <c r="U756" s="267"/>
      <c r="V756" s="267"/>
    </row>
    <row r="759" spans="1:22" x14ac:dyDescent="0.2">
      <c r="A759" s="265" t="s">
        <v>98</v>
      </c>
      <c r="B759" s="266"/>
      <c r="C759" s="267"/>
      <c r="D759" s="267"/>
      <c r="E759" s="267"/>
      <c r="F759" s="267"/>
      <c r="G759" s="267"/>
      <c r="H759" s="267"/>
      <c r="I759" s="267"/>
      <c r="J759" s="267"/>
      <c r="K759" s="267"/>
      <c r="L759" s="267"/>
      <c r="M759" s="267"/>
      <c r="N759" s="267"/>
      <c r="O759" s="267"/>
      <c r="P759" s="267"/>
      <c r="Q759" s="267"/>
      <c r="R759" s="267"/>
      <c r="S759" s="267"/>
      <c r="T759" s="267"/>
      <c r="U759" s="267"/>
      <c r="V759" s="267"/>
    </row>
    <row r="760" spans="1:22" x14ac:dyDescent="0.2">
      <c r="A760" s="268" t="s">
        <v>181</v>
      </c>
      <c r="B760" s="266"/>
      <c r="C760" s="267"/>
      <c r="D760" s="267"/>
      <c r="E760" s="267"/>
      <c r="F760" s="267"/>
      <c r="G760" s="267"/>
      <c r="H760" s="267"/>
      <c r="I760" s="267"/>
      <c r="J760" s="267"/>
      <c r="K760" s="267"/>
      <c r="L760" s="267"/>
      <c r="M760" s="267"/>
      <c r="N760" s="267"/>
      <c r="O760" s="267"/>
      <c r="P760" s="267"/>
      <c r="Q760" s="267"/>
      <c r="R760" s="267"/>
      <c r="S760" s="267"/>
      <c r="T760" s="267"/>
      <c r="U760" s="267"/>
      <c r="V760" s="267"/>
    </row>
    <row r="761" spans="1:22" x14ac:dyDescent="0.2">
      <c r="A761" s="267"/>
      <c r="B761" s="266"/>
      <c r="C761" s="267"/>
      <c r="D761" s="267"/>
      <c r="E761" s="267"/>
      <c r="F761" s="267"/>
      <c r="G761" s="267"/>
      <c r="H761" s="267"/>
      <c r="I761" s="267"/>
      <c r="J761" s="267"/>
      <c r="K761" s="267"/>
      <c r="L761" s="267"/>
      <c r="M761" s="267"/>
      <c r="N761" s="267"/>
      <c r="O761" s="267"/>
      <c r="P761" s="267"/>
      <c r="Q761" s="267"/>
      <c r="R761" s="267"/>
      <c r="S761" s="267"/>
      <c r="T761" s="267"/>
      <c r="U761" s="267"/>
      <c r="V761" s="267"/>
    </row>
    <row r="762" spans="1:22" x14ac:dyDescent="0.2">
      <c r="A762" s="267"/>
      <c r="B762" s="266"/>
      <c r="C762" s="271">
        <v>2000</v>
      </c>
      <c r="D762" s="272">
        <v>2001</v>
      </c>
      <c r="E762" s="272">
        <v>2002</v>
      </c>
      <c r="F762" s="272">
        <v>2003</v>
      </c>
      <c r="G762" s="272">
        <v>2004</v>
      </c>
      <c r="H762" s="272">
        <v>2005</v>
      </c>
      <c r="I762" s="272">
        <v>2006</v>
      </c>
      <c r="J762" s="272">
        <v>2007</v>
      </c>
      <c r="K762" s="272">
        <v>2008</v>
      </c>
      <c r="L762" s="272">
        <v>2009</v>
      </c>
      <c r="M762" s="272">
        <v>2010</v>
      </c>
      <c r="N762" s="272">
        <v>2011</v>
      </c>
      <c r="O762" s="272">
        <v>2012</v>
      </c>
      <c r="P762" s="272">
        <v>2013</v>
      </c>
      <c r="Q762" s="272">
        <v>2014</v>
      </c>
      <c r="R762" s="272">
        <v>2015</v>
      </c>
      <c r="S762" s="272">
        <v>2016</v>
      </c>
      <c r="T762" s="272">
        <v>2017</v>
      </c>
      <c r="U762" s="272">
        <v>2018</v>
      </c>
      <c r="V762" s="272">
        <v>2019</v>
      </c>
    </row>
    <row r="763" spans="1:22" x14ac:dyDescent="0.2">
      <c r="A763" s="269" t="s">
        <v>129</v>
      </c>
      <c r="B763" s="266"/>
      <c r="C763" s="273"/>
      <c r="D763" s="274"/>
      <c r="E763" s="274"/>
      <c r="F763" s="274"/>
      <c r="G763" s="274"/>
      <c r="H763" s="274"/>
      <c r="I763" s="274"/>
      <c r="J763" s="274"/>
      <c r="K763" s="274"/>
      <c r="L763" s="274"/>
      <c r="M763" s="274"/>
      <c r="N763" s="274"/>
      <c r="O763" s="274"/>
      <c r="P763" s="274"/>
      <c r="Q763" s="274"/>
      <c r="R763" s="274"/>
      <c r="S763" s="274"/>
      <c r="T763" s="274"/>
      <c r="U763" s="274"/>
      <c r="V763" s="274"/>
    </row>
    <row r="764" spans="1:22" x14ac:dyDescent="0.2">
      <c r="A764" s="267"/>
      <c r="B764" s="270" t="s">
        <v>97</v>
      </c>
      <c r="C764" s="275">
        <v>0</v>
      </c>
      <c r="D764" s="276">
        <v>1225036.2305391203</v>
      </c>
      <c r="E764" s="276">
        <v>1485682.2370368056</v>
      </c>
      <c r="F764" s="276">
        <v>1824522.0454837964</v>
      </c>
      <c r="G764" s="276">
        <v>1433553.0357372684</v>
      </c>
      <c r="H764" s="276">
        <v>1511746.8376865739</v>
      </c>
      <c r="I764" s="276">
        <v>1850586.6461335649</v>
      </c>
      <c r="J764" s="276">
        <v>1980909.6493824075</v>
      </c>
      <c r="K764" s="276">
        <v>2345814.0584791666</v>
      </c>
      <c r="L764" s="276">
        <v>2267620.2565298616</v>
      </c>
      <c r="M764" s="276">
        <v>1928780.4480828703</v>
      </c>
      <c r="N764" s="276">
        <v>2241555.6558800922</v>
      </c>
      <c r="O764" s="276">
        <v>2033038.8506819448</v>
      </c>
      <c r="P764" s="276">
        <v>1980909.6493824075</v>
      </c>
      <c r="Q764" s="276">
        <v>2137297.2532810187</v>
      </c>
      <c r="R764" s="276">
        <v>2267620.2565298607</v>
      </c>
      <c r="S764" s="276">
        <v>1850586.6461335651</v>
      </c>
      <c r="T764" s="276">
        <v>1668134.4415851848</v>
      </c>
      <c r="U764" s="276">
        <v>1511746.8376865739</v>
      </c>
      <c r="V764" s="276">
        <v>1824522.0454837964</v>
      </c>
    </row>
    <row r="765" spans="1:22" x14ac:dyDescent="0.2">
      <c r="A765" s="267"/>
      <c r="B765" s="270" t="s">
        <v>91</v>
      </c>
      <c r="C765" s="275">
        <v>0</v>
      </c>
      <c r="D765" s="277">
        <v>0.19836073553857317</v>
      </c>
      <c r="E765" s="277">
        <v>0.24056514735529091</v>
      </c>
      <c r="F765" s="277">
        <v>0.29543088271702395</v>
      </c>
      <c r="G765" s="277">
        <v>0.23212426499194735</v>
      </c>
      <c r="H765" s="277">
        <v>0.24478558853696264</v>
      </c>
      <c r="I765" s="277">
        <v>0.2996513238986957</v>
      </c>
      <c r="J765" s="277">
        <v>0.32075352980705457</v>
      </c>
      <c r="K765" s="277">
        <v>0.37983970635045933</v>
      </c>
      <c r="L765" s="277">
        <v>0.36717838280544407</v>
      </c>
      <c r="M765" s="277">
        <v>0.31231264744371096</v>
      </c>
      <c r="N765" s="277">
        <v>0.36295794162377221</v>
      </c>
      <c r="O765" s="277">
        <v>0.32919441217039813</v>
      </c>
      <c r="P765" s="277">
        <v>0.32075352980705457</v>
      </c>
      <c r="Q765" s="277">
        <v>0.34607617689708514</v>
      </c>
      <c r="R765" s="277">
        <v>0.36717838280544396</v>
      </c>
      <c r="S765" s="277">
        <v>0.29965132389869575</v>
      </c>
      <c r="T765" s="277">
        <v>0.27010823562699326</v>
      </c>
      <c r="U765" s="277">
        <v>0.24478558853696264</v>
      </c>
      <c r="V765" s="277">
        <v>0.29543088271702395</v>
      </c>
    </row>
    <row r="766" spans="1:22" x14ac:dyDescent="0.2">
      <c r="A766" s="269" t="s">
        <v>93</v>
      </c>
      <c r="B766" s="270"/>
      <c r="C766" s="273"/>
      <c r="D766" s="274"/>
      <c r="E766" s="274"/>
      <c r="F766" s="274"/>
      <c r="G766" s="274"/>
      <c r="H766" s="274"/>
      <c r="I766" s="274"/>
      <c r="J766" s="274"/>
      <c r="K766" s="274"/>
      <c r="L766" s="274"/>
      <c r="M766" s="274"/>
      <c r="N766" s="274"/>
      <c r="O766" s="274"/>
      <c r="P766" s="274"/>
      <c r="Q766" s="274"/>
      <c r="R766" s="274"/>
      <c r="S766" s="274"/>
      <c r="T766" s="274"/>
      <c r="U766" s="274"/>
      <c r="V766" s="274"/>
    </row>
    <row r="767" spans="1:22" x14ac:dyDescent="0.2">
      <c r="A767" s="267"/>
      <c r="B767" s="270" t="s">
        <v>27</v>
      </c>
      <c r="C767" s="278">
        <v>0</v>
      </c>
      <c r="D767" s="279">
        <v>95.25985162703914</v>
      </c>
      <c r="E767" s="279">
        <v>76.819096409199318</v>
      </c>
      <c r="F767" s="279">
        <v>68.329659606266503</v>
      </c>
      <c r="G767" s="279">
        <v>70.544833789462132</v>
      </c>
      <c r="H767" s="279">
        <v>70.227916531363903</v>
      </c>
      <c r="I767" s="279">
        <v>66.390799165733512</v>
      </c>
      <c r="J767" s="279">
        <v>68.054606169164543</v>
      </c>
      <c r="K767" s="279">
        <v>66.574438858072412</v>
      </c>
      <c r="L767" s="279">
        <v>67.905748341204671</v>
      </c>
      <c r="M767" s="279">
        <v>73.636919293890088</v>
      </c>
      <c r="N767" s="279">
        <v>68.487982671661157</v>
      </c>
      <c r="O767" s="279">
        <v>71.618434138278161</v>
      </c>
      <c r="P767" s="279">
        <v>74.407668205351129</v>
      </c>
      <c r="Q767" s="279">
        <v>75.470145854567946</v>
      </c>
      <c r="R767" s="279">
        <v>75.756017237680922</v>
      </c>
      <c r="S767" s="279">
        <v>81.060754061913087</v>
      </c>
      <c r="T767" s="279">
        <v>88.120077005886785</v>
      </c>
      <c r="U767" s="279">
        <v>97.660194291674642</v>
      </c>
      <c r="V767" s="279">
        <v>90.056933858195521</v>
      </c>
    </row>
    <row r="768" spans="1:22" x14ac:dyDescent="0.2">
      <c r="A768" s="267"/>
      <c r="B768" s="270" t="s">
        <v>20</v>
      </c>
      <c r="C768" s="278">
        <v>0</v>
      </c>
      <c r="D768" s="279">
        <v>46.328246661227034</v>
      </c>
      <c r="E768" s="279">
        <v>41.661304772641564</v>
      </c>
      <c r="F768" s="279">
        <v>39.501696223140947</v>
      </c>
      <c r="G768" s="279">
        <v>39.914951777932671</v>
      </c>
      <c r="H768" s="279">
        <v>40.324070505697172</v>
      </c>
      <c r="I768" s="279">
        <v>40.707666206558592</v>
      </c>
      <c r="J768" s="279">
        <v>40.968081966468382</v>
      </c>
      <c r="K768" s="279">
        <v>38.522775424557771</v>
      </c>
      <c r="L768" s="279">
        <v>39.638646966583984</v>
      </c>
      <c r="M768" s="279">
        <v>41.64488946059398</v>
      </c>
      <c r="N768" s="279">
        <v>41.894580056201846</v>
      </c>
      <c r="O768" s="279">
        <v>41.981772746813796</v>
      </c>
      <c r="P768" s="279">
        <v>44.306391817961298</v>
      </c>
      <c r="Q768" s="279">
        <v>44.156934573288908</v>
      </c>
      <c r="R768" s="279">
        <v>48.067511508143291</v>
      </c>
      <c r="S768" s="279">
        <v>50.485303479177674</v>
      </c>
      <c r="T768" s="279">
        <v>53.031446597281821</v>
      </c>
      <c r="U768" s="279">
        <v>55.806659551525264</v>
      </c>
      <c r="V768" s="279">
        <v>55.31951504216967</v>
      </c>
    </row>
    <row r="769" spans="1:22" x14ac:dyDescent="0.2">
      <c r="A769" s="267"/>
      <c r="B769" s="270" t="s">
        <v>92</v>
      </c>
      <c r="C769" s="278">
        <v>0</v>
      </c>
      <c r="D769" s="279">
        <v>0.62122765350198872</v>
      </c>
      <c r="E769" s="279">
        <v>0.6331233040086941</v>
      </c>
      <c r="F769" s="279">
        <v>0.64635591722365027</v>
      </c>
      <c r="G769" s="279">
        <v>0.6594280984122971</v>
      </c>
      <c r="H769" s="279">
        <v>0.67308355088990801</v>
      </c>
      <c r="I769" s="279">
        <v>0.68637597142381335</v>
      </c>
      <c r="J769" s="279">
        <v>0.70014067366187871</v>
      </c>
      <c r="K769" s="279">
        <v>0.71390950004604781</v>
      </c>
      <c r="L769" s="279">
        <v>0.7283621490296992</v>
      </c>
      <c r="M769" s="279">
        <v>0.74368931178018949</v>
      </c>
      <c r="N769" s="279">
        <v>0.75815556256573136</v>
      </c>
      <c r="O769" s="279">
        <v>0.77382028254603463</v>
      </c>
      <c r="P769" s="279">
        <v>0.78932893917092684</v>
      </c>
      <c r="Q769" s="279">
        <v>0.80529143092838917</v>
      </c>
      <c r="R769" s="279">
        <v>0.82152127540770503</v>
      </c>
      <c r="S769" s="279">
        <v>0.8378083051053048</v>
      </c>
      <c r="T769" s="279">
        <v>0.85570808350868466</v>
      </c>
      <c r="U769" s="279">
        <v>0.87230441391394409</v>
      </c>
      <c r="V769" s="279">
        <v>0.88953900267385722</v>
      </c>
    </row>
    <row r="770" spans="1:22" x14ac:dyDescent="0.2">
      <c r="A770" s="267"/>
      <c r="B770" s="270" t="s">
        <v>22</v>
      </c>
      <c r="C770" s="278">
        <v>0</v>
      </c>
      <c r="D770" s="279">
        <v>0</v>
      </c>
      <c r="E770" s="279">
        <v>0</v>
      </c>
      <c r="F770" s="279">
        <v>0</v>
      </c>
      <c r="G770" s="279">
        <v>0</v>
      </c>
      <c r="H770" s="279">
        <v>0</v>
      </c>
      <c r="I770" s="279">
        <v>0</v>
      </c>
      <c r="J770" s="279">
        <v>0</v>
      </c>
      <c r="K770" s="279">
        <v>0</v>
      </c>
      <c r="L770" s="279">
        <v>0</v>
      </c>
      <c r="M770" s="279">
        <v>0</v>
      </c>
      <c r="N770" s="279">
        <v>0</v>
      </c>
      <c r="O770" s="279">
        <v>0</v>
      </c>
      <c r="P770" s="279">
        <v>0</v>
      </c>
      <c r="Q770" s="279">
        <v>0</v>
      </c>
      <c r="R770" s="279">
        <v>0</v>
      </c>
      <c r="S770" s="279">
        <v>0</v>
      </c>
      <c r="T770" s="279">
        <v>0</v>
      </c>
      <c r="U770" s="279">
        <v>0</v>
      </c>
      <c r="V770" s="279">
        <v>0</v>
      </c>
    </row>
    <row r="771" spans="1:22" x14ac:dyDescent="0.2">
      <c r="A771" s="267"/>
      <c r="B771" s="270" t="s">
        <v>23</v>
      </c>
      <c r="C771" s="278">
        <v>0</v>
      </c>
      <c r="D771" s="279">
        <v>0</v>
      </c>
      <c r="E771" s="279">
        <v>0</v>
      </c>
      <c r="F771" s="279">
        <v>0</v>
      </c>
      <c r="G771" s="279">
        <v>0</v>
      </c>
      <c r="H771" s="279">
        <v>0</v>
      </c>
      <c r="I771" s="279">
        <v>0</v>
      </c>
      <c r="J771" s="279">
        <v>0</v>
      </c>
      <c r="K771" s="279">
        <v>0</v>
      </c>
      <c r="L771" s="279">
        <v>0</v>
      </c>
      <c r="M771" s="279">
        <v>0</v>
      </c>
      <c r="N771" s="279">
        <v>0</v>
      </c>
      <c r="O771" s="279">
        <v>0</v>
      </c>
      <c r="P771" s="279">
        <v>0</v>
      </c>
      <c r="Q771" s="279">
        <v>0</v>
      </c>
      <c r="R771" s="279">
        <v>0</v>
      </c>
      <c r="S771" s="279">
        <v>0</v>
      </c>
      <c r="T771" s="279">
        <v>0</v>
      </c>
      <c r="U771" s="279">
        <v>0</v>
      </c>
      <c r="V771" s="279">
        <v>0</v>
      </c>
    </row>
    <row r="772" spans="1:22" x14ac:dyDescent="0.2">
      <c r="A772" s="269" t="s">
        <v>94</v>
      </c>
      <c r="B772" s="270"/>
      <c r="C772" s="273"/>
      <c r="D772" s="274"/>
      <c r="E772" s="274"/>
      <c r="F772" s="274"/>
      <c r="G772" s="274"/>
      <c r="H772" s="274"/>
      <c r="I772" s="274"/>
      <c r="J772" s="274"/>
      <c r="K772" s="274"/>
      <c r="L772" s="274"/>
      <c r="M772" s="274"/>
      <c r="N772" s="274"/>
      <c r="O772" s="274"/>
      <c r="P772" s="274"/>
      <c r="Q772" s="274"/>
      <c r="R772" s="274"/>
      <c r="S772" s="274"/>
      <c r="T772" s="274"/>
      <c r="U772" s="274"/>
      <c r="V772" s="274"/>
    </row>
    <row r="773" spans="1:22" x14ac:dyDescent="0.2">
      <c r="A773" s="267"/>
      <c r="B773" s="270" t="s">
        <v>34</v>
      </c>
      <c r="C773" s="278">
        <v>0</v>
      </c>
      <c r="D773" s="279">
        <v>4.59</v>
      </c>
      <c r="E773" s="279">
        <v>4.6818</v>
      </c>
      <c r="F773" s="279">
        <v>4.775436</v>
      </c>
      <c r="G773" s="279">
        <v>4.8709447199999998</v>
      </c>
      <c r="H773" s="279">
        <v>4.9683636144000003</v>
      </c>
      <c r="I773" s="279">
        <v>5.0677308866880004</v>
      </c>
      <c r="J773" s="279">
        <v>5.1690855044217603</v>
      </c>
      <c r="K773" s="279">
        <v>5.2724672145101952</v>
      </c>
      <c r="L773" s="279">
        <v>5.3779165588003996</v>
      </c>
      <c r="M773" s="279">
        <v>5.4854748899764072</v>
      </c>
      <c r="N773" s="279">
        <v>5.5951843877759355</v>
      </c>
      <c r="O773" s="279">
        <v>5.7070880755314537</v>
      </c>
      <c r="P773" s="279">
        <v>5.8212298370420825</v>
      </c>
      <c r="Q773" s="279">
        <v>5.9376544337829245</v>
      </c>
      <c r="R773" s="279">
        <v>6.0564075224585832</v>
      </c>
      <c r="S773" s="279">
        <v>6.1775356729077542</v>
      </c>
      <c r="T773" s="279">
        <v>6.3010863863659097</v>
      </c>
      <c r="U773" s="279">
        <v>6.4271081140932278</v>
      </c>
      <c r="V773" s="279">
        <v>6.5556502763750926</v>
      </c>
    </row>
    <row r="774" spans="1:22" x14ac:dyDescent="0.2">
      <c r="A774" s="267"/>
      <c r="B774" s="270" t="s">
        <v>95</v>
      </c>
      <c r="C774" s="278">
        <v>0</v>
      </c>
      <c r="D774" s="279">
        <v>0.24342209829343969</v>
      </c>
      <c r="E774" s="279">
        <v>0.24342209829343969</v>
      </c>
      <c r="F774" s="279">
        <v>0.24342209829343969</v>
      </c>
      <c r="G774" s="279">
        <v>0.24342209829343969</v>
      </c>
      <c r="H774" s="279">
        <v>0.24342209829343969</v>
      </c>
      <c r="I774" s="279">
        <v>0.24342209829343969</v>
      </c>
      <c r="J774" s="279">
        <v>0.24342209829343969</v>
      </c>
      <c r="K774" s="279">
        <v>0.24342209829343969</v>
      </c>
      <c r="L774" s="279">
        <v>0.24342209829343969</v>
      </c>
      <c r="M774" s="279">
        <v>0.24342209829343969</v>
      </c>
      <c r="N774" s="279">
        <v>0.24342209829343969</v>
      </c>
      <c r="O774" s="279">
        <v>0.24342209829343969</v>
      </c>
      <c r="P774" s="279">
        <v>0.24342209829343969</v>
      </c>
      <c r="Q774" s="279">
        <v>0.24342209829343969</v>
      </c>
      <c r="R774" s="279">
        <v>0.24342209829343969</v>
      </c>
      <c r="S774" s="279">
        <v>0.24342209829343969</v>
      </c>
      <c r="T774" s="279">
        <v>0.24342209829343969</v>
      </c>
      <c r="U774" s="279">
        <v>0.24342209829343969</v>
      </c>
      <c r="V774" s="279">
        <v>0.24342209829343969</v>
      </c>
    </row>
    <row r="775" spans="1:22" x14ac:dyDescent="0.2">
      <c r="A775" s="267"/>
      <c r="B775" s="270" t="s">
        <v>36</v>
      </c>
      <c r="C775" s="278">
        <v>0</v>
      </c>
      <c r="D775" s="279">
        <v>0.53177304964539007</v>
      </c>
      <c r="E775" s="279">
        <v>0.54347205673758858</v>
      </c>
      <c r="F775" s="279">
        <v>0.55542844198581565</v>
      </c>
      <c r="G775" s="279">
        <v>0.56764786770950348</v>
      </c>
      <c r="H775" s="279">
        <v>0.58013612079911214</v>
      </c>
      <c r="I775" s="279">
        <v>0.5928991154566936</v>
      </c>
      <c r="J775" s="279">
        <v>0.60594289599674045</v>
      </c>
      <c r="K775" s="279">
        <v>0.61927363970866811</v>
      </c>
      <c r="L775" s="279">
        <v>0.63289765978225954</v>
      </c>
      <c r="M775" s="279">
        <v>0.64682140829746948</v>
      </c>
      <c r="N775" s="279">
        <v>0.66105147928001284</v>
      </c>
      <c r="O775" s="279">
        <v>0.67559461182417446</v>
      </c>
      <c r="P775" s="279">
        <v>0.69045769328430495</v>
      </c>
      <c r="Q775" s="279">
        <v>0.70564776253656025</v>
      </c>
      <c r="R775" s="279">
        <v>0.72117201331236458</v>
      </c>
      <c r="S775" s="279">
        <v>0.73703779760523691</v>
      </c>
      <c r="T775" s="279">
        <v>0.75325262915255187</v>
      </c>
      <c r="U775" s="279">
        <v>0.76982418699390787</v>
      </c>
      <c r="V775" s="279">
        <v>0.78676031910777444</v>
      </c>
    </row>
    <row r="776" spans="1:22" x14ac:dyDescent="0.2">
      <c r="A776" s="267"/>
      <c r="B776" s="270" t="s">
        <v>39</v>
      </c>
      <c r="C776" s="278">
        <v>0</v>
      </c>
      <c r="D776" s="279">
        <v>0</v>
      </c>
      <c r="E776" s="279">
        <v>0</v>
      </c>
      <c r="F776" s="279">
        <v>0</v>
      </c>
      <c r="G776" s="279">
        <v>0</v>
      </c>
      <c r="H776" s="279">
        <v>0</v>
      </c>
      <c r="I776" s="279">
        <v>0</v>
      </c>
      <c r="J776" s="279">
        <v>0</v>
      </c>
      <c r="K776" s="279">
        <v>0</v>
      </c>
      <c r="L776" s="279">
        <v>0</v>
      </c>
      <c r="M776" s="279">
        <v>0</v>
      </c>
      <c r="N776" s="279">
        <v>0</v>
      </c>
      <c r="O776" s="279">
        <v>0</v>
      </c>
      <c r="P776" s="279">
        <v>0</v>
      </c>
      <c r="Q776" s="279">
        <v>0</v>
      </c>
      <c r="R776" s="279">
        <v>0</v>
      </c>
      <c r="S776" s="279">
        <v>0</v>
      </c>
      <c r="T776" s="279">
        <v>0</v>
      </c>
      <c r="U776" s="279">
        <v>0</v>
      </c>
      <c r="V776" s="279">
        <v>0</v>
      </c>
    </row>
    <row r="777" spans="1:22" x14ac:dyDescent="0.2">
      <c r="A777" s="267"/>
      <c r="B777" s="270" t="s">
        <v>96</v>
      </c>
      <c r="C777" s="280">
        <v>0</v>
      </c>
      <c r="D777" s="281">
        <v>0</v>
      </c>
      <c r="E777" s="281">
        <v>0</v>
      </c>
      <c r="F777" s="281">
        <v>0</v>
      </c>
      <c r="G777" s="281">
        <v>0</v>
      </c>
      <c r="H777" s="281">
        <v>0</v>
      </c>
      <c r="I777" s="281">
        <v>0</v>
      </c>
      <c r="J777" s="281">
        <v>0</v>
      </c>
      <c r="K777" s="281">
        <v>0</v>
      </c>
      <c r="L777" s="281">
        <v>0</v>
      </c>
      <c r="M777" s="281">
        <v>0</v>
      </c>
      <c r="N777" s="281">
        <v>0</v>
      </c>
      <c r="O777" s="281">
        <v>0</v>
      </c>
      <c r="P777" s="281">
        <v>0</v>
      </c>
      <c r="Q777" s="281">
        <v>0</v>
      </c>
      <c r="R777" s="281">
        <v>0</v>
      </c>
      <c r="S777" s="281">
        <v>0</v>
      </c>
      <c r="T777" s="281">
        <v>0</v>
      </c>
      <c r="U777" s="281">
        <v>0</v>
      </c>
      <c r="V777" s="281">
        <v>0</v>
      </c>
    </row>
    <row r="778" spans="1:22" x14ac:dyDescent="0.2">
      <c r="A778" s="267"/>
      <c r="B778" s="270"/>
      <c r="C778" s="267"/>
      <c r="D778" s="267"/>
      <c r="E778" s="267"/>
      <c r="F778" s="267"/>
      <c r="G778" s="267"/>
      <c r="H778" s="267"/>
      <c r="I778" s="267"/>
      <c r="J778" s="267"/>
      <c r="K778" s="267"/>
      <c r="L778" s="267"/>
      <c r="M778" s="267"/>
      <c r="N778" s="267"/>
      <c r="O778" s="267"/>
      <c r="P778" s="267"/>
      <c r="Q778" s="267"/>
      <c r="R778" s="267"/>
      <c r="S778" s="267"/>
      <c r="T778" s="267"/>
      <c r="U778" s="267"/>
      <c r="V778" s="267"/>
    </row>
    <row r="779" spans="1:22" x14ac:dyDescent="0.2">
      <c r="A779" s="267"/>
      <c r="B779" s="270"/>
      <c r="C779" s="267"/>
      <c r="D779" s="267"/>
      <c r="E779" s="267"/>
      <c r="F779" s="267"/>
      <c r="G779" s="267"/>
      <c r="H779" s="267"/>
      <c r="I779" s="267"/>
      <c r="J779" s="267"/>
      <c r="K779" s="267"/>
      <c r="L779" s="267"/>
      <c r="M779" s="267"/>
      <c r="N779" s="267"/>
      <c r="O779" s="267"/>
      <c r="P779" s="267"/>
      <c r="Q779" s="267"/>
      <c r="R779" s="267"/>
      <c r="S779" s="267"/>
      <c r="T779" s="267"/>
      <c r="U779" s="267"/>
      <c r="V779" s="267"/>
    </row>
    <row r="781" spans="1:22" x14ac:dyDescent="0.2">
      <c r="B781" s="303" t="s">
        <v>55</v>
      </c>
    </row>
    <row r="782" spans="1:22" x14ac:dyDescent="0.2">
      <c r="B782" s="303" t="s">
        <v>56</v>
      </c>
    </row>
    <row r="783" spans="1:22" x14ac:dyDescent="0.2">
      <c r="B783" s="303" t="s">
        <v>57</v>
      </c>
    </row>
    <row r="784" spans="1:22" x14ac:dyDescent="0.2">
      <c r="B784" s="303" t="s">
        <v>58</v>
      </c>
    </row>
    <row r="785" spans="2:2" x14ac:dyDescent="0.2">
      <c r="B785" s="303" t="s">
        <v>59</v>
      </c>
    </row>
    <row r="786" spans="2:2" x14ac:dyDescent="0.2">
      <c r="B786" s="303" t="s">
        <v>60</v>
      </c>
    </row>
    <row r="787" spans="2:2" x14ac:dyDescent="0.2">
      <c r="B787" s="303" t="s">
        <v>61</v>
      </c>
    </row>
    <row r="788" spans="2:2" x14ac:dyDescent="0.2">
      <c r="B788" s="303" t="s">
        <v>62</v>
      </c>
    </row>
    <row r="789" spans="2:2" x14ac:dyDescent="0.2">
      <c r="B789" s="303" t="s">
        <v>63</v>
      </c>
    </row>
    <row r="790" spans="2:2" x14ac:dyDescent="0.2">
      <c r="B790" s="303" t="s">
        <v>64</v>
      </c>
    </row>
    <row r="791" spans="2:2" x14ac:dyDescent="0.2">
      <c r="B791" s="303" t="s">
        <v>65</v>
      </c>
    </row>
    <row r="792" spans="2:2" x14ac:dyDescent="0.2">
      <c r="B792" s="303" t="s">
        <v>66</v>
      </c>
    </row>
    <row r="793" spans="2:2" x14ac:dyDescent="0.2">
      <c r="B793" s="303" t="s">
        <v>67</v>
      </c>
    </row>
    <row r="794" spans="2:2" x14ac:dyDescent="0.2">
      <c r="B794" s="303" t="s">
        <v>70</v>
      </c>
    </row>
    <row r="795" spans="2:2" x14ac:dyDescent="0.2">
      <c r="B795" s="303" t="s">
        <v>68</v>
      </c>
    </row>
    <row r="796" spans="2:2" x14ac:dyDescent="0.2">
      <c r="B796" s="303" t="s">
        <v>69</v>
      </c>
    </row>
    <row r="797" spans="2:2" x14ac:dyDescent="0.2">
      <c r="B797" s="303" t="s">
        <v>71</v>
      </c>
    </row>
    <row r="798" spans="2:2" x14ac:dyDescent="0.2">
      <c r="B798" s="303" t="s">
        <v>72</v>
      </c>
    </row>
    <row r="799" spans="2:2" x14ac:dyDescent="0.2">
      <c r="B799" s="303" t="s">
        <v>73</v>
      </c>
    </row>
    <row r="800" spans="2:2" x14ac:dyDescent="0.2">
      <c r="B800" s="303" t="s">
        <v>74</v>
      </c>
    </row>
    <row r="801" spans="2:2" x14ac:dyDescent="0.2">
      <c r="B801" s="303" t="s">
        <v>75</v>
      </c>
    </row>
    <row r="802" spans="2:2" x14ac:dyDescent="0.2">
      <c r="B802" s="303" t="s">
        <v>86</v>
      </c>
    </row>
    <row r="803" spans="2:2" x14ac:dyDescent="0.2">
      <c r="B803" s="303" t="s">
        <v>76</v>
      </c>
    </row>
    <row r="804" spans="2:2" x14ac:dyDescent="0.2">
      <c r="B804" s="303" t="s">
        <v>77</v>
      </c>
    </row>
    <row r="805" spans="2:2" x14ac:dyDescent="0.2">
      <c r="B805" s="303" t="s">
        <v>78</v>
      </c>
    </row>
    <row r="806" spans="2:2" x14ac:dyDescent="0.2">
      <c r="B806" s="303" t="s">
        <v>79</v>
      </c>
    </row>
    <row r="807" spans="2:2" x14ac:dyDescent="0.2">
      <c r="B807" s="303" t="s">
        <v>80</v>
      </c>
    </row>
    <row r="808" spans="2:2" x14ac:dyDescent="0.2">
      <c r="B808" s="303" t="s">
        <v>81</v>
      </c>
    </row>
    <row r="809" spans="2:2" x14ac:dyDescent="0.2">
      <c r="B809" s="303" t="s">
        <v>82</v>
      </c>
    </row>
    <row r="810" spans="2:2" x14ac:dyDescent="0.2">
      <c r="B810" s="303" t="s">
        <v>83</v>
      </c>
    </row>
    <row r="811" spans="2:2" x14ac:dyDescent="0.2">
      <c r="B811" s="303" t="s">
        <v>84</v>
      </c>
    </row>
    <row r="812" spans="2:2" x14ac:dyDescent="0.2">
      <c r="B812" s="303" t="s">
        <v>85</v>
      </c>
    </row>
    <row r="813" spans="2:2" x14ac:dyDescent="0.2">
      <c r="B813" s="304" t="s">
        <v>181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1" r:id="rId4" name="Drop Down 13">
              <controlPr defaultSize="0" autoLine="0" autoPict="0" macro="[0]!DropDwn">
                <anchor moveWithCells="1">
                  <from>
                    <xdr:col>2</xdr:col>
                    <xdr:colOff>0</xdr:colOff>
                    <xdr:row>15</xdr:row>
                    <xdr:rowOff>152400</xdr:rowOff>
                  </from>
                  <to>
                    <xdr:col>3</xdr:col>
                    <xdr:colOff>1019175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5" name="Button 46">
              <controlPr defaultSize="0" print="0" autoFill="0" autoPict="0" macro="[0]!Home">
                <anchor moveWithCells="1">
                  <from>
                    <xdr:col>2</xdr:col>
                    <xdr:colOff>9525</xdr:colOff>
                    <xdr:row>0</xdr:row>
                    <xdr:rowOff>19050</xdr:rowOff>
                  </from>
                  <to>
                    <xdr:col>2</xdr:col>
                    <xdr:colOff>590550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6" name="Button 49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43</xdr:row>
                    <xdr:rowOff>95250</xdr:rowOff>
                  </from>
                  <to>
                    <xdr:col>1</xdr:col>
                    <xdr:colOff>142875</xdr:colOff>
                    <xdr:row>44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" name="Button 50">
              <controlPr defaultSize="0" print="0" autoFill="0" autoPict="0" macro="[0]!Home">
                <anchor moveWithCells="1">
                  <from>
                    <xdr:col>0</xdr:col>
                    <xdr:colOff>190500</xdr:colOff>
                    <xdr:row>66</xdr:row>
                    <xdr:rowOff>85725</xdr:rowOff>
                  </from>
                  <to>
                    <xdr:col>1</xdr:col>
                    <xdr:colOff>161925</xdr:colOff>
                    <xdr:row>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8" name="Button 51">
              <controlPr defaultSize="0" print="0" autoFill="0" autoPict="0" macro="[0]!Home">
                <anchor moveWithCells="1">
                  <from>
                    <xdr:col>0</xdr:col>
                    <xdr:colOff>190500</xdr:colOff>
                    <xdr:row>89</xdr:row>
                    <xdr:rowOff>85725</xdr:rowOff>
                  </from>
                  <to>
                    <xdr:col>1</xdr:col>
                    <xdr:colOff>161925</xdr:colOff>
                    <xdr:row>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" name="Button 52">
              <controlPr defaultSize="0" print="0" autoFill="0" autoPict="0" macro="[0]!Home">
                <anchor moveWithCells="1">
                  <from>
                    <xdr:col>0</xdr:col>
                    <xdr:colOff>190500</xdr:colOff>
                    <xdr:row>112</xdr:row>
                    <xdr:rowOff>85725</xdr:rowOff>
                  </from>
                  <to>
                    <xdr:col>1</xdr:col>
                    <xdr:colOff>161925</xdr:colOff>
                    <xdr:row>113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0" name="Button 53">
              <controlPr defaultSize="0" print="0" autoFill="0" autoPict="0" macro="[0]!Home">
                <anchor moveWithCells="1">
                  <from>
                    <xdr:col>0</xdr:col>
                    <xdr:colOff>161925</xdr:colOff>
                    <xdr:row>135</xdr:row>
                    <xdr:rowOff>95250</xdr:rowOff>
                  </from>
                  <to>
                    <xdr:col>1</xdr:col>
                    <xdr:colOff>133350</xdr:colOff>
                    <xdr:row>136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1" name="Button 54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158</xdr:row>
                    <xdr:rowOff>76200</xdr:rowOff>
                  </from>
                  <to>
                    <xdr:col>1</xdr:col>
                    <xdr:colOff>123825</xdr:colOff>
                    <xdr:row>159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2" name="Button 55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181</xdr:row>
                    <xdr:rowOff>76200</xdr:rowOff>
                  </from>
                  <to>
                    <xdr:col>1</xdr:col>
                    <xdr:colOff>123825</xdr:colOff>
                    <xdr:row>182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3" name="Button 56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204</xdr:row>
                    <xdr:rowOff>76200</xdr:rowOff>
                  </from>
                  <to>
                    <xdr:col>1</xdr:col>
                    <xdr:colOff>123825</xdr:colOff>
                    <xdr:row>205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4" name="Button 57">
              <controlPr defaultSize="0" print="0" autoFill="0" autoPict="0" macro="[0]!Home">
                <anchor moveWithCells="1">
                  <from>
                    <xdr:col>0</xdr:col>
                    <xdr:colOff>152400</xdr:colOff>
                    <xdr:row>227</xdr:row>
                    <xdr:rowOff>76200</xdr:rowOff>
                  </from>
                  <to>
                    <xdr:col>1</xdr:col>
                    <xdr:colOff>123825</xdr:colOff>
                    <xdr:row>228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5" name="Button 58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249</xdr:row>
                    <xdr:rowOff>95250</xdr:rowOff>
                  </from>
                  <to>
                    <xdr:col>1</xdr:col>
                    <xdr:colOff>142875</xdr:colOff>
                    <xdr:row>250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16" name="Button 59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273</xdr:row>
                    <xdr:rowOff>95250</xdr:rowOff>
                  </from>
                  <to>
                    <xdr:col>1</xdr:col>
                    <xdr:colOff>142875</xdr:colOff>
                    <xdr:row>274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7" name="Button 60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296</xdr:row>
                    <xdr:rowOff>95250</xdr:rowOff>
                  </from>
                  <to>
                    <xdr:col>1</xdr:col>
                    <xdr:colOff>142875</xdr:colOff>
                    <xdr:row>297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8" name="Button 61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319</xdr:row>
                    <xdr:rowOff>95250</xdr:rowOff>
                  </from>
                  <to>
                    <xdr:col>1</xdr:col>
                    <xdr:colOff>142875</xdr:colOff>
                    <xdr:row>320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19" name="Button 62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342</xdr:row>
                    <xdr:rowOff>95250</xdr:rowOff>
                  </from>
                  <to>
                    <xdr:col>1</xdr:col>
                    <xdr:colOff>142875</xdr:colOff>
                    <xdr:row>343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0" name="Button 63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365</xdr:row>
                    <xdr:rowOff>95250</xdr:rowOff>
                  </from>
                  <to>
                    <xdr:col>1</xdr:col>
                    <xdr:colOff>142875</xdr:colOff>
                    <xdr:row>366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1" name="Button 64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388</xdr:row>
                    <xdr:rowOff>95250</xdr:rowOff>
                  </from>
                  <to>
                    <xdr:col>1</xdr:col>
                    <xdr:colOff>142875</xdr:colOff>
                    <xdr:row>389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2" name="Button 65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411</xdr:row>
                    <xdr:rowOff>95250</xdr:rowOff>
                  </from>
                  <to>
                    <xdr:col>1</xdr:col>
                    <xdr:colOff>142875</xdr:colOff>
                    <xdr:row>412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23" name="Button 66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434</xdr:row>
                    <xdr:rowOff>95250</xdr:rowOff>
                  </from>
                  <to>
                    <xdr:col>1</xdr:col>
                    <xdr:colOff>142875</xdr:colOff>
                    <xdr:row>435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24" name="Button 67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457</xdr:row>
                    <xdr:rowOff>95250</xdr:rowOff>
                  </from>
                  <to>
                    <xdr:col>1</xdr:col>
                    <xdr:colOff>142875</xdr:colOff>
                    <xdr:row>458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25" name="Button 68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480</xdr:row>
                    <xdr:rowOff>95250</xdr:rowOff>
                  </from>
                  <to>
                    <xdr:col>1</xdr:col>
                    <xdr:colOff>142875</xdr:colOff>
                    <xdr:row>481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26" name="Button 69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503</xdr:row>
                    <xdr:rowOff>95250</xdr:rowOff>
                  </from>
                  <to>
                    <xdr:col>1</xdr:col>
                    <xdr:colOff>142875</xdr:colOff>
                    <xdr:row>504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27" name="Button 70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526</xdr:row>
                    <xdr:rowOff>95250</xdr:rowOff>
                  </from>
                  <to>
                    <xdr:col>1</xdr:col>
                    <xdr:colOff>142875</xdr:colOff>
                    <xdr:row>527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28" name="Button 71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549</xdr:row>
                    <xdr:rowOff>95250</xdr:rowOff>
                  </from>
                  <to>
                    <xdr:col>1</xdr:col>
                    <xdr:colOff>142875</xdr:colOff>
                    <xdr:row>550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29" name="Button 72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572</xdr:row>
                    <xdr:rowOff>95250</xdr:rowOff>
                  </from>
                  <to>
                    <xdr:col>1</xdr:col>
                    <xdr:colOff>142875</xdr:colOff>
                    <xdr:row>573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30" name="Button 73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595</xdr:row>
                    <xdr:rowOff>95250</xdr:rowOff>
                  </from>
                  <to>
                    <xdr:col>1</xdr:col>
                    <xdr:colOff>142875</xdr:colOff>
                    <xdr:row>596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31" name="Button 74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618</xdr:row>
                    <xdr:rowOff>95250</xdr:rowOff>
                  </from>
                  <to>
                    <xdr:col>1</xdr:col>
                    <xdr:colOff>142875</xdr:colOff>
                    <xdr:row>619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32" name="Button 75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641</xdr:row>
                    <xdr:rowOff>95250</xdr:rowOff>
                  </from>
                  <to>
                    <xdr:col>1</xdr:col>
                    <xdr:colOff>142875</xdr:colOff>
                    <xdr:row>642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33" name="Button 76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664</xdr:row>
                    <xdr:rowOff>95250</xdr:rowOff>
                  </from>
                  <to>
                    <xdr:col>1</xdr:col>
                    <xdr:colOff>142875</xdr:colOff>
                    <xdr:row>665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34" name="Button 77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687</xdr:row>
                    <xdr:rowOff>95250</xdr:rowOff>
                  </from>
                  <to>
                    <xdr:col>1</xdr:col>
                    <xdr:colOff>142875</xdr:colOff>
                    <xdr:row>688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35" name="Button 78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710</xdr:row>
                    <xdr:rowOff>95250</xdr:rowOff>
                  </from>
                  <to>
                    <xdr:col>1</xdr:col>
                    <xdr:colOff>142875</xdr:colOff>
                    <xdr:row>711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36" name="Button 79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733</xdr:row>
                    <xdr:rowOff>95250</xdr:rowOff>
                  </from>
                  <to>
                    <xdr:col>1</xdr:col>
                    <xdr:colOff>142875</xdr:colOff>
                    <xdr:row>734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37" name="Button 80">
              <controlPr defaultSize="0" print="0" autoFill="0" autoPict="0" macro="[0]!Home">
                <anchor moveWithCells="1">
                  <from>
                    <xdr:col>0</xdr:col>
                    <xdr:colOff>171450</xdr:colOff>
                    <xdr:row>756</xdr:row>
                    <xdr:rowOff>95250</xdr:rowOff>
                  </from>
                  <to>
                    <xdr:col>1</xdr:col>
                    <xdr:colOff>142875</xdr:colOff>
                    <xdr:row>757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31"/>
  <sheetViews>
    <sheetView workbookViewId="0"/>
  </sheetViews>
  <sheetFormatPr defaultRowHeight="12.75" x14ac:dyDescent="0.2"/>
  <cols>
    <col min="11" max="11" width="32.140625" bestFit="1" customWidth="1"/>
  </cols>
  <sheetData>
    <row r="1" spans="1:12" x14ac:dyDescent="0.2">
      <c r="A1" s="138" t="s">
        <v>130</v>
      </c>
    </row>
    <row r="2" spans="1:12" x14ac:dyDescent="0.2">
      <c r="A2" s="138"/>
    </row>
    <row r="3" spans="1:12" x14ac:dyDescent="0.2">
      <c r="A3" s="138"/>
    </row>
    <row r="4" spans="1:12" x14ac:dyDescent="0.2">
      <c r="A4" s="138"/>
    </row>
    <row r="5" spans="1:12" x14ac:dyDescent="0.2">
      <c r="A5" s="138"/>
    </row>
    <row r="6" spans="1:12" x14ac:dyDescent="0.2">
      <c r="A6" s="13"/>
    </row>
    <row r="7" spans="1:12" ht="13.5" thickBot="1" x14ac:dyDescent="0.25">
      <c r="B7" s="13" t="s">
        <v>131</v>
      </c>
    </row>
    <row r="8" spans="1:12" x14ac:dyDescent="0.2">
      <c r="B8" s="36"/>
      <c r="C8" s="37"/>
      <c r="D8" s="38" t="s">
        <v>23</v>
      </c>
      <c r="E8" s="37"/>
      <c r="F8" s="37"/>
      <c r="G8" s="41"/>
      <c r="H8" s="29"/>
      <c r="I8" s="30"/>
      <c r="J8" s="43"/>
      <c r="K8" s="22"/>
      <c r="L8" s="22"/>
    </row>
    <row r="9" spans="1:12" x14ac:dyDescent="0.2">
      <c r="B9" s="39" t="s">
        <v>22</v>
      </c>
      <c r="C9" s="39" t="s">
        <v>23</v>
      </c>
      <c r="D9" s="39" t="s">
        <v>104</v>
      </c>
      <c r="E9" s="39" t="s">
        <v>103</v>
      </c>
      <c r="F9" s="39" t="s">
        <v>102</v>
      </c>
      <c r="G9" s="31"/>
      <c r="H9" s="32" t="s">
        <v>125</v>
      </c>
      <c r="I9" s="33"/>
      <c r="J9" s="43"/>
      <c r="K9" s="22"/>
      <c r="L9" s="22"/>
    </row>
    <row r="10" spans="1:12" ht="13.5" thickBot="1" x14ac:dyDescent="0.25">
      <c r="B10" s="40" t="s">
        <v>47</v>
      </c>
      <c r="C10" s="40" t="s">
        <v>47</v>
      </c>
      <c r="D10" s="40" t="s">
        <v>105</v>
      </c>
      <c r="E10" s="40" t="s">
        <v>47</v>
      </c>
      <c r="F10" s="40" t="s">
        <v>47</v>
      </c>
      <c r="G10" s="34"/>
      <c r="H10" s="35" t="s">
        <v>103</v>
      </c>
      <c r="I10" s="42" t="s">
        <v>102</v>
      </c>
      <c r="J10" s="31"/>
      <c r="K10" s="44" t="s">
        <v>112</v>
      </c>
      <c r="L10" s="22"/>
    </row>
    <row r="11" spans="1:12" x14ac:dyDescent="0.2">
      <c r="A11" s="37"/>
      <c r="B11" s="46"/>
      <c r="C11" s="47"/>
      <c r="D11" s="47"/>
      <c r="E11" s="47"/>
      <c r="F11" s="48"/>
      <c r="G11" s="46"/>
      <c r="H11" s="47"/>
      <c r="I11" s="48"/>
    </row>
    <row r="12" spans="1:12" x14ac:dyDescent="0.2">
      <c r="A12" s="39">
        <v>2000</v>
      </c>
      <c r="B12" s="74">
        <v>181.15599510176347</v>
      </c>
      <c r="C12" s="49">
        <v>0</v>
      </c>
      <c r="D12" s="50"/>
      <c r="E12" s="51">
        <v>2.8842100158337058</v>
      </c>
      <c r="F12" s="52">
        <v>3.1226697025634609</v>
      </c>
      <c r="G12" s="58" t="s">
        <v>113</v>
      </c>
      <c r="H12" s="240">
        <v>1.1279999999999999</v>
      </c>
      <c r="I12" s="59">
        <v>1.08</v>
      </c>
      <c r="K12" s="298"/>
      <c r="L12" s="454"/>
    </row>
    <row r="13" spans="1:12" x14ac:dyDescent="0.2">
      <c r="A13" s="39">
        <v>2001</v>
      </c>
      <c r="B13" s="74">
        <v>198.92520866387423</v>
      </c>
      <c r="C13" s="49">
        <v>0</v>
      </c>
      <c r="D13" s="50"/>
      <c r="E13" s="51">
        <v>4.0471897895104085</v>
      </c>
      <c r="F13" s="52">
        <v>3.9743902439024388</v>
      </c>
      <c r="G13" s="58" t="s">
        <v>114</v>
      </c>
      <c r="H13" s="240">
        <v>1.0109999999999999</v>
      </c>
      <c r="I13" s="59">
        <v>1.07</v>
      </c>
      <c r="K13" s="247" t="s">
        <v>48</v>
      </c>
      <c r="L13" s="249">
        <v>0.02</v>
      </c>
    </row>
    <row r="14" spans="1:12" x14ac:dyDescent="0.2">
      <c r="A14" s="39">
        <v>2002</v>
      </c>
      <c r="B14" s="74">
        <v>218.80258102590736</v>
      </c>
      <c r="C14" s="49">
        <v>0</v>
      </c>
      <c r="D14" s="50"/>
      <c r="E14" s="51">
        <v>3.6885616733889885</v>
      </c>
      <c r="F14" s="52">
        <v>3.6161670702179189</v>
      </c>
      <c r="G14" s="58" t="s">
        <v>115</v>
      </c>
      <c r="H14" s="240">
        <v>0.99399999999999999</v>
      </c>
      <c r="I14" s="59">
        <v>1.03</v>
      </c>
      <c r="K14" s="248" t="s">
        <v>136</v>
      </c>
      <c r="L14" s="250">
        <v>0.02</v>
      </c>
    </row>
    <row r="15" spans="1:12" x14ac:dyDescent="0.2">
      <c r="A15" s="39">
        <v>2003</v>
      </c>
      <c r="B15" s="74">
        <v>240.4080539178627</v>
      </c>
      <c r="C15" s="49">
        <v>4274.5039754649742</v>
      </c>
      <c r="D15" s="53">
        <v>1</v>
      </c>
      <c r="E15" s="51">
        <v>3.5369286669638882</v>
      </c>
      <c r="F15" s="52">
        <v>3.5262926829268286</v>
      </c>
      <c r="G15" s="58" t="s">
        <v>116</v>
      </c>
      <c r="H15" s="240">
        <v>0.94499999999999995</v>
      </c>
      <c r="I15" s="59">
        <v>0.99</v>
      </c>
      <c r="K15" s="248" t="s">
        <v>53</v>
      </c>
      <c r="L15" s="251">
        <v>0.4</v>
      </c>
    </row>
    <row r="16" spans="1:12" x14ac:dyDescent="0.2">
      <c r="A16" s="39">
        <v>2004</v>
      </c>
      <c r="B16" s="74">
        <v>264.14659569665338</v>
      </c>
      <c r="C16" s="49">
        <v>3642.145326358393</v>
      </c>
      <c r="D16" s="53">
        <v>1</v>
      </c>
      <c r="E16" s="51">
        <v>3.559125311854018</v>
      </c>
      <c r="F16" s="52">
        <v>3.5594905660377365</v>
      </c>
      <c r="G16" s="58" t="s">
        <v>117</v>
      </c>
      <c r="H16" s="240">
        <v>0.995</v>
      </c>
      <c r="I16" s="59">
        <v>0.95</v>
      </c>
      <c r="K16" s="248" t="s">
        <v>110</v>
      </c>
      <c r="L16" s="251">
        <v>0.1</v>
      </c>
    </row>
    <row r="17" spans="1:13" x14ac:dyDescent="0.2">
      <c r="A17" s="39">
        <v>2005</v>
      </c>
      <c r="B17" s="74">
        <v>290.22096928831274</v>
      </c>
      <c r="C17" s="49">
        <v>3781.0444397566248</v>
      </c>
      <c r="D17" s="53">
        <v>1</v>
      </c>
      <c r="E17" s="51">
        <v>3.5939275639493191</v>
      </c>
      <c r="F17" s="52">
        <v>3.5950426395939092</v>
      </c>
      <c r="G17" s="58" t="s">
        <v>118</v>
      </c>
      <c r="H17" s="240">
        <v>0.94799999999999995</v>
      </c>
      <c r="I17" s="59">
        <v>0.95</v>
      </c>
      <c r="K17" s="248" t="s">
        <v>191</v>
      </c>
      <c r="L17" s="350">
        <v>0</v>
      </c>
      <c r="M17" s="246"/>
    </row>
    <row r="18" spans="1:13" x14ac:dyDescent="0.2">
      <c r="A18" s="39">
        <v>2006</v>
      </c>
      <c r="B18" s="74">
        <v>319.92473742153555</v>
      </c>
      <c r="C18" s="49">
        <v>3926.9475616572372</v>
      </c>
      <c r="D18" s="53">
        <v>1</v>
      </c>
      <c r="E18" s="51">
        <v>3.619467015511121</v>
      </c>
      <c r="F18" s="52">
        <v>3.6262647058823534</v>
      </c>
      <c r="G18" s="58" t="s">
        <v>119</v>
      </c>
      <c r="H18" s="240">
        <v>0.94499999999999995</v>
      </c>
      <c r="I18" s="59">
        <v>0.95</v>
      </c>
      <c r="K18" s="248" t="s">
        <v>202</v>
      </c>
      <c r="L18" s="252">
        <v>15</v>
      </c>
    </row>
    <row r="19" spans="1:13" x14ac:dyDescent="0.2">
      <c r="A19" s="39">
        <v>2007</v>
      </c>
      <c r="B19" s="74">
        <v>354.61101457823628</v>
      </c>
      <c r="C19" s="49">
        <v>2147.6543804486269</v>
      </c>
      <c r="D19" s="53">
        <v>2</v>
      </c>
      <c r="E19" s="51">
        <v>3.6768758036335591</v>
      </c>
      <c r="F19" s="52">
        <v>3.6801320754716986</v>
      </c>
      <c r="G19" s="58" t="s">
        <v>120</v>
      </c>
      <c r="H19" s="240">
        <v>0.89600000000000002</v>
      </c>
      <c r="I19" s="59">
        <v>0.95</v>
      </c>
      <c r="K19" s="248" t="s">
        <v>205</v>
      </c>
      <c r="L19" s="250">
        <v>8.7499999999999994E-2</v>
      </c>
    </row>
    <row r="20" spans="1:13" x14ac:dyDescent="0.2">
      <c r="A20" s="39">
        <v>2008</v>
      </c>
      <c r="B20" s="74">
        <v>391.29851871019378</v>
      </c>
      <c r="C20" s="49">
        <v>1807.3421300276059</v>
      </c>
      <c r="D20" s="53">
        <v>2</v>
      </c>
      <c r="E20" s="51">
        <v>3.4106012557319048</v>
      </c>
      <c r="F20" s="52">
        <v>3.3181785294875827</v>
      </c>
      <c r="G20" s="58" t="s">
        <v>121</v>
      </c>
      <c r="H20" s="240">
        <v>0.89300000000000002</v>
      </c>
      <c r="I20" s="59">
        <v>0.95</v>
      </c>
      <c r="K20" s="248" t="s">
        <v>209</v>
      </c>
      <c r="L20" s="252">
        <v>20</v>
      </c>
    </row>
    <row r="21" spans="1:13" x14ac:dyDescent="0.2">
      <c r="A21" s="39">
        <v>2009</v>
      </c>
      <c r="B21" s="74">
        <v>429.77958121829101</v>
      </c>
      <c r="C21" s="49">
        <v>1985.5626792411545</v>
      </c>
      <c r="D21" s="53">
        <v>2</v>
      </c>
      <c r="E21" s="51">
        <v>3.5357354576923781</v>
      </c>
      <c r="F21" s="52">
        <v>3.4390943025177481</v>
      </c>
      <c r="G21" s="58" t="s">
        <v>122</v>
      </c>
      <c r="H21" s="240">
        <v>0.98899999999999999</v>
      </c>
      <c r="I21" s="59">
        <v>0.95</v>
      </c>
      <c r="K21" s="248" t="s">
        <v>213</v>
      </c>
      <c r="L21" s="252">
        <v>20</v>
      </c>
    </row>
    <row r="22" spans="1:13" x14ac:dyDescent="0.2">
      <c r="A22" s="39">
        <v>2010</v>
      </c>
      <c r="B22" s="74">
        <v>477.98097313444265</v>
      </c>
      <c r="C22" s="49">
        <v>1889.3389342835719</v>
      </c>
      <c r="D22" s="53">
        <v>2</v>
      </c>
      <c r="E22" s="51">
        <v>3.6870553815792508</v>
      </c>
      <c r="F22" s="52">
        <v>3.5800881416773298</v>
      </c>
      <c r="G22" s="58" t="s">
        <v>123</v>
      </c>
      <c r="H22" s="240">
        <v>1.083</v>
      </c>
      <c r="I22" s="59">
        <v>1.03</v>
      </c>
    </row>
    <row r="23" spans="1:13" ht="13.5" thickBot="1" x14ac:dyDescent="0.25">
      <c r="A23" s="39">
        <v>2011</v>
      </c>
      <c r="B23" s="74">
        <v>526.53218862643894</v>
      </c>
      <c r="C23" s="49">
        <v>1943.451158513079</v>
      </c>
      <c r="D23" s="53">
        <v>2</v>
      </c>
      <c r="E23" s="51">
        <v>3.7634084024757275</v>
      </c>
      <c r="F23" s="52">
        <v>3.6559109080648438</v>
      </c>
      <c r="G23" s="60" t="s">
        <v>124</v>
      </c>
      <c r="H23" s="241">
        <v>1.1719999999999999</v>
      </c>
      <c r="I23" s="61">
        <v>1.08</v>
      </c>
      <c r="K23" s="28"/>
    </row>
    <row r="24" spans="1:13" x14ac:dyDescent="0.2">
      <c r="A24" s="39">
        <v>2012</v>
      </c>
      <c r="B24" s="74">
        <v>583.38187908572775</v>
      </c>
      <c r="C24" s="49">
        <v>1993.8465416709116</v>
      </c>
      <c r="D24" s="53">
        <v>2</v>
      </c>
      <c r="E24" s="51">
        <v>3.7546298747932632</v>
      </c>
      <c r="F24" s="52">
        <v>3.6495369143791132</v>
      </c>
      <c r="G24" s="27"/>
      <c r="H24" s="27"/>
      <c r="K24" s="13"/>
    </row>
    <row r="25" spans="1:13" x14ac:dyDescent="0.2">
      <c r="A25" s="39">
        <v>2013</v>
      </c>
      <c r="B25" s="74">
        <v>654.12455073352146</v>
      </c>
      <c r="C25" s="49">
        <v>1780.92328465844</v>
      </c>
      <c r="D25" s="53">
        <v>2</v>
      </c>
      <c r="E25" s="51">
        <v>3.9191966397975428</v>
      </c>
      <c r="F25" s="52">
        <v>3.8177608140022636</v>
      </c>
      <c r="G25" s="27"/>
      <c r="H25" s="474"/>
    </row>
    <row r="26" spans="1:13" x14ac:dyDescent="0.2">
      <c r="A26" s="39">
        <v>2014</v>
      </c>
      <c r="B26" s="74">
        <v>728.14269915212174</v>
      </c>
      <c r="C26" s="49">
        <v>1844.5996241870525</v>
      </c>
      <c r="D26" s="53">
        <v>2</v>
      </c>
      <c r="E26" s="51">
        <v>3.941551233649534</v>
      </c>
      <c r="F26" s="52">
        <v>3.8120988594681284</v>
      </c>
      <c r="G26" s="27"/>
      <c r="H26" s="474"/>
      <c r="I26" s="473"/>
      <c r="K26" s="28"/>
    </row>
    <row r="27" spans="1:13" x14ac:dyDescent="0.2">
      <c r="A27" s="39">
        <v>2015</v>
      </c>
      <c r="B27" s="74">
        <v>806.55967593313017</v>
      </c>
      <c r="C27" s="49">
        <v>1882.7189785852679</v>
      </c>
      <c r="D27" s="53">
        <v>2</v>
      </c>
      <c r="E27" s="51">
        <v>4.3057491191238428</v>
      </c>
      <c r="F27" s="52">
        <v>4.2158844376307609</v>
      </c>
      <c r="G27" s="27"/>
      <c r="H27" s="475"/>
      <c r="I27" s="473"/>
      <c r="K27" s="28"/>
    </row>
    <row r="28" spans="1:13" x14ac:dyDescent="0.2">
      <c r="A28" s="39">
        <v>2016</v>
      </c>
      <c r="B28" s="74">
        <v>885.60153229928596</v>
      </c>
      <c r="C28" s="49">
        <v>1999.3152787201918</v>
      </c>
      <c r="D28" s="53">
        <v>2</v>
      </c>
      <c r="E28" s="51">
        <v>4.499597819240261</v>
      </c>
      <c r="F28" s="52">
        <v>4.3845868035630469</v>
      </c>
      <c r="G28" s="27"/>
      <c r="H28" s="27"/>
    </row>
    <row r="29" spans="1:13" x14ac:dyDescent="0.2">
      <c r="A29" s="39">
        <v>2017</v>
      </c>
      <c r="B29" s="74">
        <v>870.0603303281033</v>
      </c>
      <c r="C29" s="49">
        <v>1879.5637242099006</v>
      </c>
      <c r="D29" s="53">
        <v>2</v>
      </c>
      <c r="E29" s="51">
        <v>4.6478320413351248</v>
      </c>
      <c r="F29" s="52">
        <v>4.5212135962612745</v>
      </c>
      <c r="G29" s="27"/>
      <c r="H29" s="27"/>
    </row>
    <row r="30" spans="1:13" x14ac:dyDescent="0.2">
      <c r="A30" s="39">
        <v>2018</v>
      </c>
      <c r="B30" s="74">
        <v>744.38367199801439</v>
      </c>
      <c r="C30" s="49">
        <v>2070.1083333808137</v>
      </c>
      <c r="D30" s="53">
        <v>2</v>
      </c>
      <c r="E30" s="51">
        <v>4.9090198970072167</v>
      </c>
      <c r="F30" s="52">
        <v>4.7944047621399228</v>
      </c>
      <c r="G30" s="27"/>
      <c r="H30" s="27"/>
    </row>
    <row r="31" spans="1:13" ht="13.5" thickBot="1" x14ac:dyDescent="0.25">
      <c r="A31" s="40">
        <v>2019</v>
      </c>
      <c r="B31" s="75">
        <v>771.78853165204816</v>
      </c>
      <c r="C31" s="54">
        <v>1127.0716297512272</v>
      </c>
      <c r="D31" s="55">
        <v>2</v>
      </c>
      <c r="E31" s="56">
        <v>4.9538795610683142</v>
      </c>
      <c r="F31" s="57">
        <v>4.8619012033718967</v>
      </c>
      <c r="G31" s="27"/>
      <c r="H31" s="27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6"/>
  <sheetViews>
    <sheetView workbookViewId="0"/>
  </sheetViews>
  <sheetFormatPr defaultRowHeight="12.75" x14ac:dyDescent="0.2"/>
  <cols>
    <col min="1" max="1" width="13.7109375" bestFit="1" customWidth="1"/>
    <col min="2" max="2" width="18.42578125" style="9" bestFit="1" customWidth="1"/>
    <col min="4" max="4" width="15" bestFit="1" customWidth="1"/>
  </cols>
  <sheetData>
    <row r="1" spans="1:11" ht="13.5" thickBot="1" x14ac:dyDescent="0.25">
      <c r="A1" s="13" t="s">
        <v>160</v>
      </c>
      <c r="B1" s="9" t="str">
        <f>IS!B6</f>
        <v>Conesville 4</v>
      </c>
    </row>
    <row r="2" spans="1:11" x14ac:dyDescent="0.2">
      <c r="B2" s="480" t="s">
        <v>168</v>
      </c>
    </row>
    <row r="3" spans="1:11" ht="13.5" thickBot="1" x14ac:dyDescent="0.25">
      <c r="B3" s="481"/>
      <c r="D3" s="206" t="s">
        <v>179</v>
      </c>
      <c r="E3" s="205"/>
      <c r="F3" s="205"/>
      <c r="G3" s="206">
        <v>2001</v>
      </c>
      <c r="H3" s="206">
        <v>2002</v>
      </c>
      <c r="I3" s="206">
        <v>2003</v>
      </c>
      <c r="J3" s="206">
        <v>2004</v>
      </c>
      <c r="K3" s="206">
        <v>2005</v>
      </c>
    </row>
    <row r="4" spans="1:11" x14ac:dyDescent="0.2">
      <c r="D4" s="20" t="s">
        <v>177</v>
      </c>
      <c r="E4" s="20"/>
      <c r="F4" s="20"/>
      <c r="G4" s="235">
        <v>0.72435053917041736</v>
      </c>
      <c r="H4" s="235">
        <v>0.73883754995382578</v>
      </c>
      <c r="I4" s="235">
        <v>0.75361430095290238</v>
      </c>
      <c r="J4" s="235">
        <v>0.76868658697196035</v>
      </c>
      <c r="K4" s="235">
        <v>0.78406031871139958</v>
      </c>
    </row>
    <row r="5" spans="1:11" ht="13.5" thickBot="1" x14ac:dyDescent="0.25">
      <c r="A5" s="184" t="s">
        <v>187</v>
      </c>
      <c r="B5" s="185">
        <v>39</v>
      </c>
      <c r="D5" s="236" t="s">
        <v>178</v>
      </c>
      <c r="E5" s="236"/>
      <c r="F5" s="236"/>
      <c r="G5" s="237">
        <f>1-G4</f>
        <v>0.27564946082958264</v>
      </c>
      <c r="H5" s="237">
        <f>1-H4</f>
        <v>0.26116245004617422</v>
      </c>
      <c r="I5" s="237">
        <f>1-I4</f>
        <v>0.24638569904709762</v>
      </c>
      <c r="J5" s="237">
        <f>1-J4</f>
        <v>0.23131341302803965</v>
      </c>
      <c r="K5" s="237">
        <f>1-K4</f>
        <v>0.21593968128860042</v>
      </c>
    </row>
    <row r="6" spans="1:11" ht="13.5" thickTop="1" x14ac:dyDescent="0.2">
      <c r="D6" s="13" t="s">
        <v>135</v>
      </c>
      <c r="G6" s="204">
        <f>G4+G5</f>
        <v>1</v>
      </c>
      <c r="H6" s="204">
        <f>H4+H5</f>
        <v>1</v>
      </c>
      <c r="I6" s="204">
        <f>I4+I5</f>
        <v>1</v>
      </c>
      <c r="J6" s="204">
        <f>J4+J5</f>
        <v>1</v>
      </c>
      <c r="K6" s="204">
        <f>K4+K5</f>
        <v>1</v>
      </c>
    </row>
  </sheetData>
  <mergeCells count="1">
    <mergeCell ref="B2:B3"/>
  </mergeCells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41"/>
  <sheetViews>
    <sheetView workbookViewId="0"/>
  </sheetViews>
  <sheetFormatPr defaultRowHeight="12.75" x14ac:dyDescent="0.2"/>
  <cols>
    <col min="2" max="2" width="15.42578125" bestFit="1" customWidth="1"/>
    <col min="3" max="4" width="6.7109375" bestFit="1" customWidth="1"/>
    <col min="22" max="22" width="6" bestFit="1" customWidth="1"/>
  </cols>
  <sheetData>
    <row r="1" spans="1:22" x14ac:dyDescent="0.2">
      <c r="A1" s="138"/>
    </row>
    <row r="2" spans="1:22" x14ac:dyDescent="0.2">
      <c r="A2" s="138"/>
    </row>
    <row r="3" spans="1:22" x14ac:dyDescent="0.2">
      <c r="A3" s="138"/>
    </row>
    <row r="4" spans="1:22" x14ac:dyDescent="0.2">
      <c r="A4" s="138"/>
    </row>
    <row r="5" spans="1:22" x14ac:dyDescent="0.2">
      <c r="A5" s="138"/>
    </row>
    <row r="6" spans="1:22" x14ac:dyDescent="0.2">
      <c r="A6" s="77"/>
    </row>
    <row r="7" spans="1:22" x14ac:dyDescent="0.2">
      <c r="C7" s="133">
        <v>2000</v>
      </c>
      <c r="D7" s="135">
        <v>2001</v>
      </c>
      <c r="E7" s="135">
        <v>2002</v>
      </c>
      <c r="F7" s="135">
        <v>2003</v>
      </c>
      <c r="G7" s="135">
        <v>2004</v>
      </c>
      <c r="H7" s="135">
        <v>2005</v>
      </c>
      <c r="I7" s="135">
        <v>2006</v>
      </c>
      <c r="J7" s="135">
        <v>2007</v>
      </c>
      <c r="K7" s="135">
        <v>2008</v>
      </c>
      <c r="L7" s="135">
        <v>2009</v>
      </c>
      <c r="M7" s="135">
        <v>2010</v>
      </c>
      <c r="N7" s="135">
        <v>2011</v>
      </c>
      <c r="O7" s="135">
        <v>2012</v>
      </c>
      <c r="P7" s="135">
        <v>2013</v>
      </c>
      <c r="Q7" s="135">
        <v>2014</v>
      </c>
      <c r="R7" s="135">
        <v>2015</v>
      </c>
      <c r="S7" s="135">
        <v>2016</v>
      </c>
      <c r="T7" s="135">
        <v>2017</v>
      </c>
      <c r="U7" s="135">
        <v>2018</v>
      </c>
      <c r="V7" s="135">
        <v>2019</v>
      </c>
    </row>
    <row r="8" spans="1:22" x14ac:dyDescent="0.2">
      <c r="C8" s="134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x14ac:dyDescent="0.2">
      <c r="A9">
        <f>Summary!A17</f>
        <v>1</v>
      </c>
      <c r="B9" s="80" t="s">
        <v>55</v>
      </c>
      <c r="C9" s="188">
        <v>1.0566</v>
      </c>
      <c r="D9" s="188">
        <v>1.0351999999999999</v>
      </c>
      <c r="E9" s="188">
        <v>1.0327999999999999</v>
      </c>
      <c r="F9" s="188">
        <v>1.0227999999999999</v>
      </c>
      <c r="G9" s="188">
        <v>1.0184</v>
      </c>
      <c r="H9" s="188">
        <v>1.0116000000000001</v>
      </c>
      <c r="I9" s="188">
        <v>1.0302</v>
      </c>
      <c r="J9" s="188">
        <v>1.0623</v>
      </c>
      <c r="K9" s="188">
        <v>1.0916999999999999</v>
      </c>
      <c r="L9" s="188">
        <v>1.125</v>
      </c>
      <c r="M9" s="188">
        <v>1.1412</v>
      </c>
      <c r="N9" s="188">
        <v>1.1604000000000001</v>
      </c>
      <c r="O9" s="188">
        <v>1.1668000000000001</v>
      </c>
      <c r="P9" s="188">
        <v>1.1665000000000001</v>
      </c>
      <c r="Q9" s="188">
        <v>1.175</v>
      </c>
      <c r="R9" s="188">
        <v>1.1800999999999999</v>
      </c>
      <c r="S9" s="188">
        <v>1.1894</v>
      </c>
      <c r="T9" s="188">
        <v>1.1993</v>
      </c>
      <c r="U9" s="188">
        <v>1.2073</v>
      </c>
      <c r="V9" s="188">
        <v>1.2136</v>
      </c>
    </row>
    <row r="10" spans="1:22" x14ac:dyDescent="0.2">
      <c r="A10">
        <f>Summary!A18</f>
        <v>2</v>
      </c>
      <c r="B10" s="239" t="s">
        <v>56</v>
      </c>
      <c r="C10" s="188">
        <v>0.92390000000000005</v>
      </c>
      <c r="D10" s="188">
        <v>0.92310000000000003</v>
      </c>
      <c r="E10" s="188">
        <v>0.91979999999999995</v>
      </c>
      <c r="F10" s="188">
        <v>0.92179999999999995</v>
      </c>
      <c r="G10" s="188">
        <v>0.93300000000000005</v>
      </c>
      <c r="H10" s="188">
        <v>0.95050000000000001</v>
      </c>
      <c r="I10" s="188">
        <v>0.98299999999999998</v>
      </c>
      <c r="J10" s="188">
        <v>1.0222</v>
      </c>
      <c r="K10" s="188">
        <v>1.0539000000000001</v>
      </c>
      <c r="L10" s="188">
        <v>1.0858000000000001</v>
      </c>
      <c r="M10" s="188">
        <v>1.1238999999999999</v>
      </c>
      <c r="N10" s="188">
        <v>1.1611</v>
      </c>
      <c r="O10" s="188">
        <v>1.1847000000000001</v>
      </c>
      <c r="P10" s="188">
        <v>1.2009000000000001</v>
      </c>
      <c r="Q10" s="188">
        <v>1.2246999999999999</v>
      </c>
      <c r="R10" s="188">
        <v>1.2484</v>
      </c>
      <c r="S10" s="188">
        <v>1.2728999999999999</v>
      </c>
      <c r="T10" s="188">
        <v>1.2977000000000001</v>
      </c>
      <c r="U10" s="188">
        <v>1.3230999999999999</v>
      </c>
      <c r="V10" s="188">
        <v>1.3488</v>
      </c>
    </row>
    <row r="11" spans="1:22" x14ac:dyDescent="0.2">
      <c r="A11">
        <f>Summary!A19</f>
        <v>3</v>
      </c>
      <c r="B11" s="186" t="s">
        <v>57</v>
      </c>
      <c r="C11" s="188">
        <v>1.1598999999999999</v>
      </c>
      <c r="D11" s="188">
        <v>1.1936</v>
      </c>
      <c r="E11" s="188">
        <v>1.2107000000000001</v>
      </c>
      <c r="F11" s="188">
        <v>1.2317</v>
      </c>
      <c r="G11" s="188">
        <v>1.2670999999999999</v>
      </c>
      <c r="H11" s="188">
        <v>1.3113999999999999</v>
      </c>
      <c r="I11" s="188">
        <v>1.3621000000000001</v>
      </c>
      <c r="J11" s="188">
        <v>1.3935</v>
      </c>
      <c r="K11" s="188">
        <v>1.4235</v>
      </c>
      <c r="L11" s="188">
        <v>1.4467000000000001</v>
      </c>
      <c r="M11" s="188">
        <v>1.4579</v>
      </c>
      <c r="N11" s="188">
        <v>1.4775</v>
      </c>
      <c r="O11" s="188">
        <v>1.5095000000000001</v>
      </c>
      <c r="P11" s="188">
        <v>1.5438000000000001</v>
      </c>
      <c r="Q11" s="188">
        <v>1.5765</v>
      </c>
      <c r="R11" s="188">
        <v>1.5986</v>
      </c>
      <c r="S11" s="188">
        <v>1.6313</v>
      </c>
      <c r="T11" s="188">
        <v>1.6685000000000001</v>
      </c>
      <c r="U11" s="188">
        <v>1.7095</v>
      </c>
      <c r="V11" s="188">
        <v>1.7517</v>
      </c>
    </row>
    <row r="12" spans="1:22" x14ac:dyDescent="0.2">
      <c r="A12">
        <f>Summary!A20</f>
        <v>4</v>
      </c>
      <c r="B12" s="186" t="s">
        <v>58</v>
      </c>
      <c r="C12" s="188">
        <v>1.1598999999999999</v>
      </c>
      <c r="D12" s="188">
        <v>1.1936</v>
      </c>
      <c r="E12" s="188">
        <v>1.2107000000000001</v>
      </c>
      <c r="F12" s="188">
        <v>1.2317</v>
      </c>
      <c r="G12" s="188">
        <v>1.2670999999999999</v>
      </c>
      <c r="H12" s="188">
        <v>1.3113999999999999</v>
      </c>
      <c r="I12" s="188">
        <v>1.3621000000000001</v>
      </c>
      <c r="J12" s="188">
        <v>1.3935</v>
      </c>
      <c r="K12" s="188">
        <v>1.4235</v>
      </c>
      <c r="L12" s="188">
        <v>1.4467000000000001</v>
      </c>
      <c r="M12" s="188">
        <v>1.4579</v>
      </c>
      <c r="N12" s="188">
        <v>1.4775</v>
      </c>
      <c r="O12" s="188">
        <v>1.5095000000000001</v>
      </c>
      <c r="P12" s="188">
        <v>1.5438000000000001</v>
      </c>
      <c r="Q12" s="188">
        <v>1.5765</v>
      </c>
      <c r="R12" s="188">
        <v>1.5986</v>
      </c>
      <c r="S12" s="188">
        <v>1.6313</v>
      </c>
      <c r="T12" s="188">
        <v>1.6685000000000001</v>
      </c>
      <c r="U12" s="188">
        <v>1.7095</v>
      </c>
      <c r="V12" s="188">
        <v>1.7517</v>
      </c>
    </row>
    <row r="13" spans="1:22" x14ac:dyDescent="0.2">
      <c r="A13">
        <f>Summary!A21</f>
        <v>5</v>
      </c>
      <c r="B13" s="186" t="s">
        <v>59</v>
      </c>
      <c r="C13" s="188">
        <v>1.1598999999999999</v>
      </c>
      <c r="D13" s="188">
        <v>1.1936</v>
      </c>
      <c r="E13" s="188">
        <v>1.2107000000000001</v>
      </c>
      <c r="F13" s="188">
        <v>1.2317</v>
      </c>
      <c r="G13" s="188">
        <v>1.2670999999999999</v>
      </c>
      <c r="H13" s="188">
        <v>1.3113999999999999</v>
      </c>
      <c r="I13" s="188">
        <v>1.3621000000000001</v>
      </c>
      <c r="J13" s="188">
        <v>1.3935</v>
      </c>
      <c r="K13" s="188">
        <v>1.4235</v>
      </c>
      <c r="L13" s="188">
        <v>1.4467000000000001</v>
      </c>
      <c r="M13" s="188">
        <v>1.4579</v>
      </c>
      <c r="N13" s="188">
        <v>1.4775</v>
      </c>
      <c r="O13" s="188">
        <v>1.5095000000000001</v>
      </c>
      <c r="P13" s="188">
        <v>1.5438000000000001</v>
      </c>
      <c r="Q13" s="188">
        <v>1.5765</v>
      </c>
      <c r="R13" s="188">
        <v>1.5986</v>
      </c>
      <c r="S13" s="188">
        <v>1.6313</v>
      </c>
      <c r="T13" s="188">
        <v>1.6685000000000001</v>
      </c>
      <c r="U13" s="188">
        <v>1.7095</v>
      </c>
      <c r="V13" s="188">
        <v>1.7517</v>
      </c>
    </row>
    <row r="14" spans="1:22" x14ac:dyDescent="0.2">
      <c r="A14">
        <f>Summary!A22</f>
        <v>6</v>
      </c>
      <c r="B14" s="186" t="s">
        <v>60</v>
      </c>
      <c r="C14" s="188">
        <v>1.1598999999999999</v>
      </c>
      <c r="D14" s="188">
        <v>1.1936</v>
      </c>
      <c r="E14" s="188">
        <v>1.2107000000000001</v>
      </c>
      <c r="F14" s="188">
        <v>1.2317</v>
      </c>
      <c r="G14" s="188">
        <v>1.2670999999999999</v>
      </c>
      <c r="H14" s="188">
        <v>1.3113999999999999</v>
      </c>
      <c r="I14" s="188">
        <v>1.3621000000000001</v>
      </c>
      <c r="J14" s="188">
        <v>1.3935</v>
      </c>
      <c r="K14" s="188">
        <v>1.4235</v>
      </c>
      <c r="L14" s="188">
        <v>1.4467000000000001</v>
      </c>
      <c r="M14" s="188">
        <v>1.4579</v>
      </c>
      <c r="N14" s="188">
        <v>1.4775</v>
      </c>
      <c r="O14" s="188">
        <v>1.5095000000000001</v>
      </c>
      <c r="P14" s="188">
        <v>1.5438000000000001</v>
      </c>
      <c r="Q14" s="188">
        <v>1.5765</v>
      </c>
      <c r="R14" s="188">
        <v>1.5986</v>
      </c>
      <c r="S14" s="188">
        <v>1.6313</v>
      </c>
      <c r="T14" s="188">
        <v>1.6685000000000001</v>
      </c>
      <c r="U14" s="188">
        <v>1.7095</v>
      </c>
      <c r="V14" s="188">
        <v>1.7517</v>
      </c>
    </row>
    <row r="15" spans="1:22" x14ac:dyDescent="0.2">
      <c r="A15">
        <f>Summary!A23</f>
        <v>7</v>
      </c>
      <c r="B15" s="187" t="s">
        <v>61</v>
      </c>
      <c r="C15" s="188">
        <v>1.1532</v>
      </c>
      <c r="D15" s="188">
        <v>1.1867000000000001</v>
      </c>
      <c r="E15" s="188">
        <v>1.2037</v>
      </c>
      <c r="F15" s="188">
        <v>1.2244999999999999</v>
      </c>
      <c r="G15" s="188">
        <v>1.2598</v>
      </c>
      <c r="H15" s="188">
        <v>1.3039000000000001</v>
      </c>
      <c r="I15" s="188">
        <v>1.3545</v>
      </c>
      <c r="J15" s="188">
        <v>1.3856999999999999</v>
      </c>
      <c r="K15" s="188">
        <v>1.4154</v>
      </c>
      <c r="L15" s="188">
        <v>1.4384999999999999</v>
      </c>
      <c r="M15" s="188">
        <v>1.4495</v>
      </c>
      <c r="N15" s="188">
        <v>1.4689000000000001</v>
      </c>
      <c r="O15" s="188">
        <v>1.5006999999999999</v>
      </c>
      <c r="P15" s="188">
        <v>1.5347</v>
      </c>
      <c r="Q15" s="188">
        <v>1.5672999999999999</v>
      </c>
      <c r="R15" s="188">
        <v>1.5891999999999999</v>
      </c>
      <c r="S15" s="188">
        <v>1.6215999999999999</v>
      </c>
      <c r="T15" s="188">
        <v>1.6586000000000001</v>
      </c>
      <c r="U15" s="188">
        <v>1.6993</v>
      </c>
      <c r="V15" s="188">
        <v>1.7413000000000001</v>
      </c>
    </row>
    <row r="16" spans="1:22" x14ac:dyDescent="0.2">
      <c r="A16">
        <f>Summary!A24</f>
        <v>8</v>
      </c>
      <c r="B16" s="187" t="s">
        <v>62</v>
      </c>
      <c r="C16" s="188">
        <v>1.1969000000000001</v>
      </c>
      <c r="D16" s="188">
        <v>1.2318</v>
      </c>
      <c r="E16" s="188">
        <v>1.2497</v>
      </c>
      <c r="F16" s="188">
        <v>1.2714000000000001</v>
      </c>
      <c r="G16" s="188">
        <v>1.3077000000000001</v>
      </c>
      <c r="H16" s="188">
        <v>1.3529</v>
      </c>
      <c r="I16" s="188">
        <v>1.4047000000000001</v>
      </c>
      <c r="J16" s="188">
        <v>1.4371</v>
      </c>
      <c r="K16" s="188">
        <v>1.468</v>
      </c>
      <c r="L16" s="188">
        <v>1.4923</v>
      </c>
      <c r="M16" s="188">
        <v>1.5045999999999999</v>
      </c>
      <c r="N16" s="188">
        <v>1.5251999999999999</v>
      </c>
      <c r="O16" s="188">
        <v>1.5584</v>
      </c>
      <c r="P16" s="188">
        <v>1.5939000000000001</v>
      </c>
      <c r="Q16" s="188">
        <v>1.6278999999999999</v>
      </c>
      <c r="R16" s="188">
        <v>1.6511</v>
      </c>
      <c r="S16" s="188">
        <v>1.6850000000000001</v>
      </c>
      <c r="T16" s="188">
        <v>1.7235</v>
      </c>
      <c r="U16" s="188">
        <v>1.7658</v>
      </c>
      <c r="V16" s="188">
        <v>1.8095000000000001</v>
      </c>
    </row>
    <row r="17" spans="1:22" x14ac:dyDescent="0.2">
      <c r="A17">
        <f>Summary!A25</f>
        <v>9</v>
      </c>
      <c r="B17" s="187" t="s">
        <v>63</v>
      </c>
      <c r="C17" s="188">
        <v>1.1969000000000001</v>
      </c>
      <c r="D17" s="188">
        <v>1.2318</v>
      </c>
      <c r="E17" s="188">
        <v>1.2497</v>
      </c>
      <c r="F17" s="188">
        <v>1.2714000000000001</v>
      </c>
      <c r="G17" s="188">
        <v>1.3077000000000001</v>
      </c>
      <c r="H17" s="188">
        <v>1.3529</v>
      </c>
      <c r="I17" s="188">
        <v>1.4047000000000001</v>
      </c>
      <c r="J17" s="188">
        <v>1.4371</v>
      </c>
      <c r="K17" s="188">
        <v>1.468</v>
      </c>
      <c r="L17" s="188">
        <v>1.4923</v>
      </c>
      <c r="M17" s="188">
        <v>1.5045999999999999</v>
      </c>
      <c r="N17" s="188">
        <v>1.5251999999999999</v>
      </c>
      <c r="O17" s="188">
        <v>1.5584</v>
      </c>
      <c r="P17" s="188">
        <v>1.5939000000000001</v>
      </c>
      <c r="Q17" s="188">
        <v>1.6278999999999999</v>
      </c>
      <c r="R17" s="188">
        <v>1.6511</v>
      </c>
      <c r="S17" s="188">
        <v>1.6850000000000001</v>
      </c>
      <c r="T17" s="188">
        <v>1.7235</v>
      </c>
      <c r="U17" s="188">
        <v>1.7658</v>
      </c>
      <c r="V17" s="188">
        <v>1.8095000000000001</v>
      </c>
    </row>
    <row r="18" spans="1:22" x14ac:dyDescent="0.2">
      <c r="A18">
        <f>Summary!A26</f>
        <v>10</v>
      </c>
      <c r="B18" s="187" t="s">
        <v>64</v>
      </c>
      <c r="C18" s="188">
        <v>1.1969000000000001</v>
      </c>
      <c r="D18" s="188">
        <v>1.2318</v>
      </c>
      <c r="E18" s="188">
        <v>1.2497</v>
      </c>
      <c r="F18" s="188">
        <v>1.2714000000000001</v>
      </c>
      <c r="G18" s="188">
        <v>1.3077000000000001</v>
      </c>
      <c r="H18" s="188">
        <v>1.3529</v>
      </c>
      <c r="I18" s="188">
        <v>1.4047000000000001</v>
      </c>
      <c r="J18" s="188">
        <v>1.4371</v>
      </c>
      <c r="K18" s="188">
        <v>1.468</v>
      </c>
      <c r="L18" s="188">
        <v>1.4923</v>
      </c>
      <c r="M18" s="188">
        <v>1.5045999999999999</v>
      </c>
      <c r="N18" s="188">
        <v>1.5251999999999999</v>
      </c>
      <c r="O18" s="188">
        <v>1.5584</v>
      </c>
      <c r="P18" s="188">
        <v>1.5939000000000001</v>
      </c>
      <c r="Q18" s="188">
        <v>1.6278999999999999</v>
      </c>
      <c r="R18" s="188">
        <v>1.6511</v>
      </c>
      <c r="S18" s="188">
        <v>1.6850000000000001</v>
      </c>
      <c r="T18" s="188">
        <v>1.7235</v>
      </c>
      <c r="U18" s="188">
        <v>1.7658</v>
      </c>
      <c r="V18" s="188">
        <v>1.8095000000000001</v>
      </c>
    </row>
    <row r="19" spans="1:22" x14ac:dyDescent="0.2">
      <c r="A19">
        <f>Summary!A27</f>
        <v>11</v>
      </c>
      <c r="B19" s="187" t="s">
        <v>65</v>
      </c>
      <c r="C19" s="188">
        <v>1.1969000000000001</v>
      </c>
      <c r="D19" s="188">
        <v>1.2318</v>
      </c>
      <c r="E19" s="188">
        <v>1.2497</v>
      </c>
      <c r="F19" s="188">
        <v>1.2714000000000001</v>
      </c>
      <c r="G19" s="188">
        <v>1.3077000000000001</v>
      </c>
      <c r="H19" s="188">
        <v>1.3529</v>
      </c>
      <c r="I19" s="188">
        <v>1.4047000000000001</v>
      </c>
      <c r="J19" s="188">
        <v>1.4371</v>
      </c>
      <c r="K19" s="188">
        <v>1.468</v>
      </c>
      <c r="L19" s="188">
        <v>1.4923</v>
      </c>
      <c r="M19" s="188">
        <v>1.5045999999999999</v>
      </c>
      <c r="N19" s="188">
        <v>1.5251999999999999</v>
      </c>
      <c r="O19" s="188">
        <v>1.5584</v>
      </c>
      <c r="P19" s="188">
        <v>1.5939000000000001</v>
      </c>
      <c r="Q19" s="188">
        <v>1.6278999999999999</v>
      </c>
      <c r="R19" s="188">
        <v>1.6511</v>
      </c>
      <c r="S19" s="188">
        <v>1.6850000000000001</v>
      </c>
      <c r="T19" s="188">
        <v>1.7235</v>
      </c>
      <c r="U19" s="188">
        <v>1.7658</v>
      </c>
      <c r="V19" s="188">
        <v>1.8095000000000001</v>
      </c>
    </row>
    <row r="20" spans="1:22" x14ac:dyDescent="0.2">
      <c r="A20">
        <f>Summary!A28</f>
        <v>12</v>
      </c>
      <c r="B20" s="187" t="s">
        <v>66</v>
      </c>
      <c r="C20" s="188">
        <v>1.1818</v>
      </c>
      <c r="D20" s="188">
        <v>1.2162999999999999</v>
      </c>
      <c r="E20" s="188">
        <v>1.2338</v>
      </c>
      <c r="F20" s="188">
        <v>1.2553000000000001</v>
      </c>
      <c r="G20" s="188">
        <v>1.2911999999999999</v>
      </c>
      <c r="H20" s="188">
        <v>1.3361000000000001</v>
      </c>
      <c r="I20" s="188">
        <v>1.3874</v>
      </c>
      <c r="J20" s="188">
        <v>1.4194</v>
      </c>
      <c r="K20" s="188">
        <v>1.4499</v>
      </c>
      <c r="L20" s="188">
        <v>1.4738</v>
      </c>
      <c r="M20" s="188">
        <v>1.4856</v>
      </c>
      <c r="N20" s="188">
        <v>1.5058</v>
      </c>
      <c r="O20" s="188">
        <v>1.5385</v>
      </c>
      <c r="P20" s="188">
        <v>1.5736000000000001</v>
      </c>
      <c r="Q20" s="188">
        <v>1.607</v>
      </c>
      <c r="R20" s="188">
        <v>1.6297999999999999</v>
      </c>
      <c r="S20" s="188">
        <v>1.6632</v>
      </c>
      <c r="T20" s="188">
        <v>1.7012</v>
      </c>
      <c r="U20" s="188">
        <v>1.7428999999999999</v>
      </c>
      <c r="V20" s="188">
        <v>1.786</v>
      </c>
    </row>
    <row r="21" spans="1:22" x14ac:dyDescent="0.2">
      <c r="A21">
        <f>Summary!A29</f>
        <v>13</v>
      </c>
      <c r="B21" s="187" t="s">
        <v>67</v>
      </c>
      <c r="C21" s="188">
        <v>1.1818</v>
      </c>
      <c r="D21" s="188">
        <v>1.2162999999999999</v>
      </c>
      <c r="E21" s="188">
        <v>1.2338</v>
      </c>
      <c r="F21" s="188">
        <v>1.2553000000000001</v>
      </c>
      <c r="G21" s="188">
        <v>1.2911999999999999</v>
      </c>
      <c r="H21" s="188">
        <v>1.3361000000000001</v>
      </c>
      <c r="I21" s="188">
        <v>1.3874</v>
      </c>
      <c r="J21" s="188">
        <v>1.4194</v>
      </c>
      <c r="K21" s="188">
        <v>1.4499</v>
      </c>
      <c r="L21" s="188">
        <v>1.4738</v>
      </c>
      <c r="M21" s="188">
        <v>1.4856</v>
      </c>
      <c r="N21" s="188">
        <v>1.5058</v>
      </c>
      <c r="O21" s="188">
        <v>1.5385</v>
      </c>
      <c r="P21" s="188">
        <v>1.5736000000000001</v>
      </c>
      <c r="Q21" s="188">
        <v>1.607</v>
      </c>
      <c r="R21" s="188">
        <v>1.6297999999999999</v>
      </c>
      <c r="S21" s="188">
        <v>1.6632</v>
      </c>
      <c r="T21" s="188">
        <v>1.7012</v>
      </c>
      <c r="U21" s="188">
        <v>1.7428999999999999</v>
      </c>
      <c r="V21" s="188">
        <v>1.786</v>
      </c>
    </row>
    <row r="22" spans="1:22" x14ac:dyDescent="0.2">
      <c r="A22">
        <f>Summary!A30</f>
        <v>14</v>
      </c>
      <c r="B22" s="187" t="s">
        <v>70</v>
      </c>
      <c r="C22" s="188">
        <v>1.1818</v>
      </c>
      <c r="D22" s="188">
        <v>1.2162999999999999</v>
      </c>
      <c r="E22" s="188">
        <v>1.2338</v>
      </c>
      <c r="F22" s="188">
        <v>1.2553000000000001</v>
      </c>
      <c r="G22" s="188">
        <v>1.2911999999999999</v>
      </c>
      <c r="H22" s="188">
        <v>1.3361000000000001</v>
      </c>
      <c r="I22" s="188">
        <v>1.3874</v>
      </c>
      <c r="J22" s="188">
        <v>1.4194</v>
      </c>
      <c r="K22" s="188">
        <v>1.4499</v>
      </c>
      <c r="L22" s="188">
        <v>1.4738</v>
      </c>
      <c r="M22" s="188">
        <v>1.4856</v>
      </c>
      <c r="N22" s="188">
        <v>1.5058</v>
      </c>
      <c r="O22" s="188">
        <v>1.5385</v>
      </c>
      <c r="P22" s="188">
        <v>1.5736000000000001</v>
      </c>
      <c r="Q22" s="188">
        <v>1.607</v>
      </c>
      <c r="R22" s="188">
        <v>1.6297999999999999</v>
      </c>
      <c r="S22" s="188">
        <v>1.6632</v>
      </c>
      <c r="T22" s="188">
        <v>1.7012</v>
      </c>
      <c r="U22" s="188">
        <v>1.7428999999999999</v>
      </c>
      <c r="V22" s="188">
        <v>1.786</v>
      </c>
    </row>
    <row r="23" spans="1:22" x14ac:dyDescent="0.2">
      <c r="A23">
        <f>Summary!A31</f>
        <v>15</v>
      </c>
      <c r="B23" s="187" t="s">
        <v>68</v>
      </c>
      <c r="C23" s="188">
        <v>1.1818</v>
      </c>
      <c r="D23" s="188">
        <v>1.2162999999999999</v>
      </c>
      <c r="E23" s="188">
        <v>1.2338</v>
      </c>
      <c r="F23" s="188">
        <v>1.2553000000000001</v>
      </c>
      <c r="G23" s="188">
        <v>1.2911999999999999</v>
      </c>
      <c r="H23" s="188">
        <v>1.3361000000000001</v>
      </c>
      <c r="I23" s="188">
        <v>1.3874</v>
      </c>
      <c r="J23" s="188">
        <v>1.4194</v>
      </c>
      <c r="K23" s="188">
        <v>1.4499</v>
      </c>
      <c r="L23" s="188">
        <v>1.4738</v>
      </c>
      <c r="M23" s="188">
        <v>1.4856</v>
      </c>
      <c r="N23" s="188">
        <v>1.5058</v>
      </c>
      <c r="O23" s="188">
        <v>1.5385</v>
      </c>
      <c r="P23" s="188">
        <v>1.5736000000000001</v>
      </c>
      <c r="Q23" s="188">
        <v>1.607</v>
      </c>
      <c r="R23" s="188">
        <v>1.6297999999999999</v>
      </c>
      <c r="S23" s="188">
        <v>1.6632</v>
      </c>
      <c r="T23" s="188">
        <v>1.7012</v>
      </c>
      <c r="U23" s="188">
        <v>1.7428999999999999</v>
      </c>
      <c r="V23" s="188">
        <v>1.786</v>
      </c>
    </row>
    <row r="24" spans="1:22" x14ac:dyDescent="0.2">
      <c r="A24">
        <f>Summary!A32</f>
        <v>16</v>
      </c>
      <c r="B24" s="187" t="s">
        <v>69</v>
      </c>
      <c r="C24" s="188">
        <v>1.1818</v>
      </c>
      <c r="D24" s="188">
        <v>1.2162999999999999</v>
      </c>
      <c r="E24" s="188">
        <v>1.2338</v>
      </c>
      <c r="F24" s="188">
        <v>1.2553000000000001</v>
      </c>
      <c r="G24" s="188">
        <v>1.2911999999999999</v>
      </c>
      <c r="H24" s="188">
        <v>1.3361000000000001</v>
      </c>
      <c r="I24" s="188">
        <v>1.3874</v>
      </c>
      <c r="J24" s="188">
        <v>1.4194</v>
      </c>
      <c r="K24" s="188">
        <v>1.4499</v>
      </c>
      <c r="L24" s="188">
        <v>1.4738</v>
      </c>
      <c r="M24" s="188">
        <v>1.4856</v>
      </c>
      <c r="N24" s="188">
        <v>1.5058</v>
      </c>
      <c r="O24" s="188">
        <v>1.5385</v>
      </c>
      <c r="P24" s="188">
        <v>1.5736000000000001</v>
      </c>
      <c r="Q24" s="188">
        <v>1.607</v>
      </c>
      <c r="R24" s="188">
        <v>1.6297999999999999</v>
      </c>
      <c r="S24" s="188">
        <v>1.6632</v>
      </c>
      <c r="T24" s="188">
        <v>1.7012</v>
      </c>
      <c r="U24" s="188">
        <v>1.7428999999999999</v>
      </c>
      <c r="V24" s="188">
        <v>1.786</v>
      </c>
    </row>
    <row r="25" spans="1:22" x14ac:dyDescent="0.2">
      <c r="A25">
        <f>Summary!A33</f>
        <v>17</v>
      </c>
      <c r="B25" s="187" t="s">
        <v>71</v>
      </c>
      <c r="C25" s="188">
        <v>1.1818</v>
      </c>
      <c r="D25" s="188">
        <v>1.2162999999999999</v>
      </c>
      <c r="E25" s="188">
        <v>1.2338</v>
      </c>
      <c r="F25" s="188">
        <v>1.2553000000000001</v>
      </c>
      <c r="G25" s="188">
        <v>1.2911999999999999</v>
      </c>
      <c r="H25" s="188">
        <v>1.3361000000000001</v>
      </c>
      <c r="I25" s="188">
        <v>1.3874</v>
      </c>
      <c r="J25" s="188">
        <v>1.4194</v>
      </c>
      <c r="K25" s="188">
        <v>1.4499</v>
      </c>
      <c r="L25" s="188">
        <v>1.4738</v>
      </c>
      <c r="M25" s="188">
        <v>1.4856</v>
      </c>
      <c r="N25" s="188">
        <v>1.5058</v>
      </c>
      <c r="O25" s="188">
        <v>1.5385</v>
      </c>
      <c r="P25" s="188">
        <v>1.5736000000000001</v>
      </c>
      <c r="Q25" s="188">
        <v>1.607</v>
      </c>
      <c r="R25" s="188">
        <v>1.6297999999999999</v>
      </c>
      <c r="S25" s="188">
        <v>1.6632</v>
      </c>
      <c r="T25" s="188">
        <v>1.7012</v>
      </c>
      <c r="U25" s="188">
        <v>1.7428999999999999</v>
      </c>
      <c r="V25" s="188">
        <v>1.786</v>
      </c>
    </row>
    <row r="26" spans="1:22" x14ac:dyDescent="0.2">
      <c r="A26">
        <f>Summary!A34</f>
        <v>18</v>
      </c>
      <c r="B26" s="187" t="s">
        <v>72</v>
      </c>
      <c r="C26" s="188">
        <v>0.90920000000000001</v>
      </c>
      <c r="D26" s="188">
        <v>0.90790000000000004</v>
      </c>
      <c r="E26" s="188">
        <v>0.90429999999999999</v>
      </c>
      <c r="F26" s="188">
        <v>0.90600000000000003</v>
      </c>
      <c r="G26" s="188">
        <v>0.91679999999999995</v>
      </c>
      <c r="H26" s="188">
        <v>0.93400000000000005</v>
      </c>
      <c r="I26" s="188">
        <v>0.96609999999999996</v>
      </c>
      <c r="J26" s="188">
        <v>1.0048999999999999</v>
      </c>
      <c r="K26" s="188">
        <v>1.0362</v>
      </c>
      <c r="L26" s="188">
        <v>1.0677000000000001</v>
      </c>
      <c r="M26" s="188">
        <v>1.1053999999999999</v>
      </c>
      <c r="N26" s="188">
        <v>1.1420999999999999</v>
      </c>
      <c r="O26" s="188">
        <v>1.1653</v>
      </c>
      <c r="P26" s="188">
        <v>1.181</v>
      </c>
      <c r="Q26" s="188">
        <v>1.2042999999999999</v>
      </c>
      <c r="R26" s="188">
        <v>1.2275</v>
      </c>
      <c r="S26" s="188">
        <v>1.2515000000000001</v>
      </c>
      <c r="T26" s="188">
        <v>1.2758</v>
      </c>
      <c r="U26" s="188">
        <v>1.3006</v>
      </c>
      <c r="V26" s="188">
        <v>1.3258000000000001</v>
      </c>
    </row>
    <row r="27" spans="1:22" x14ac:dyDescent="0.2">
      <c r="A27">
        <f>Summary!A35</f>
        <v>19</v>
      </c>
      <c r="B27" s="187" t="s">
        <v>73</v>
      </c>
      <c r="C27" s="189">
        <v>0</v>
      </c>
      <c r="D27" s="190">
        <v>0</v>
      </c>
      <c r="E27" s="190">
        <v>0</v>
      </c>
      <c r="F27" s="190">
        <v>0</v>
      </c>
      <c r="G27" s="190">
        <v>0</v>
      </c>
      <c r="H27" s="190">
        <v>0</v>
      </c>
      <c r="I27" s="190">
        <v>0</v>
      </c>
      <c r="J27" s="190">
        <v>0</v>
      </c>
      <c r="K27" s="190">
        <v>0</v>
      </c>
      <c r="L27" s="190">
        <v>0</v>
      </c>
      <c r="M27" s="190">
        <v>0</v>
      </c>
      <c r="N27" s="190">
        <v>0</v>
      </c>
      <c r="O27" s="190">
        <v>0</v>
      </c>
      <c r="P27" s="190">
        <v>0</v>
      </c>
      <c r="Q27" s="190">
        <v>0</v>
      </c>
      <c r="R27" s="190">
        <v>0</v>
      </c>
      <c r="S27" s="190">
        <v>0</v>
      </c>
      <c r="T27" s="190">
        <v>0</v>
      </c>
      <c r="U27" s="190">
        <v>0</v>
      </c>
      <c r="V27" s="190">
        <v>0</v>
      </c>
    </row>
    <row r="28" spans="1:22" x14ac:dyDescent="0.2">
      <c r="A28">
        <f>Summary!A36</f>
        <v>20</v>
      </c>
      <c r="B28" s="187" t="s">
        <v>74</v>
      </c>
      <c r="C28" s="189">
        <v>0</v>
      </c>
      <c r="D28" s="190">
        <v>0</v>
      </c>
      <c r="E28" s="190">
        <v>0</v>
      </c>
      <c r="F28" s="190">
        <v>0</v>
      </c>
      <c r="G28" s="190">
        <v>0</v>
      </c>
      <c r="H28" s="190">
        <v>0</v>
      </c>
      <c r="I28" s="190">
        <v>0</v>
      </c>
      <c r="J28" s="190">
        <v>0</v>
      </c>
      <c r="K28" s="190">
        <v>0</v>
      </c>
      <c r="L28" s="190">
        <v>0</v>
      </c>
      <c r="M28" s="190">
        <v>0</v>
      </c>
      <c r="N28" s="190">
        <v>0</v>
      </c>
      <c r="O28" s="190">
        <v>0</v>
      </c>
      <c r="P28" s="190">
        <v>0</v>
      </c>
      <c r="Q28" s="190">
        <v>0</v>
      </c>
      <c r="R28" s="190">
        <v>0</v>
      </c>
      <c r="S28" s="190">
        <v>0</v>
      </c>
      <c r="T28" s="190">
        <v>0</v>
      </c>
      <c r="U28" s="190">
        <v>0</v>
      </c>
      <c r="V28" s="190">
        <v>0</v>
      </c>
    </row>
    <row r="29" spans="1:22" x14ac:dyDescent="0.2">
      <c r="A29">
        <f>Summary!A37</f>
        <v>21</v>
      </c>
      <c r="B29" s="187" t="s">
        <v>75</v>
      </c>
      <c r="C29" s="189">
        <v>0</v>
      </c>
      <c r="D29" s="190">
        <v>0</v>
      </c>
      <c r="E29" s="190">
        <v>0</v>
      </c>
      <c r="F29" s="190">
        <v>0</v>
      </c>
      <c r="G29" s="190">
        <v>0</v>
      </c>
      <c r="H29" s="190">
        <v>0</v>
      </c>
      <c r="I29" s="190">
        <v>0</v>
      </c>
      <c r="J29" s="190">
        <v>0</v>
      </c>
      <c r="K29" s="190">
        <v>0</v>
      </c>
      <c r="L29" s="190">
        <v>0</v>
      </c>
      <c r="M29" s="190">
        <v>0</v>
      </c>
      <c r="N29" s="190">
        <v>0</v>
      </c>
      <c r="O29" s="190">
        <v>0</v>
      </c>
      <c r="P29" s="190">
        <v>0</v>
      </c>
      <c r="Q29" s="190">
        <v>0</v>
      </c>
      <c r="R29" s="190">
        <v>0</v>
      </c>
      <c r="S29" s="190">
        <v>0</v>
      </c>
      <c r="T29" s="190">
        <v>0</v>
      </c>
      <c r="U29" s="190">
        <v>0</v>
      </c>
      <c r="V29" s="190">
        <v>0</v>
      </c>
    </row>
    <row r="30" spans="1:22" x14ac:dyDescent="0.2">
      <c r="A30">
        <f>Summary!A38</f>
        <v>22</v>
      </c>
      <c r="B30" s="187" t="s">
        <v>86</v>
      </c>
      <c r="C30" s="189">
        <v>0</v>
      </c>
      <c r="D30" s="190">
        <v>0</v>
      </c>
      <c r="E30" s="190">
        <v>0</v>
      </c>
      <c r="F30" s="190">
        <v>0</v>
      </c>
      <c r="G30" s="190">
        <v>0</v>
      </c>
      <c r="H30" s="190">
        <v>0</v>
      </c>
      <c r="I30" s="190">
        <v>0</v>
      </c>
      <c r="J30" s="190">
        <v>0</v>
      </c>
      <c r="K30" s="190">
        <v>0</v>
      </c>
      <c r="L30" s="190">
        <v>0</v>
      </c>
      <c r="M30" s="190">
        <v>0</v>
      </c>
      <c r="N30" s="190">
        <v>0</v>
      </c>
      <c r="O30" s="190">
        <v>0</v>
      </c>
      <c r="P30" s="190">
        <v>0</v>
      </c>
      <c r="Q30" s="190">
        <v>0</v>
      </c>
      <c r="R30" s="190">
        <v>0</v>
      </c>
      <c r="S30" s="190">
        <v>0</v>
      </c>
      <c r="T30" s="190">
        <v>0</v>
      </c>
      <c r="U30" s="190">
        <v>0</v>
      </c>
      <c r="V30" s="190">
        <v>0</v>
      </c>
    </row>
    <row r="31" spans="1:22" x14ac:dyDescent="0.2">
      <c r="A31">
        <f>Summary!A39</f>
        <v>23</v>
      </c>
      <c r="B31" s="187" t="s">
        <v>76</v>
      </c>
      <c r="C31" s="189">
        <v>0</v>
      </c>
      <c r="D31" s="190">
        <v>0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0</v>
      </c>
      <c r="N31" s="190">
        <v>0</v>
      </c>
      <c r="O31" s="190">
        <v>0</v>
      </c>
      <c r="P31" s="190">
        <v>0</v>
      </c>
      <c r="Q31" s="190">
        <v>0</v>
      </c>
      <c r="R31" s="190">
        <v>0</v>
      </c>
      <c r="S31" s="190">
        <v>0</v>
      </c>
      <c r="T31" s="190">
        <v>0</v>
      </c>
      <c r="U31" s="190">
        <v>0</v>
      </c>
      <c r="V31" s="190">
        <v>0</v>
      </c>
    </row>
    <row r="32" spans="1:22" x14ac:dyDescent="0.2">
      <c r="A32">
        <f>Summary!A40</f>
        <v>24</v>
      </c>
      <c r="B32" s="187" t="s">
        <v>77</v>
      </c>
      <c r="C32" s="189">
        <v>0</v>
      </c>
      <c r="D32" s="190">
        <v>0</v>
      </c>
      <c r="E32" s="190">
        <v>0</v>
      </c>
      <c r="F32" s="190">
        <v>0</v>
      </c>
      <c r="G32" s="190">
        <v>0</v>
      </c>
      <c r="H32" s="190">
        <v>0</v>
      </c>
      <c r="I32" s="190">
        <v>0</v>
      </c>
      <c r="J32" s="190">
        <v>0</v>
      </c>
      <c r="K32" s="190">
        <v>0</v>
      </c>
      <c r="L32" s="190">
        <v>0</v>
      </c>
      <c r="M32" s="190">
        <v>0</v>
      </c>
      <c r="N32" s="190">
        <v>0</v>
      </c>
      <c r="O32" s="190">
        <v>0</v>
      </c>
      <c r="P32" s="190">
        <v>0</v>
      </c>
      <c r="Q32" s="190">
        <v>0</v>
      </c>
      <c r="R32" s="190">
        <v>0</v>
      </c>
      <c r="S32" s="190">
        <v>0</v>
      </c>
      <c r="T32" s="190">
        <v>0</v>
      </c>
      <c r="U32" s="190">
        <v>0</v>
      </c>
      <c r="V32" s="190">
        <v>0</v>
      </c>
    </row>
    <row r="33" spans="1:22" x14ac:dyDescent="0.2">
      <c r="A33">
        <f>Summary!A41</f>
        <v>25</v>
      </c>
      <c r="B33" s="187" t="s">
        <v>78</v>
      </c>
      <c r="C33" s="189">
        <v>0</v>
      </c>
      <c r="D33" s="190">
        <v>0</v>
      </c>
      <c r="E33" s="190">
        <v>0</v>
      </c>
      <c r="F33" s="190">
        <v>0</v>
      </c>
      <c r="G33" s="190">
        <v>0</v>
      </c>
      <c r="H33" s="190">
        <v>0</v>
      </c>
      <c r="I33" s="190">
        <v>0</v>
      </c>
      <c r="J33" s="190">
        <v>0</v>
      </c>
      <c r="K33" s="190">
        <v>0</v>
      </c>
      <c r="L33" s="190">
        <v>0</v>
      </c>
      <c r="M33" s="190">
        <v>0</v>
      </c>
      <c r="N33" s="190">
        <v>0</v>
      </c>
      <c r="O33" s="190">
        <v>0</v>
      </c>
      <c r="P33" s="190">
        <v>0</v>
      </c>
      <c r="Q33" s="190">
        <v>0</v>
      </c>
      <c r="R33" s="190">
        <v>0</v>
      </c>
      <c r="S33" s="190">
        <v>0</v>
      </c>
      <c r="T33" s="190">
        <v>0</v>
      </c>
      <c r="U33" s="190">
        <v>0</v>
      </c>
      <c r="V33" s="190">
        <v>0</v>
      </c>
    </row>
    <row r="34" spans="1:22" x14ac:dyDescent="0.2">
      <c r="A34">
        <f>Summary!A42</f>
        <v>26</v>
      </c>
      <c r="B34" s="187" t="s">
        <v>79</v>
      </c>
      <c r="C34" s="189">
        <v>0</v>
      </c>
      <c r="D34" s="190">
        <v>0</v>
      </c>
      <c r="E34" s="190">
        <v>0</v>
      </c>
      <c r="F34" s="190">
        <v>0</v>
      </c>
      <c r="G34" s="190">
        <v>0</v>
      </c>
      <c r="H34" s="190">
        <v>0</v>
      </c>
      <c r="I34" s="190">
        <v>0</v>
      </c>
      <c r="J34" s="190">
        <v>0</v>
      </c>
      <c r="K34" s="190">
        <v>0</v>
      </c>
      <c r="L34" s="190">
        <v>0</v>
      </c>
      <c r="M34" s="190">
        <v>0</v>
      </c>
      <c r="N34" s="190">
        <v>0</v>
      </c>
      <c r="O34" s="190">
        <v>0</v>
      </c>
      <c r="P34" s="190">
        <v>0</v>
      </c>
      <c r="Q34" s="190">
        <v>0</v>
      </c>
      <c r="R34" s="190">
        <v>0</v>
      </c>
      <c r="S34" s="190">
        <v>0</v>
      </c>
      <c r="T34" s="190">
        <v>0</v>
      </c>
      <c r="U34" s="190">
        <v>0</v>
      </c>
      <c r="V34" s="190">
        <v>0</v>
      </c>
    </row>
    <row r="35" spans="1:22" x14ac:dyDescent="0.2">
      <c r="A35">
        <f>Summary!A43</f>
        <v>27</v>
      </c>
      <c r="B35" s="187" t="s">
        <v>80</v>
      </c>
      <c r="C35" s="189">
        <v>0</v>
      </c>
      <c r="D35" s="190">
        <v>0</v>
      </c>
      <c r="E35" s="190">
        <v>0</v>
      </c>
      <c r="F35" s="190">
        <v>0</v>
      </c>
      <c r="G35" s="190">
        <v>0</v>
      </c>
      <c r="H35" s="190">
        <v>0</v>
      </c>
      <c r="I35" s="190">
        <v>0</v>
      </c>
      <c r="J35" s="190">
        <v>0</v>
      </c>
      <c r="K35" s="190">
        <v>0</v>
      </c>
      <c r="L35" s="190">
        <v>0</v>
      </c>
      <c r="M35" s="190">
        <v>0</v>
      </c>
      <c r="N35" s="190">
        <v>0</v>
      </c>
      <c r="O35" s="190">
        <v>0</v>
      </c>
      <c r="P35" s="190">
        <v>0</v>
      </c>
      <c r="Q35" s="190">
        <v>0</v>
      </c>
      <c r="R35" s="190">
        <v>0</v>
      </c>
      <c r="S35" s="190">
        <v>0</v>
      </c>
      <c r="T35" s="190">
        <v>0</v>
      </c>
      <c r="U35" s="190">
        <v>0</v>
      </c>
      <c r="V35" s="190">
        <v>0</v>
      </c>
    </row>
    <row r="36" spans="1:22" x14ac:dyDescent="0.2">
      <c r="A36">
        <f>Summary!A44</f>
        <v>28</v>
      </c>
      <c r="B36" s="187" t="s">
        <v>81</v>
      </c>
      <c r="C36" s="189">
        <v>0</v>
      </c>
      <c r="D36" s="190">
        <v>0</v>
      </c>
      <c r="E36" s="190">
        <v>0</v>
      </c>
      <c r="F36" s="190">
        <v>0</v>
      </c>
      <c r="G36" s="190">
        <v>0</v>
      </c>
      <c r="H36" s="190">
        <v>0</v>
      </c>
      <c r="I36" s="190">
        <v>0</v>
      </c>
      <c r="J36" s="190">
        <v>0</v>
      </c>
      <c r="K36" s="190">
        <v>0</v>
      </c>
      <c r="L36" s="190">
        <v>0</v>
      </c>
      <c r="M36" s="190">
        <v>0</v>
      </c>
      <c r="N36" s="190">
        <v>0</v>
      </c>
      <c r="O36" s="190">
        <v>0</v>
      </c>
      <c r="P36" s="190">
        <v>0</v>
      </c>
      <c r="Q36" s="190">
        <v>0</v>
      </c>
      <c r="R36" s="190">
        <v>0</v>
      </c>
      <c r="S36" s="190">
        <v>0</v>
      </c>
      <c r="T36" s="190">
        <v>0</v>
      </c>
      <c r="U36" s="190">
        <v>0</v>
      </c>
      <c r="V36" s="190">
        <v>0</v>
      </c>
    </row>
    <row r="37" spans="1:22" x14ac:dyDescent="0.2">
      <c r="A37">
        <f>Summary!A45</f>
        <v>29</v>
      </c>
      <c r="B37" s="187" t="s">
        <v>82</v>
      </c>
      <c r="C37" s="189">
        <v>0</v>
      </c>
      <c r="D37" s="190">
        <v>0</v>
      </c>
      <c r="E37" s="190">
        <v>0</v>
      </c>
      <c r="F37" s="190">
        <v>0</v>
      </c>
      <c r="G37" s="190">
        <v>0</v>
      </c>
      <c r="H37" s="190">
        <v>0</v>
      </c>
      <c r="I37" s="190">
        <v>0</v>
      </c>
      <c r="J37" s="190">
        <v>0</v>
      </c>
      <c r="K37" s="190">
        <v>0</v>
      </c>
      <c r="L37" s="190">
        <v>0</v>
      </c>
      <c r="M37" s="190">
        <v>0</v>
      </c>
      <c r="N37" s="190">
        <v>0</v>
      </c>
      <c r="O37" s="190">
        <v>0</v>
      </c>
      <c r="P37" s="190">
        <v>0</v>
      </c>
      <c r="Q37" s="190">
        <v>0</v>
      </c>
      <c r="R37" s="190">
        <v>0</v>
      </c>
      <c r="S37" s="190">
        <v>0</v>
      </c>
      <c r="T37" s="190">
        <v>0</v>
      </c>
      <c r="U37" s="190">
        <v>0</v>
      </c>
      <c r="V37" s="190">
        <v>0</v>
      </c>
    </row>
    <row r="38" spans="1:22" x14ac:dyDescent="0.2">
      <c r="A38">
        <f>Summary!A46</f>
        <v>30</v>
      </c>
      <c r="B38" s="187" t="s">
        <v>83</v>
      </c>
      <c r="C38" s="189">
        <v>0</v>
      </c>
      <c r="D38" s="190">
        <v>0</v>
      </c>
      <c r="E38" s="190">
        <v>0</v>
      </c>
      <c r="F38" s="190">
        <v>0</v>
      </c>
      <c r="G38" s="190">
        <v>0</v>
      </c>
      <c r="H38" s="190">
        <v>0</v>
      </c>
      <c r="I38" s="190">
        <v>0</v>
      </c>
      <c r="J38" s="190">
        <v>0</v>
      </c>
      <c r="K38" s="190">
        <v>0</v>
      </c>
      <c r="L38" s="190">
        <v>0</v>
      </c>
      <c r="M38" s="190">
        <v>0</v>
      </c>
      <c r="N38" s="190">
        <v>0</v>
      </c>
      <c r="O38" s="190">
        <v>0</v>
      </c>
      <c r="P38" s="190">
        <v>0</v>
      </c>
      <c r="Q38" s="190">
        <v>0</v>
      </c>
      <c r="R38" s="190">
        <v>0</v>
      </c>
      <c r="S38" s="190">
        <v>0</v>
      </c>
      <c r="T38" s="190">
        <v>0</v>
      </c>
      <c r="U38" s="190">
        <v>0</v>
      </c>
      <c r="V38" s="190">
        <v>0</v>
      </c>
    </row>
    <row r="39" spans="1:22" x14ac:dyDescent="0.2">
      <c r="A39">
        <f>Summary!A47</f>
        <v>31</v>
      </c>
      <c r="B39" s="187" t="s">
        <v>84</v>
      </c>
      <c r="C39" s="189">
        <v>0</v>
      </c>
      <c r="D39" s="190">
        <v>0</v>
      </c>
      <c r="E39" s="190">
        <v>0</v>
      </c>
      <c r="F39" s="190">
        <v>0</v>
      </c>
      <c r="G39" s="190">
        <v>0</v>
      </c>
      <c r="H39" s="190">
        <v>0</v>
      </c>
      <c r="I39" s="190">
        <v>0</v>
      </c>
      <c r="J39" s="190">
        <v>0</v>
      </c>
      <c r="K39" s="190">
        <v>0</v>
      </c>
      <c r="L39" s="190">
        <v>0</v>
      </c>
      <c r="M39" s="190">
        <v>0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190">
        <v>0</v>
      </c>
      <c r="T39" s="190">
        <v>0</v>
      </c>
      <c r="U39" s="190">
        <v>0</v>
      </c>
      <c r="V39" s="190">
        <v>0</v>
      </c>
    </row>
    <row r="40" spans="1:22" x14ac:dyDescent="0.2">
      <c r="A40">
        <f>Summary!A48</f>
        <v>32</v>
      </c>
      <c r="B40" s="187" t="s">
        <v>85</v>
      </c>
      <c r="C40" s="189">
        <v>0</v>
      </c>
      <c r="D40" s="190">
        <v>0</v>
      </c>
      <c r="E40" s="190">
        <v>0</v>
      </c>
      <c r="F40" s="190">
        <v>0</v>
      </c>
      <c r="G40" s="190">
        <v>0</v>
      </c>
      <c r="H40" s="190">
        <v>0</v>
      </c>
      <c r="I40" s="190">
        <v>0</v>
      </c>
      <c r="J40" s="190">
        <v>0</v>
      </c>
      <c r="K40" s="190">
        <v>0</v>
      </c>
      <c r="L40" s="190">
        <v>0</v>
      </c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190">
        <v>0</v>
      </c>
      <c r="T40" s="190">
        <v>0</v>
      </c>
      <c r="U40" s="190">
        <v>0</v>
      </c>
      <c r="V40" s="190">
        <v>0</v>
      </c>
    </row>
    <row r="41" spans="1:22" x14ac:dyDescent="0.2">
      <c r="A41">
        <f>Summary!A49</f>
        <v>33</v>
      </c>
      <c r="B41" s="187" t="s">
        <v>181</v>
      </c>
      <c r="C41" s="189">
        <v>0</v>
      </c>
      <c r="D41" s="190">
        <v>0</v>
      </c>
      <c r="E41" s="190">
        <v>0</v>
      </c>
      <c r="F41" s="190">
        <v>0</v>
      </c>
      <c r="G41" s="190">
        <v>0</v>
      </c>
      <c r="H41" s="190">
        <v>0</v>
      </c>
      <c r="I41" s="190">
        <v>0</v>
      </c>
      <c r="J41" s="190">
        <v>0</v>
      </c>
      <c r="K41" s="190">
        <v>0</v>
      </c>
      <c r="L41" s="190">
        <v>0</v>
      </c>
      <c r="M41" s="190">
        <v>0</v>
      </c>
      <c r="N41" s="190">
        <v>0</v>
      </c>
      <c r="O41" s="190">
        <v>0</v>
      </c>
      <c r="P41" s="190">
        <v>0</v>
      </c>
      <c r="Q41" s="190">
        <v>0</v>
      </c>
      <c r="R41" s="190">
        <v>0</v>
      </c>
      <c r="S41" s="190">
        <v>0</v>
      </c>
      <c r="T41" s="190">
        <v>0</v>
      </c>
      <c r="U41" s="190">
        <v>0</v>
      </c>
      <c r="V41" s="19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42"/>
  <sheetViews>
    <sheetView workbookViewId="0"/>
  </sheetViews>
  <sheetFormatPr defaultRowHeight="12.75" x14ac:dyDescent="0.2"/>
  <cols>
    <col min="1" max="1" width="3.42578125" customWidth="1"/>
    <col min="2" max="2" width="15.42578125" customWidth="1"/>
    <col min="3" max="3" width="6.7109375" bestFit="1" customWidth="1"/>
    <col min="4" max="4" width="8.7109375" bestFit="1" customWidth="1"/>
    <col min="5" max="21" width="9.7109375" bestFit="1" customWidth="1"/>
    <col min="22" max="22" width="8.7109375" bestFit="1" customWidth="1"/>
  </cols>
  <sheetData>
    <row r="1" spans="1:22" x14ac:dyDescent="0.2">
      <c r="A1" s="138" t="s">
        <v>51</v>
      </c>
    </row>
    <row r="2" spans="1:22" x14ac:dyDescent="0.2">
      <c r="A2" s="138"/>
    </row>
    <row r="3" spans="1:22" x14ac:dyDescent="0.2">
      <c r="A3" s="138"/>
    </row>
    <row r="4" spans="1:22" x14ac:dyDescent="0.2">
      <c r="A4" s="138"/>
    </row>
    <row r="5" spans="1:22" x14ac:dyDescent="0.2">
      <c r="A5" s="138"/>
    </row>
    <row r="7" spans="1:22" x14ac:dyDescent="0.2">
      <c r="C7" s="12">
        <v>2000</v>
      </c>
      <c r="D7" s="12">
        <v>2001</v>
      </c>
      <c r="E7" s="12">
        <v>2002</v>
      </c>
      <c r="F7" s="12">
        <v>2003</v>
      </c>
      <c r="G7" s="12">
        <v>2004</v>
      </c>
      <c r="H7" s="12">
        <v>2005</v>
      </c>
      <c r="I7" s="12">
        <v>2006</v>
      </c>
      <c r="J7" s="12">
        <v>2007</v>
      </c>
      <c r="K7" s="12">
        <v>2008</v>
      </c>
      <c r="L7" s="12">
        <v>2009</v>
      </c>
      <c r="M7" s="12">
        <v>2010</v>
      </c>
      <c r="N7" s="12">
        <v>2011</v>
      </c>
      <c r="O7" s="12">
        <v>2012</v>
      </c>
      <c r="P7" s="12">
        <v>2013</v>
      </c>
      <c r="Q7" s="12">
        <v>2014</v>
      </c>
      <c r="R7" s="12">
        <v>2015</v>
      </c>
      <c r="S7" s="12">
        <v>2016</v>
      </c>
      <c r="T7" s="12">
        <v>2017</v>
      </c>
      <c r="U7" s="12">
        <v>2018</v>
      </c>
      <c r="V7" s="12">
        <v>2019</v>
      </c>
    </row>
    <row r="9" spans="1:22" x14ac:dyDescent="0.2">
      <c r="A9">
        <f>Summary!A17</f>
        <v>1</v>
      </c>
      <c r="B9" t="s">
        <v>55</v>
      </c>
      <c r="C9" s="217">
        <v>0</v>
      </c>
      <c r="D9" s="218">
        <v>381835.51400375203</v>
      </c>
      <c r="E9" s="218">
        <v>446848.79068212525</v>
      </c>
      <c r="F9" s="218">
        <v>457081.35811975488</v>
      </c>
      <c r="G9" s="218">
        <v>467545.18158147484</v>
      </c>
      <c r="H9" s="218">
        <v>478258.04404158378</v>
      </c>
      <c r="I9" s="218">
        <v>489735.03644411458</v>
      </c>
      <c r="J9" s="218">
        <v>500988.73183821165</v>
      </c>
      <c r="K9" s="218">
        <v>512527.28151932993</v>
      </c>
      <c r="L9" s="218">
        <v>524350.83337757189</v>
      </c>
      <c r="M9" s="218">
        <v>536475.88580819895</v>
      </c>
      <c r="N9" s="218">
        <v>548894.36450764723</v>
      </c>
      <c r="O9" s="218">
        <v>561625.78887032159</v>
      </c>
      <c r="P9" s="218">
        <v>574680.59141180781</v>
      </c>
      <c r="Q9" s="218">
        <v>588061.76401683118</v>
      </c>
      <c r="R9" s="218">
        <v>601778.8040542407</v>
      </c>
      <c r="S9" s="218">
        <v>615838.77009258547</v>
      </c>
      <c r="T9" s="218">
        <v>630247.4232886812</v>
      </c>
      <c r="U9" s="218">
        <v>645017.7336799989</v>
      </c>
      <c r="V9" s="218">
        <v>660158.77886213863</v>
      </c>
    </row>
    <row r="10" spans="1:22" x14ac:dyDescent="0.2">
      <c r="A10">
        <f>Summary!A18</f>
        <v>2</v>
      </c>
      <c r="B10" t="s">
        <v>56</v>
      </c>
      <c r="C10" s="217">
        <v>0</v>
      </c>
      <c r="D10" s="219">
        <v>597318.54938779096</v>
      </c>
      <c r="E10" s="219">
        <v>613373.92846706556</v>
      </c>
      <c r="F10" s="219">
        <v>629780.92034817627</v>
      </c>
      <c r="G10" s="219">
        <v>646558.71024579997</v>
      </c>
      <c r="H10" s="219">
        <v>663735.81154298712</v>
      </c>
      <c r="I10" s="219">
        <v>681343.37272552669</v>
      </c>
      <c r="J10" s="219">
        <v>699387.65047779877</v>
      </c>
      <c r="K10" s="219">
        <v>717888.66618981981</v>
      </c>
      <c r="L10" s="219">
        <v>736846.65698992775</v>
      </c>
      <c r="M10" s="219">
        <v>756288.07655543846</v>
      </c>
      <c r="N10" s="219">
        <v>776199.97847443458</v>
      </c>
      <c r="O10" s="219">
        <v>796613.66032178933</v>
      </c>
      <c r="P10" s="219">
        <v>817545.84968806687</v>
      </c>
      <c r="Q10" s="219">
        <v>839001.34378850134</v>
      </c>
      <c r="R10" s="219">
        <v>860995.37079085666</v>
      </c>
      <c r="S10" s="219">
        <v>883539.24846827099</v>
      </c>
      <c r="T10" s="219">
        <v>906642.21431208507</v>
      </c>
      <c r="U10" s="219">
        <v>930325.06459857896</v>
      </c>
      <c r="V10" s="219">
        <v>954602.35442726384</v>
      </c>
    </row>
    <row r="11" spans="1:22" x14ac:dyDescent="0.2">
      <c r="A11">
        <f>Summary!A19</f>
        <v>3</v>
      </c>
      <c r="B11" s="9" t="s">
        <v>57</v>
      </c>
      <c r="C11" s="217">
        <v>0</v>
      </c>
      <c r="D11" s="219">
        <v>388299.7921559058</v>
      </c>
      <c r="E11" s="219">
        <v>397276.51828614395</v>
      </c>
      <c r="F11" s="219">
        <v>406449.83471863432</v>
      </c>
      <c r="G11" s="219">
        <v>415830.46810249891</v>
      </c>
      <c r="H11" s="219">
        <v>425434.36056089948</v>
      </c>
      <c r="I11" s="219">
        <v>435680.84021321853</v>
      </c>
      <c r="J11" s="219">
        <v>445769.5798686521</v>
      </c>
      <c r="K11" s="219">
        <v>456535.8470507703</v>
      </c>
      <c r="L11" s="219">
        <v>467135.4529866915</v>
      </c>
      <c r="M11" s="219">
        <v>478005.34887397866</v>
      </c>
      <c r="N11" s="219">
        <v>489138.29624173819</v>
      </c>
      <c r="O11" s="219">
        <v>500551.79388316523</v>
      </c>
      <c r="P11" s="219">
        <v>512255.19436468452</v>
      </c>
      <c r="Q11" s="219">
        <v>524251.17985824175</v>
      </c>
      <c r="R11" s="219">
        <v>536548.26458768733</v>
      </c>
      <c r="S11" s="219">
        <v>549152.77643536904</v>
      </c>
      <c r="T11" s="219">
        <v>562069.88017687318</v>
      </c>
      <c r="U11" s="219">
        <v>575311.2032222891</v>
      </c>
      <c r="V11" s="219">
        <v>588884.88347614498</v>
      </c>
    </row>
    <row r="12" spans="1:22" x14ac:dyDescent="0.2">
      <c r="A12">
        <f>Summary!A20</f>
        <v>4</v>
      </c>
      <c r="B12" s="9" t="s">
        <v>58</v>
      </c>
      <c r="C12" s="217">
        <v>0</v>
      </c>
      <c r="D12" s="219">
        <v>388299.7921559058</v>
      </c>
      <c r="E12" s="219">
        <v>397276.51828614395</v>
      </c>
      <c r="F12" s="219">
        <v>406449.83471863432</v>
      </c>
      <c r="G12" s="219">
        <v>415830.46810249891</v>
      </c>
      <c r="H12" s="219">
        <v>425434.36056089948</v>
      </c>
      <c r="I12" s="219">
        <v>435680.84021321853</v>
      </c>
      <c r="J12" s="219">
        <v>445769.5798686521</v>
      </c>
      <c r="K12" s="219">
        <v>456535.8470507703</v>
      </c>
      <c r="L12" s="219">
        <v>467135.4529866915</v>
      </c>
      <c r="M12" s="219">
        <v>478005.34887397866</v>
      </c>
      <c r="N12" s="219">
        <v>489138.29624173819</v>
      </c>
      <c r="O12" s="219">
        <v>500551.79388316523</v>
      </c>
      <c r="P12" s="219">
        <v>512255.19436468452</v>
      </c>
      <c r="Q12" s="219">
        <v>524251.17985824175</v>
      </c>
      <c r="R12" s="219">
        <v>536548.26458768733</v>
      </c>
      <c r="S12" s="219">
        <v>549152.77643536904</v>
      </c>
      <c r="T12" s="219">
        <v>562069.88017687318</v>
      </c>
      <c r="U12" s="219">
        <v>575311.2032222891</v>
      </c>
      <c r="V12" s="219">
        <v>588884.88347614498</v>
      </c>
    </row>
    <row r="13" spans="1:22" x14ac:dyDescent="0.2">
      <c r="A13">
        <f>Summary!A21</f>
        <v>5</v>
      </c>
      <c r="B13" s="9" t="s">
        <v>59</v>
      </c>
      <c r="C13" s="217">
        <v>0</v>
      </c>
      <c r="D13" s="219">
        <v>388299.7921559058</v>
      </c>
      <c r="E13" s="219">
        <v>397276.51828614395</v>
      </c>
      <c r="F13" s="219">
        <v>406449.83471863432</v>
      </c>
      <c r="G13" s="219">
        <v>415830.46810249891</v>
      </c>
      <c r="H13" s="219">
        <v>425434.36056089948</v>
      </c>
      <c r="I13" s="219">
        <v>435680.84021321853</v>
      </c>
      <c r="J13" s="219">
        <v>445769.5798686521</v>
      </c>
      <c r="K13" s="219">
        <v>456535.8470507703</v>
      </c>
      <c r="L13" s="219">
        <v>467135.4529866915</v>
      </c>
      <c r="M13" s="219">
        <v>478005.34887397866</v>
      </c>
      <c r="N13" s="219">
        <v>489138.29624173819</v>
      </c>
      <c r="O13" s="219">
        <v>500551.79388316523</v>
      </c>
      <c r="P13" s="219">
        <v>512255.19436468452</v>
      </c>
      <c r="Q13" s="219">
        <v>524251.17985824175</v>
      </c>
      <c r="R13" s="219">
        <v>536548.26458768733</v>
      </c>
      <c r="S13" s="219">
        <v>549152.77643536904</v>
      </c>
      <c r="T13" s="219">
        <v>562069.88017687318</v>
      </c>
      <c r="U13" s="219">
        <v>575311.2032222891</v>
      </c>
      <c r="V13" s="219">
        <v>588884.88347614498</v>
      </c>
    </row>
    <row r="14" spans="1:22" x14ac:dyDescent="0.2">
      <c r="A14">
        <f>Summary!A22</f>
        <v>6</v>
      </c>
      <c r="B14" s="9" t="s">
        <v>60</v>
      </c>
      <c r="C14" s="217">
        <v>0</v>
      </c>
      <c r="D14" s="219">
        <v>388299.7921559058</v>
      </c>
      <c r="E14" s="219">
        <v>397276.51828614395</v>
      </c>
      <c r="F14" s="219">
        <v>406449.83471863432</v>
      </c>
      <c r="G14" s="219">
        <v>415830.46810249891</v>
      </c>
      <c r="H14" s="219">
        <v>425434.36056089948</v>
      </c>
      <c r="I14" s="219">
        <v>435680.84021321853</v>
      </c>
      <c r="J14" s="219">
        <v>445769.5798686521</v>
      </c>
      <c r="K14" s="219">
        <v>456535.8470507703</v>
      </c>
      <c r="L14" s="219">
        <v>467135.4529866915</v>
      </c>
      <c r="M14" s="219">
        <v>478005.34887397866</v>
      </c>
      <c r="N14" s="219">
        <v>489138.29624173819</v>
      </c>
      <c r="O14" s="219">
        <v>500551.79388316523</v>
      </c>
      <c r="P14" s="219">
        <v>512255.19436468452</v>
      </c>
      <c r="Q14" s="219">
        <v>524251.17985824175</v>
      </c>
      <c r="R14" s="219">
        <v>536548.26458768733</v>
      </c>
      <c r="S14" s="219">
        <v>549152.77643536904</v>
      </c>
      <c r="T14" s="219">
        <v>562069.88017687318</v>
      </c>
      <c r="U14" s="219">
        <v>575311.2032222891</v>
      </c>
      <c r="V14" s="219">
        <v>588884.88347614498</v>
      </c>
    </row>
    <row r="15" spans="1:22" x14ac:dyDescent="0.2">
      <c r="A15">
        <f>Summary!A23</f>
        <v>7</v>
      </c>
      <c r="B15" t="s">
        <v>61</v>
      </c>
      <c r="C15" s="217">
        <v>0</v>
      </c>
      <c r="D15" s="219">
        <v>784147.16871290235</v>
      </c>
      <c r="E15" s="219">
        <v>791825.82781056478</v>
      </c>
      <c r="F15" s="219">
        <v>799672.64954246604</v>
      </c>
      <c r="G15" s="219">
        <v>807696.80944550817</v>
      </c>
      <c r="H15" s="219">
        <v>815911.94435424276</v>
      </c>
      <c r="I15" s="219">
        <v>824678.59368557215</v>
      </c>
      <c r="J15" s="219">
        <v>833308.46513482928</v>
      </c>
      <c r="K15" s="219">
        <v>842519.83192443964</v>
      </c>
      <c r="L15" s="219">
        <v>851586.69654419599</v>
      </c>
      <c r="M15" s="219">
        <v>860884.76621175604</v>
      </c>
      <c r="N15" s="219">
        <v>870407.84916527104</v>
      </c>
      <c r="O15" s="219">
        <v>880170.9138092146</v>
      </c>
      <c r="P15" s="219">
        <v>890181.96029511432</v>
      </c>
      <c r="Q15" s="219">
        <v>900443.28294316155</v>
      </c>
      <c r="R15" s="219">
        <v>910962.1647896748</v>
      </c>
      <c r="S15" s="219">
        <v>921744.01868235087</v>
      </c>
      <c r="T15" s="219">
        <v>932793.26255156531</v>
      </c>
      <c r="U15" s="219">
        <v>944119.84244189702</v>
      </c>
      <c r="V15" s="219">
        <v>955730.71948747605</v>
      </c>
    </row>
    <row r="16" spans="1:22" x14ac:dyDescent="0.2">
      <c r="A16">
        <f>Summary!A24</f>
        <v>8</v>
      </c>
      <c r="B16" t="s">
        <v>62</v>
      </c>
      <c r="C16" s="217">
        <v>0</v>
      </c>
      <c r="D16" s="219">
        <v>200917.67593297298</v>
      </c>
      <c r="E16" s="219">
        <v>205641.43199241639</v>
      </c>
      <c r="F16" s="219">
        <v>218077.27806039757</v>
      </c>
      <c r="G16" s="219">
        <v>229740.23732528751</v>
      </c>
      <c r="H16" s="219">
        <v>277364.27038042538</v>
      </c>
      <c r="I16" s="219">
        <v>345386.73370678158</v>
      </c>
      <c r="J16" s="219">
        <v>385353.45526847139</v>
      </c>
      <c r="K16" s="219">
        <v>421308.50507779239</v>
      </c>
      <c r="L16" s="219">
        <v>452769.73269078415</v>
      </c>
      <c r="M16" s="219">
        <v>463724.02074573957</v>
      </c>
      <c r="N16" s="219">
        <v>469582.42912591412</v>
      </c>
      <c r="O16" s="219">
        <v>475922.50254742149</v>
      </c>
      <c r="P16" s="219">
        <v>482081.0962416688</v>
      </c>
      <c r="Q16" s="219">
        <v>488393.65477827226</v>
      </c>
      <c r="R16" s="219">
        <v>494864.65853414452</v>
      </c>
      <c r="S16" s="219">
        <v>501497.43738391355</v>
      </c>
      <c r="T16" s="219">
        <v>508294.70914915687</v>
      </c>
      <c r="U16" s="219">
        <v>515262.5924357078</v>
      </c>
      <c r="V16" s="219">
        <v>522405.36959275114</v>
      </c>
    </row>
    <row r="17" spans="1:22" x14ac:dyDescent="0.2">
      <c r="A17">
        <f>Summary!A25</f>
        <v>9</v>
      </c>
      <c r="B17" t="s">
        <v>63</v>
      </c>
      <c r="C17" s="217">
        <v>0</v>
      </c>
      <c r="D17" s="219">
        <v>408315.87348898494</v>
      </c>
      <c r="E17" s="219">
        <v>417397.215776205</v>
      </c>
      <c r="F17" s="219">
        <v>426677.43945951521</v>
      </c>
      <c r="G17" s="219">
        <v>445393.60991703469</v>
      </c>
      <c r="H17" s="219">
        <v>502785.0734297476</v>
      </c>
      <c r="I17" s="219">
        <v>638437.90786963713</v>
      </c>
      <c r="J17" s="219">
        <v>708139.9737642681</v>
      </c>
      <c r="K17" s="219">
        <v>779539.64570515463</v>
      </c>
      <c r="L17" s="219">
        <v>852788.96295934892</v>
      </c>
      <c r="M17" s="219">
        <v>895780.2172534219</v>
      </c>
      <c r="N17" s="219">
        <v>907042.90971450391</v>
      </c>
      <c r="O17" s="219">
        <v>918589.42202560499</v>
      </c>
      <c r="P17" s="219">
        <v>930429.21574940812</v>
      </c>
      <c r="Q17" s="219">
        <v>942565.00431630621</v>
      </c>
      <c r="R17" s="219">
        <v>955005.40117623354</v>
      </c>
      <c r="S17" s="219">
        <v>967756.80795765901</v>
      </c>
      <c r="T17" s="219">
        <v>980824.4496272637</v>
      </c>
      <c r="U17" s="219">
        <v>994220.08910277579</v>
      </c>
      <c r="V17" s="219">
        <v>1007951.959129123</v>
      </c>
    </row>
    <row r="18" spans="1:22" x14ac:dyDescent="0.2">
      <c r="A18">
        <f>Summary!A26</f>
        <v>10</v>
      </c>
      <c r="B18" t="s">
        <v>64</v>
      </c>
      <c r="C18" s="217">
        <v>0</v>
      </c>
      <c r="D18" s="219">
        <v>695592.31143923826</v>
      </c>
      <c r="E18" s="219">
        <v>709213.75904706703</v>
      </c>
      <c r="F18" s="219">
        <v>723133.51635750732</v>
      </c>
      <c r="G18" s="219">
        <v>737367.86018316343</v>
      </c>
      <c r="H18" s="219">
        <v>751940.98139187018</v>
      </c>
      <c r="I18" s="219">
        <v>767475.72838574066</v>
      </c>
      <c r="J18" s="219">
        <v>782784.56555551931</v>
      </c>
      <c r="K18" s="219">
        <v>799107.37012358126</v>
      </c>
      <c r="L18" s="219">
        <v>815191.40508521721</v>
      </c>
      <c r="M18" s="219">
        <v>831685.58293837484</v>
      </c>
      <c r="N18" s="219">
        <v>848578.91989557899</v>
      </c>
      <c r="O18" s="219">
        <v>865897.96894410462</v>
      </c>
      <c r="P18" s="219">
        <v>883656.92183846282</v>
      </c>
      <c r="Q18" s="219">
        <v>901859.84855517989</v>
      </c>
      <c r="R18" s="219">
        <v>920519.66873248655</v>
      </c>
      <c r="S18" s="219">
        <v>939645.98441422591</v>
      </c>
      <c r="T18" s="219">
        <v>959246.63272487244</v>
      </c>
      <c r="U18" s="219">
        <v>979339.25730811618</v>
      </c>
      <c r="V18" s="219">
        <v>999936.20676839934</v>
      </c>
    </row>
    <row r="19" spans="1:22" x14ac:dyDescent="0.2">
      <c r="A19">
        <f>Summary!A27</f>
        <v>11</v>
      </c>
      <c r="B19" t="s">
        <v>65</v>
      </c>
      <c r="C19" s="217">
        <v>0</v>
      </c>
      <c r="D19" s="219">
        <v>695592.31143923826</v>
      </c>
      <c r="E19" s="219">
        <v>709213.75904706703</v>
      </c>
      <c r="F19" s="219">
        <v>723133.51635750732</v>
      </c>
      <c r="G19" s="219">
        <v>737367.86018316343</v>
      </c>
      <c r="H19" s="219">
        <v>751940.98139187018</v>
      </c>
      <c r="I19" s="219">
        <v>767475.72838574066</v>
      </c>
      <c r="J19" s="219">
        <v>783396.23767347389</v>
      </c>
      <c r="K19" s="219">
        <v>799092.57314886758</v>
      </c>
      <c r="L19" s="219">
        <v>815819.43590521172</v>
      </c>
      <c r="M19" s="219">
        <v>832313.61375836935</v>
      </c>
      <c r="N19" s="219">
        <v>849206.9507155735</v>
      </c>
      <c r="O19" s="219">
        <v>866525.99976409914</v>
      </c>
      <c r="P19" s="219">
        <v>884284.95265845733</v>
      </c>
      <c r="Q19" s="219">
        <v>902487.87937517441</v>
      </c>
      <c r="R19" s="219">
        <v>921147.69955248106</v>
      </c>
      <c r="S19" s="219">
        <v>940274.01523422042</v>
      </c>
      <c r="T19" s="219">
        <v>959874.66354486695</v>
      </c>
      <c r="U19" s="219">
        <v>979967.2881281107</v>
      </c>
      <c r="V19" s="219">
        <v>1000564.2375883939</v>
      </c>
    </row>
    <row r="20" spans="1:22" x14ac:dyDescent="0.2">
      <c r="A20">
        <f>Summary!A28</f>
        <v>12</v>
      </c>
      <c r="B20" t="s">
        <v>66</v>
      </c>
      <c r="C20" s="217">
        <v>0</v>
      </c>
      <c r="D20" s="219">
        <v>246782.10002979756</v>
      </c>
      <c r="E20" s="219">
        <v>252279.40785605877</v>
      </c>
      <c r="F20" s="219">
        <v>258194.95159471416</v>
      </c>
      <c r="G20" s="219">
        <v>269260.24904317735</v>
      </c>
      <c r="H20" s="219">
        <v>319346.27472927398</v>
      </c>
      <c r="I20" s="219">
        <v>397860.88812231994</v>
      </c>
      <c r="J20" s="219">
        <v>444395.53228181263</v>
      </c>
      <c r="K20" s="219">
        <v>491727.39472005737</v>
      </c>
      <c r="L20" s="219">
        <v>528611.10408568254</v>
      </c>
      <c r="M20" s="219">
        <v>547568.39356061188</v>
      </c>
      <c r="N20" s="219">
        <v>554386.16184341395</v>
      </c>
      <c r="O20" s="219">
        <v>561746.13690852013</v>
      </c>
      <c r="P20" s="219">
        <v>568913.2481835545</v>
      </c>
      <c r="Q20" s="219">
        <v>576259.53724046471</v>
      </c>
      <c r="R20" s="219">
        <v>583790.21815270325</v>
      </c>
      <c r="S20" s="219">
        <v>591509.1660877479</v>
      </c>
      <c r="T20" s="219">
        <v>599419.54393158155</v>
      </c>
      <c r="U20" s="219">
        <v>607528.47225929552</v>
      </c>
      <c r="V20" s="219">
        <v>615840.93468803505</v>
      </c>
    </row>
    <row r="21" spans="1:22" x14ac:dyDescent="0.2">
      <c r="A21">
        <f>Summary!A29</f>
        <v>13</v>
      </c>
      <c r="B21" t="s">
        <v>67</v>
      </c>
      <c r="C21" s="217">
        <v>0</v>
      </c>
      <c r="D21" s="219">
        <v>246782.10002979756</v>
      </c>
      <c r="E21" s="219">
        <v>252279.40785605877</v>
      </c>
      <c r="F21" s="219">
        <v>257897.10672371511</v>
      </c>
      <c r="G21" s="219">
        <v>268962.4041721783</v>
      </c>
      <c r="H21" s="219">
        <v>318736.43470004259</v>
      </c>
      <c r="I21" s="219">
        <v>402826.88221865153</v>
      </c>
      <c r="J21" s="219">
        <v>443315.6150709971</v>
      </c>
      <c r="K21" s="219">
        <v>490647.4775092419</v>
      </c>
      <c r="L21" s="219">
        <v>533196.673363126</v>
      </c>
      <c r="M21" s="219">
        <v>552153.96283805545</v>
      </c>
      <c r="N21" s="219">
        <v>558971.73112085753</v>
      </c>
      <c r="O21" s="219">
        <v>565961.30716438626</v>
      </c>
      <c r="P21" s="219">
        <v>573128.41843942064</v>
      </c>
      <c r="Q21" s="219">
        <v>580474.70749633084</v>
      </c>
      <c r="R21" s="219">
        <v>588005.38840856939</v>
      </c>
      <c r="S21" s="219">
        <v>595724.33634361404</v>
      </c>
      <c r="T21" s="219">
        <v>603634.71418744768</v>
      </c>
      <c r="U21" s="219">
        <v>611743.64251516166</v>
      </c>
      <c r="V21" s="219">
        <v>620056.10494390118</v>
      </c>
    </row>
    <row r="22" spans="1:22" x14ac:dyDescent="0.2">
      <c r="A22">
        <f>Summary!A30</f>
        <v>14</v>
      </c>
      <c r="B22" t="s">
        <v>70</v>
      </c>
      <c r="C22" s="217">
        <v>0</v>
      </c>
      <c r="D22" s="219">
        <v>335704.19713303557</v>
      </c>
      <c r="E22" s="219">
        <v>343014.86407706462</v>
      </c>
      <c r="F22" s="219">
        <v>351211.64025173546</v>
      </c>
      <c r="G22" s="219">
        <v>366096.3750998766</v>
      </c>
      <c r="H22" s="219">
        <v>433641.92523250828</v>
      </c>
      <c r="I22" s="219">
        <v>540363.49130283296</v>
      </c>
      <c r="J22" s="219">
        <v>603486.29148456</v>
      </c>
      <c r="K22" s="219">
        <v>667736.49917744473</v>
      </c>
      <c r="L22" s="219">
        <v>717705.25558650738</v>
      </c>
      <c r="M22" s="219">
        <v>743736.79485686333</v>
      </c>
      <c r="N22" s="219">
        <v>752803.49346504896</v>
      </c>
      <c r="O22" s="219">
        <v>762550.10212738323</v>
      </c>
      <c r="P22" s="219">
        <v>772081.37909758824</v>
      </c>
      <c r="Q22" s="219">
        <v>781850.93799204845</v>
      </c>
      <c r="R22" s="219">
        <v>791865.71281475946</v>
      </c>
      <c r="S22" s="219">
        <v>802130.85700803844</v>
      </c>
      <c r="T22" s="219">
        <v>812650.57677731058</v>
      </c>
      <c r="U22" s="219">
        <v>823434.34151279158</v>
      </c>
      <c r="V22" s="219">
        <v>834488.77874313318</v>
      </c>
    </row>
    <row r="23" spans="1:22" x14ac:dyDescent="0.2">
      <c r="A23">
        <f>Summary!A31</f>
        <v>15</v>
      </c>
      <c r="B23" t="s">
        <v>68</v>
      </c>
      <c r="C23" s="217">
        <v>0</v>
      </c>
      <c r="D23" s="219">
        <v>393146.92768722383</v>
      </c>
      <c r="E23" s="219">
        <v>401581.91946863168</v>
      </c>
      <c r="F23" s="219">
        <v>410201.63757005235</v>
      </c>
      <c r="G23" s="219">
        <v>427506.54202354047</v>
      </c>
      <c r="H23" s="219">
        <v>480416.52607496188</v>
      </c>
      <c r="I23" s="219">
        <v>605335.88498421118</v>
      </c>
      <c r="J23" s="219">
        <v>670008.32549128286</v>
      </c>
      <c r="K23" s="219">
        <v>735803.34383301751</v>
      </c>
      <c r="L23" s="219">
        <v>803302.70779316197</v>
      </c>
      <c r="M23" s="219">
        <v>842959.57496671076</v>
      </c>
      <c r="N23" s="219">
        <v>854544.48888906196</v>
      </c>
      <c r="O23" s="219">
        <v>865269.19602680788</v>
      </c>
      <c r="P23" s="219">
        <v>876266.31072585238</v>
      </c>
      <c r="Q23" s="219">
        <v>887538.35329237324</v>
      </c>
      <c r="R23" s="219">
        <v>899093.32412731368</v>
      </c>
      <c r="S23" s="219">
        <v>910937.1692331275</v>
      </c>
      <c r="T23" s="219">
        <v>923074.74169756565</v>
      </c>
      <c r="U23" s="219">
        <v>935516.96723086108</v>
      </c>
      <c r="V23" s="219">
        <v>948271.49262504233</v>
      </c>
    </row>
    <row r="24" spans="1:22" x14ac:dyDescent="0.2">
      <c r="A24">
        <f>Summary!A32</f>
        <v>16</v>
      </c>
      <c r="B24" t="s">
        <v>69</v>
      </c>
      <c r="C24" s="217">
        <v>0</v>
      </c>
      <c r="D24" s="219">
        <v>622178.02254541276</v>
      </c>
      <c r="E24" s="219">
        <v>634728.91178321629</v>
      </c>
      <c r="F24" s="219">
        <v>647554.66549532767</v>
      </c>
      <c r="G24" s="219">
        <v>674141.68532178691</v>
      </c>
      <c r="H24" s="219">
        <v>757099.3386478126</v>
      </c>
      <c r="I24" s="219">
        <v>954391.59431861481</v>
      </c>
      <c r="J24" s="219">
        <v>1070440.8160466931</v>
      </c>
      <c r="K24" s="219">
        <v>1188704.8829434384</v>
      </c>
      <c r="L24" s="219">
        <v>1294820.7134243704</v>
      </c>
      <c r="M24" s="219">
        <v>1356734.7117486731</v>
      </c>
      <c r="N24" s="219">
        <v>1373610.2474642694</v>
      </c>
      <c r="O24" s="219">
        <v>1389568.1303978865</v>
      </c>
      <c r="P24" s="219">
        <v>1405931.3435580172</v>
      </c>
      <c r="Q24" s="219">
        <v>1422703.6370471516</v>
      </c>
      <c r="R24" s="219">
        <v>1439896.9151028628</v>
      </c>
      <c r="S24" s="219">
        <v>1457520.0251099672</v>
      </c>
      <c r="T24" s="219">
        <v>1475580.1882452476</v>
      </c>
      <c r="U24" s="219">
        <v>1494093.6614752237</v>
      </c>
      <c r="V24" s="219">
        <v>1513071.8228832721</v>
      </c>
    </row>
    <row r="25" spans="1:22" x14ac:dyDescent="0.2">
      <c r="A25">
        <f>Summary!A33</f>
        <v>17</v>
      </c>
      <c r="B25" t="s">
        <v>71</v>
      </c>
      <c r="C25" s="217">
        <v>0</v>
      </c>
      <c r="D25" s="219">
        <v>261504.61651770968</v>
      </c>
      <c r="E25" s="219">
        <v>268705.31722248165</v>
      </c>
      <c r="F25" s="219">
        <v>276063.71327268815</v>
      </c>
      <c r="G25" s="219">
        <v>283588.40907362924</v>
      </c>
      <c r="H25" s="219">
        <v>291597.99355411256</v>
      </c>
      <c r="I25" s="219">
        <v>299494.83470563003</v>
      </c>
      <c r="J25" s="219">
        <v>307908.54317454871</v>
      </c>
      <c r="K25" s="219">
        <v>316206.09106916783</v>
      </c>
      <c r="L25" s="219">
        <v>325045.9424579406</v>
      </c>
      <c r="M25" s="219">
        <v>334343.51653681166</v>
      </c>
      <c r="N25" s="219">
        <v>343867.42264738772</v>
      </c>
      <c r="O25" s="219">
        <v>354846.99860727746</v>
      </c>
      <c r="P25" s="219">
        <v>364234.90716913401</v>
      </c>
      <c r="Q25" s="219">
        <v>373857.51344503701</v>
      </c>
      <c r="R25" s="219">
        <v>383721.64713846514</v>
      </c>
      <c r="S25" s="219">
        <v>393832.384174229</v>
      </c>
      <c r="T25" s="219">
        <v>404193.86748847977</v>
      </c>
      <c r="U25" s="219">
        <v>414815.4240339183</v>
      </c>
      <c r="V25" s="219">
        <v>425703.58164864732</v>
      </c>
    </row>
    <row r="26" spans="1:22" x14ac:dyDescent="0.2">
      <c r="A26">
        <f>Summary!A34</f>
        <v>18</v>
      </c>
      <c r="B26" t="s">
        <v>72</v>
      </c>
      <c r="C26" s="217">
        <v>0</v>
      </c>
      <c r="D26" s="219">
        <v>3795503.9630393567</v>
      </c>
      <c r="E26" s="219">
        <v>3803753.9174171099</v>
      </c>
      <c r="F26" s="219">
        <v>3812184.5457957359</v>
      </c>
      <c r="G26" s="219">
        <v>3820805.7063757186</v>
      </c>
      <c r="H26" s="219">
        <v>3829632.050577505</v>
      </c>
      <c r="I26" s="219">
        <v>3838679.5838523163</v>
      </c>
      <c r="J26" s="219">
        <v>3847951.5211576093</v>
      </c>
      <c r="K26" s="219">
        <v>3857458.1503572459</v>
      </c>
      <c r="L26" s="219">
        <v>3867199.5932981134</v>
      </c>
      <c r="M26" s="219">
        <v>3877189.4430339732</v>
      </c>
      <c r="N26" s="219">
        <v>3887421.0471334406</v>
      </c>
      <c r="O26" s="219">
        <v>3897910.4876562147</v>
      </c>
      <c r="P26" s="219">
        <v>3908666.3599682674</v>
      </c>
      <c r="Q26" s="219">
        <v>3919691.1290881215</v>
      </c>
      <c r="R26" s="219">
        <v>3930992.6199128837</v>
      </c>
      <c r="S26" s="219">
        <v>3942576.6480082651</v>
      </c>
      <c r="T26" s="219">
        <v>3954447.9600004116</v>
      </c>
      <c r="U26" s="219">
        <v>3966617.2419235613</v>
      </c>
      <c r="V26" s="219">
        <v>3979091.9728229819</v>
      </c>
    </row>
    <row r="27" spans="1:22" x14ac:dyDescent="0.2">
      <c r="A27">
        <f>Summary!A35</f>
        <v>19</v>
      </c>
      <c r="B27" t="s">
        <v>73</v>
      </c>
      <c r="C27" s="217">
        <v>0</v>
      </c>
      <c r="D27" s="219">
        <v>71397.469478267958</v>
      </c>
      <c r="E27" s="219">
        <v>71397.469478267958</v>
      </c>
      <c r="F27" s="219">
        <v>71397.469478267958</v>
      </c>
      <c r="G27" s="219">
        <v>71397.469478267958</v>
      </c>
      <c r="H27" s="219">
        <v>71397.469478267958</v>
      </c>
      <c r="I27" s="219">
        <v>71397.469478267958</v>
      </c>
      <c r="J27" s="219">
        <v>71397.469478267958</v>
      </c>
      <c r="K27" s="219">
        <v>71397.469478267958</v>
      </c>
      <c r="L27" s="219">
        <v>71397.469478267958</v>
      </c>
      <c r="M27" s="219">
        <v>71397.469478267958</v>
      </c>
      <c r="N27" s="219">
        <v>71397.469478267958</v>
      </c>
      <c r="O27" s="219">
        <v>71397.469478267958</v>
      </c>
      <c r="P27" s="219">
        <v>71397.469478267958</v>
      </c>
      <c r="Q27" s="219">
        <v>71397.469478267958</v>
      </c>
      <c r="R27" s="219">
        <v>71397.469478267958</v>
      </c>
      <c r="S27" s="219">
        <v>71397.469478267958</v>
      </c>
      <c r="T27" s="219">
        <v>71397.469478267958</v>
      </c>
      <c r="U27" s="219">
        <v>71397.469478267958</v>
      </c>
      <c r="V27" s="219">
        <v>71397.469478267958</v>
      </c>
    </row>
    <row r="28" spans="1:22" x14ac:dyDescent="0.2">
      <c r="A28">
        <f>Summary!A36</f>
        <v>20</v>
      </c>
      <c r="B28" t="s">
        <v>74</v>
      </c>
      <c r="C28" s="217">
        <v>0</v>
      </c>
      <c r="D28" s="219">
        <v>11310.490214379086</v>
      </c>
      <c r="E28" s="219">
        <v>11310.490214379086</v>
      </c>
      <c r="F28" s="219">
        <v>11310.490214379086</v>
      </c>
      <c r="G28" s="219">
        <v>11310.490214379086</v>
      </c>
      <c r="H28" s="219">
        <v>11310.490214379086</v>
      </c>
      <c r="I28" s="219">
        <v>11310.490214379086</v>
      </c>
      <c r="J28" s="219">
        <v>11310.490214379086</v>
      </c>
      <c r="K28" s="219">
        <v>11310.490214379086</v>
      </c>
      <c r="L28" s="219">
        <v>11310.490214379086</v>
      </c>
      <c r="M28" s="219">
        <v>11310.490214379086</v>
      </c>
      <c r="N28" s="219">
        <v>11310.490214379086</v>
      </c>
      <c r="O28" s="219">
        <v>11310.490214379086</v>
      </c>
      <c r="P28" s="219">
        <v>11310.490214379086</v>
      </c>
      <c r="Q28" s="219">
        <v>11310.490214379086</v>
      </c>
      <c r="R28" s="219">
        <v>11310.490214379086</v>
      </c>
      <c r="S28" s="219">
        <v>11310.490214379086</v>
      </c>
      <c r="T28" s="219">
        <v>11310.490214379086</v>
      </c>
      <c r="U28" s="219">
        <v>11310.490214379086</v>
      </c>
      <c r="V28" s="219">
        <v>11310.490214379086</v>
      </c>
    </row>
    <row r="29" spans="1:22" x14ac:dyDescent="0.2">
      <c r="A29">
        <f>Summary!A37</f>
        <v>21</v>
      </c>
      <c r="B29" t="s">
        <v>75</v>
      </c>
      <c r="C29" s="217">
        <v>0</v>
      </c>
      <c r="D29" s="219">
        <v>25448.602982352939</v>
      </c>
      <c r="E29" s="219">
        <v>25448.602982352939</v>
      </c>
      <c r="F29" s="219">
        <v>25448.602982352939</v>
      </c>
      <c r="G29" s="219">
        <v>25448.602982352939</v>
      </c>
      <c r="H29" s="219">
        <v>25448.602982352939</v>
      </c>
      <c r="I29" s="219">
        <v>25448.602982352939</v>
      </c>
      <c r="J29" s="219">
        <v>25448.602982352939</v>
      </c>
      <c r="K29" s="219">
        <v>25448.602982352939</v>
      </c>
      <c r="L29" s="219">
        <v>25448.602982352939</v>
      </c>
      <c r="M29" s="219">
        <v>25448.602982352939</v>
      </c>
      <c r="N29" s="219">
        <v>25448.602982352939</v>
      </c>
      <c r="O29" s="219">
        <v>25448.602982352939</v>
      </c>
      <c r="P29" s="219">
        <v>25448.602982352939</v>
      </c>
      <c r="Q29" s="219">
        <v>25448.602982352939</v>
      </c>
      <c r="R29" s="219">
        <v>25448.602982352939</v>
      </c>
      <c r="S29" s="219">
        <v>25448.602982352939</v>
      </c>
      <c r="T29" s="219">
        <v>25448.602982352939</v>
      </c>
      <c r="U29" s="219">
        <v>25448.602982352939</v>
      </c>
      <c r="V29" s="219">
        <v>25448.602982352939</v>
      </c>
    </row>
    <row r="30" spans="1:22" x14ac:dyDescent="0.2">
      <c r="A30">
        <f>Summary!A38</f>
        <v>22</v>
      </c>
      <c r="B30" t="s">
        <v>86</v>
      </c>
      <c r="C30" s="217">
        <v>0</v>
      </c>
      <c r="D30" s="219">
        <v>59295.153725000004</v>
      </c>
      <c r="E30" s="219">
        <v>59295.153725000004</v>
      </c>
      <c r="F30" s="219">
        <v>59295.153725000004</v>
      </c>
      <c r="G30" s="219">
        <v>59295.153725000004</v>
      </c>
      <c r="H30" s="219">
        <v>59295.153725000004</v>
      </c>
      <c r="I30" s="219">
        <v>59295.153725000004</v>
      </c>
      <c r="J30" s="219">
        <v>59295.153725000004</v>
      </c>
      <c r="K30" s="219">
        <v>59295.153725000004</v>
      </c>
      <c r="L30" s="219">
        <v>59295.153725000004</v>
      </c>
      <c r="M30" s="219">
        <v>59295.153725000004</v>
      </c>
      <c r="N30" s="219">
        <v>59295.153725000004</v>
      </c>
      <c r="O30" s="219">
        <v>59295.153725000004</v>
      </c>
      <c r="P30" s="219">
        <v>59295.153725000004</v>
      </c>
      <c r="Q30" s="219">
        <v>59295.153725000004</v>
      </c>
      <c r="R30" s="219">
        <v>59295.153725000004</v>
      </c>
      <c r="S30" s="219">
        <v>59295.153725000004</v>
      </c>
      <c r="T30" s="219">
        <v>59295.153725000004</v>
      </c>
      <c r="U30" s="219">
        <v>59295.153725000004</v>
      </c>
      <c r="V30" s="219">
        <v>59295.153725000004</v>
      </c>
    </row>
    <row r="31" spans="1:22" x14ac:dyDescent="0.2">
      <c r="A31">
        <f>Summary!A39</f>
        <v>23</v>
      </c>
      <c r="B31" t="s">
        <v>76</v>
      </c>
      <c r="C31" s="217">
        <v>0</v>
      </c>
      <c r="D31" s="219">
        <v>45161.410471875002</v>
      </c>
      <c r="E31" s="219">
        <v>45161.410471875002</v>
      </c>
      <c r="F31" s="219">
        <v>45161.410471875002</v>
      </c>
      <c r="G31" s="219">
        <v>45161.410471875002</v>
      </c>
      <c r="H31" s="219">
        <v>45161.410471875002</v>
      </c>
      <c r="I31" s="219">
        <v>45161.410471875002</v>
      </c>
      <c r="J31" s="219">
        <v>45161.410471875002</v>
      </c>
      <c r="K31" s="219">
        <v>45161.410471875002</v>
      </c>
      <c r="L31" s="219">
        <v>45161.410471875002</v>
      </c>
      <c r="M31" s="219">
        <v>45161.410471875002</v>
      </c>
      <c r="N31" s="219">
        <v>45161.410471875002</v>
      </c>
      <c r="O31" s="219">
        <v>45161.410471875002</v>
      </c>
      <c r="P31" s="219">
        <v>45161.410471875002</v>
      </c>
      <c r="Q31" s="219">
        <v>45161.410471875002</v>
      </c>
      <c r="R31" s="219">
        <v>45161.410471875002</v>
      </c>
      <c r="S31" s="219">
        <v>45161.410471875002</v>
      </c>
      <c r="T31" s="219">
        <v>45161.410471875002</v>
      </c>
      <c r="U31" s="219">
        <v>45161.410471875002</v>
      </c>
      <c r="V31" s="219">
        <v>45161.410471875002</v>
      </c>
    </row>
    <row r="32" spans="1:22" x14ac:dyDescent="0.2">
      <c r="A32">
        <f>Summary!A40</f>
        <v>24</v>
      </c>
      <c r="B32" t="s">
        <v>77</v>
      </c>
      <c r="C32" s="217">
        <v>0</v>
      </c>
      <c r="D32" s="219">
        <v>45161.410471875002</v>
      </c>
      <c r="E32" s="219">
        <v>45161.410471875002</v>
      </c>
      <c r="F32" s="219">
        <v>45161.410471875002</v>
      </c>
      <c r="G32" s="219">
        <v>45161.410471875002</v>
      </c>
      <c r="H32" s="219">
        <v>45161.410471875002</v>
      </c>
      <c r="I32" s="219">
        <v>45161.410471875002</v>
      </c>
      <c r="J32" s="219">
        <v>45161.410471875002</v>
      </c>
      <c r="K32" s="219">
        <v>45161.410471875002</v>
      </c>
      <c r="L32" s="219">
        <v>45161.410471875002</v>
      </c>
      <c r="M32" s="219">
        <v>45161.410471875002</v>
      </c>
      <c r="N32" s="219">
        <v>45161.410471875002</v>
      </c>
      <c r="O32" s="219">
        <v>45161.410471875002</v>
      </c>
      <c r="P32" s="219">
        <v>45161.410471875002</v>
      </c>
      <c r="Q32" s="219">
        <v>45161.410471875002</v>
      </c>
      <c r="R32" s="219">
        <v>45161.410471875002</v>
      </c>
      <c r="S32" s="219">
        <v>45161.410471875002</v>
      </c>
      <c r="T32" s="219">
        <v>45161.410471875002</v>
      </c>
      <c r="U32" s="219">
        <v>45161.410471875002</v>
      </c>
      <c r="V32" s="219">
        <v>45161.410471875002</v>
      </c>
    </row>
    <row r="33" spans="1:22" x14ac:dyDescent="0.2">
      <c r="A33">
        <f>Summary!A41</f>
        <v>25</v>
      </c>
      <c r="B33" t="s">
        <v>78</v>
      </c>
      <c r="C33" s="217">
        <v>0</v>
      </c>
      <c r="D33" s="219">
        <v>45161.410471875002</v>
      </c>
      <c r="E33" s="219">
        <v>45161.410471875002</v>
      </c>
      <c r="F33" s="219">
        <v>45161.410471875002</v>
      </c>
      <c r="G33" s="219">
        <v>45161.410471875002</v>
      </c>
      <c r="H33" s="219">
        <v>45161.410471875002</v>
      </c>
      <c r="I33" s="219">
        <v>45161.410471875002</v>
      </c>
      <c r="J33" s="219">
        <v>45161.410471875002</v>
      </c>
      <c r="K33" s="219">
        <v>45161.410471875002</v>
      </c>
      <c r="L33" s="219">
        <v>45161.410471875002</v>
      </c>
      <c r="M33" s="219">
        <v>45161.410471875002</v>
      </c>
      <c r="N33" s="219">
        <v>45161.410471875002</v>
      </c>
      <c r="O33" s="219">
        <v>45161.410471875002</v>
      </c>
      <c r="P33" s="219">
        <v>45161.410471875002</v>
      </c>
      <c r="Q33" s="219">
        <v>45161.410471875002</v>
      </c>
      <c r="R33" s="219">
        <v>45161.410471875002</v>
      </c>
      <c r="S33" s="219">
        <v>45161.410471875002</v>
      </c>
      <c r="T33" s="219">
        <v>45161.410471875002</v>
      </c>
      <c r="U33" s="219">
        <v>45161.410471875002</v>
      </c>
      <c r="V33" s="219">
        <v>45161.410471875002</v>
      </c>
    </row>
    <row r="34" spans="1:22" x14ac:dyDescent="0.2">
      <c r="A34">
        <f>Summary!A42</f>
        <v>26</v>
      </c>
      <c r="B34" t="s">
        <v>79</v>
      </c>
      <c r="C34" s="217">
        <v>0</v>
      </c>
      <c r="D34" s="219">
        <v>45161.410471875002</v>
      </c>
      <c r="E34" s="219">
        <v>45161.410471875002</v>
      </c>
      <c r="F34" s="219">
        <v>45161.410471875002</v>
      </c>
      <c r="G34" s="219">
        <v>45161.410471875002</v>
      </c>
      <c r="H34" s="219">
        <v>45161.410471875002</v>
      </c>
      <c r="I34" s="219">
        <v>45161.410471875002</v>
      </c>
      <c r="J34" s="219">
        <v>45161.410471875002</v>
      </c>
      <c r="K34" s="219">
        <v>45161.410471875002</v>
      </c>
      <c r="L34" s="219">
        <v>45161.410471875002</v>
      </c>
      <c r="M34" s="219">
        <v>45161.410471875002</v>
      </c>
      <c r="N34" s="219">
        <v>45161.410471875002</v>
      </c>
      <c r="O34" s="219">
        <v>45161.410471875002</v>
      </c>
      <c r="P34" s="219">
        <v>45161.410471875002</v>
      </c>
      <c r="Q34" s="219">
        <v>45161.410471875002</v>
      </c>
      <c r="R34" s="219">
        <v>45161.410471875002</v>
      </c>
      <c r="S34" s="219">
        <v>45161.410471875002</v>
      </c>
      <c r="T34" s="219">
        <v>45161.410471875002</v>
      </c>
      <c r="U34" s="219">
        <v>45161.410471875002</v>
      </c>
      <c r="V34" s="219">
        <v>45161.410471875002</v>
      </c>
    </row>
    <row r="35" spans="1:22" x14ac:dyDescent="0.2">
      <c r="A35">
        <f>Summary!A43</f>
        <v>27</v>
      </c>
      <c r="B35" t="s">
        <v>80</v>
      </c>
      <c r="C35" s="217">
        <v>0</v>
      </c>
      <c r="D35" s="219">
        <v>171612.57929687499</v>
      </c>
      <c r="E35" s="219">
        <v>171612.57929687499</v>
      </c>
      <c r="F35" s="219">
        <v>171612.57929687499</v>
      </c>
      <c r="G35" s="219">
        <v>171612.57929687499</v>
      </c>
      <c r="H35" s="219">
        <v>171612.57929687499</v>
      </c>
      <c r="I35" s="219">
        <v>171612.57929687499</v>
      </c>
      <c r="J35" s="219">
        <v>171612.57929687499</v>
      </c>
      <c r="K35" s="219">
        <v>171612.57929687499</v>
      </c>
      <c r="L35" s="219">
        <v>171612.57929687499</v>
      </c>
      <c r="M35" s="219">
        <v>171612.57929687499</v>
      </c>
      <c r="N35" s="219">
        <v>171612.57929687499</v>
      </c>
      <c r="O35" s="219">
        <v>171612.57929687499</v>
      </c>
      <c r="P35" s="219">
        <v>171612.57929687499</v>
      </c>
      <c r="Q35" s="219">
        <v>171612.57929687499</v>
      </c>
      <c r="R35" s="219">
        <v>171612.57929687499</v>
      </c>
      <c r="S35" s="219">
        <v>171612.57929687499</v>
      </c>
      <c r="T35" s="219">
        <v>171612.57929687499</v>
      </c>
      <c r="U35" s="219">
        <v>171612.57929687499</v>
      </c>
      <c r="V35" s="219">
        <v>171612.57929687499</v>
      </c>
    </row>
    <row r="36" spans="1:22" x14ac:dyDescent="0.2">
      <c r="A36">
        <f>Summary!A44</f>
        <v>28</v>
      </c>
      <c r="B36" t="s">
        <v>81</v>
      </c>
      <c r="C36" s="217">
        <v>0</v>
      </c>
      <c r="D36" s="219">
        <v>171612.57929687499</v>
      </c>
      <c r="E36" s="219">
        <v>171612.57929687499</v>
      </c>
      <c r="F36" s="219">
        <v>171612.57929687499</v>
      </c>
      <c r="G36" s="219">
        <v>171612.57929687499</v>
      </c>
      <c r="H36" s="219">
        <v>171612.57929687499</v>
      </c>
      <c r="I36" s="219">
        <v>171612.57929687499</v>
      </c>
      <c r="J36" s="219">
        <v>171612.57929687499</v>
      </c>
      <c r="K36" s="219">
        <v>171612.57929687499</v>
      </c>
      <c r="L36" s="219">
        <v>171612.57929687499</v>
      </c>
      <c r="M36" s="219">
        <v>171612.57929687499</v>
      </c>
      <c r="N36" s="219">
        <v>171612.57929687499</v>
      </c>
      <c r="O36" s="219">
        <v>171612.57929687499</v>
      </c>
      <c r="P36" s="219">
        <v>171612.57929687499</v>
      </c>
      <c r="Q36" s="219">
        <v>171612.57929687499</v>
      </c>
      <c r="R36" s="219">
        <v>171612.57929687499</v>
      </c>
      <c r="S36" s="219">
        <v>171612.57929687499</v>
      </c>
      <c r="T36" s="219">
        <v>171612.57929687499</v>
      </c>
      <c r="U36" s="219">
        <v>171612.57929687499</v>
      </c>
      <c r="V36" s="219">
        <v>171612.57929687499</v>
      </c>
    </row>
    <row r="37" spans="1:22" x14ac:dyDescent="0.2">
      <c r="A37">
        <f>Summary!A45</f>
        <v>29</v>
      </c>
      <c r="B37" t="s">
        <v>82</v>
      </c>
      <c r="C37" s="217">
        <v>0</v>
      </c>
      <c r="D37" s="219">
        <v>171612.57929687499</v>
      </c>
      <c r="E37" s="219">
        <v>171612.57929687499</v>
      </c>
      <c r="F37" s="219">
        <v>171612.57929687499</v>
      </c>
      <c r="G37" s="219">
        <v>171612.57929687499</v>
      </c>
      <c r="H37" s="219">
        <v>171612.57929687499</v>
      </c>
      <c r="I37" s="219">
        <v>171612.57929687499</v>
      </c>
      <c r="J37" s="219">
        <v>171612.57929687499</v>
      </c>
      <c r="K37" s="219">
        <v>171612.57929687499</v>
      </c>
      <c r="L37" s="219">
        <v>171612.57929687499</v>
      </c>
      <c r="M37" s="219">
        <v>171612.57929687499</v>
      </c>
      <c r="N37" s="219">
        <v>171612.57929687499</v>
      </c>
      <c r="O37" s="219">
        <v>171612.57929687499</v>
      </c>
      <c r="P37" s="219">
        <v>171612.57929687499</v>
      </c>
      <c r="Q37" s="219">
        <v>171612.57929687499</v>
      </c>
      <c r="R37" s="219">
        <v>171612.57929687499</v>
      </c>
      <c r="S37" s="219">
        <v>171612.57929687499</v>
      </c>
      <c r="T37" s="219">
        <v>171612.57929687499</v>
      </c>
      <c r="U37" s="219">
        <v>171612.57929687499</v>
      </c>
      <c r="V37" s="219">
        <v>171612.57929687499</v>
      </c>
    </row>
    <row r="38" spans="1:22" x14ac:dyDescent="0.2">
      <c r="A38">
        <f>Summary!A46</f>
        <v>30</v>
      </c>
      <c r="B38" t="s">
        <v>83</v>
      </c>
      <c r="C38" s="217">
        <v>0</v>
      </c>
      <c r="D38" s="219">
        <v>171612.57929687499</v>
      </c>
      <c r="E38" s="219">
        <v>171612.57929687499</v>
      </c>
      <c r="F38" s="219">
        <v>171612.57929687499</v>
      </c>
      <c r="G38" s="219">
        <v>171612.57929687499</v>
      </c>
      <c r="H38" s="219">
        <v>171612.57929687499</v>
      </c>
      <c r="I38" s="219">
        <v>171612.57929687499</v>
      </c>
      <c r="J38" s="219">
        <v>171612.57929687499</v>
      </c>
      <c r="K38" s="219">
        <v>171612.57929687499</v>
      </c>
      <c r="L38" s="219">
        <v>171612.57929687499</v>
      </c>
      <c r="M38" s="219">
        <v>171612.57929687499</v>
      </c>
      <c r="N38" s="219">
        <v>171612.57929687499</v>
      </c>
      <c r="O38" s="219">
        <v>171612.57929687499</v>
      </c>
      <c r="P38" s="219">
        <v>171612.57929687499</v>
      </c>
      <c r="Q38" s="219">
        <v>171612.57929687499</v>
      </c>
      <c r="R38" s="219">
        <v>171612.57929687499</v>
      </c>
      <c r="S38" s="219">
        <v>171612.57929687499</v>
      </c>
      <c r="T38" s="219">
        <v>171612.57929687499</v>
      </c>
      <c r="U38" s="219">
        <v>171612.57929687499</v>
      </c>
      <c r="V38" s="219">
        <v>171612.57929687499</v>
      </c>
    </row>
    <row r="39" spans="1:22" x14ac:dyDescent="0.2">
      <c r="A39">
        <f>Summary!A47</f>
        <v>31</v>
      </c>
      <c r="B39" t="s">
        <v>84</v>
      </c>
      <c r="C39" s="217">
        <v>0</v>
      </c>
      <c r="D39" s="219">
        <v>171612.57929687499</v>
      </c>
      <c r="E39" s="219">
        <v>171612.57929687499</v>
      </c>
      <c r="F39" s="219">
        <v>171612.57929687499</v>
      </c>
      <c r="G39" s="219">
        <v>171612.57929687499</v>
      </c>
      <c r="H39" s="219">
        <v>171612.57929687499</v>
      </c>
      <c r="I39" s="219">
        <v>171612.57929687499</v>
      </c>
      <c r="J39" s="219">
        <v>171612.57929687499</v>
      </c>
      <c r="K39" s="219">
        <v>171612.57929687499</v>
      </c>
      <c r="L39" s="219">
        <v>171612.57929687499</v>
      </c>
      <c r="M39" s="219">
        <v>171612.57929687499</v>
      </c>
      <c r="N39" s="219">
        <v>171612.57929687499</v>
      </c>
      <c r="O39" s="219">
        <v>171612.57929687499</v>
      </c>
      <c r="P39" s="219">
        <v>171612.57929687499</v>
      </c>
      <c r="Q39" s="219">
        <v>171612.57929687499</v>
      </c>
      <c r="R39" s="219">
        <v>171612.57929687499</v>
      </c>
      <c r="S39" s="219">
        <v>171612.57929687499</v>
      </c>
      <c r="T39" s="219">
        <v>171612.57929687499</v>
      </c>
      <c r="U39" s="219">
        <v>171612.57929687499</v>
      </c>
      <c r="V39" s="219">
        <v>171612.57929687499</v>
      </c>
    </row>
    <row r="40" spans="1:22" x14ac:dyDescent="0.2">
      <c r="A40">
        <f>Summary!A48</f>
        <v>32</v>
      </c>
      <c r="B40" t="s">
        <v>85</v>
      </c>
      <c r="C40" s="217">
        <v>0</v>
      </c>
      <c r="D40" s="219">
        <v>171612.57929687499</v>
      </c>
      <c r="E40" s="219">
        <v>171612.57929687499</v>
      </c>
      <c r="F40" s="219">
        <v>171612.57929687499</v>
      </c>
      <c r="G40" s="219">
        <v>171612.57929687499</v>
      </c>
      <c r="H40" s="219">
        <v>171612.57929687499</v>
      </c>
      <c r="I40" s="219">
        <v>171612.57929687499</v>
      </c>
      <c r="J40" s="219">
        <v>171612.57929687499</v>
      </c>
      <c r="K40" s="219">
        <v>171612.57929687499</v>
      </c>
      <c r="L40" s="219">
        <v>171612.57929687499</v>
      </c>
      <c r="M40" s="219">
        <v>171612.57929687499</v>
      </c>
      <c r="N40" s="219">
        <v>171612.57929687499</v>
      </c>
      <c r="O40" s="219">
        <v>171612.57929687499</v>
      </c>
      <c r="P40" s="219">
        <v>171612.57929687499</v>
      </c>
      <c r="Q40" s="219">
        <v>171612.57929687499</v>
      </c>
      <c r="R40" s="219">
        <v>171612.57929687499</v>
      </c>
      <c r="S40" s="219">
        <v>171612.57929687499</v>
      </c>
      <c r="T40" s="219">
        <v>171612.57929687499</v>
      </c>
      <c r="U40" s="219">
        <v>171612.57929687499</v>
      </c>
      <c r="V40" s="219">
        <v>171612.57929687499</v>
      </c>
    </row>
    <row r="41" spans="1:22" ht="13.5" thickBot="1" x14ac:dyDescent="0.25">
      <c r="A41">
        <f>Summary!A49</f>
        <v>33</v>
      </c>
      <c r="B41" s="222" t="s">
        <v>181</v>
      </c>
      <c r="C41" s="217">
        <v>0</v>
      </c>
      <c r="D41" s="221">
        <v>0</v>
      </c>
      <c r="E41" s="221">
        <v>297895.53999999998</v>
      </c>
      <c r="F41" s="221">
        <v>625580.63399999996</v>
      </c>
      <c r="G41" s="221">
        <v>804317.95799999998</v>
      </c>
      <c r="H41" s="221">
        <v>913546.32266666705</v>
      </c>
      <c r="I41" s="221">
        <v>1191582.1599999999</v>
      </c>
      <c r="J41" s="221">
        <v>1519267.254</v>
      </c>
      <c r="K41" s="221">
        <v>1787373.24</v>
      </c>
      <c r="L41" s="221">
        <v>2085268.78</v>
      </c>
      <c r="M41" s="221">
        <v>2234216.5499999998</v>
      </c>
      <c r="N41" s="221">
        <v>2978955.4</v>
      </c>
      <c r="O41" s="221">
        <v>2978955.4</v>
      </c>
      <c r="P41" s="221">
        <v>2978955.4</v>
      </c>
      <c r="Q41" s="221">
        <v>2978955.4</v>
      </c>
      <c r="R41" s="221">
        <v>2978955.4</v>
      </c>
      <c r="S41" s="221">
        <v>2978955.4</v>
      </c>
      <c r="T41" s="221">
        <v>2978955.4</v>
      </c>
      <c r="U41" s="221">
        <v>2978955.4</v>
      </c>
      <c r="V41" s="221">
        <v>2978955.4</v>
      </c>
    </row>
    <row r="42" spans="1:22" ht="13.5" thickTop="1" x14ac:dyDescent="0.2">
      <c r="B42" t="s">
        <v>135</v>
      </c>
      <c r="C42" s="6">
        <f t="shared" ref="C42:V42" si="0">SUM(C9:C41)</f>
        <v>0</v>
      </c>
      <c r="D42" s="6">
        <f t="shared" si="0"/>
        <v>12596293.334079593</v>
      </c>
      <c r="E42" s="6">
        <f t="shared" si="0"/>
        <v>13114632.905716464</v>
      </c>
      <c r="F42" s="6">
        <f t="shared" si="0"/>
        <v>13620017.745892588</v>
      </c>
      <c r="G42" s="6">
        <f t="shared" si="0"/>
        <v>14027444.304470094</v>
      </c>
      <c r="H42" s="6">
        <f t="shared" si="0"/>
        <v>14665464.249027967</v>
      </c>
      <c r="I42" s="6">
        <f t="shared" si="0"/>
        <v>15865564.615629323</v>
      </c>
      <c r="J42" s="6">
        <f t="shared" si="0"/>
        <v>16760984.131963439</v>
      </c>
      <c r="K42" s="6">
        <f t="shared" si="0"/>
        <v>17611557.175570436</v>
      </c>
      <c r="L42" s="6">
        <f t="shared" si="0"/>
        <v>18450819.139576681</v>
      </c>
      <c r="M42" s="6">
        <f t="shared" si="0"/>
        <v>18955849.340377666</v>
      </c>
      <c r="N42" s="6">
        <f t="shared" si="0"/>
        <v>19908799.41319811</v>
      </c>
      <c r="O42" s="6">
        <f t="shared" si="0"/>
        <v>20122134.024772447</v>
      </c>
      <c r="P42" s="6">
        <f t="shared" si="0"/>
        <v>20337831.566552311</v>
      </c>
      <c r="Q42" s="6">
        <f t="shared" si="0"/>
        <v>20558921.546876676</v>
      </c>
      <c r="R42" s="6">
        <f t="shared" si="0"/>
        <v>20785560.885707177</v>
      </c>
      <c r="S42" s="6">
        <f t="shared" si="0"/>
        <v>21017866.20800845</v>
      </c>
      <c r="T42" s="6">
        <f t="shared" si="0"/>
        <v>21255932.70230278</v>
      </c>
      <c r="U42" s="6">
        <f t="shared" si="0"/>
        <v>21499974.665603906</v>
      </c>
      <c r="V42" s="6">
        <f t="shared" si="0"/>
        <v>21750142.082183894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Summary</vt:lpstr>
      <vt:lpstr>All Inc.</vt:lpstr>
      <vt:lpstr>IS</vt:lpstr>
      <vt:lpstr>UnitData</vt:lpstr>
      <vt:lpstr>Detail</vt:lpstr>
      <vt:lpstr>Assumptions</vt:lpstr>
      <vt:lpstr>PPA</vt:lpstr>
      <vt:lpstr>CoalPrice</vt:lpstr>
      <vt:lpstr>PTax</vt:lpstr>
      <vt:lpstr>A&amp;G</vt:lpstr>
      <vt:lpstr>FOM</vt:lpstr>
      <vt:lpstr>Tax Depr</vt:lpstr>
      <vt:lpstr>Book Depr</vt:lpstr>
      <vt:lpstr>GAAP Beg Depreciation</vt:lpstr>
      <vt:lpstr>CapAds</vt:lpstr>
      <vt:lpstr>EnvData</vt:lpstr>
      <vt:lpstr>BaseLoad</vt:lpstr>
      <vt:lpstr>Peak</vt:lpstr>
      <vt:lpstr>Base Revenue</vt:lpstr>
      <vt:lpstr>Peak Revenue</vt:lpstr>
      <vt:lpstr>Peak Hours</vt:lpstr>
      <vt:lpstr>Base Hours</vt:lpstr>
      <vt:lpstr>AGCost</vt:lpstr>
      <vt:lpstr>allotval</vt:lpstr>
      <vt:lpstr>Answer</vt:lpstr>
      <vt:lpstr>BookDep</vt:lpstr>
      <vt:lpstr>CapAds</vt:lpstr>
      <vt:lpstr>Coal</vt:lpstr>
      <vt:lpstr>Costs</vt:lpstr>
      <vt:lpstr>Depr</vt:lpstr>
      <vt:lpstr>EAValue</vt:lpstr>
      <vt:lpstr>ECapAds</vt:lpstr>
      <vt:lpstr>EnvFOM</vt:lpstr>
      <vt:lpstr>EnvVOM</vt:lpstr>
      <vt:lpstr>NOxRate</vt:lpstr>
      <vt:lpstr>'All Inc.'!Print_Area</vt:lpstr>
      <vt:lpstr>IS!Print_Area</vt:lpstr>
      <vt:lpstr>PTax</vt:lpstr>
      <vt:lpstr>SO2Rate</vt:lpstr>
      <vt:lpstr>UnitData</vt:lpstr>
    </vt:vector>
  </TitlesOfParts>
  <Company>Cinergy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Giffhorn</dc:creator>
  <cp:lastModifiedBy>Jan Havlíček</cp:lastModifiedBy>
  <cp:lastPrinted>2000-07-17T23:28:21Z</cp:lastPrinted>
  <dcterms:created xsi:type="dcterms:W3CDTF">2000-05-23T18:16:18Z</dcterms:created>
  <dcterms:modified xsi:type="dcterms:W3CDTF">2023-09-13T21:40:30Z</dcterms:modified>
</cp:coreProperties>
</file>